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chart6.xml" ContentType="application/vnd.openxmlformats-officedocument.drawingml.chart+xml"/>
  <Override PartName="/xl/theme/themeOverride3.xml" ContentType="application/vnd.openxmlformats-officedocument.themeOverride+xml"/>
  <Override PartName="/xl/charts/chart7.xml" ContentType="application/vnd.openxmlformats-officedocument.drawingml.chart+xml"/>
  <Override PartName="/xl/charts/chart8.xml" ContentType="application/vnd.openxmlformats-officedocument.drawingml.chart+xml"/>
  <Override PartName="/xl/theme/themeOverride4.xml" ContentType="application/vnd.openxmlformats-officedocument.themeOverride+xml"/>
  <Override PartName="/xl/charts/chart9.xml" ContentType="application/vnd.openxmlformats-officedocument.drawingml.chart+xml"/>
  <Override PartName="/xl/charts/chart10.xml" ContentType="application/vnd.openxmlformats-officedocument.drawingml.chart+xml"/>
  <Override PartName="/xl/theme/themeOverride5.xml" ContentType="application/vnd.openxmlformats-officedocument.themeOverride+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13.xml" ContentType="application/vnd.openxmlformats-officedocument.drawingml.chart+xml"/>
  <Override PartName="/xl/charts/chart14.xml" ContentType="application/vnd.openxmlformats-officedocument.drawingml.chart+xml"/>
  <Override PartName="/xl/theme/themeOverride7.xml" ContentType="application/vnd.openxmlformats-officedocument.themeOverride+xml"/>
  <Override PartName="/xl/drawings/drawing6.xml" ContentType="application/vnd.openxmlformats-officedocument.drawing+xml"/>
  <Override PartName="/xl/slicers/slicer3.xml" ContentType="application/vnd.ms-excel.slicer+xml"/>
  <Override PartName="/xl/comments1.xml" ContentType="application/vnd.openxmlformats-officedocument.spreadsheetml.comments+xml"/>
  <Override PartName="/xl/drawings/drawing7.xml" ContentType="application/vnd.openxmlformats-officedocument.drawing+xml"/>
  <Override PartName="/xl/slicers/slicer4.xml" ContentType="application/vnd.ms-excel.slicer+xml"/>
  <Override PartName="/xl/comments2.xml" ContentType="application/vnd.openxmlformats-officedocument.spreadsheetml.comments+xml"/>
  <Override PartName="/xl/drawings/drawing8.xml" ContentType="application/vnd.openxmlformats-officedocument.drawing+xml"/>
  <Override PartName="/xl/slicers/slicer5.xml" ContentType="application/vnd.ms-excel.slicer+xml"/>
  <Override PartName="/xl/comments3.xml" ContentType="application/vnd.openxmlformats-officedocument.spreadsheetml.comments+xml"/>
  <Override PartName="/xl/drawings/drawing9.xml" ContentType="application/vnd.openxmlformats-officedocument.drawing+xml"/>
  <Override PartName="/xl/slicers/slicer6.xml" ContentType="application/vnd.ms-excel.slicer+xml"/>
  <Override PartName="/xl/drawings/drawing10.xml" ContentType="application/vnd.openxmlformats-officedocument.drawing+xml"/>
  <Override PartName="/xl/slicers/slicer7.xml" ContentType="application/vnd.ms-excel.slicer+xml"/>
  <Override PartName="/xl/drawings/drawing11.xml" ContentType="application/vnd.openxmlformats-officedocument.drawing+xml"/>
  <Override PartName="/xl/slicers/slicer8.xml" ContentType="application/vnd.ms-excel.slicer+xml"/>
  <Override PartName="/xl/comments4.xml" ContentType="application/vnd.openxmlformats-officedocument.spreadsheetml.comments+xml"/>
  <Override PartName="/xl/charts/chart15.xml" ContentType="application/vnd.openxmlformats-officedocument.drawingml.chart+xml"/>
  <Override PartName="/xl/charts/style7.xml" ContentType="application/vnd.ms-office.chartstyle+xml"/>
  <Override PartName="/xl/charts/colors7.xml" ContentType="application/vnd.ms-office.chartcolorstyle+xml"/>
  <Override PartName="/xl/charts/chart16.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style9.xml" ContentType="application/vnd.ms-office.chartstyle+xml"/>
  <Override PartName="/xl/charts/colors9.xml" ContentType="application/vnd.ms-office.chartcolorstyle+xml"/>
  <Override PartName="/xl/charts/chart21.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9.xml" ContentType="application/vnd.openxmlformats-officedocument.themeOverride+xml"/>
  <Override PartName="/xl/charts/chart22.xml" ContentType="application/vnd.openxmlformats-officedocument.drawingml.chart+xml"/>
  <Override PartName="/xl/theme/themeOverride10.xml" ContentType="application/vnd.openxmlformats-officedocument.themeOverride+xml"/>
  <Override PartName="/xl/charts/chart23.xml" ContentType="application/vnd.openxmlformats-officedocument.drawingml.chart+xml"/>
  <Override PartName="/xl/theme/themeOverride11.xml" ContentType="application/vnd.openxmlformats-officedocument.themeOverride+xml"/>
  <Override PartName="/xl/charts/chart24.xml" ContentType="application/vnd.openxmlformats-officedocument.drawingml.chart+xml"/>
  <Override PartName="/xl/theme/themeOverride12.xml" ContentType="application/vnd.openxmlformats-officedocument.themeOverride+xml"/>
  <Override PartName="/xl/charts/chart25.xml" ContentType="application/vnd.openxmlformats-officedocument.drawingml.chart+xml"/>
  <Override PartName="/xl/charts/chart26.xml" ContentType="application/vnd.openxmlformats-officedocument.drawingml.chart+xml"/>
  <Override PartName="/xl/theme/themeOverride13.xml" ContentType="application/vnd.openxmlformats-officedocument.themeOverrid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theme/themeOverride14.xml" ContentType="application/vnd.openxmlformats-officedocument.themeOverride+xml"/>
  <Override PartName="/xl/charts/chart32.xml" ContentType="application/vnd.openxmlformats-officedocument.drawingml.chart+xml"/>
  <Override PartName="/xl/theme/themeOverride15.xml" ContentType="application/vnd.openxmlformats-officedocument.themeOverride+xml"/>
  <Override PartName="/xl/charts/chart33.xml" ContentType="application/vnd.openxmlformats-officedocument.drawingml.chart+xml"/>
  <Override PartName="/xl/theme/themeOverride16.xml" ContentType="application/vnd.openxmlformats-officedocument.themeOverride+xml"/>
  <Override PartName="/xl/charts/chart34.xml" ContentType="application/vnd.openxmlformats-officedocument.drawingml.chart+xml"/>
  <Override PartName="/xl/theme/themeOverride17.xml" ContentType="application/vnd.openxmlformats-officedocument.themeOverride+xml"/>
  <Override PartName="/xl/drawings/drawing12.xml" ContentType="application/vnd.openxmlformats-officedocument.drawing+xml"/>
  <Override PartName="/xl/slicers/slicer9.xml" ContentType="application/vnd.ms-excel.slicer+xml"/>
  <Override PartName="/xl/comments5.xml" ContentType="application/vnd.openxmlformats-officedocument.spreadsheetml.comments+xml"/>
  <Override PartName="/xl/drawings/drawing13.xml" ContentType="application/vnd.openxmlformats-officedocument.drawing+xml"/>
  <Override PartName="/xl/slicers/slicer10.xml" ContentType="application/vnd.ms-excel.slicer+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slicers/slicer11.xml" ContentType="application/vnd.ms-excel.slicer+xml"/>
  <Override PartName="/xl/drawings/drawing18.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tg-my.sharepoint.com/personal/danhhd_duytanrecycling_com/Documents/Work/Others/2024/36. Dự án Flakes to Preform Project/Gửi/"/>
    </mc:Choice>
  </mc:AlternateContent>
  <xr:revisionPtr revIDLastSave="2" documentId="8_{653CA47F-EA5A-4405-9319-B3D37682DA11}" xr6:coauthVersionLast="47" xr6:coauthVersionMax="47" xr10:uidLastSave="{4A112935-4D62-4CF1-8FAE-D4A2AFFDF33B}"/>
  <bookViews>
    <workbookView xWindow="-120" yWindow="-120" windowWidth="29040" windowHeight="15720" tabRatio="896" firstSheet="10" activeTab="10" xr2:uid="{D0130A2E-B49E-43EB-B307-311849FDBF36}"/>
  </bookViews>
  <sheets>
    <sheet name="Timeline" sheetId="8" state="hidden" r:id="rId1"/>
    <sheet name="&gt;&gt;PowerPoint" sheetId="58" state="hidden" r:id="rId2"/>
    <sheet name="Trình bày giả định" sheetId="56" state="hidden" r:id="rId3"/>
    <sheet name="W1-Trình bày" sheetId="55" state="hidden" r:id="rId4"/>
    <sheet name="USD.Tấn" sheetId="59" state="hidden" r:id="rId5"/>
    <sheet name="VND.Phôi" sheetId="60" state="hidden" r:id="rId6"/>
    <sheet name="Sheet3" sheetId="62" state="hidden" r:id="rId7"/>
    <sheet name="Sheet4" sheetId="63" state="hidden" r:id="rId8"/>
    <sheet name="Sheet2" sheetId="64" state="hidden" r:id="rId9"/>
    <sheet name="||" sheetId="57" state="hidden" r:id="rId10"/>
    <sheet name="Summary" sheetId="54" r:id="rId11"/>
    <sheet name="Cover Page" sheetId="38" r:id="rId12"/>
    <sheet name="W1" sheetId="1" r:id="rId13"/>
    <sheet name="W2" sheetId="7" r:id="rId14"/>
    <sheet name="W3" sheetId="39" r:id="rId15"/>
    <sheet name="W4" sheetId="34" state="hidden" r:id="rId16"/>
    <sheet name="W5" sheetId="31" r:id="rId17"/>
    <sheet name="W6 - Operating cost" sheetId="10" state="hidden" r:id="rId18"/>
    <sheet name="W6 - Preform cost" sheetId="11" state="hidden" r:id="rId19"/>
    <sheet name="W6 - Early Termination" sheetId="43" state="hidden" r:id="rId20"/>
    <sheet name="1st Quote" sheetId="46" state="hidden" r:id="rId21"/>
    <sheet name="2nd Quote" sheetId="50" state="hidden" r:id="rId22"/>
    <sheet name="So sánh" sheetId="48" state="hidden" r:id="rId23"/>
    <sheet name="&gt;A. Vũ" sheetId="20" state="hidden" r:id="rId24"/>
    <sheet name="CAPEX" sheetId="47" state="hidden" r:id="rId25"/>
    <sheet name="SX" sheetId="19" state="hidden" r:id="rId26"/>
    <sheet name="&gt;Chị Tâm" sheetId="3" state="hidden" r:id="rId27"/>
    <sheet name="Thông tin" sheetId="2" state="hidden" r:id="rId28"/>
    <sheet name="Sơ đồ" sheetId="4" state="hidden" r:id="rId29"/>
    <sheet name="Lãi vay" sheetId="41" r:id="rId30"/>
    <sheet name="Dylan-Note" sheetId="49" state="hidden" r:id="rId31"/>
    <sheet name="Milestone" sheetId="52" state="hidden" r:id="rId32"/>
    <sheet name="MD" sheetId="40" state="hidden" r:id="rId33"/>
    <sheet name="Sheet1" sheetId="42" state="hidden" r:id="rId34"/>
    <sheet name="Họp Hảo" sheetId="44" state="hidden" r:id="rId35"/>
  </sheets>
  <definedNames>
    <definedName name="_" localSheetId="16" hidden="1">#REF!</definedName>
    <definedName name="_" hidden="1">#REF!</definedName>
    <definedName name="__" hidden="1">#REF!</definedName>
    <definedName name="______a1" localSheetId="16" hidden="1">{"cashflow",#N/A,FALSE,"CASHFLOW "}</definedName>
    <definedName name="______a1" hidden="1">{"cashflow",#N/A,FALSE,"CASHFLOW "}</definedName>
    <definedName name="______a10" localSheetId="16" hidden="1">{"sales",#N/A,FALSE,"SALES"}</definedName>
    <definedName name="______a10" hidden="1">{"sales",#N/A,FALSE,"SALES"}</definedName>
    <definedName name="______a2" localSheetId="16" hidden="1">{"hilight1",#N/A,FALSE,"HILIGHT1"}</definedName>
    <definedName name="______a2" hidden="1">{"hilight1",#N/A,FALSE,"HILIGHT1"}</definedName>
    <definedName name="______a3" localSheetId="16" hidden="1">{"hilight2",#N/A,FALSE,"HILIGHT2"}</definedName>
    <definedName name="______a3" hidden="1">{"hilight2",#N/A,FALSE,"HILIGHT2"}</definedName>
    <definedName name="______a4" localSheetId="16" hidden="1">{"hilight3",#N/A,FALSE,"HILIGHT3"}</definedName>
    <definedName name="______a4" hidden="1">{"hilight3",#N/A,FALSE,"HILIGHT3"}</definedName>
    <definedName name="______a5" localSheetId="16" hidden="1">{"income",#N/A,FALSE,"INCOME"}</definedName>
    <definedName name="______a5" hidden="1">{"income",#N/A,FALSE,"INCOME"}</definedName>
    <definedName name="______a6" localSheetId="16" hidden="1">{"index",#N/A,FALSE,"INDEX"}</definedName>
    <definedName name="______a6" hidden="1">{"index",#N/A,FALSE,"INDEX"}</definedName>
    <definedName name="______a7" localSheetId="16" hidden="1">{"PRINT_EST",#N/A,FALSE,"ESTMON"}</definedName>
    <definedName name="______a7" hidden="1">{"PRINT_EST",#N/A,FALSE,"ESTMON"}</definedName>
    <definedName name="______a8" localSheetId="16" hidden="1">{"revsale",#N/A,FALSE,"REV-ยุพดี"}</definedName>
    <definedName name="______a8" hidden="1">{"revsale",#N/A,FALSE,"REV-ยุพดี"}</definedName>
    <definedName name="______a9" localSheetId="16" hidden="1">{"revable",#N/A,FALSE,"REVABLE"}</definedName>
    <definedName name="______a9" hidden="1">{"revable",#N/A,FALSE,"REVABLE"}</definedName>
    <definedName name="_____a1" localSheetId="16" hidden="1">{"cashflow",#N/A,FALSE,"CASHFLOW "}</definedName>
    <definedName name="_____a1" hidden="1">{"cashflow",#N/A,FALSE,"CASHFLOW "}</definedName>
    <definedName name="_____a10" localSheetId="16" hidden="1">{"sales",#N/A,FALSE,"SALES"}</definedName>
    <definedName name="_____a10" hidden="1">{"sales",#N/A,FALSE,"SALES"}</definedName>
    <definedName name="_____a2" localSheetId="16" hidden="1">{"hilight1",#N/A,FALSE,"HILIGHT1"}</definedName>
    <definedName name="_____a2" hidden="1">{"hilight1",#N/A,FALSE,"HILIGHT1"}</definedName>
    <definedName name="_____a3" localSheetId="16" hidden="1">{"hilight2",#N/A,FALSE,"HILIGHT2"}</definedName>
    <definedName name="_____a3" hidden="1">{"hilight2",#N/A,FALSE,"HILIGHT2"}</definedName>
    <definedName name="_____a4" localSheetId="16" hidden="1">{"hilight3",#N/A,FALSE,"HILIGHT3"}</definedName>
    <definedName name="_____a4" hidden="1">{"hilight3",#N/A,FALSE,"HILIGHT3"}</definedName>
    <definedName name="_____a5" localSheetId="16" hidden="1">{"income",#N/A,FALSE,"INCOME"}</definedName>
    <definedName name="_____a5" hidden="1">{"income",#N/A,FALSE,"INCOME"}</definedName>
    <definedName name="_____a6" localSheetId="16" hidden="1">{"index",#N/A,FALSE,"INDEX"}</definedName>
    <definedName name="_____a6" hidden="1">{"index",#N/A,FALSE,"INDEX"}</definedName>
    <definedName name="_____a7" localSheetId="16" hidden="1">{"PRINT_EST",#N/A,FALSE,"ESTMON"}</definedName>
    <definedName name="_____a7" hidden="1">{"PRINT_EST",#N/A,FALSE,"ESTMON"}</definedName>
    <definedName name="_____a8" localSheetId="16" hidden="1">{"revsale",#N/A,FALSE,"REV-ยุพดี"}</definedName>
    <definedName name="_____a8" hidden="1">{"revsale",#N/A,FALSE,"REV-ยุพดี"}</definedName>
    <definedName name="_____a9" localSheetId="16" hidden="1">{"revable",#N/A,FALSE,"REVABLE"}</definedName>
    <definedName name="_____a9" hidden="1">{"revable",#N/A,FALSE,"REVABLE"}</definedName>
    <definedName name="____a1" localSheetId="16" hidden="1">{"cashflow",#N/A,FALSE,"CASHFLOW "}</definedName>
    <definedName name="____a1" hidden="1">{"cashflow",#N/A,FALSE,"CASHFLOW "}</definedName>
    <definedName name="____a10" localSheetId="16" hidden="1">{"sales",#N/A,FALSE,"SALES"}</definedName>
    <definedName name="____a10" hidden="1">{"sales",#N/A,FALSE,"SALES"}</definedName>
    <definedName name="____a2" localSheetId="16" hidden="1">{"hilight1",#N/A,FALSE,"HILIGHT1"}</definedName>
    <definedName name="____a2" hidden="1">{"hilight1",#N/A,FALSE,"HILIGHT1"}</definedName>
    <definedName name="____a3" localSheetId="16" hidden="1">{"hilight2",#N/A,FALSE,"HILIGHT2"}</definedName>
    <definedName name="____a3" hidden="1">{"hilight2",#N/A,FALSE,"HILIGHT2"}</definedName>
    <definedName name="____a4" localSheetId="16" hidden="1">{"hilight3",#N/A,FALSE,"HILIGHT3"}</definedName>
    <definedName name="____a4" hidden="1">{"hilight3",#N/A,FALSE,"HILIGHT3"}</definedName>
    <definedName name="____a5" localSheetId="16" hidden="1">{"income",#N/A,FALSE,"INCOME"}</definedName>
    <definedName name="____a5" hidden="1">{"income",#N/A,FALSE,"INCOME"}</definedName>
    <definedName name="____a6" localSheetId="16" hidden="1">{"index",#N/A,FALSE,"INDEX"}</definedName>
    <definedName name="____a6" hidden="1">{"index",#N/A,FALSE,"INDEX"}</definedName>
    <definedName name="____a7" localSheetId="16" hidden="1">{"PRINT_EST",#N/A,FALSE,"ESTMON"}</definedName>
    <definedName name="____a7" hidden="1">{"PRINT_EST",#N/A,FALSE,"ESTMON"}</definedName>
    <definedName name="____a8" localSheetId="16" hidden="1">{"revsale",#N/A,FALSE,"REV-ยุพดี"}</definedName>
    <definedName name="____a8" hidden="1">{"revsale",#N/A,FALSE,"REV-ยุพดี"}</definedName>
    <definedName name="____a9" localSheetId="16" hidden="1">{"revable",#N/A,FALSE,"REVABLE"}</definedName>
    <definedName name="____a9" hidden="1">{"revable",#N/A,FALSE,"REVABLE"}</definedName>
    <definedName name="___a1" localSheetId="16" hidden="1">{"cashflow",#N/A,FALSE,"CASHFLOW "}</definedName>
    <definedName name="___a1" hidden="1">{"cashflow",#N/A,FALSE,"CASHFLOW "}</definedName>
    <definedName name="___a10" localSheetId="16" hidden="1">{"sales",#N/A,FALSE,"SALES"}</definedName>
    <definedName name="___a10" hidden="1">{"sales",#N/A,FALSE,"SALES"}</definedName>
    <definedName name="___a2" localSheetId="16" hidden="1">{"hilight1",#N/A,FALSE,"HILIGHT1"}</definedName>
    <definedName name="___a2" hidden="1">{"hilight1",#N/A,FALSE,"HILIGHT1"}</definedName>
    <definedName name="___a3" localSheetId="16" hidden="1">{"hilight2",#N/A,FALSE,"HILIGHT2"}</definedName>
    <definedName name="___a3" hidden="1">{"hilight2",#N/A,FALSE,"HILIGHT2"}</definedName>
    <definedName name="___a4" localSheetId="16" hidden="1">{"hilight3",#N/A,FALSE,"HILIGHT3"}</definedName>
    <definedName name="___a4" hidden="1">{"hilight3",#N/A,FALSE,"HILIGHT3"}</definedName>
    <definedName name="___a5" localSheetId="16" hidden="1">{"income",#N/A,FALSE,"INCOME"}</definedName>
    <definedName name="___a5" hidden="1">{"income",#N/A,FALSE,"INCOME"}</definedName>
    <definedName name="___a6" localSheetId="16" hidden="1">{"index",#N/A,FALSE,"INDEX"}</definedName>
    <definedName name="___a6" hidden="1">{"index",#N/A,FALSE,"INDEX"}</definedName>
    <definedName name="___a7" localSheetId="16" hidden="1">{"PRINT_EST",#N/A,FALSE,"ESTMON"}</definedName>
    <definedName name="___a7" hidden="1">{"PRINT_EST",#N/A,FALSE,"ESTMON"}</definedName>
    <definedName name="___a8" localSheetId="16" hidden="1">{"revsale",#N/A,FALSE,"REV-ยุพดี"}</definedName>
    <definedName name="___a8" hidden="1">{"revsale",#N/A,FALSE,"REV-ยุพดี"}</definedName>
    <definedName name="___a9" localSheetId="16" hidden="1">{"revable",#N/A,FALSE,"REVABLE"}</definedName>
    <definedName name="___a9" hidden="1">{"revable",#N/A,FALSE,"REVABLE"}</definedName>
    <definedName name="__a1" localSheetId="16" hidden="1">{"cashflow",#N/A,FALSE,"CASHFLOW "}</definedName>
    <definedName name="__a1" hidden="1">{"cashflow",#N/A,FALSE,"CASHFLOW "}</definedName>
    <definedName name="__a10" localSheetId="16" hidden="1">{"sales",#N/A,FALSE,"SALES"}</definedName>
    <definedName name="__a10" hidden="1">{"sales",#N/A,FALSE,"SALES"}</definedName>
    <definedName name="__a2" localSheetId="16" hidden="1">{"hilight1",#N/A,FALSE,"HILIGHT1"}</definedName>
    <definedName name="__a2" hidden="1">{"hilight1",#N/A,FALSE,"HILIGHT1"}</definedName>
    <definedName name="__a3" localSheetId="16" hidden="1">{"hilight2",#N/A,FALSE,"HILIGHT2"}</definedName>
    <definedName name="__a3" hidden="1">{"hilight2",#N/A,FALSE,"HILIGHT2"}</definedName>
    <definedName name="__a4" localSheetId="16" hidden="1">{"hilight3",#N/A,FALSE,"HILIGHT3"}</definedName>
    <definedName name="__a4" hidden="1">{"hilight3",#N/A,FALSE,"HILIGHT3"}</definedName>
    <definedName name="__a5" localSheetId="16" hidden="1">{"income",#N/A,FALSE,"INCOME"}</definedName>
    <definedName name="__a5" hidden="1">{"income",#N/A,FALSE,"INCOME"}</definedName>
    <definedName name="__a6" localSheetId="16" hidden="1">{"index",#N/A,FALSE,"INDEX"}</definedName>
    <definedName name="__a6" hidden="1">{"index",#N/A,FALSE,"INDEX"}</definedName>
    <definedName name="__a7" localSheetId="16" hidden="1">{"PRINT_EST",#N/A,FALSE,"ESTMON"}</definedName>
    <definedName name="__a7" hidden="1">{"PRINT_EST",#N/A,FALSE,"ESTMON"}</definedName>
    <definedName name="__a8" localSheetId="16" hidden="1">{"revsale",#N/A,FALSE,"REV-ยุพดี"}</definedName>
    <definedName name="__a8" hidden="1">{"revsale",#N/A,FALSE,"REV-ยุพดี"}</definedName>
    <definedName name="__a9" localSheetId="16" hidden="1">{"revable",#N/A,FALSE,"REVABLE"}</definedName>
    <definedName name="__a9" hidden="1">{"revable",#N/A,FALSE,"REVABLE"}</definedName>
    <definedName name="__FOH2006" localSheetId="16" hidden="1">{#N/A,#N/A,FALSE,"TL";#N/A,#N/A,FALSE,"KK";#N/A,#N/A,FALSE,"TS";#N/A,#N/A,FALSE,"KW";#N/A,#N/A,FALSE,"LP";#N/A,#N/A,FALSE,"DC"}</definedName>
    <definedName name="__FOH2006" hidden="1">{#N/A,#N/A,FALSE,"TL";#N/A,#N/A,FALSE,"KK";#N/A,#N/A,FALSE,"TS";#N/A,#N/A,FALSE,"KW";#N/A,#N/A,FALSE,"LP";#N/A,#N/A,FALSE,"DC"}</definedName>
    <definedName name="__IntlFixup" hidden="1">TRUE</definedName>
    <definedName name="__IntlFixupTable" hidden="1">#REF!</definedName>
    <definedName name="__KP300" localSheetId="16" hidden="1">{"level1",#N/A,FALSE,"1_LEV";"LEVEL1",#N/A,FALSE,"1_LEV"}</definedName>
    <definedName name="__KP300" hidden="1">{"level1",#N/A,FALSE,"1_LEV";"LEVEL1",#N/A,FALSE,"1_LEV"}</definedName>
    <definedName name="__xlfn.BAHTTEXT" hidden="1">#NAME?</definedName>
    <definedName name="_10F" hidden="1">#REF!</definedName>
    <definedName name="_11_0_0_F" hidden="1">#REF!</definedName>
    <definedName name="_12F" hidden="1">#REF!</definedName>
    <definedName name="_14F" hidden="1">#REF!</definedName>
    <definedName name="_15_0_0_F" hidden="1">#REF!</definedName>
    <definedName name="_15F" hidden="1">#REF!</definedName>
    <definedName name="_19_0_0_F" hidden="1">#REF!</definedName>
    <definedName name="_2_0_0_F" hidden="1">#REF!</definedName>
    <definedName name="_20_0_0_F" hidden="1">#REF!</definedName>
    <definedName name="_21_0_0_F" hidden="1">#REF!</definedName>
    <definedName name="_26_0_0_F" hidden="1">#REF!</definedName>
    <definedName name="_27_0_0_F" hidden="1">#REF!</definedName>
    <definedName name="_28_0_0_F" hidden="1">#REF!</definedName>
    <definedName name="_2F" hidden="1">#REF!</definedName>
    <definedName name="_3_0_0_F" hidden="1">#REF!</definedName>
    <definedName name="_300_0_0_F" hidden="1">#REF!</definedName>
    <definedName name="_301_0_0_F" hidden="1">#REF!</definedName>
    <definedName name="_36_0_0_F" hidden="1">#REF!</definedName>
    <definedName name="_37_0_0_F" hidden="1">#REF!</definedName>
    <definedName name="_4_0_0_F" hidden="1">#REF!</definedName>
    <definedName name="_4F" hidden="1">#REF!</definedName>
    <definedName name="_5_0_0_F" hidden="1">#REF!</definedName>
    <definedName name="_5F" hidden="1">#REF!</definedName>
    <definedName name="_6_0_0_F" hidden="1">#REF!</definedName>
    <definedName name="_6F" hidden="1">#REF!</definedName>
    <definedName name="_7_0_0_F" hidden="1">#REF!</definedName>
    <definedName name="_8_0_0_F" hidden="1">#REF!</definedName>
    <definedName name="_a1" localSheetId="16" hidden="1">{"cashflow",#N/A,FALSE,"CASHFLOW "}</definedName>
    <definedName name="_a1" hidden="1">{"cashflow",#N/A,FALSE,"CASHFLOW "}</definedName>
    <definedName name="_a10" localSheetId="16" hidden="1">{"sales",#N/A,FALSE,"SALES"}</definedName>
    <definedName name="_a10" hidden="1">{"sales",#N/A,FALSE,"SALES"}</definedName>
    <definedName name="_a2" localSheetId="16" hidden="1">{"hilight1",#N/A,FALSE,"HILIGHT1"}</definedName>
    <definedName name="_a2" hidden="1">{"hilight1",#N/A,FALSE,"HILIGHT1"}</definedName>
    <definedName name="_a3" localSheetId="16" hidden="1">{"hilight2",#N/A,FALSE,"HILIGHT2"}</definedName>
    <definedName name="_a3" hidden="1">{"hilight2",#N/A,FALSE,"HILIGHT2"}</definedName>
    <definedName name="_a4" localSheetId="16" hidden="1">{"hilight3",#N/A,FALSE,"HILIGHT3"}</definedName>
    <definedName name="_a4" hidden="1">{"hilight3",#N/A,FALSE,"HILIGHT3"}</definedName>
    <definedName name="_a5" localSheetId="16" hidden="1">{"income",#N/A,FALSE,"INCOME"}</definedName>
    <definedName name="_a5" hidden="1">{"income",#N/A,FALSE,"INCOME"}</definedName>
    <definedName name="_a6" localSheetId="16" hidden="1">{"index",#N/A,FALSE,"INDEX"}</definedName>
    <definedName name="_a6" hidden="1">{"index",#N/A,FALSE,"INDEX"}</definedName>
    <definedName name="_a7" localSheetId="16" hidden="1">{"PRINT_EST",#N/A,FALSE,"ESTMON"}</definedName>
    <definedName name="_a7" hidden="1">{"PRINT_EST",#N/A,FALSE,"ESTMON"}</definedName>
    <definedName name="_a8" localSheetId="16" hidden="1">{"revsale",#N/A,FALSE,"REV-ยุพดี"}</definedName>
    <definedName name="_a8" hidden="1">{"revsale",#N/A,FALSE,"REV-ยุพดี"}</definedName>
    <definedName name="_a9" localSheetId="16" hidden="1">{"revable",#N/A,FALSE,"REVABLE"}</definedName>
    <definedName name="_a9" hidden="1">{"revable",#N/A,FALSE,"REVABLE"}</definedName>
    <definedName name="_CD2" localSheetId="16" hidden="1">{"'Sheet1'!$L$16"}</definedName>
    <definedName name="_CD2" hidden="1">{"'Sheet1'!$L$16"}</definedName>
    <definedName name="_Fill" hidden="1">#REF!</definedName>
    <definedName name="_xlnm._FilterDatabase" localSheetId="12" hidden="1">'W1'!$C$39:$BJ$58</definedName>
    <definedName name="_xlnm._FilterDatabase" localSheetId="14" hidden="1">'W3'!$A$17:$AJ$487</definedName>
    <definedName name="_xlnm._FilterDatabase" localSheetId="16" hidden="1">#REF!</definedName>
    <definedName name="_xlnm._FilterDatabase" hidden="1">#REF!</definedName>
    <definedName name="_FOH2006" localSheetId="16" hidden="1">{#N/A,#N/A,FALSE,"TL";#N/A,#N/A,FALSE,"KK";#N/A,#N/A,FALSE,"TS";#N/A,#N/A,FALSE,"KW";#N/A,#N/A,FALSE,"LP";#N/A,#N/A,FALSE,"DC"}</definedName>
    <definedName name="_FOH2006" hidden="1">{#N/A,#N/A,FALSE,"TL";#N/A,#N/A,FALSE,"KK";#N/A,#N/A,FALSE,"TS";#N/A,#N/A,FALSE,"KW";#N/A,#N/A,FALSE,"LP";#N/A,#N/A,FALSE,"DC"}</definedName>
    <definedName name="_Goi8" localSheetId="16" hidden="1">{"'Sheet1'!$L$16"}</definedName>
    <definedName name="_Goi8" hidden="1">{"'Sheet1'!$L$16"}</definedName>
    <definedName name="_Key1" hidden="1">#REF!</definedName>
    <definedName name="_Key2" hidden="1">#REF!</definedName>
    <definedName name="_KP300" localSheetId="16" hidden="1">{"level1",#N/A,FALSE,"1_LEV";"LEVEL1",#N/A,FALSE,"1_LEV"}</definedName>
    <definedName name="_KP300" hidden="1">{"level1",#N/A,FALSE,"1_LEV";"LEVEL1",#N/A,FALSE,"1_LEV"}</definedName>
    <definedName name="_Order1" hidden="1">255</definedName>
    <definedName name="_Order2" hidden="1">255</definedName>
    <definedName name="_Parse_In" localSheetId="16" hidden="1">#REF!</definedName>
    <definedName name="_Parse_In" hidden="1">#REF!</definedName>
    <definedName name="_Parse_Out" hidden="1">#REF!</definedName>
    <definedName name="_Sort" localSheetId="16" hidden="1">#REF!</definedName>
    <definedName name="_Sort" hidden="1">#REF!</definedName>
    <definedName name="_tram" hidden="1">#REF!</definedName>
    <definedName name="_Z1" localSheetId="16" hidden="1">{"'ตัวอย่าง'!$A$1:$O$21"}</definedName>
    <definedName name="_Z1" hidden="1">{"'ตัวอย่าง'!$A$1:$O$21"}</definedName>
    <definedName name="AA.Report.Files" hidden="1">#REF!</definedName>
    <definedName name="AA.Reports.Available" hidden="1">#REF!</definedName>
    <definedName name="aaaaa" localSheetId="16" hidden="1">{"Profit",#N/A,FALSE,"448k";"Capital",#N/A,FALSE,"448k"}</definedName>
    <definedName name="aaaaa" hidden="1">{"Profit",#N/A,FALSE,"448k";"Capital",#N/A,FALSE,"448k"}</definedName>
    <definedName name="AccessOpt" hidden="1">"Yes"</definedName>
    <definedName name="aef" localSheetId="16" hidden="1">{"'ตัวอย่าง'!$A$1:$O$21"}</definedName>
    <definedName name="aef" hidden="1">{"'ตัวอย่าง'!$A$1:$O$21"}</definedName>
    <definedName name="afd" localSheetId="16" hidden="1">{"'ตัวอย่าง'!$A$1:$O$21"}</definedName>
    <definedName name="afd" hidden="1">{"'ตัวอย่าง'!$A$1:$O$21"}</definedName>
    <definedName name="ai" localSheetId="16" hidden="1">{"level1",#N/A,FALSE,"1_LEV";"LEVEL1",#N/A,FALSE,"1_LEV"}</definedName>
    <definedName name="ai" hidden="1">{"level1",#N/A,FALSE,"1_LEV";"LEVEL1",#N/A,FALSE,"1_LEV"}</definedName>
    <definedName name="anscount" hidden="1">2</definedName>
    <definedName name="AS" localSheetId="16" hidden="1">{#N/A,#N/A,FALSE,"4_TOTAL";#N/A,#N/A,FALSE,"3_2TOTAL";#N/A,#N/A,FALSE,"5_INCOME";#N/A,#N/A,FALSE,"2_2LEV";#N/A,#N/A,FALSE,"2_2LEVYTD";#N/A,#N/A,FALSE,"BALANCE";#N/A,#N/A,FALSE,"CASHFLOW";#N/A,#N/A,FALSE,"PRODUCT";#N/A,#N/A,FALSE,"SALES";#N/A,#N/A,FALSE,"AGING"}</definedName>
    <definedName name="AS" hidden="1">{#N/A,#N/A,FALSE,"4_TOTAL";#N/A,#N/A,FALSE,"3_2TOTAL";#N/A,#N/A,FALSE,"5_INCOME";#N/A,#N/A,FALSE,"2_2LEV";#N/A,#N/A,FALSE,"2_2LEVYTD";#N/A,#N/A,FALSE,"BALANCE";#N/A,#N/A,FALSE,"CASHFLOW";#N/A,#N/A,FALSE,"PRODUCT";#N/A,#N/A,FALSE,"SALES";#N/A,#N/A,FALSE,"AGING"}</definedName>
    <definedName name="AS2DocOpenMode" hidden="1">"AS2DocumentEdit"</definedName>
    <definedName name="asdf" hidden="1">#REF!</definedName>
    <definedName name="ass" localSheetId="16" hidden="1">{"revable",#N/A,FALSE,"REVABLE"}</definedName>
    <definedName name="ass" hidden="1">{"revable",#N/A,FALSE,"REVABLE"}</definedName>
    <definedName name="AUGFIX01" localSheetId="16" hidden="1">{"level1",#N/A,FALSE,"1_LEV";"LEVEL1",#N/A,FALSE,"1_LEV"}</definedName>
    <definedName name="AUGFIX01" hidden="1">{"level1",#N/A,FALSE,"1_LEV";"LEVEL1",#N/A,FALSE,"1_LEV"}</definedName>
    <definedName name="AUGFIX02" localSheetId="16" hidden="1">{"level1",#N/A,FALSE,"1_LEV";"LEVEL1",#N/A,FALSE,"1_LEV"}</definedName>
    <definedName name="AUGFIX02" hidden="1">{"level1",#N/A,FALSE,"1_LEV";"LEVEL1",#N/A,FALSE,"1_LEV"}</definedName>
    <definedName name="BBB" localSheetId="16" hidden="1">{#N/A,#N/A,FALSE,"SYSOC";#N/A,#N/A,FALSE,"RESU-GESTION";#N/A,#N/A,FALSE,"EVOL-MNA";#N/A,#N/A,FALSE,"VTAS-ANALI";#N/A,#N/A,FALSE,"ANALI-GSFIJOS";#N/A,#N/A,FALSE,"DETA-RUBROS";#N/A,#N/A,FALSE,"ANALI-CNF";#N/A,#N/A,FALSE,"BILAN";#N/A,#N/A,FALSE,"TAB_FIN";#N/A,#N/A,FALSE,"IND_ECO"}</definedName>
    <definedName name="BBB" hidden="1">{#N/A,#N/A,FALSE,"SYSOC";#N/A,#N/A,FALSE,"RESU-GESTION";#N/A,#N/A,FALSE,"EVOL-MNA";#N/A,#N/A,FALSE,"VTAS-ANALI";#N/A,#N/A,FALSE,"ANALI-GSFIJOS";#N/A,#N/A,FALSE,"DETA-RUBROS";#N/A,#N/A,FALSE,"ANALI-CNF";#N/A,#N/A,FALSE,"BILAN";#N/A,#N/A,FALSE,"TAB_FIN";#N/A,#N/A,FALSE,"IND_ECO"}</definedName>
    <definedName name="BO00043B7E1E324A3B816B38E3ACAE0671" hidden="1">#REF!</definedName>
    <definedName name="BO001D509B859B4E6D8B03981122F6CF9A" hidden="1">#REF!</definedName>
    <definedName name="BO00469B4A8FC24A3B870A9D7B502678F0" hidden="1">#REF!</definedName>
    <definedName name="BO00511179B958499598FEC41C5AC390A4" hidden="1">#REF!</definedName>
    <definedName name="BO005A577D92864FC8B40998831CDFE7A8" hidden="1">#REF!</definedName>
    <definedName name="BO005BDC81E98343A093AADEF94EB59FAF" hidden="1">#REF!</definedName>
    <definedName name="BO0072FE9EACD94DEDAA496B23B65E7D1C" hidden="1">#REF!</definedName>
    <definedName name="BO00812175877B44EE88DDEE95E65B5A27" hidden="1">#REF!</definedName>
    <definedName name="BO00A6737BAC0E4619AF80A481C30796C1" hidden="1">#REF!</definedName>
    <definedName name="BO00CD9D7A0C624F4BB2AF0F67622C7F91" hidden="1">#REF!</definedName>
    <definedName name="BO00D8F3CF7CD2475BB9B1385DA290D0F5" hidden="1">#REF!</definedName>
    <definedName name="BO0129892555A4411A8EC61716113918DD" hidden="1">#REF!</definedName>
    <definedName name="BO018E3CCFDE224CDDABC737A9A76A8FDA" hidden="1">#REF!</definedName>
    <definedName name="BO01D0E16CBD0C473996504B44510A2B25" hidden="1">#REF!</definedName>
    <definedName name="BO01EF9BC3509746939ED1C0E4F00BF055" hidden="1">#REF!</definedName>
    <definedName name="BO020F2E97F5CF403D8F93927170418F64" hidden="1">#REF!</definedName>
    <definedName name="BO02392633CA99433B88D46F2EF39F428A" hidden="1">#REF!</definedName>
    <definedName name="BO02516734C6DF4EF2B0A72A47B8AABEFB" hidden="1">#REF!</definedName>
    <definedName name="BO028E39D140FF49049FAF8BBBD288FBDC" hidden="1">#REF!</definedName>
    <definedName name="BO0298FD225F294931811B0F63E6435B0F" hidden="1">#REF!</definedName>
    <definedName name="BO02A5060651364F86A67E16B0D01E5044" hidden="1">#REF!</definedName>
    <definedName name="BO02A8FD3A8942468DBAD7F1EDD7F87346" hidden="1">#REF!</definedName>
    <definedName name="BO02B4A629B0A64CA08F02737274717F08" hidden="1">#REF!</definedName>
    <definedName name="BO02DC581C85D44A4389CC4C44151E1DB0" hidden="1">#REF!</definedName>
    <definedName name="BO0316956B2BAC45A481DC8002316172FC" hidden="1">#REF!</definedName>
    <definedName name="BO031CB95051AA419CB611A1C0F7545ED6" hidden="1">#REF!</definedName>
    <definedName name="BO0328F39573D7436EA381251DD7480737" hidden="1">#REF!</definedName>
    <definedName name="BO0329DF376872482BAF40387242076A6D" hidden="1">#REF!</definedName>
    <definedName name="BO034C1D37DF534343A97C0F61C184324C" hidden="1">#REF!</definedName>
    <definedName name="BO036A36663A234B36B1D4EE07A3B64966" hidden="1">#REF!</definedName>
    <definedName name="BO03B0651779BF413996A5DE334F47529E" hidden="1">#REF!</definedName>
    <definedName name="BO03D993E14C9345D9A09E5317112E649E" hidden="1">#REF!</definedName>
    <definedName name="BO03FF099F75314586A6835C388F1BF0E1" hidden="1">#REF!</definedName>
    <definedName name="BO0417ED1D7CBF4ED2B28EA719E997CA52" hidden="1">#REF!</definedName>
    <definedName name="BO0441DA88C7F74AE9BFADC1941F5CF686" hidden="1">#REF!</definedName>
    <definedName name="BO044F0637C2AD47F09DFC37A56C115C0E" hidden="1">#REF!</definedName>
    <definedName name="BO048A491E9D8F402587ED350C273C7635" hidden="1">#REF!</definedName>
    <definedName name="BO048C4D3FE93F49AA8198D2880A899608" hidden="1">#REF!</definedName>
    <definedName name="BO049368304C694928BF12E8C39A084E34" hidden="1">#REF!</definedName>
    <definedName name="BO0497D4BA7B1F46C88C265E498D165441" hidden="1">#REF!</definedName>
    <definedName name="BO049DD26879614F4D8D1A8B4DE85A5A00" hidden="1">#REF!</definedName>
    <definedName name="BO04B25781FA1341529AF5AB3CBE3AC2CB" hidden="1">#REF!</definedName>
    <definedName name="BO04BF788D29F64A1989788FA25E12E023" hidden="1">#REF!</definedName>
    <definedName name="BO051C1091726B452B8D655520FF5EE783" hidden="1">#REF!</definedName>
    <definedName name="BO053101CB6B5347D1A1EBDB90D6FB228A" hidden="1">#REF!</definedName>
    <definedName name="BO05419C07D7B6466394350974D9D4F877" hidden="1">#REF!</definedName>
    <definedName name="BO054ED8F6C4F44487ADB29B59982252CC" hidden="1">#REF!</definedName>
    <definedName name="BO055E5CFDB95646998EC626861A0C2B73" hidden="1">#REF!</definedName>
    <definedName name="BO05825FB84EB24E3B83FF5DCC93F10D81" hidden="1">#REF!</definedName>
    <definedName name="BO05995E7AB6704082ADAB4A0B58C5CEEF" hidden="1">#REF!</definedName>
    <definedName name="BO05A3F61282EC43B3B97A691A40F7C450" hidden="1">#REF!</definedName>
    <definedName name="BO05C2DB77C7B947E98528927DCA453F7F" hidden="1">#REF!</definedName>
    <definedName name="BO05CDD744762749858557A0B082E5E0CC" hidden="1">#REF!</definedName>
    <definedName name="BO060F8C52B3094EAC877EBE571B0DF8B1" hidden="1">#REF!</definedName>
    <definedName name="BO0628130A34F34472B8E9063AF8F9AFC3" hidden="1">#REF!</definedName>
    <definedName name="BO06444E01A6B34207B4CD327BA584CFFF" hidden="1">#REF!</definedName>
    <definedName name="BO065127342F5E49D488919F425C845667" hidden="1">#REF!</definedName>
    <definedName name="BO0661E126B4BF4E8EACCA3FBD6C2C87CF" hidden="1">#REF!</definedName>
    <definedName name="BO06760500AD0C4142A407DB3927CE2BAE" hidden="1">#REF!</definedName>
    <definedName name="BO06857A035FAF4289957CDE75EB967671" hidden="1">#REF!</definedName>
    <definedName name="BO069278A1412F47DE85C43EB68CAF717F" hidden="1">#REF!</definedName>
    <definedName name="BO06A1D57108984BD8BFF93A7198192A58" hidden="1">#REF!</definedName>
    <definedName name="BO06B55AE9F1974782A547E2592A91DC44" hidden="1">#REF!</definedName>
    <definedName name="BO06CDADE6119F4877A0512DB59C5C94BF" hidden="1">#REF!</definedName>
    <definedName name="BO06E32C35EADD426283277A6F4767C6B0" hidden="1">#REF!</definedName>
    <definedName name="BO06F7275DF23345599284D3C4A571E0B7" hidden="1">#REF!</definedName>
    <definedName name="BO0748F9E9364A44AAB45528629279E47E" hidden="1">#REF!</definedName>
    <definedName name="BO076D271E53024E82B0564BC6E6B8C52B" hidden="1">#REF!</definedName>
    <definedName name="BO07720AA381684C1982634DF097D5658D" hidden="1">#REF!</definedName>
    <definedName name="BO0789E5305658448CB66B462D6CE4F4BA" hidden="1">#REF!</definedName>
    <definedName name="BO07B5E13CAA4346C2B80A18CCB51064C0" hidden="1">#REF!</definedName>
    <definedName name="BO07BC23E784F941FAADD17157A1CB33AD" hidden="1">#REF!</definedName>
    <definedName name="BO07BEF03937C14F1F82EB8B092E03BDC0" hidden="1">#REF!</definedName>
    <definedName name="BO07CF77C24A4B44DDB08669A0C267D9E2" hidden="1">#REF!</definedName>
    <definedName name="BO080FC624DC7D4EC58A73B6445EFE83D5" hidden="1">#REF!</definedName>
    <definedName name="BO08108BE3901A43B4BB727284F0DE1350" hidden="1">#REF!</definedName>
    <definedName name="BO0813779BF7A441E4B829B7EE15E1F5B1" hidden="1">#REF!</definedName>
    <definedName name="BO082937E7E8384EE39F50885F11A99C90" hidden="1">#REF!</definedName>
    <definedName name="BO0880E86E8DAA4FBE98CCD8F4F1DAC7F6" hidden="1">#REF!</definedName>
    <definedName name="BO08C624A094B64DA8B640575212B5C126" hidden="1">#REF!</definedName>
    <definedName name="BO08D9E70F5D7D4899B7F098067EC1CF0D" hidden="1">#REF!</definedName>
    <definedName name="BO08DB01CDE2CD4C38AEBBE72539089923" hidden="1">#REF!</definedName>
    <definedName name="BO08E8A4D0D99A45F4AB50AB8CCC759E80" hidden="1">#REF!</definedName>
    <definedName name="BO08EF964A3F544A6A9831BD58A1BDB761" hidden="1">#REF!</definedName>
    <definedName name="BO094B22A2B81E4A909F1E33DDC80B47F0" hidden="1">#REF!</definedName>
    <definedName name="BO096A288CD2B241D3B6E5D99F7CC46080" hidden="1">#REF!</definedName>
    <definedName name="BO096CE2A90C4A41B5B366879C41DFCDAA" hidden="1">#REF!</definedName>
    <definedName name="BO097FA591C7F24B78A7B81D10C92CD657" hidden="1">#REF!</definedName>
    <definedName name="BO09858E7F51104BCE9A132E93A02FD9A5" hidden="1">#REF!</definedName>
    <definedName name="BO099F887F9C5F4068BA6B8F1084394257" hidden="1">#REF!</definedName>
    <definedName name="BO09B01FBE487D42169A0B01DC62FE7DDC" hidden="1">#REF!</definedName>
    <definedName name="BO09B1C52A1D8443609A270B3D7E126A13" hidden="1">#REF!</definedName>
    <definedName name="BO09C22B1D529145609DEC624CE7B07293" hidden="1">#REF!</definedName>
    <definedName name="BO09C3E790E8D9462BAE7754E47C08E4E9" hidden="1">#REF!</definedName>
    <definedName name="BO09F9926728774B699D17E2EB79FE2047" hidden="1">#REF!</definedName>
    <definedName name="BO09FB4DFBEE664BB5A9A0F935EDAE0910" hidden="1">#REF!</definedName>
    <definedName name="BO0A23B7D284D446FE9C1DD53288BD27DE" hidden="1">#REF!</definedName>
    <definedName name="BO0A692014A9F34BC5A0E9C318C9192144" hidden="1">#REF!</definedName>
    <definedName name="BO0A748E0D694E4A95BE1F938C385817CA" hidden="1">#REF!</definedName>
    <definedName name="BO0A7575E7F6E74826988292EB5B4093AE" hidden="1">#REF!</definedName>
    <definedName name="BO0A920544EB81456B85FAC9B67A3FF171" hidden="1">#REF!</definedName>
    <definedName name="BO0AA2FDCFA64447DF8256CCDAAF790D83" hidden="1">#REF!</definedName>
    <definedName name="BO0AB2BAACBF594870B22CA7819C14CABA" hidden="1">#REF!</definedName>
    <definedName name="BO0AB3771B806B45068A9904218B7C5228" hidden="1">#REF!</definedName>
    <definedName name="BO0ADF9A38BBB74FA484953A9E1DBDB5E6" hidden="1">#REF!</definedName>
    <definedName name="BO0AE560EC229F4837AAC8130E0FC6643F" hidden="1">#REF!</definedName>
    <definedName name="BO0B15AAC55B6F4E83950274F89A679C15" hidden="1">#REF!</definedName>
    <definedName name="BO0B4162F0BA614929BBA6B308050817A0" hidden="1">#REF!</definedName>
    <definedName name="BO0B417597CBF74CC483AEBD408A5D6361" hidden="1">#REF!</definedName>
    <definedName name="BO0BBF1A7A0878418D95B9CAE48927AE44" hidden="1">#REF!</definedName>
    <definedName name="BO0BD0AEE8541F48F3B1E2E1BA54D1700B" hidden="1">#REF!</definedName>
    <definedName name="BO0BE3A585969F49B1B1C585B4CB0CDC8D" hidden="1">#REF!</definedName>
    <definedName name="BO0BE95B3C4C274F49B67AA10EF360BE54" hidden="1">#REF!</definedName>
    <definedName name="BO0C00665F68114FC08E6F90C337B79243" hidden="1">#REF!</definedName>
    <definedName name="BO0C0A2392D627480DAAA517D2036A1F89" hidden="1">#REF!</definedName>
    <definedName name="BO0C1588B296D24080A5CF6ADCD90CC710" hidden="1">#REF!</definedName>
    <definedName name="BO0C17E817C2D144F2834C6BD18FADD8FA" hidden="1">#REF!</definedName>
    <definedName name="BO0C38F2CF945940E5A5FE470897C4E1BF" hidden="1">#REF!</definedName>
    <definedName name="BO0C5AC168B74E4DC5B44FC5C62A5781B6" hidden="1">#REF!</definedName>
    <definedName name="BO0C6E3F00004541F98642D415C462327D" hidden="1">#REF!</definedName>
    <definedName name="BO0C6EB03FCF5943CFBD625011881D07ED" hidden="1">#REF!</definedName>
    <definedName name="BO0C7282636F7C4F2887993571F995D137" hidden="1">#REF!</definedName>
    <definedName name="BO0C8471AFC6804FFFA3591B15EACBD181" hidden="1">#REF!</definedName>
    <definedName name="BO0C8517565CE449748D03306C29DCE056" hidden="1">#REF!</definedName>
    <definedName name="BO0CD122B513B74229B1D51F8E728EC17C" hidden="1">#REF!</definedName>
    <definedName name="BO0D12A207895945AF91F604B363C11B8D" hidden="1">#REF!</definedName>
    <definedName name="BO0D2433943B3E48368AB07223E9910CAE" hidden="1">#REF!</definedName>
    <definedName name="BO0D433F8DB1E648C5BE62989780E9E6E7" hidden="1">#REF!</definedName>
    <definedName name="BO0D8012E44B8345678130C08C96324DA3" hidden="1">#REF!</definedName>
    <definedName name="BO0D8BA2F600A945BF86F3792D70670A12" hidden="1">#REF!</definedName>
    <definedName name="BO0D95BE2323944543B198A1E5AD9E727B" hidden="1">#REF!</definedName>
    <definedName name="BO0DBD8E3011484F65BB422F97E0DD5E0F" hidden="1">#REF!</definedName>
    <definedName name="BO0DCC56FC632247BBB9075437D1DA9F49" hidden="1">#REF!</definedName>
    <definedName name="BO0DE5B032BD554D358472765883129529" hidden="1">#REF!</definedName>
    <definedName name="BO0E0DCCA8662A4B7D9624048C956E2349" hidden="1">#REF!</definedName>
    <definedName name="BO0E1E2F80FC8D4C0DB3564683D16EEFC1" hidden="1">#REF!</definedName>
    <definedName name="BO0E3744B5B95B4593842CB858CD9C693E" hidden="1">#REF!</definedName>
    <definedName name="BO0E92C76E22454378A2ADA4C84B066AE2" hidden="1">#REF!</definedName>
    <definedName name="BO0ED883B059E145E7AD618EAA4D4C0021" hidden="1">#REF!</definedName>
    <definedName name="BO0EFE864F0335421B9CA21E51583EA657" hidden="1">#REF!</definedName>
    <definedName name="BO0F2F1527902543118B3B0891D0B4342A" hidden="1">#REF!</definedName>
    <definedName name="BO0F40139F378C4754978E7B648F5EF76C" hidden="1">#REF!</definedName>
    <definedName name="BO0F4D33F674534ACBAEA5A52A9D5B3732" hidden="1">#REF!</definedName>
    <definedName name="BO0F5F084DF9434109A1D0148673E339CE" hidden="1">#REF!</definedName>
    <definedName name="BO0F607125CD504928928E6D4416EEEFC4" hidden="1">#REF!</definedName>
    <definedName name="BO0F8ED4536B0445B4946298F4B61EE3C4" hidden="1">#REF!</definedName>
    <definedName name="BO0FA8E789E3794953BF206F3E6698D7B0" hidden="1">#REF!</definedName>
    <definedName name="BO0FAA206141644A4A9CC2F711A9169654" hidden="1">#REF!</definedName>
    <definedName name="BO0FE7F6805CD74E4EA2B3D39BD3AF18E3" hidden="1">#REF!</definedName>
    <definedName name="BO0FF82BB103FB4B9A882AD5330EAE4FC6" hidden="1">#REF!</definedName>
    <definedName name="BO100DAFF26E56419D9A8CFC5AE2565CB4" hidden="1">#REF!</definedName>
    <definedName name="BO1011EFDB7313475AB25630C77E2CD7FB" hidden="1">#REF!</definedName>
    <definedName name="BO101EDBA5B09D4FBEA5C83431A243009A" hidden="1">#REF!</definedName>
    <definedName name="BO1026C64ECF28460A8F1662BA42D1D66F" hidden="1">#REF!</definedName>
    <definedName name="BO1037E116A07A44E8BF4CCE2C73F3599D" hidden="1">#REF!</definedName>
    <definedName name="BO103B44D247244130906D01A5B85452F0" hidden="1">#REF!</definedName>
    <definedName name="BO10494918D7FB4CDC81288D2F49DA6940" hidden="1">#REF!</definedName>
    <definedName name="BO104E67F80A4845CEBB2B25939F001D94" hidden="1">#REF!</definedName>
    <definedName name="BO107CF8CCC73047BAA48A0F3417125FB3" hidden="1">#REF!</definedName>
    <definedName name="BO10CFBC7FAF1B442DBB6CD191B6E80A4F" hidden="1">#REF!</definedName>
    <definedName name="BO10F37521359A421C8066E3BC8A799CCA" hidden="1">#REF!</definedName>
    <definedName name="BO10FD9B82E935477A99C13BA68F0F0892" hidden="1">#REF!</definedName>
    <definedName name="BO11157839ABA24ED0B1CFAA63ED39C8AE" hidden="1">#REF!</definedName>
    <definedName name="BO113AADB3EE164AB287BD823572C08C85" hidden="1">#REF!</definedName>
    <definedName name="BO113DBA7EFF8042ED8AB3ECF88DF64EDF" hidden="1">#REF!</definedName>
    <definedName name="BO113E1DCC2AFC49139CF1B61A6B72D8D0" hidden="1">#REF!</definedName>
    <definedName name="BO115150121C404B92B8292215FD47A676" hidden="1">#REF!</definedName>
    <definedName name="BO115FA841010345EA87622617C00ED59F" hidden="1">#REF!</definedName>
    <definedName name="BO115FD69D0BB94E1398EBFC921472CD65" hidden="1">#REF!</definedName>
    <definedName name="BO1177CD42210745D08166DB6025B4FF48" hidden="1">#REF!</definedName>
    <definedName name="BO1195F61C7239451DBF66E2469B3C5F36" hidden="1">#REF!</definedName>
    <definedName name="BO11D45D2A380E4753A698027552BE513C" hidden="1">#REF!</definedName>
    <definedName name="BO11EAB705D2034743837BC0B8152BBB41" hidden="1">#REF!</definedName>
    <definedName name="BO121210BE9D85473E8E940B3B7BB1F400" hidden="1">#REF!</definedName>
    <definedName name="BO1247719AFAA8494CB660516F8BCEC32F" hidden="1">#REF!</definedName>
    <definedName name="BO127F6BE867F948EF815573ED75221EA1" hidden="1">#REF!</definedName>
    <definedName name="BO128DA76DA2644090B145C6D45306439F" hidden="1">#REF!</definedName>
    <definedName name="BO12A467DD3B954167AD2B4FF98B2FCDC7" hidden="1">#REF!</definedName>
    <definedName name="BO12C40EA206EF41DEA0E055BF665F9DCC" hidden="1">#REF!</definedName>
    <definedName name="BO12DC5938A45A4514A9A3F1A5168F3DED" hidden="1">#REF!</definedName>
    <definedName name="BO12EA6B9B0705428C95E35AC2181BA78D" hidden="1">#REF!</definedName>
    <definedName name="BO12F9F287D7A04850829E8211565B6932" hidden="1">#REF!</definedName>
    <definedName name="BO1327AE4521634660B2EA04CBE197447B" hidden="1">#REF!</definedName>
    <definedName name="BO132943BF05E04514A93936E60D34EDC6" hidden="1">#REF!</definedName>
    <definedName name="BO13509C2E07C648D7ACC69CCC771BF5CF" hidden="1">#REF!</definedName>
    <definedName name="BO13599CB01A8D47B4B378E70E8D7C41BC" hidden="1">#REF!</definedName>
    <definedName name="BO13601DDCE16947E4BBE8CFA87C2969F9" hidden="1">#REF!</definedName>
    <definedName name="BO1378F1D0A4EC4F5C83A1A4FDFA8578E9" hidden="1">#REF!</definedName>
    <definedName name="BO13AA8629806448649C43B362638EC5D5" hidden="1">#REF!</definedName>
    <definedName name="BO1429D896D9EB44B1BB7DB6A2DCCFF7AF" hidden="1">#REF!</definedName>
    <definedName name="BO142B466C524B45059DA17FB555951F6C" hidden="1">#REF!</definedName>
    <definedName name="BO1478593DE5BF432496448798888CD526" hidden="1">#REF!</definedName>
    <definedName name="BO147AF726DF344222A289DB3D24063E1C" hidden="1">#REF!</definedName>
    <definedName name="BO1488627F89A5401EA8339050A5CD2FC3" hidden="1">#REF!</definedName>
    <definedName name="BO14A602C0C40349EBBDF7570C69069E69" hidden="1">#REF!</definedName>
    <definedName name="BO14C3044CB93D4F5C9AED3ABC0CD1704D" hidden="1">#REF!</definedName>
    <definedName name="BO14DB5AB40E69462D90B5A15B8FE2BA3C" hidden="1">#REF!</definedName>
    <definedName name="BO14DD6ABB03004D7CACDDFD4CF6783330" hidden="1">#REF!</definedName>
    <definedName name="BO150F2145D9F048989F095910F6DB863A" hidden="1">#REF!</definedName>
    <definedName name="BO152D3E36CF9A407C85522B9E34DE1E18" hidden="1">#REF!</definedName>
    <definedName name="BO153483A588284650A7BD009046AA2A34" hidden="1">#REF!</definedName>
    <definedName name="BO158544AA7C2642BE9E99B8FEC83AE723" hidden="1">#REF!</definedName>
    <definedName name="BO15C144F4B3E0469891DC697BD9C1532A" hidden="1">#REF!</definedName>
    <definedName name="BO15EDE4B451AD44888135FEEE3E0298D5" hidden="1">#REF!</definedName>
    <definedName name="BO15F32B9C3C6B413C8055C2621DDF9142" hidden="1">#REF!</definedName>
    <definedName name="BO1623BAFCAF594E84A7809584A5470354" hidden="1">#REF!</definedName>
    <definedName name="BO16BAEA0CA1FE4C08A4AB96BAE8EA3C4D" hidden="1">#REF!</definedName>
    <definedName name="BO16BEC480B13743C7B4D19D3239087E0A" hidden="1">#REF!</definedName>
    <definedName name="BO171128F9C4FC4C4891D9BA50B799FCE6" hidden="1">#REF!</definedName>
    <definedName name="BO174E8E33D1F3487195DAB1253FBC4A1A" hidden="1">#REF!</definedName>
    <definedName name="BO177B0CF65E3645D0BBE680158748C808" hidden="1">#REF!</definedName>
    <definedName name="BO17BF6E1ED3D74D5C891613E72B07CFBB" hidden="1">#REF!</definedName>
    <definedName name="BO17C622E24BA8475B9EEF613B3144940E" hidden="1">#REF!</definedName>
    <definedName name="BO17EDADCCB1F2469B880B4636F8708393" hidden="1">#REF!</definedName>
    <definedName name="BO17EE338A98D9485985C87A805C6D247A" hidden="1">#REF!</definedName>
    <definedName name="BO180D5AC456C54B1AA485F04675F631C7" hidden="1">#REF!</definedName>
    <definedName name="BO18286B73E6C94321BA98CC7D3C230477" hidden="1">#REF!</definedName>
    <definedName name="BO1841E0F7D2C548279375AB6B11931155" hidden="1">#REF!</definedName>
    <definedName name="BO1860AE00FE214A399CE58B8709759EC4" hidden="1">#REF!</definedName>
    <definedName name="BO186B93828BB04A65A458AA35FB43BF82" hidden="1">#REF!</definedName>
    <definedName name="BO189425889FCB441882A0ACDE25BC335F" hidden="1">#REF!</definedName>
    <definedName name="BO18B8EA73DA0243A7A08A02D2737471FB" hidden="1">#REF!</definedName>
    <definedName name="BO18D6B184C7EB4992AA27ABFE268A664B" hidden="1">#REF!</definedName>
    <definedName name="BO18FD27173E114434BAF0E07DADAC899D" hidden="1">#REF!</definedName>
    <definedName name="BO18FF1F4F75384C64A29B08F84D535D5D" hidden="1">#REF!</definedName>
    <definedName name="BO1901F05E215441F4B85A362B44AB1606" hidden="1">#REF!</definedName>
    <definedName name="BO19031D55D27F49D9A2A13E00425DECD2" hidden="1">#REF!</definedName>
    <definedName name="BO19032ED5DCCA4E539567A43957CF8F6D" hidden="1">#REF!</definedName>
    <definedName name="BO190E33B43B6B4814BED567F6F94D0F8A" hidden="1">#REF!</definedName>
    <definedName name="BO191EB76E52D341518882C76B1B666C25" hidden="1">#REF!</definedName>
    <definedName name="BO19271774A13B4E309F1D197D8074CC60" hidden="1">#REF!</definedName>
    <definedName name="BO1948DAE2ECF640E1AB72B496B8CC297B" hidden="1">#REF!</definedName>
    <definedName name="BO19541F74D54F4C42844BF088836BCFF7" hidden="1">#REF!</definedName>
    <definedName name="BO195858CCF4FE4B8BB30D59A947338D91" hidden="1">#REF!</definedName>
    <definedName name="BO1961457D86D84BBA95FA88A8DF50B156" hidden="1">#REF!</definedName>
    <definedName name="BO196AD46038C94804B4B05CA9A5E476C0" hidden="1">#REF!</definedName>
    <definedName name="BO197553773BDA4D21AFEC976B776A0563" hidden="1">#REF!</definedName>
    <definedName name="BO197AE668082B4509A27DC19CDF4FE657" hidden="1">#REF!</definedName>
    <definedName name="BO198A513E10804472981802D3B027DECD" hidden="1">#REF!</definedName>
    <definedName name="BO1996EE9E65EB44D2A94B65EA7FA4719A" hidden="1">#REF!</definedName>
    <definedName name="BO19AC5E7FAAA44074AAE72C6AE25E9BCD" hidden="1">#REF!</definedName>
    <definedName name="BO1A2406B3F537422AAD62498E0B9D9268" hidden="1">#REF!</definedName>
    <definedName name="BO1A6C5B1CAE1345999D9DFDEED0721750" hidden="1">#REF!</definedName>
    <definedName name="BO1ADA73E3E9D246E7A2989225A110C045" hidden="1">#REF!</definedName>
    <definedName name="BO1AE9E3C4A71942E4916D9548584CBF6D" hidden="1">#REF!</definedName>
    <definedName name="BO1AEEEEBA4DB94394924EA5BB23DB97CD" hidden="1">#REF!</definedName>
    <definedName name="BO1B0C1F3412774AAD82B1A0048F43394C" hidden="1">#REF!</definedName>
    <definedName name="BO1B5944B18CAE4F4EA64888896EA98CE3" hidden="1">#REF!</definedName>
    <definedName name="BO1B6A254ADDFE4E2BB4495FF2B8DBC33D" hidden="1">#REF!</definedName>
    <definedName name="BO1B6D4533806140F4BC15106CD0280204" hidden="1">#REF!</definedName>
    <definedName name="BO1B85A883F95C49CEB98C6DF26555C60B" hidden="1">#REF!</definedName>
    <definedName name="BO1B88135960FA42718BA4F85F97379171" hidden="1">#REF!</definedName>
    <definedName name="BO1BA0F85FEE9946789FB634B8E9D9DBBB" hidden="1">#REF!</definedName>
    <definedName name="BO1BB6877A87E34858B9490BC9C17E86A9" hidden="1">#REF!</definedName>
    <definedName name="BO1BD01FF0E4524022A25C824C6E59111D" hidden="1">#REF!</definedName>
    <definedName name="BO1BD3FB86C9A0455BB37599C94BB564CE" hidden="1">#REF!</definedName>
    <definedName name="BO1BD7F6ACD4384F4B9F3447154798A6E4" hidden="1">#REF!</definedName>
    <definedName name="BO1BF9E66E763B4EB98D25AC0291A05922" hidden="1">#REF!</definedName>
    <definedName name="BO1BFBB0B2A4FD488786350A7D065100AB" hidden="1">#REF!</definedName>
    <definedName name="BO1C212F7E93FD425EB8C7E403A359ADC4" hidden="1">#REF!</definedName>
    <definedName name="BO1C221C7E133F46F290B6C8355CE46EEB" hidden="1">#REF!</definedName>
    <definedName name="BO1C36BC29610C42C4B8952DC4538EE635" hidden="1">#REF!</definedName>
    <definedName name="BO1C5C8D2C30914762A13EA7F12F743B68" hidden="1">#REF!</definedName>
    <definedName name="BO1C971F33474941669EB07DD6AEBF0DED" hidden="1">#REF!</definedName>
    <definedName name="BO1C9C013EB3684B2482400A3F3678BCBC" hidden="1">#REF!</definedName>
    <definedName name="BO1CDFABE9376F4369B49FB2A91466507B" hidden="1">#REF!</definedName>
    <definedName name="BO1CE38C2DEBA34856B512C24EE3ADC823" hidden="1">#REF!</definedName>
    <definedName name="BO1CF581918036492BA441CBB8D16F1A47" hidden="1">#REF!</definedName>
    <definedName name="BO1D05B246E26B4B8C8A2B36D4400529E2" hidden="1">#REF!</definedName>
    <definedName name="BO1D4294C1EA4C4BAEBCA94586D74D1DC5" hidden="1">#REF!</definedName>
    <definedName name="BO1D4A365C386E4B4EA630D6FCE844C385" hidden="1">#REF!</definedName>
    <definedName name="BO1D6DD3B04A7849DEB77D645CDFFD2B77" hidden="1">#REF!</definedName>
    <definedName name="BO1D951DB00F204B15B36EDAB20E703593" hidden="1">#REF!</definedName>
    <definedName name="BO1DB8A055D05744F090E605B1BB368519" hidden="1">#REF!</definedName>
    <definedName name="BO1DC1363A774A4136B6D67FACEDEFA16E" hidden="1">#REF!</definedName>
    <definedName name="BO1DC1739350EF409D823B9B266AB509D2" hidden="1">#REF!</definedName>
    <definedName name="BO1DD62ED34D4A4EB2A2EF53C6A29AB304" hidden="1">#REF!</definedName>
    <definedName name="BO1DE0C534720C457AADD6950A7451EF52" hidden="1">#REF!</definedName>
    <definedName name="BO1E2194D8CDFB4D9BA7F5D75EC1B7BF1B" hidden="1">#REF!</definedName>
    <definedName name="BO1E280BFD04604DE0915A57BBF4DA734B" hidden="1">#REF!</definedName>
    <definedName name="BO1E66013F35AB46B4BB7BA3843995F77B" hidden="1">#REF!</definedName>
    <definedName name="BO1E8D0549E90A410B9A6343B381B9A6B7" hidden="1">#REF!</definedName>
    <definedName name="BO1EEB43E5768B490D93158CAC36C32735" hidden="1">#REF!</definedName>
    <definedName name="BO1F1DA32087A64A21B113D4CC5083B6F1" hidden="1">#REF!</definedName>
    <definedName name="BO1F1F0AC333B54AB8AA0A2B6A21DD90F9" hidden="1">#REF!</definedName>
    <definedName name="BO1F2247B4D19F44989217F8B7B69B91A2" hidden="1">#REF!</definedName>
    <definedName name="BO1F2F2D39B9134E14BF6909B867BD7AF6" hidden="1">#REF!</definedName>
    <definedName name="BO1F82DEF7BC6F4ABA8238DDF74DBBDCFA" hidden="1">#REF!</definedName>
    <definedName name="BO1F89B89382C44E3E9EA1286F9B7631AA" hidden="1">#REF!</definedName>
    <definedName name="BO1F8F14A650D04420837B2B50639E20F4" hidden="1">#REF!</definedName>
    <definedName name="BO1FC573480CA240178FF48E2670B7A4A0" hidden="1">#REF!</definedName>
    <definedName name="BO1FCF13EA22DA4A34A96BB43C0482914C" hidden="1">#REF!</definedName>
    <definedName name="BO2000FE749D724E9FA707A10923AA63BA" hidden="1">#REF!</definedName>
    <definedName name="BO20321A83463342B6BE9EED47341BE910" hidden="1">#REF!</definedName>
    <definedName name="BO2034D10499B544CB9B0F74995F6888FC" hidden="1">#REF!</definedName>
    <definedName name="BO203FF1C3A1E142D1B63E1B44172413DA" hidden="1">#REF!</definedName>
    <definedName name="BO204642FE513F4864BD957482DEE68B8F" hidden="1">#REF!</definedName>
    <definedName name="BO204FF4941138448AB83E89CC50327F00" hidden="1">#REF!</definedName>
    <definedName name="BO2050121A0DF142E7ACBF0C2149DF60DB" hidden="1">#REF!</definedName>
    <definedName name="BO206329EB267149C4A8AA8B5A10CA0B23" hidden="1">#REF!</definedName>
    <definedName name="BO20B1EF585C2845948F50CE07BBB23873" hidden="1">#REF!</definedName>
    <definedName name="BO20D1E453DC204AA7855E147F78DD6AAD" hidden="1">#REF!</definedName>
    <definedName name="BO212DD771873C47AAA57B60EB6B9F57BD" hidden="1">#REF!</definedName>
    <definedName name="BO214488B37F2C49C698D6B5AB57289540" hidden="1">#REF!</definedName>
    <definedName name="BO214D132833814397B2BD1FE796DC5190" hidden="1">#REF!</definedName>
    <definedName name="BO215053EE872749AEBA9B00A1BB1FFEDA" hidden="1">#REF!</definedName>
    <definedName name="BO21545020FCFF4D56B98295C96A8B077E" hidden="1">#REF!</definedName>
    <definedName name="BO217988AF085C4BACAAF426DE9B872531" hidden="1">#REF!</definedName>
    <definedName name="BO2189DB829D7F4206905850992E33E0A4" hidden="1">#REF!</definedName>
    <definedName name="BO218F81DAEFAD49AF9B3A72E321755754" hidden="1">#REF!</definedName>
    <definedName name="BO21B7D6B787174BE2B8F6B01A9D6AA5FE" hidden="1">#REF!</definedName>
    <definedName name="BO21C4FB5FE3604329AEA394B58537129B" hidden="1">#REF!</definedName>
    <definedName name="BO21D0E81725D8466AA71608F53692D790" hidden="1">#REF!</definedName>
    <definedName name="BO21D7421808CD43AEB5C11E05C94292F9" hidden="1">#REF!</definedName>
    <definedName name="BO2205B08A30A4409FA799FD8E9BEFE75F" hidden="1">#REF!</definedName>
    <definedName name="BO220D7DC8FBCC46DB8AE26ED60EB83250" hidden="1">#REF!</definedName>
    <definedName name="BO225AD737FABD40FEB1BD400F18DAFD79" hidden="1">#REF!</definedName>
    <definedName name="BO22610F6E625A439A8F25394A176010A4" hidden="1">#REF!</definedName>
    <definedName name="BO22888E30CEE943998FCB14107ADFE414" hidden="1">#REF!</definedName>
    <definedName name="BO228F47AF9DF4454598ED125BC46429B3" hidden="1">#REF!</definedName>
    <definedName name="BO22916AF3B18045F194E6B4C88878CC89" hidden="1">#REF!</definedName>
    <definedName name="BO2293E5DE2C1E4AF389A9F0A14D86F5AF" hidden="1">#REF!</definedName>
    <definedName name="BO22A1A8DA83ED4E61AB9D4458E8BFBF5E" hidden="1">#REF!</definedName>
    <definedName name="BO22C69EDF24274F8C8A799D028C666604" hidden="1">#REF!</definedName>
    <definedName name="BO22D3C349283B473E826A3190CEF9563F" hidden="1">#REF!</definedName>
    <definedName name="BO22DAEE4154BE4F90AEB9FD073AD52242" hidden="1">#REF!</definedName>
    <definedName name="BO23012F6BDC194152B0763334AA8DE09A" hidden="1">#REF!</definedName>
    <definedName name="BO23209D5E42F647BC859A30AF7205B1EB" hidden="1">#REF!</definedName>
    <definedName name="BO232A1F5D59654CA6A0C19E0D0B1835E8" hidden="1">#REF!</definedName>
    <definedName name="BO238D5E71A2E1462CB8F96F7465F66260" hidden="1">#REF!</definedName>
    <definedName name="BO239512C7B5004432BAAF1A7F1FC243C5" hidden="1">#REF!</definedName>
    <definedName name="BO23AD48D3F0FF4E00B57ABF30917F461A" hidden="1">#REF!</definedName>
    <definedName name="BO23C11F2418AF424A9FB7F13AE8573CB8" hidden="1">#REF!</definedName>
    <definedName name="BO23C6AAE56A2449618B0EB245E68264AA" hidden="1">#REF!</definedName>
    <definedName name="BO23C787C3A9AF4D63ADA1DC818379D5A3" hidden="1">#REF!</definedName>
    <definedName name="BO23F1CFE4BC1D46BEB7ED2DB6E28AB9F7" hidden="1">#REF!</definedName>
    <definedName name="BO245314F5F48D49ECB9E2294C5FD21EF4" hidden="1">#REF!</definedName>
    <definedName name="BO246E872D11F54CBDA9CAAE7F3CEE8A3B" hidden="1">#REF!</definedName>
    <definedName name="BO248CF0663C3845EA91C27C65CD94A27B" hidden="1">#REF!</definedName>
    <definedName name="BO248FCFD187D14607903BF0499FC1EB08" hidden="1">#REF!</definedName>
    <definedName name="BO2491BAC9A38342598DD19C9D4DB0A34F" hidden="1">#REF!</definedName>
    <definedName name="BO2495A54824434CB189951F5549DEB370" hidden="1">#REF!</definedName>
    <definedName name="BO24A8918ECB1C4B1EAAC4F1A0663C1145" hidden="1">#REF!</definedName>
    <definedName name="BO24BA25EDB1A44A8E8DBB72F1D4D29577" hidden="1">#REF!</definedName>
    <definedName name="BO24E609E1B65A4E6D90B359EFB6863E2A" hidden="1">#REF!</definedName>
    <definedName name="BO2519A3AFD9904F0EA701766B92D044A5" hidden="1">#REF!</definedName>
    <definedName name="BO251EB7BFC4E14C0681BE2DCEEAD845E7" hidden="1">#REF!</definedName>
    <definedName name="BO252C3CBD29A243C0AEDAC1F87AD31F53" hidden="1">#REF!</definedName>
    <definedName name="BO253ACAECC53145009F3843BD2D2D919F" hidden="1">#REF!</definedName>
    <definedName name="BO25534CD9966549BBBEF5257F84D5DBE7" hidden="1">#REF!</definedName>
    <definedName name="BO258A9ECB60464A8388B0908E365683DA" hidden="1">#REF!</definedName>
    <definedName name="BO25972B76844C4D6090FBC7E7F45106D6" hidden="1">#REF!</definedName>
    <definedName name="BO25CC43297124428EB72F08A9A2E14CDC" hidden="1">#REF!</definedName>
    <definedName name="BO25CE6931E52947EC9FF070514959E42A" hidden="1">#REF!</definedName>
    <definedName name="BO25E9553CF8974A33892EB1745060FD61" hidden="1">#REF!</definedName>
    <definedName name="BO2605237EAE654A23B72B55DAF523B6A6" hidden="1">#REF!</definedName>
    <definedName name="BO260C75EB0FE34E039A2639B39BA79B3D" hidden="1">#REF!</definedName>
    <definedName name="BO260CD5A6C36945F0889CD82152A4F67D" hidden="1">#REF!</definedName>
    <definedName name="BO2621C14BA85E4F63813A3AA292ECE0ED" hidden="1">#REF!</definedName>
    <definedName name="BO263E075F494444DD84B1B7BE398676C9" hidden="1">#REF!</definedName>
    <definedName name="BO263FD10022B946D7941BB791BCB0FFAF" hidden="1">#REF!</definedName>
    <definedName name="BO2672883EFAC5493481EFB4B31BDD63E6" hidden="1">#REF!</definedName>
    <definedName name="BO2684A03C65AE4FAC9C61F096104EFFBA" hidden="1">#REF!</definedName>
    <definedName name="BO26B4CA84091B46B0AA4A7DC046DB89D9" hidden="1">#REF!</definedName>
    <definedName name="BO26C7B304F6FA4B03AB8CF8A8BA949F2F" hidden="1">#REF!</definedName>
    <definedName name="BO26DA3E3B12F143B6A03B8DB89DEB0945" hidden="1">#REF!</definedName>
    <definedName name="BO26E084514C0D49058DBC96E0B99F9586" hidden="1">#REF!</definedName>
    <definedName name="BO270A5D31B3524AE3B86DF95ACF263DA5" hidden="1">#REF!</definedName>
    <definedName name="BO2712061D2CEE4515A14E98D80E1B0F54" hidden="1">#REF!</definedName>
    <definedName name="BO2713576DE8C640EB8F34FBFBC18DC2CF" hidden="1">#REF!</definedName>
    <definedName name="BO2736BE2C649942CAAD9C76A4AF14A7B5" hidden="1">#REF!</definedName>
    <definedName name="BO2746CE4B614C491EB43F40E15D1840DF" hidden="1">#REF!</definedName>
    <definedName name="BO275E25DD631F40F8B24EDCD86DD7FEC2" hidden="1">#REF!</definedName>
    <definedName name="BO275E4ECEE6494ABA8F39B3E706DB36F1" hidden="1">#REF!</definedName>
    <definedName name="BO276A19D8C2B04DC29C9152E8680B3A3A" hidden="1">#REF!</definedName>
    <definedName name="BO276E5B75752E42ABA7FFE433FA7483DB" hidden="1">#REF!</definedName>
    <definedName name="BO27816D7F127044918D1598D188090C9A" hidden="1">#REF!</definedName>
    <definedName name="BO27AFB7AC1D91473EA7307E41C74A7165" hidden="1">#REF!</definedName>
    <definedName name="BO27D814C769454C58B42460776C0DC153" hidden="1">#REF!</definedName>
    <definedName name="BO27FD3284091B4111A920005D69671CC4" hidden="1">#REF!</definedName>
    <definedName name="BO28058A6D0D9E43548DE48D1A42EF83A4" hidden="1">#REF!</definedName>
    <definedName name="BO2820D853115942E2941DF3C43B838765" hidden="1">#REF!</definedName>
    <definedName name="BO2822CE5A46F546959CCC53503C2BEEA3" hidden="1">#REF!</definedName>
    <definedName name="BO287E7F9F8DFC4F1B9069C51543542F7E" hidden="1">#REF!</definedName>
    <definedName name="BO289041DB794344C0BEE419C711E28AD3" hidden="1">#REF!</definedName>
    <definedName name="BO28ADD8D60FE240D793C9FCF23B3D9EE7" hidden="1">#REF!</definedName>
    <definedName name="BO28F284D5E1154013B0BD0FEA710FFC22" hidden="1">#REF!</definedName>
    <definedName name="BO29059DBAFB024C1B8E44428FD7EDBCF7" hidden="1">#REF!</definedName>
    <definedName name="BO292558CF2526419C8B5C330E0685DA10" hidden="1">#REF!</definedName>
    <definedName name="BO2950441D89D4497BB606AF9DBCCFB690" hidden="1">#REF!</definedName>
    <definedName name="BO295EFD04D22C4A1E87AF56BE5A809813" hidden="1">#REF!</definedName>
    <definedName name="BO29999A213FBF4583A9F7E72E99075BD1" hidden="1">#REF!</definedName>
    <definedName name="BO29A9074E43644BCEA73805D4C27C8D57" hidden="1">#REF!</definedName>
    <definedName name="BO29AEF4B23C8C4922BB345307749DFED9" hidden="1">#REF!</definedName>
    <definedName name="BO29B8A7989C614484827322D582CB22D3" hidden="1">#REF!</definedName>
    <definedName name="BO29CFEBF42BA04B0F9EF2B73368DD7D36" hidden="1">#REF!</definedName>
    <definedName name="BO29D9B6BABE6F40EDA1A64BAFBAAD0029" hidden="1">#REF!</definedName>
    <definedName name="BO29DF8390BF4D4D4C9C109B7FB0800587" hidden="1">#REF!</definedName>
    <definedName name="BO29EA5B2BE6EF4D02A0D124032B2C74A3" hidden="1">#REF!</definedName>
    <definedName name="BO29F37DD04DF84D13A76F83F278993FF5" hidden="1">#REF!</definedName>
    <definedName name="BO2A3663D01ABA40F1964CB61CBC037AFA" hidden="1">#REF!</definedName>
    <definedName name="BO2A3E54D24A3B47668D71E1C7274E7F28" hidden="1">#REF!</definedName>
    <definedName name="BO2A68C8385C834137AB6A597C4C15F834" hidden="1">#REF!</definedName>
    <definedName name="BO2ACEC73771DA4CA29214F27324CDF669" hidden="1">#REF!</definedName>
    <definedName name="BO2B35EC858E5E4498AB5E85A1F36C0B55" hidden="1">#REF!</definedName>
    <definedName name="BO2B3C5F919A5A4B3E98665B4E17AFD301" hidden="1">#REF!</definedName>
    <definedName name="BO2B4252BB76D04F66A45B9EE60EBB29B5" hidden="1">#REF!</definedName>
    <definedName name="BO2B6AAA2881A84B7C9BDD628A5D6EEC2D" hidden="1">#REF!</definedName>
    <definedName name="BO2B91C0FF7A1E481CAFD2A997AED66625" hidden="1">#REF!</definedName>
    <definedName name="BO2B9FFCE021A0461C872DCA59C3D3166F" hidden="1">#REF!</definedName>
    <definedName name="BO2BA86B254A414DDB8F10CD94B5839C2C" hidden="1">#REF!</definedName>
    <definedName name="BO2BFF76DEECCD4DF484E8CCDE5D6B2362" hidden="1">#REF!</definedName>
    <definedName name="BO2BFF9769E4C94BB790EEE557FF7DDB56" hidden="1">#REF!</definedName>
    <definedName name="BO2BFFFF55E91E412EAA08B005F0A65541" hidden="1">#REF!</definedName>
    <definedName name="BO2C367D597C6245EBA841FD9D9C4237E2" hidden="1">#REF!</definedName>
    <definedName name="BO2C783B4F85E24FB88F7951E6B8A86AB0" hidden="1">#REF!</definedName>
    <definedName name="BO2C889DD7D9D4453389EF2CC7C7400910" hidden="1">#REF!</definedName>
    <definedName name="BO2C893EF3E06045B8AAE30677A78003B4" hidden="1">#REF!</definedName>
    <definedName name="BO2C8C60696A424B1EACBBFDDE272D0A50" hidden="1">#REF!</definedName>
    <definedName name="BO2C9B63E184774916BE8749B98B8AE796" hidden="1">#REF!</definedName>
    <definedName name="BO2CAEB9A05E524B25B5984BDCD9C073D6" hidden="1">#REF!</definedName>
    <definedName name="BO2CB7639AD20549F3B40E039515EFF2EA" hidden="1">#REF!</definedName>
    <definedName name="BO2CFDBA12D8E94FF6AF9B5EA62A3C061E" hidden="1">#REF!</definedName>
    <definedName name="BO2D06A4A023464C6A8482AF000275C1A3" hidden="1">#REF!</definedName>
    <definedName name="BO2D26B3DF58A8486183A106C7BF1FA67E" hidden="1">#REF!</definedName>
    <definedName name="BO2D31A6FA7EB244579F44D35B99A4A8E4" hidden="1">#REF!</definedName>
    <definedName name="BO2D54BAB3A82B44928B563DE60EC0FD7D" hidden="1">#REF!</definedName>
    <definedName name="BO2D56E23DE46E41278B653EC68C177F70" hidden="1">#REF!</definedName>
    <definedName name="BO2D5ED7DAF43E440CBA2EDD04007603F7" hidden="1">#REF!</definedName>
    <definedName name="BO2D6952FC28424398BBE67A8663C3CAAA" hidden="1">#REF!</definedName>
    <definedName name="BO2D87AEA7FFE24D6298B56D6AC2B80C69" hidden="1">#REF!</definedName>
    <definedName name="BO2D8BC348CDD041779ECE70F98BC3F557" hidden="1">#REF!</definedName>
    <definedName name="BO2D8E3A6420914965BF19B696C6FDDB98" hidden="1">#REF!</definedName>
    <definedName name="BO2D9AC84D96AF42AA92BCDA8C34005373" hidden="1">#REF!</definedName>
    <definedName name="BO2DBD82CD6B5747D7A5D8C6F9F7CDAD2F" hidden="1">#REF!</definedName>
    <definedName name="BO2DCD5B6ED5004362994797D85763A69B" hidden="1">#REF!</definedName>
    <definedName name="BO2DCF80E250E645A29463073D5E33DF72" hidden="1">#REF!</definedName>
    <definedName name="BO2DD4678FCE224E6994B756524707755F" hidden="1">#REF!</definedName>
    <definedName name="BO2DD4E3C6BF6E4DA983890148DF40506D" hidden="1">#REF!</definedName>
    <definedName name="BO2DDB0BD841F340A8880296264AC1AD09" hidden="1">#REF!</definedName>
    <definedName name="BO2DED502E1D1E4D9C9CCEC23CEB3F40DD" hidden="1">#REF!</definedName>
    <definedName name="BO2DED886FB72E452D80B8CDB76E9B61DE" hidden="1">#REF!</definedName>
    <definedName name="BO2DF6685EBC6440CEBADE1F180B3EC72A" hidden="1">#REF!</definedName>
    <definedName name="BO2E0ADDF3EDA5412893AD4ACADC83B2FE" hidden="1">#REF!</definedName>
    <definedName name="BO2E0CEBF6C3334D0486E22BAF923C84FB" hidden="1">#REF!</definedName>
    <definedName name="BO2E9E3090B08D47EBBC36CF959D2176D1" hidden="1">#REF!</definedName>
    <definedName name="BO2EC57A3E2D884825BA0BD928EF4AE1AD" hidden="1">#REF!</definedName>
    <definedName name="BO2EC6D26CDEB347D78EAE0F11E5C52867" hidden="1">#REF!</definedName>
    <definedName name="BO2EDBF44490984D53A344E7B9CA6A35D0" hidden="1">#REF!</definedName>
    <definedName name="BO2F048AD87674415EBAF572BA92AF1215" hidden="1">#REF!</definedName>
    <definedName name="BO2F166ED9BE3F4F8AB2267F7697917DD0" hidden="1">#REF!</definedName>
    <definedName name="BO2F358C635E6F441BBFA6F1602189C967" hidden="1">#REF!</definedName>
    <definedName name="BO2F4539B649B74DA99365C8555DF35795" hidden="1">#REF!</definedName>
    <definedName name="BO2F4A80B58C7249F39C3A1B337E9D6D68" hidden="1">#REF!</definedName>
    <definedName name="BO2F6D4FCC2ECE4F8E86291FE9436839CB" hidden="1">#REF!</definedName>
    <definedName name="BO2F6D718B7E994EE6A3AB38E7D4068FAD" hidden="1">#REF!</definedName>
    <definedName name="BO2FB9B240E0EA492F83769264D9892D15" hidden="1">#REF!</definedName>
    <definedName name="BO2FC349B9327645118BC37D9143F7FAD5" hidden="1">#REF!</definedName>
    <definedName name="BO2FC45C16A3F54D729E26F3464A622F47" hidden="1">#REF!</definedName>
    <definedName name="BO305FCC173BF54F10B9CFB9C7D81F1623" hidden="1">#REF!</definedName>
    <definedName name="BO30BB2A290A4B4A7A86CF91ABD473B52C" hidden="1">#REF!</definedName>
    <definedName name="BO30F82A0F45F0488B9BF672A0DD5384B3" hidden="1">#REF!</definedName>
    <definedName name="BO312587118F00438F8D4DDD5EC86D6441" hidden="1">#REF!</definedName>
    <definedName name="BO3185C5AFD18F419BAA9951E27A665BEC" hidden="1">#REF!</definedName>
    <definedName name="BO31AE2847EEBD4163AFD0D5ACEBEE6896" hidden="1">#REF!</definedName>
    <definedName name="BO31B1C27CA2784591B3BD7B8F97CEC20D" hidden="1">#REF!</definedName>
    <definedName name="BO31B3626C280842DDB0F0576C3AB66A35" hidden="1">#REF!</definedName>
    <definedName name="BO31CD43A4563F48E3ADEF3B086F77F412" hidden="1">#REF!</definedName>
    <definedName name="BO31D8C066076E4283A10C0EDC7E92C950" hidden="1">#REF!</definedName>
    <definedName name="BO31DA1E9AC58D4BD2AA9F8600C99DE660" hidden="1">#REF!</definedName>
    <definedName name="BO31FF4845F0134E159EDFA068B8DF1456" hidden="1">#REF!</definedName>
    <definedName name="BO327C7F9E4E9D4477B4611F339FE9E318" hidden="1">#REF!</definedName>
    <definedName name="BO3289F49EFC034457B8AB42EB6E44BB67" hidden="1">#REF!</definedName>
    <definedName name="BO329031B61E9B4E1CB748E2BF18453CBA" hidden="1">#REF!</definedName>
    <definedName name="BO329794FEEEA848A3A8CD1316B34A9B9B" hidden="1">#REF!</definedName>
    <definedName name="BO32CC748630CD44A78FE35D7DD55C5CB1" hidden="1">#REF!</definedName>
    <definedName name="BO32D8C11D52E246B8B1167589D681611B" hidden="1">#REF!</definedName>
    <definedName name="BO32FCC3651E0F431EB99F7A93F30F5188" hidden="1">#REF!</definedName>
    <definedName name="BO333C6704208C4D37A85C8AEE75D910E8" hidden="1">#REF!</definedName>
    <definedName name="BO3361CC5D96CC46409F71EB663340E25A" hidden="1">#REF!</definedName>
    <definedName name="BO338ED8E6AEF84AA7BEB7D4A6F5B2FAFD" hidden="1">#REF!</definedName>
    <definedName name="BO33A986EB05E14342B05CFAE40A8B8CB3" hidden="1">#REF!</definedName>
    <definedName name="BO33D5D2E635444CE09A98AAF2ADA7433D" hidden="1">#REF!</definedName>
    <definedName name="BO33E5D2DECC00492E98BB2AE9970273F4" hidden="1">#REF!</definedName>
    <definedName name="BO3401980CAE564BF1889B707647DEED49" hidden="1">#REF!</definedName>
    <definedName name="BO34546B46330B469FB089735939C3C993" hidden="1">#REF!</definedName>
    <definedName name="BO3476F33D9F5F41FAAEA1A8A30DF6E387" hidden="1">#REF!</definedName>
    <definedName name="BO348D5DD8702F4F70A5106B888B0D1864" hidden="1">#REF!</definedName>
    <definedName name="BO34B0D1C3C2DF41599DDC64764EE93927" hidden="1">#REF!</definedName>
    <definedName name="BO34B7BDFF82DF4756A8B9115EECD3DD5D" hidden="1">#REF!</definedName>
    <definedName name="BO34D62F43660440BF9F470BD093905410" hidden="1">#REF!</definedName>
    <definedName name="BO34ECD4B14C4A4E6C9DA339E125472BD3" hidden="1">#REF!</definedName>
    <definedName name="BO35264F09D5384B21A7EBC93B5F190AEB" hidden="1">#REF!</definedName>
    <definedName name="BO35622FA1F1354C5196130C748559B8D8" hidden="1">#REF!</definedName>
    <definedName name="BO35C8047FFF54448D8A6763D6C5459131" hidden="1">#REF!</definedName>
    <definedName name="BO35CA3E17081642D39D09C6DF175E5552" hidden="1">#REF!</definedName>
    <definedName name="BO35D589D7C3EF4F3FAEA7A06BFCA51C0D" hidden="1">#REF!</definedName>
    <definedName name="BO35FDB2AB3FBE44869B1B8C3CB0C955E2" hidden="1">#REF!</definedName>
    <definedName name="BO361CD271CDE149DDACAFE0A75902BEA7" hidden="1">#REF!</definedName>
    <definedName name="BO36CC36EEBD19426B8489215F05CAE479" hidden="1">#REF!</definedName>
    <definedName name="BO36FCC1C5E1AF49029E2528DB50E43E11" hidden="1">#REF!</definedName>
    <definedName name="BO3728122716B1408E8B7F370B9BBFDADD" hidden="1">#REF!</definedName>
    <definedName name="BO37357DFCCF2E4C95A13F5E9BDBE13910" hidden="1">#REF!</definedName>
    <definedName name="BO375D335D9054414FAE3AF4C765CD8FED" hidden="1">#REF!</definedName>
    <definedName name="BO377B7DA4F59240ABAFF4CD152B5A32BD" hidden="1">#REF!</definedName>
    <definedName name="BO3792264F2CE543AEB8B229F81459D3B0" hidden="1">#REF!</definedName>
    <definedName name="BO37987DC4E7E64BA0A01C92162B351132" hidden="1">#REF!</definedName>
    <definedName name="BO37A8522087C146439B47E95567DA2B00" hidden="1">#REF!</definedName>
    <definedName name="BO37B5B0565C814B4A8335B6363188FD11" hidden="1">#REF!</definedName>
    <definedName name="BO37B7674CC9D940CE88895911F98A3658" hidden="1">#REF!</definedName>
    <definedName name="BO37E5C32029EF417DBAE749FA4EA393F1" hidden="1">#REF!</definedName>
    <definedName name="BO3805FF74986D4E4E954446E3B0CA6F78" hidden="1">#REF!</definedName>
    <definedName name="BO380BDFB5B2F341DE821942CE260EF734" hidden="1">#REF!</definedName>
    <definedName name="BO380C1362F5C049059095DD3D5CD093B6" hidden="1">#REF!</definedName>
    <definedName name="BO381BA5D3D1904961827A5C2547F80342" hidden="1">#REF!</definedName>
    <definedName name="BO382AB72B5084486E8979DEAE18FAB05E" hidden="1">#REF!</definedName>
    <definedName name="BO3833AF0366A74FD49AF696A151BE080B" hidden="1">#REF!</definedName>
    <definedName name="BO38358F4EB3074DEA9456C0100889315C" hidden="1">#REF!</definedName>
    <definedName name="BO3845D84FBF0F408F8AD81ECA1975371A" hidden="1">#REF!</definedName>
    <definedName name="BO384B1C23A2F047BB88E36A83ACA8E726" hidden="1">#REF!</definedName>
    <definedName name="BO3860910B7F314B8E93C1E2BDB2BC603C" hidden="1">#REF!</definedName>
    <definedName name="BO38880C9BAD5B4C55BB1BE90ADC595507" hidden="1">#REF!</definedName>
    <definedName name="BO38A9FA4A3B584052AB9E990F00374890" hidden="1">#REF!</definedName>
    <definedName name="BO38ACFF41E1054C7884A26494448FE045" hidden="1">#REF!</definedName>
    <definedName name="BO38C7A245BD944E6DAF71D4CC689E700E" hidden="1">#REF!</definedName>
    <definedName name="BO38D898D4B14F4460A586C53095BA18F1" hidden="1">#REF!</definedName>
    <definedName name="BO38E2291784D446E59218071F4DBDB8E0" hidden="1">#REF!</definedName>
    <definedName name="BO3905A32D80CC4E4ABF239EBD20D3FB27" hidden="1">#REF!</definedName>
    <definedName name="BO3909BFA3143A4B58B6B8CEB581E9528C" hidden="1">#REF!</definedName>
    <definedName name="BO39253DB67439440A8208AFD7A588CDDB" hidden="1">#REF!</definedName>
    <definedName name="BO392A098005984AFF8D735A33037308AD" hidden="1">#REF!</definedName>
    <definedName name="BO3949FD8C43E84F93B3A81C3E9948A54A" hidden="1">#REF!</definedName>
    <definedName name="BO399E5D7E445147B68FD2A13DF7A45368" hidden="1">#REF!</definedName>
    <definedName name="BO39A392411DC44588A12AD338FD5B7171" hidden="1">#REF!</definedName>
    <definedName name="BO39A42AF3D9DD42E98E5C5FFF35775A0D" hidden="1">#REF!</definedName>
    <definedName name="BO39B7451E2AAF47BE960AD17DF0F782DE" hidden="1">#REF!</definedName>
    <definedName name="BO39D7F0EB4B3148E7B7BE8DAB5CFD140F" hidden="1">#REF!</definedName>
    <definedName name="BO39F1C0CF94004E2AAC6539D1393D3197" hidden="1">#REF!</definedName>
    <definedName name="BO39F8056FEEF141EAAC3CB8637657E823" hidden="1">#REF!</definedName>
    <definedName name="BO3A0BA0E91DAE4579BBD495FE36F95B7E" hidden="1">#REF!</definedName>
    <definedName name="BO3A309A78D58A4D8DA0112124B97664D2" hidden="1">#REF!</definedName>
    <definedName name="BO3A3BDD3BEC6C4C3997F49262585037D2" hidden="1">#REF!</definedName>
    <definedName name="BO3A6A9E2B4DE641478A77ABFA2941AA4C" hidden="1">#REF!</definedName>
    <definedName name="BO3A9B34DFE8A742B487EF3D486DAB6796" hidden="1">#REF!</definedName>
    <definedName name="BO3ACB7C4849DE463297CDF3DAC73C5285" hidden="1">#REF!</definedName>
    <definedName name="BO3B02E8F8E6B94C10B3E37C67BA50F8F7" hidden="1">#REF!</definedName>
    <definedName name="BO3B303A9A732542CEB07F8235F68B611B" hidden="1">#REF!</definedName>
    <definedName name="BO3B46AD7B22E9452EA7B74971395C2D28" hidden="1">#REF!</definedName>
    <definedName name="BO3B6144B377CE45D39F7399D88759882F" hidden="1">#REF!</definedName>
    <definedName name="BO3B704C8087B542E29B354FC73C2EB35C" hidden="1">#REF!</definedName>
    <definedName name="BO3B8EDFAE9CEF4668895EF6B04607C798" hidden="1">#REF!</definedName>
    <definedName name="BO3BB1FCE0D8D34D60B9C97911F55F888B" hidden="1">#REF!</definedName>
    <definedName name="BO3BFFC976FA9B48C4A3837B2DF792D717" hidden="1">#REF!</definedName>
    <definedName name="BO3C06EB17E87B4F95AA9705D0810CA23A" hidden="1">#REF!</definedName>
    <definedName name="BO3C2040FAEA0E4F0F9AE59BA082DF29C0" hidden="1">#REF!</definedName>
    <definedName name="BO3C27A8CCF46440DFA286B770A5F55B3C" hidden="1">#REF!</definedName>
    <definedName name="BO3C82848169FA4D11A8672F7A9FE72C51" hidden="1">#REF!</definedName>
    <definedName name="BO3C98730A70FB4EF395F688F4CD7413F7" hidden="1">#REF!</definedName>
    <definedName name="BO3C99E538887C4467A365E8624D9B808D" hidden="1">#REF!</definedName>
    <definedName name="BO3CB504CE67F84322A30047C7F65DA37A" hidden="1">#REF!</definedName>
    <definedName name="BO3CCC9B2BC38C4D488D8B1493A73B781B" hidden="1">#REF!</definedName>
    <definedName name="BO3D04697C553443CE81E5698A9A11D376" hidden="1">#REF!</definedName>
    <definedName name="BO3D1106863D374B788E66E383A493EFFD" hidden="1">#REF!</definedName>
    <definedName name="BO3D4564B23F3B4C9895009145888A42D0" hidden="1">#REF!</definedName>
    <definedName name="BO3D5A94F872944439AEFDA585DD8D96C0" hidden="1">#REF!</definedName>
    <definedName name="BO3D63A776BB8B413697ACFD0792A79F25" hidden="1">#REF!</definedName>
    <definedName name="BO3D8149A4C7DD46C098821ABD82FCCBFC" hidden="1">#REF!</definedName>
    <definedName name="BO3DFEB735DF724D6A8195AAA7B2170B35" hidden="1">#REF!</definedName>
    <definedName name="BO3E07E937F13046F48C23FB837C43BEC3" hidden="1">#REF!</definedName>
    <definedName name="BO3E0B648F64D242B6B9E0CABA98A66A26" hidden="1">#REF!</definedName>
    <definedName name="BO3E2ABB9A8F2D4DB7A7A51D906D984800" hidden="1">#REF!</definedName>
    <definedName name="BO3E4674A939C24DFAA1C88B525C373305" hidden="1">#REF!</definedName>
    <definedName name="BO3E47F0D838F3454DA566A603391E2CA9" hidden="1">#REF!</definedName>
    <definedName name="BO3E58EA1F6C6B4B1EA49307682BA84A0D" hidden="1">#REF!</definedName>
    <definedName name="BO3EB98F7D879348158884714BB62D2C9B" hidden="1">#REF!</definedName>
    <definedName name="BO3EDDDE35F2BC4BF9A8EAD3D01D0AFA69" hidden="1">#REF!</definedName>
    <definedName name="BO3EEDD1275B594EE6931BB2B423647F40" hidden="1">#REF!</definedName>
    <definedName name="BO3F00F2E605A84C248AEFDEF964BF8003" hidden="1">#REF!</definedName>
    <definedName name="BO3F0398545889487D954D70C6205F57CF" hidden="1">#REF!</definedName>
    <definedName name="BO3F1562F088B64257BDECA4996A9FB66B" hidden="1">#REF!</definedName>
    <definedName name="BO3F4B598DFBCE4609B65057CE90121278" hidden="1">#REF!</definedName>
    <definedName name="BO3F698B30FA064BED80373131F8DA772C" hidden="1">#REF!</definedName>
    <definedName name="BO3F9E4F72F7344C8797FE289DFD0BB660" hidden="1">#REF!</definedName>
    <definedName name="BO3FA34D64D5DD4492A3C440A2EB0A2226" hidden="1">#REF!</definedName>
    <definedName name="BO3FA6B2DD0EBE48EBAE25B1625634C636" hidden="1">#REF!</definedName>
    <definedName name="BO3FA804A2DEEC44DF99E6D77CD74316FA" hidden="1">#REF!</definedName>
    <definedName name="BO3FF06A3D405D4AFEBD23C74161F7F412" hidden="1">#REF!</definedName>
    <definedName name="BO401E6D3F698C4F018BDA573568ADC4E6" hidden="1">#REF!</definedName>
    <definedName name="BO40245ECD8B79440BBC14C8DF1C0BF8B2" hidden="1">#REF!</definedName>
    <definedName name="BO403079319B0C43EEB6940DB9EBC384AB" hidden="1">#REF!</definedName>
    <definedName name="BO40355E13A4AF4311A062DC0DC188997A" hidden="1">#REF!</definedName>
    <definedName name="BO4057EC314CEC47798B0627DC202DE337" hidden="1">#REF!</definedName>
    <definedName name="BO406956B8DA1449F7A85FCAF9D714DC11" hidden="1">#REF!</definedName>
    <definedName name="BO406B5E0DD44D489B88870815BE1210AE" hidden="1">#REF!</definedName>
    <definedName name="BO40A83F555A3A46FC8D7622D2461C15B6" hidden="1">#REF!</definedName>
    <definedName name="BO40E48E25225B4A02828BB2163C89438D" hidden="1">#REF!</definedName>
    <definedName name="BO410312A8086944CA8381547B55028E0E" hidden="1">#REF!</definedName>
    <definedName name="BO41031EE5E6A248E8BA41187F37ABEDC4" hidden="1">#REF!</definedName>
    <definedName name="BO41616448539148F68A11325B0B832164" hidden="1">#REF!</definedName>
    <definedName name="BO41676043571047D0A758DC87F4D8C2A4" hidden="1">#REF!</definedName>
    <definedName name="BO41736F10648940F7980E8A794564F6D4" hidden="1">#REF!</definedName>
    <definedName name="BO418270B3A37648588D932CCCDECD1D57" hidden="1">#REF!</definedName>
    <definedName name="BO41BB107A914849ABAE3078D2C7A0D711" hidden="1">#REF!</definedName>
    <definedName name="BO41C9F9AFBDC248DF84A970BBB0C13F07" hidden="1">#REF!</definedName>
    <definedName name="BO41D812429BE0472984006118F1FD8940" hidden="1">#REF!</definedName>
    <definedName name="BO41DD20B575EE48A98BE33181A6371F62" hidden="1">#REF!</definedName>
    <definedName name="BO41FF1036DC0E4DA69C38C814641389B3" hidden="1">#REF!</definedName>
    <definedName name="BO41FF61B766784424AEC7FF81791873A4" hidden="1">#REF!</definedName>
    <definedName name="BO4217883C6C8A412D9F87DEAB2DD56119" hidden="1">#REF!</definedName>
    <definedName name="BO4221A85BBAE74BFE98901247F57B8632" hidden="1">#REF!</definedName>
    <definedName name="BO42410C79967D49DA9246424E9F8E187C" hidden="1">#REF!</definedName>
    <definedName name="BO429FEAEDBFA547BF85025B1F1844D466" hidden="1">#REF!</definedName>
    <definedName name="BO42A0B3431CAC44BA97E83B69B05F5E78" hidden="1">#REF!</definedName>
    <definedName name="BO42C24C62919C4F06911501D27330F51B" hidden="1">#REF!</definedName>
    <definedName name="BO42C7102A3C9549A7A1E004531E8189D3" hidden="1">#REF!</definedName>
    <definedName name="BO42DB59B560DD480797F4E5A255CE0336" hidden="1">#REF!</definedName>
    <definedName name="BO42F344B5F6214CA8BB1AE642166F8254" hidden="1">#REF!</definedName>
    <definedName name="BO431F7CF865994F508B75F0C14E72E755" hidden="1">#REF!</definedName>
    <definedName name="BO4325C4CE5A6A40EDB239CE3FEA93D616" hidden="1">#REF!</definedName>
    <definedName name="BO433499B555AB4935A23F3FB59353D2EE" hidden="1">#REF!</definedName>
    <definedName name="BO4335FDB3189549F5BF6D0B206D64D24B" hidden="1">#REF!</definedName>
    <definedName name="BO434317F8DA9741658242E88E107EFF2F" hidden="1">#REF!</definedName>
    <definedName name="BO435DD626F933429CBF3601013675993A" hidden="1">#REF!</definedName>
    <definedName name="BO43BB16D693FD4B14A412C62D211E4945" hidden="1">#REF!</definedName>
    <definedName name="BO43C6ED75220C443CB4A3CB0484EC60D0" hidden="1">#REF!</definedName>
    <definedName name="BO43FF37EA3FEC470BAD34B6B7B9FF9C29" hidden="1">#REF!</definedName>
    <definedName name="BO4405FE650B77473191B594E32962A972" hidden="1">#REF!</definedName>
    <definedName name="BO442358FA8333417E864723C79749E79D" hidden="1">#REF!</definedName>
    <definedName name="BO44305DEC1291483A9BF50984E7D8088F" hidden="1">#REF!</definedName>
    <definedName name="BO448A7EE0DCBB4BDF9A056D395A4E5D46" hidden="1">#REF!</definedName>
    <definedName name="BO44D1CF2949C64A60A739B2A441AD051B" hidden="1">#REF!</definedName>
    <definedName name="BO44D4229713E3428698EACDF7F9B51DFC" hidden="1">#REF!</definedName>
    <definedName name="BO44DA8E66CD4940489F111E91BC74453C" hidden="1">#REF!</definedName>
    <definedName name="BO453E695211A44670A7D5BD823FFE8B9F" hidden="1">#REF!</definedName>
    <definedName name="BO454BFF91FD534BF88883176101908687" hidden="1">#REF!</definedName>
    <definedName name="BO454FCE682D15476BA296B3D94BCB2BFB" hidden="1">#REF!</definedName>
    <definedName name="BO4559A96E8A974B1DAC918F8F2EB94EF9" hidden="1">#REF!</definedName>
    <definedName name="BO45878D15BC764FF3AB65C7517F4B4468" hidden="1">#REF!</definedName>
    <definedName name="BO45904099936743BABF24BA42E132C38D" hidden="1">#REF!</definedName>
    <definedName name="BO45B21A31A07443E493B4B0CE970B67BE" hidden="1">#REF!</definedName>
    <definedName name="BO4654F35AE4A94B88914D5564F493E506" hidden="1">#REF!</definedName>
    <definedName name="BO46EA610EBFC643F5B313EF854D068321" hidden="1">#REF!</definedName>
    <definedName name="BO472FDF9D1E3B4E9991920C454290CCB8" hidden="1">#REF!</definedName>
    <definedName name="BO47305FE1425C42EE8297FD2C4DE5D7DC" hidden="1">#REF!</definedName>
    <definedName name="BO4765F1B9752F4104B13E2D2D8439107F" hidden="1">#REF!</definedName>
    <definedName name="BO47738B1418294B9889FC0348BEC8078D" hidden="1">#REF!</definedName>
    <definedName name="BO477AF323BBAF4D949363F8CF4B007300" hidden="1">#REF!</definedName>
    <definedName name="BO4792AAFA02C24ED6AA0BB01C79C4D53D" hidden="1">#REF!</definedName>
    <definedName name="BO47CB1926C4224D5191C8B45468721815" hidden="1">#REF!</definedName>
    <definedName name="BO47CF2416E1E4433CB14DF1CD9BB47325" hidden="1">#REF!</definedName>
    <definedName name="BO47F43F7C60F64E7C8F5511C18A7D9150" hidden="1">#REF!</definedName>
    <definedName name="BO47FE1908C88F4900971BC7AD61476814" hidden="1">#REF!</definedName>
    <definedName name="BO4811BB6D363246B4B8C029A31B50EC37" hidden="1">#REF!</definedName>
    <definedName name="BO48158C876A054053A8BF1B1066B5769F" hidden="1">#REF!</definedName>
    <definedName name="BO481EEF2746434CA3955011739E810936" hidden="1">#REF!</definedName>
    <definedName name="BO4831E7C9F1E24C75885AEE45966CF51F" hidden="1">#REF!</definedName>
    <definedName name="BO484DA2D43C574948877D69CEA2096392" hidden="1">#REF!</definedName>
    <definedName name="BO4874FCDB87824222B8F51298606DB3AA" hidden="1">#REF!</definedName>
    <definedName name="BO48835453620245AEB7B610E2C50EAB3D" hidden="1">#REF!</definedName>
    <definedName name="BO48B69C9C3A4A4DA2AFD812AE32ED98F2" hidden="1">#REF!</definedName>
    <definedName name="BO48D151814232468CBC2887DCAC36C30D" hidden="1">#REF!</definedName>
    <definedName name="BO48EE5418E8DD4622BB78F4DF1C2A142A" hidden="1">#REF!</definedName>
    <definedName name="BO491DF1B87A35419FB7FA4840BFC287E4" hidden="1">#REF!</definedName>
    <definedName name="BO492FF71352564A0B906D969350494321" hidden="1">#REF!</definedName>
    <definedName name="BO496A271603F746FD8768E3BE7C35AC8B" hidden="1">#REF!</definedName>
    <definedName name="BO4989BD6C49D9472F9577212E5508BA42" hidden="1">#REF!</definedName>
    <definedName name="BO49BE17222F1C4BB58D35D46E4E2F888A" hidden="1">#REF!</definedName>
    <definedName name="BO49BE7643709D4E51B4CE6E9827246CC0" hidden="1">#REF!</definedName>
    <definedName name="BO49C03189CFB64DD2ABF19BD409F593CB" hidden="1">#REF!</definedName>
    <definedName name="BO49DCD65C43EB4DFCA8847B0CC8D9697F" hidden="1">#REF!</definedName>
    <definedName name="BO4A3DBBE544E8425CA26337B568D90565" hidden="1">#REF!</definedName>
    <definedName name="BO4A3EA82712D4443FBE70BEF91D9E21B5" hidden="1">#REF!</definedName>
    <definedName name="BO4A47E059A2E64E29805369062AC0FA3B" hidden="1">#REF!</definedName>
    <definedName name="BO4A648412D7AD41F39C281FF6AACFFB1C" hidden="1">#REF!</definedName>
    <definedName name="BO4A7EDF1F721E44818AAF14D4EE421965" hidden="1">#REF!</definedName>
    <definedName name="BO4AAE3B29CE214B3288C1C3E46EDEE779" hidden="1">#REF!</definedName>
    <definedName name="BO4AAF3ED43D1F4BA0A617F05B5FA98022" hidden="1">#REF!</definedName>
    <definedName name="BO4ABD4D97307B4665ADA92858FAEF49D4" hidden="1">#REF!</definedName>
    <definedName name="BO4B55FBE7704D4E8ABFBBA6B9FCFCCE0B" hidden="1">#REF!</definedName>
    <definedName name="BO4B600A1E72F94C77B9817B555BEAFCFC" hidden="1">#REF!</definedName>
    <definedName name="BO4B85FA2CA3EB4164B387DE75A013145C" hidden="1">#REF!</definedName>
    <definedName name="BO4B9820C141B1499BB7BD6CD1C5A977AA" hidden="1">#REF!</definedName>
    <definedName name="BO4BB9A2BC1129469286DE1F8ABA253435" hidden="1">#REF!</definedName>
    <definedName name="BO4C0243B70A9541D291A1FBB0DE639578" hidden="1">#REF!</definedName>
    <definedName name="BO4C1CD1D203F04562A4E31D080D642AB1" hidden="1">#REF!</definedName>
    <definedName name="BO4C322C3F08A04888A840CDEC0E0EEECC" hidden="1">#REF!</definedName>
    <definedName name="BO4C43050B90E04C87B55DD5F46779E3E5" hidden="1">#REF!</definedName>
    <definedName name="BO4C49BA149189441D82286AD70F0DBFBA" hidden="1">#REF!</definedName>
    <definedName name="BO4C59317BCB434D4AAB8264AC52E949F2" hidden="1">#REF!</definedName>
    <definedName name="BO4C748FEDC50D4D05BF6C3AE45DF27C96" hidden="1">#REF!</definedName>
    <definedName name="BO4C74A53862CA458B84FB13899C4C27A0" hidden="1">#REF!</definedName>
    <definedName name="BO4CA027B4B11C4E88BEA7D5AB0FBFE55C" hidden="1">#REF!</definedName>
    <definedName name="BO4CABAE3124EC4EA3BBD9ACA318D3884A" hidden="1">#REF!</definedName>
    <definedName name="BO4CBA748CA1904ABEAC4916C51F3632CD" hidden="1">#REF!</definedName>
    <definedName name="BO4CC413BA91B24160B10C346B184D4378" hidden="1">#REF!</definedName>
    <definedName name="BO4CD39991FB7D4B3EA474B7C8CAB5921A" hidden="1">#REF!</definedName>
    <definedName name="BO4CFE4749AA3E4E43BC1AC4E546D31AFE" hidden="1">#REF!</definedName>
    <definedName name="BO4D111DFC879A4267A8F215A9F3EE7545" hidden="1">#REF!</definedName>
    <definedName name="BO4D176891D0D447959B2CE9E30A490257" hidden="1">#REF!</definedName>
    <definedName name="BO4D217C14FE744B10921607668507E5E5" hidden="1">#REF!</definedName>
    <definedName name="BO4D312C5249F84A419336714CC3247A5D" hidden="1">#REF!</definedName>
    <definedName name="BO4D4B68E0EB674E5A8741358C839FECA5" hidden="1">#REF!</definedName>
    <definedName name="BO4D622B63467C42F99F1CF3912C0F4402" hidden="1">#REF!</definedName>
    <definedName name="BO4D80DEACB63F40C8B074073E6B1CCF17" hidden="1">#REF!</definedName>
    <definedName name="BO4D95CA0E2A4B43CA8A504EE9704A811B" hidden="1">#REF!</definedName>
    <definedName name="BO4DD3E06B30D0453591537146FB44B655" hidden="1">#REF!</definedName>
    <definedName name="BO4DF0AF32BA4041D98D60CE58B013B4E7" hidden="1">#REF!</definedName>
    <definedName name="BO4DF2AB7750BF42EB9D57BA4D725243B3" hidden="1">#REF!</definedName>
    <definedName name="BO4E224232AAA9422ABBADA09C17231477" hidden="1">#REF!</definedName>
    <definedName name="BO4E5A5B2226B446818FD3052673DBE06E" hidden="1">#REF!</definedName>
    <definedName name="BO4EABBA73A2DA454BA953C9AE702A13FB" hidden="1">#REF!</definedName>
    <definedName name="BO4EB58024FECD4AAD9C54E6C0EC901032" hidden="1">#REF!</definedName>
    <definedName name="BO4EB62A5D99B44412981CC2DBA16B65A3" hidden="1">#REF!</definedName>
    <definedName name="BO4EC7C41902974BF0A985E634282CB07E" hidden="1">#REF!</definedName>
    <definedName name="BO4ED6C94AEE84498698E997DC83194ED4" hidden="1">#REF!</definedName>
    <definedName name="BO4F082A8E044C49F8BC480A70B601A36E" hidden="1">#REF!</definedName>
    <definedName name="BO4F0FF9C21C6E41768DF300AE990AF1DC" hidden="1">#REF!</definedName>
    <definedName name="BO4F174CF711D441F9848DE1A3F0E09B80" hidden="1">#REF!</definedName>
    <definedName name="BO4F1DDF5EB2F44AFAA8C5516DEF485905" hidden="1">#REF!</definedName>
    <definedName name="BO4F28111B51394391ABC9CC6B0B64372F" hidden="1">#REF!</definedName>
    <definedName name="BO4F382251407541D4B94F5AF416857C88" hidden="1">#REF!</definedName>
    <definedName name="BO4FB289186CC049ACAF17B8C85DFF71C8" hidden="1">#REF!</definedName>
    <definedName name="BO500F607281384E709BC81BB8D0E05040" hidden="1">#REF!</definedName>
    <definedName name="BO5041B9A4B8C146FA8D61B1D6914A3DEC" hidden="1">#REF!</definedName>
    <definedName name="BO5060B8055B22479FB2B032CFBC156B9A" hidden="1">#REF!</definedName>
    <definedName name="BO5080FCBB1AFE4582AB0AEF756E02AB2A" hidden="1">#REF!</definedName>
    <definedName name="BO50859751527B4027B87A739BAF1FB8E0" hidden="1">#REF!</definedName>
    <definedName name="BO509669C9ED7840288304BF14BF625147" hidden="1">#REF!</definedName>
    <definedName name="BO50A9A9E6831241658F508DEAFE2A7553" hidden="1">#REF!</definedName>
    <definedName name="BO510065BD015D4F95A15752285E2AE65E" hidden="1">#REF!</definedName>
    <definedName name="BO5124F12717414DAC96ABA4A8269ECB84" hidden="1">#REF!</definedName>
    <definedName name="BO513861991D7C4A5FBB93C7EA0C759CFD" hidden="1">#REF!</definedName>
    <definedName name="BO514D95FAE90F482C849C11DE38AE8DA0" hidden="1">#REF!</definedName>
    <definedName name="BO51A8FA915C9A4F9D89273CF63EE46FE8" hidden="1">#REF!</definedName>
    <definedName name="BO51C8FC979EAE441F9F289915887365C5" hidden="1">#REF!</definedName>
    <definedName name="BO51F608F52D8F4C42869432170B976399" hidden="1">#REF!</definedName>
    <definedName name="BO5225587466CB4E64950F3A977CD53BB5" hidden="1">#REF!</definedName>
    <definedName name="BO522BE2FBF700464AAFC7A88746B3102A" hidden="1">#REF!</definedName>
    <definedName name="BO523DE52BFFDA4227A8E78C3E253F130B" hidden="1">#REF!</definedName>
    <definedName name="BO523E151E1B1A4DEDAD3390FF9E08BB41" hidden="1">#REF!</definedName>
    <definedName name="BO5260A82048CC4FADAD92DC55975D9422" hidden="1">#REF!</definedName>
    <definedName name="BO526E08859F644BE480E6EA86F7851C8C" hidden="1">#REF!</definedName>
    <definedName name="BO528E13D4C0DB4D2F959E2E0AE4BF6A43" hidden="1">#REF!</definedName>
    <definedName name="BO52BE609CECE24F668D2E97E40E865353" hidden="1">#REF!</definedName>
    <definedName name="BO52D5C0A0C34646D0A9DBF31C7B4681BE" hidden="1">#REF!</definedName>
    <definedName name="BO53076DABED03457BA1A6CC7DE8E548B8" hidden="1">#REF!</definedName>
    <definedName name="BO531951EF37274BB4BA6B253AABF3B259" hidden="1">#REF!</definedName>
    <definedName name="BO531F40EBDFD2499781D4ACD8FBBC913E" hidden="1">#REF!</definedName>
    <definedName name="BO5325677A58DD4E678732C8AB1BFC801A" hidden="1">#REF!</definedName>
    <definedName name="BO53388E846AC947EB99E66A4CCDCEDD27" hidden="1">#REF!</definedName>
    <definedName name="BO535460E4AB39414AB1F623062720C048" hidden="1">#REF!</definedName>
    <definedName name="BO537518734AB84AB49EB5AAA63CCE1585" hidden="1">#REF!</definedName>
    <definedName name="BO53795B0958F44E0282061BA77BFBA6DD" hidden="1">#REF!</definedName>
    <definedName name="BO53A13D7951334900A0A1A872901E57A2" hidden="1">#REF!</definedName>
    <definedName name="BO53AB5D3CCB4A413EA144664C99503047" hidden="1">#REF!</definedName>
    <definedName name="BO53C1AD7020A246D19C492B988C284605" hidden="1">#REF!</definedName>
    <definedName name="BO53EB7E26F34145258939F9D27853A768" hidden="1">#REF!</definedName>
    <definedName name="BO53FC468444E242A794DB77EB7D6A0B1D" hidden="1">#REF!</definedName>
    <definedName name="BO53FD180040484DF9AD12C0F43F525431" hidden="1">#REF!</definedName>
    <definedName name="BO54170C69A5B443B9A46A563B24D7A02A" hidden="1">#REF!</definedName>
    <definedName name="BO541B429733D9464BAA0F472DC5A390A6" hidden="1">#REF!</definedName>
    <definedName name="BO5428BC2AC15245C392FAD48AC0E1D1D3" hidden="1">#REF!</definedName>
    <definedName name="BO54379D2A778B4EDC8D666466E7F51442" hidden="1">#REF!</definedName>
    <definedName name="BO547D617DA19944FD9F05968F08E6D309" hidden="1">#REF!</definedName>
    <definedName name="BO5480837E22434DED90AE7C00C082A9A1" hidden="1">#REF!</definedName>
    <definedName name="BO5484F71A0B8B45979B9D569008231679" hidden="1">#REF!</definedName>
    <definedName name="BO54966A0B410A4295A1BBC4E266509877" hidden="1">#REF!</definedName>
    <definedName name="BO54BC5EA573944120A2762F060194BA1E" hidden="1">#REF!</definedName>
    <definedName name="BO54DB55663F334C03B8ADD851DEA5C745" hidden="1">#REF!</definedName>
    <definedName name="BO54E8BAC9CCCE44BC963133C9AE4B630A" hidden="1">#REF!</definedName>
    <definedName name="BO5507E6215F3F4FC097A3E11986F2AC10" hidden="1">#REF!</definedName>
    <definedName name="BO550B27D935D4459DBAD38DC3153E9204" hidden="1">#REF!</definedName>
    <definedName name="BO55240D5E45B04FAE87A19DEA34A4CC05" hidden="1">#REF!</definedName>
    <definedName name="BO553136AC6422422C818B96B66C2C3990" hidden="1">#REF!</definedName>
    <definedName name="BO555B1633F11C47E89A1801F074518A32" hidden="1">#REF!</definedName>
    <definedName name="BO5567A7BED87F42A9B8315385DA7E9968" hidden="1">#REF!</definedName>
    <definedName name="BO556F9D67D63B485490BE4A5B2DAA0424" hidden="1">#REF!</definedName>
    <definedName name="BO5573662C4A00410AA097D755481BE91F" hidden="1">#REF!</definedName>
    <definedName name="BO560251BCD11740889928CA8EA1D6C8BB" hidden="1">#REF!</definedName>
    <definedName name="BO5625EF84032E4129A4F1C26C707CB6A3" hidden="1">#REF!</definedName>
    <definedName name="BO563FCE97DF97426EB7D91F44C76515D6" hidden="1">#REF!</definedName>
    <definedName name="BO56511C056B644925BB9E09A5CE15BBF3" hidden="1">#REF!</definedName>
    <definedName name="BO565771992FE84D6C9DDDD43E6049AEA8" hidden="1">#REF!</definedName>
    <definedName name="BO569A5FBFD6F24C0C8A17193DE8B0987E" hidden="1">#REF!</definedName>
    <definedName name="BO56C93C031ADA4A8CB9AA79E06B808B71" hidden="1">#REF!</definedName>
    <definedName name="BO56DC94197E294360B6A59153FF03457A" hidden="1">#REF!</definedName>
    <definedName name="BO56E22477476841508EDA127C8CFBE0CB" hidden="1">#REF!</definedName>
    <definedName name="BO57492025E3734968B443F2156F6E5611" hidden="1">#REF!</definedName>
    <definedName name="BO57544A4DD8D040EE8060E1C9E846EC7F" hidden="1">#REF!</definedName>
    <definedName name="BO575F08F36F1744AB9596B19069D05C38" hidden="1">#REF!</definedName>
    <definedName name="BO578F669344B943B2ACBCC36BC4A76D24" hidden="1">#REF!</definedName>
    <definedName name="BO5799DF1DC6FF4B2DB3252E6FB0A0F139" hidden="1">#REF!</definedName>
    <definedName name="BO57A6BD4AE8E243E494577EAD1CBE5386" hidden="1">#REF!</definedName>
    <definedName name="BO57B95B501F9743B1975E90BCF4891783" hidden="1">#REF!</definedName>
    <definedName name="BO57D32E0CD41A495289CBDB65D3B5BAA9" hidden="1">#REF!</definedName>
    <definedName name="BO57E3E16B3039468C918A2851F2906987" hidden="1">#REF!</definedName>
    <definedName name="BO57FDDF1F6FFB4E55A7F2E13CB281DAF1" hidden="1">#REF!</definedName>
    <definedName name="BO581F7C20F3F0407099EF769043553AFA" hidden="1">#REF!</definedName>
    <definedName name="BO583B69D2114749F5A55CE9DF13098368" hidden="1">#REF!</definedName>
    <definedName name="BO583C6F5C29CF4F41A54EA713AA1355F6" hidden="1">#REF!</definedName>
    <definedName name="BO58B0760CD8F245CEA3CCE06D7CF1481E" hidden="1">#REF!</definedName>
    <definedName name="BO58B56024014C4E80B3014C3EBF2F4731" hidden="1">#REF!</definedName>
    <definedName name="BO58C0409804204ACC886A26B469A98FCA" hidden="1">#REF!</definedName>
    <definedName name="BO58C4AC72229D4A05A6B102FC5BA2C9B0" hidden="1">#REF!</definedName>
    <definedName name="BO58CB515C808C48BEBC52F4E8A8B10863" hidden="1">#REF!</definedName>
    <definedName name="BO58F664DD369B413BBE0AA6C680221346" hidden="1">#REF!</definedName>
    <definedName name="BO590F0D7F6F8D46C29B2EED8932DD87BD" hidden="1">#REF!</definedName>
    <definedName name="BO592E3D457DC3430DB54EBC54823DCBC4" hidden="1">#REF!</definedName>
    <definedName name="BO59384E7DCDEE4351A4263865DC557B5A" hidden="1">#REF!</definedName>
    <definedName name="BO593C02F3586C400B9C127B9BEFF5A3A3" hidden="1">#REF!</definedName>
    <definedName name="BO594059A6BB774C32931101FDBA9AA2A6" hidden="1">#REF!</definedName>
    <definedName name="BO594A5066E3D64A9B96E87EEE60E35000" hidden="1">#REF!</definedName>
    <definedName name="BO5956D9BCE4364C56A9714DB73C6D3E8D" hidden="1">#REF!</definedName>
    <definedName name="BO596B387D06DE485CB1426B95E64D527C" hidden="1">#REF!</definedName>
    <definedName name="BO597DDE6E95004F7F9C963613977B9F66" hidden="1">#REF!</definedName>
    <definedName name="BO599B6CBC43504E33AD45ECD15A182A0F" hidden="1">#REF!</definedName>
    <definedName name="BO59C567DB691F4B6DB56F5A3F1EBC5DED" hidden="1">#REF!</definedName>
    <definedName name="BO59D768DCFA394415A9FA22D804593B67" hidden="1">#REF!</definedName>
    <definedName name="BO59EABF3D307B40AA89D51822A5BF1DDB" hidden="1">#REF!</definedName>
    <definedName name="BO59FCCD41CD2D4A809251677722F31B4F" hidden="1">#REF!</definedName>
    <definedName name="BO5A3ED020BCED4A83ABA0A0B88F8487AC" hidden="1">#REF!</definedName>
    <definedName name="BO5A6A224EDF754A9C8DAE2269DFAFB953" hidden="1">#REF!</definedName>
    <definedName name="BO5A6ACB3BF5214FB89E5482871875990D" hidden="1">#REF!</definedName>
    <definedName name="BO5A6B60F0E8034ECCBE9A1A4C0EFC6987" hidden="1">#REF!</definedName>
    <definedName name="BO5A81CA1FE8AD4707A0412775188A8DEC" hidden="1">#REF!</definedName>
    <definedName name="BO5ADD7A0B4F8643948793596858585348" hidden="1">#REF!</definedName>
    <definedName name="BO5AF15FD77702431BBFEC3BE53FAFC51F" hidden="1">#REF!</definedName>
    <definedName name="BO5B17EB1DC2314204AAAB4C10CD014779" hidden="1">#REF!</definedName>
    <definedName name="BO5B20057ECFD04152B0F8766338210D8E" hidden="1">#REF!</definedName>
    <definedName name="BO5B27E855FA5040EB86FED41A3DE59A24" hidden="1">#REF!</definedName>
    <definedName name="BO5B2C521B9D9A42D49C89CDF8F4742308" hidden="1">#REF!</definedName>
    <definedName name="BO5B3F6E178E114DF088F00C8568A47DBA" localSheetId="16" hidden="1">#REF!,#REF!,#REF!</definedName>
    <definedName name="BO5B3F6E178E114DF088F00C8568A47DBA" hidden="1">#REF!,#REF!,#REF!</definedName>
    <definedName name="BO5B4F0CF744DC4B488CF71D96F8AA06B0" hidden="1">#REF!</definedName>
    <definedName name="BO5B52615A450A4CC1B8803DBA2D89031C" hidden="1">#REF!</definedName>
    <definedName name="BO5B6647E500B64C49A067CFE98195A323" hidden="1">#REF!</definedName>
    <definedName name="BO5B9CA8ABC9A346AEA3B9F7CB5CF6A740" hidden="1">#REF!</definedName>
    <definedName name="BO5BB0B277A3394326AFBAAAF6450E4E42" hidden="1">#REF!</definedName>
    <definedName name="BO5BB90F35827F4C8CB35EB5880E3DFBF5" hidden="1">#REF!</definedName>
    <definedName name="BO5BC31258B8F8431DBC9B1836B8016102" hidden="1">#REF!</definedName>
    <definedName name="BO5BD8EB8E62ED48D6BA69F65CED12804D" hidden="1">#REF!</definedName>
    <definedName name="BO5BE732993B4846D58B3911D46AD6038D" hidden="1">#REF!</definedName>
    <definedName name="BO5C6AE5D18D554D7E8159E2BAE8FA382F" hidden="1">#REF!</definedName>
    <definedName name="BO5C73CAE6A2834A4B94D14E18B48EAF16" hidden="1">#REF!</definedName>
    <definedName name="BO5C8124D2D9FB4EAAB76560D5A15737B8" hidden="1">#REF!</definedName>
    <definedName name="BO5C902D60CF47456FA169B1087280482B" hidden="1">#REF!</definedName>
    <definedName name="BO5C920D0B5B1345BABC2366B7DA1C5E25" hidden="1">#REF!</definedName>
    <definedName name="BO5C93DD374DC2423B967014357CA2D571" hidden="1">#REF!</definedName>
    <definedName name="BO5CDE450990984959AE300DAC644A2FF4" hidden="1">#REF!</definedName>
    <definedName name="BO5D05E09EECF5457DA33727FC8D15191F" hidden="1">#REF!</definedName>
    <definedName name="BO5D3A29F492374C6C925AC1A20ED66BEB" hidden="1">#REF!</definedName>
    <definedName name="BO5D45774D31BA47B8AE1E174DE6B88DC5" hidden="1">#REF!</definedName>
    <definedName name="BO5D46C9AD71BC4FDD877EA97718D4BBE9" hidden="1">#REF!</definedName>
    <definedName name="BO5D5F2491E93B4AA3B9D27F259616BD98" hidden="1">#REF!</definedName>
    <definedName name="BO5D9DFDE61A224480A6661F17796BBA5F" hidden="1">#REF!</definedName>
    <definedName name="BO5DBC1413A4EF4004B35971E058515E30" hidden="1">#REF!</definedName>
    <definedName name="BO5DCAB14EFA5C4FE3BFD9A86392942047" hidden="1">#REF!</definedName>
    <definedName name="BO5DFCB56992D44322ADC1421A3B901C42" hidden="1">#REF!</definedName>
    <definedName name="BO5DFF17F65E144CB0837C415C67612916" hidden="1">#REF!</definedName>
    <definedName name="BO5E15162F9C004ABAA5599FEAD7B0B618" hidden="1">#REF!</definedName>
    <definedName name="BO5E3AEC809E10421B846FB0743CBC6A3D" hidden="1">#REF!</definedName>
    <definedName name="BO5E3D11B36BB24ABE9E39A8B7C3313197" hidden="1">#REF!</definedName>
    <definedName name="BO5E543CAB34A54B94A48D330415EE4DD1" hidden="1">#REF!</definedName>
    <definedName name="BO5E6433AEBB09449AAB690755E35CE034" hidden="1">#REF!</definedName>
    <definedName name="BO5E6F18A1750D4760B7498A21B6D88CA2" hidden="1">#REF!</definedName>
    <definedName name="BO5EABBF3BF19F4A4A85944C3DAEA4DB28" hidden="1">#REF!</definedName>
    <definedName name="BO5EB0027199674D819EBA32CE0557D9DA" hidden="1">#REF!</definedName>
    <definedName name="BO5EB3A4D52BE74C6EAB70B27B3AF53D6A" hidden="1">#REF!</definedName>
    <definedName name="BO5EB64E23C1AF448B84C2883AC71C22E3" hidden="1">#REF!</definedName>
    <definedName name="BO5EBBE63C669F462BAFB60AE49A5A162A" hidden="1">#REF!</definedName>
    <definedName name="BO5ED9A67CB86A47D68BB8537766EF330A" hidden="1">#REF!</definedName>
    <definedName name="BO5EFD84FDD9014E5C905F42675B5FBB6D" hidden="1">#REF!</definedName>
    <definedName name="BO5EFF581C31E94D0B9DC78606248B24D7" hidden="1">#REF!</definedName>
    <definedName name="BO5F0E4A5C4627496F99950E09FB952717" hidden="1">#REF!</definedName>
    <definedName name="BO5F169185BC3A43F783223A4E39E97CA7" hidden="1">#REF!</definedName>
    <definedName name="BO5F183ECE0B6F4CD582CE8D75DE8E61A1" hidden="1">#REF!</definedName>
    <definedName name="BO5F3A3B097B6E405593E1AEEA4240D978" hidden="1">#REF!</definedName>
    <definedName name="BO5F459209386748FDB50D8C98E6A67013" hidden="1">#REF!</definedName>
    <definedName name="BO5F4D61EC1AC0466F99DDD0262E888D3D" hidden="1">#REF!</definedName>
    <definedName name="BO5F7BA0B96A7C4F7A90ACFCB804B8F5F2" hidden="1">#REF!</definedName>
    <definedName name="BO5F905E63F3BB424BB231F0911BD9D24C" hidden="1">#REF!</definedName>
    <definedName name="BO5F92419A2B2042A88CF6F07560803C22" hidden="1">#REF!</definedName>
    <definedName name="BO5FA9FE156258454F97E163543A3F3899" hidden="1">#REF!</definedName>
    <definedName name="BO5FC82D2B3FCB499BAA5955760CB32BD2" hidden="1">#REF!</definedName>
    <definedName name="BO5FD18E77AE8647D2B1214CC539C6DD9C" hidden="1">#REF!</definedName>
    <definedName name="BO603BD3EE00A0424498DAF2F7E091225B" hidden="1">#REF!</definedName>
    <definedName name="BO604736B173DB48DA8E4B59C73C561390" hidden="1">#REF!</definedName>
    <definedName name="BO60496C515CE8453080E955E01CE46F24" hidden="1">#REF!</definedName>
    <definedName name="BO604C0B294184428DB9B66E0FCEDFD21D" hidden="1">#REF!</definedName>
    <definedName name="BO607D9A60550B4FA7A677D228FC06A7CB" hidden="1">#REF!</definedName>
    <definedName name="BO60BD75B8DBEA4387803CB4AFC1DE479F" hidden="1">#REF!</definedName>
    <definedName name="BO613F759C26A74335BB3EF9023610D70E" hidden="1">#REF!</definedName>
    <definedName name="BO615909B743C44F0A96BD891389726A2E" hidden="1">#REF!</definedName>
    <definedName name="BO615D15D8CAE34558B13E3F0CC5844365" hidden="1">#REF!</definedName>
    <definedName name="BO616BD729B62B4825946A716B2C525B15" hidden="1">#REF!</definedName>
    <definedName name="BO61724CCC0F794E86A985D3AADDC1FA83" hidden="1">#REF!</definedName>
    <definedName name="BO617494DDEDE24BE9B3FA2D5E1CC6872A" hidden="1">#REF!</definedName>
    <definedName name="BO6176C8ADB7DA45CAB2379E250E1F35F3" hidden="1">#REF!</definedName>
    <definedName name="BO61939F664A7B4148A014D08C0F83009E" hidden="1">#REF!</definedName>
    <definedName name="BO61BF0D9724194D4B90626961658132AD" hidden="1">#REF!</definedName>
    <definedName name="BO61C4C9B3A4784662A302783044378B55" hidden="1">#REF!</definedName>
    <definedName name="BO6236A60D4B464EC6987D2DC453EEDD17" hidden="1">#REF!</definedName>
    <definedName name="BO6255D22CCF4A48E2927E16A99513F380" hidden="1">#REF!</definedName>
    <definedName name="BO6259BB8601F74518B211D5FED555AD9C" hidden="1">#REF!</definedName>
    <definedName name="BO627607EF9B44464A878AD3A742DE38FE" hidden="1">#REF!</definedName>
    <definedName name="BO62A1E4942FED470D874ED59DCC2A4AA5" hidden="1">#REF!</definedName>
    <definedName name="BO62A400A078E0451CB6563EF81DF7EB35" hidden="1">#REF!</definedName>
    <definedName name="BO62D36540D0034AA48DE063297A413BDD" hidden="1">#REF!</definedName>
    <definedName name="BO62EA898CF22D44DF8EF3BDDF92CB0D5D" hidden="1">#REF!</definedName>
    <definedName name="BO632F30B76259416E8B4AABED4E04E9C1" hidden="1">#REF!</definedName>
    <definedName name="BO63342495192B4BB3926FE91DBC7CDF80" hidden="1">#REF!</definedName>
    <definedName name="BO6343DE6C7B704817A0546885E051A1D6" hidden="1">#REF!</definedName>
    <definedName name="BO634873F74EAC469682BBECE9867D6B58" hidden="1">#REF!</definedName>
    <definedName name="BO63594AD2F89C441C93AEE7BA06352B19" hidden="1">#REF!</definedName>
    <definedName name="BO63E38032E3F644E4BB42E4B51865F168" hidden="1">#REF!</definedName>
    <definedName name="BO63EA90CDEA784E94B8AFC4EC8E6D4E1D" hidden="1">#REF!</definedName>
    <definedName name="BO63EB694AE718408AAD85F588618E2E06" hidden="1">#REF!</definedName>
    <definedName name="BO63ED429219D8463DABEF3E421AFA5D2E" hidden="1">#REF!</definedName>
    <definedName name="BO64159BC2B6EB41A7AEDE3EC6A5A731B5" hidden="1">#REF!</definedName>
    <definedName name="BO6423233F3D194C0D8979ED4AE7B7CDB9" hidden="1">#REF!</definedName>
    <definedName name="BO6423CEBDDD0A412CBBFAAB3898A9206F" hidden="1">#REF!</definedName>
    <definedName name="BO6432D82A7F18425BBB54846393D2B2B6" hidden="1">#REF!</definedName>
    <definedName name="BO6433583BE03A4C8795312841BAC5EF1E" hidden="1">#REF!</definedName>
    <definedName name="BO643487FBABFD47D1B9671E6FF468E5ED" hidden="1">#REF!</definedName>
    <definedName name="BO6439C973EC234BA5ACB68AB3BE50D62B" hidden="1">#REF!</definedName>
    <definedName name="BO645EE44B4E7D4700B1DFD7503111F62B" hidden="1">#REF!</definedName>
    <definedName name="BO6462179A1619417A83A9792363E455E4" hidden="1">#REF!</definedName>
    <definedName name="BO6469F20DC373405B993702B81D5913A5" hidden="1">#REF!</definedName>
    <definedName name="BO6483DEE8FC8B40C7B8F594FC1921C0AB" hidden="1">#REF!</definedName>
    <definedName name="BO64859DECF7D341928F046D284A3663C8" hidden="1">#REF!</definedName>
    <definedName name="BO6497356C7659467F83DE769F74DB2C5F" hidden="1">#REF!</definedName>
    <definedName name="BO64B9D18A339B4E82BEB117EFBA715E4B" hidden="1">#REF!</definedName>
    <definedName name="BO64DD43D1C5F943F18128ECE58B8A02BC" hidden="1">#REF!</definedName>
    <definedName name="BO64F2C7DDE0A34E8BB903ADDBBF23AFA9" hidden="1">#REF!</definedName>
    <definedName name="BO650C13AE83C343EBACC8BB1D5111021D" hidden="1">#REF!</definedName>
    <definedName name="BO6532AD466881482590E03ADF20DC051D" hidden="1">#REF!</definedName>
    <definedName name="BO653AC79F78084F98BF30F3686F64DB4D" hidden="1">#REF!</definedName>
    <definedName name="BO6544D5D30FE94C7893711F5903A3B5D9" hidden="1">#REF!</definedName>
    <definedName name="BO6575576B73CA4712BEFB29A3A9A228F9" hidden="1">#REF!</definedName>
    <definedName name="BO65A8281E60C44053BCA2C62905C7294C" hidden="1">#REF!</definedName>
    <definedName name="BO65AF0ADBEA604FABB6F823015E2A0312" hidden="1">#REF!</definedName>
    <definedName name="BO65BA49055D564A788303C1D5B6B70FAE" hidden="1">#REF!</definedName>
    <definedName name="BO65D4C34990C749D99149EFB3442902EC" hidden="1">#REF!</definedName>
    <definedName name="BO65D9F3B0FD514C85A62029A7AF689E83" hidden="1">#REF!</definedName>
    <definedName name="BO66029D8B1A41481A90060C3EA1F21888" hidden="1">#REF!</definedName>
    <definedName name="BO660F27E76F2743E0A9CA43DB71AE88AD" hidden="1">#REF!</definedName>
    <definedName name="BO662440E41F1741A2A2721ECCCA48BE17" hidden="1">#REF!</definedName>
    <definedName name="BO6627790CD7274958AD09391A717C7A39" hidden="1">#REF!</definedName>
    <definedName name="BO662B6CEAD0AF4B30B7CBEFE678A5085C" hidden="1">#REF!</definedName>
    <definedName name="BO664A2099EDCA4D7DBF42D984D09C77F0" hidden="1">#REF!</definedName>
    <definedName name="BO666B53C5597A48199D7B652E49ACE44D" hidden="1">#REF!</definedName>
    <definedName name="BO667A065EC72B4C18B71122F74A6AA78A" hidden="1">#REF!</definedName>
    <definedName name="BO66986FCDE027458FA62A037F00F43F61" hidden="1">#REF!</definedName>
    <definedName name="BO66BB94EBB1DA4F5B9588AE37EECDD337" hidden="1">#REF!</definedName>
    <definedName name="BO66CAA06315CE4A0D83632A168E695E98" hidden="1">#REF!</definedName>
    <definedName name="BO66D2B05D857142ADB41334DF2CA1C491" hidden="1">#REF!</definedName>
    <definedName name="BO66ED4AA2CC034116BDB91C024F555558" hidden="1">#REF!</definedName>
    <definedName name="BO66F41CB22A0E4A64B013AF3850EBED07" hidden="1">#REF!</definedName>
    <definedName name="BO670E0CA6E03A4A80B1636E22CFB5D3A8" hidden="1">#REF!</definedName>
    <definedName name="BO67127D65C8B244B5BB412DE17003715D" hidden="1">#REF!</definedName>
    <definedName name="BO671688DCDB4B483A894E29F6D231299E" hidden="1">#REF!</definedName>
    <definedName name="BO67235AAEA53943DA8E3A17FEA2A9CDE9" hidden="1">#REF!</definedName>
    <definedName name="BO672E8FDFBD36414597A72D4B7E94182B" hidden="1">#REF!</definedName>
    <definedName name="BO6739F45E8554427FB54A8E466A8E249A" hidden="1">#REF!</definedName>
    <definedName name="BO6749F6A4197B4D6E9187ADBD4C6D3E9A" hidden="1">#REF!</definedName>
    <definedName name="BO67533EA6D04240D48B3A9395CDECDB8D" hidden="1">#REF!</definedName>
    <definedName name="BO67D49399466648019AA41AA9784A31C6" hidden="1">#REF!</definedName>
    <definedName name="BO67E874D176F9487AB65D8ED364F1979D" hidden="1">#REF!</definedName>
    <definedName name="BO680A36C2E43E4245934EE681ECC82FC1" hidden="1">#REF!</definedName>
    <definedName name="BO68175D75669744F7AF9A63EEA9BB3D66" hidden="1">#REF!</definedName>
    <definedName name="BO682A4AEBA1664BAAADB94A3FAC074D26" hidden="1">#REF!</definedName>
    <definedName name="BO684ADD0D089040709774B5CFD2C3443B" hidden="1">#REF!</definedName>
    <definedName name="BO6875B76CC8C447C0B62021C394829A61" hidden="1">#REF!</definedName>
    <definedName name="BO6877ECFB96CD4021B816A19E43C7EA90" hidden="1">#REF!</definedName>
    <definedName name="BO6885C2074E0345E486028EA8690C5A58" hidden="1">#REF!</definedName>
    <definedName name="BO68983402BEF841C6A14B8790F2BB14F3" hidden="1">#REF!</definedName>
    <definedName name="BO68A52EDB58B047EBAB692AD4AD9092B4" hidden="1">#REF!</definedName>
    <definedName name="BO68B5D0347A3B4C45B93128A49F2C24BC" hidden="1">#REF!</definedName>
    <definedName name="BO68CBB64A056C4E64BB288A7CB4A517C5" hidden="1">#REF!</definedName>
    <definedName name="BO68D12A85E19F4B13A5B938E85DFDE2C3" hidden="1">#REF!</definedName>
    <definedName name="BO68E69B5C80AA460C8EB65FD70C065684" hidden="1">#REF!</definedName>
    <definedName name="BO6918ADAA8D3B4DDAB0A5DA0166130D2D" hidden="1">#REF!</definedName>
    <definedName name="BO693117EFAD7746E0A2E0AED86126C5BC" hidden="1">#REF!</definedName>
    <definedName name="BO6932CE89466A4A42B78148CFA7240123" hidden="1">#REF!</definedName>
    <definedName name="BO693FC971D6ED4A55A86888919A9DB0CF" hidden="1">#REF!</definedName>
    <definedName name="BO696156486CFD4840B0BCEC1EFF93B48D" hidden="1">#REF!</definedName>
    <definedName name="BO69AA4ECF12B044EEAFD9A73AA05E9DD3" hidden="1">#REF!</definedName>
    <definedName name="BO69B6C97168F643EBAEAF15C4252B386D" hidden="1">#REF!</definedName>
    <definedName name="BO69BB0513E70142D1A0A910E1E9902F95" hidden="1">#REF!</definedName>
    <definedName name="BO69BDD9E0EAF141A0AE757EC95ED2148A" hidden="1">#REF!</definedName>
    <definedName name="BO69C80D35123349E5BF90B92945C649EC" hidden="1">#REF!</definedName>
    <definedName name="BO69CD81248F9B4AA3802DF8219F9F278E" hidden="1">#REF!</definedName>
    <definedName name="BO69D2D572C628441A9870809362A4640F" hidden="1">#REF!</definedName>
    <definedName name="BO69E3955CB2274252BFEEB4D5CEFF48BD" hidden="1">#REF!</definedName>
    <definedName name="BO69EFFF11C1D64A69977193D988175ABD" hidden="1">#REF!</definedName>
    <definedName name="BO69FC4A14559D4FC7A82396779DCCF87F" hidden="1">#REF!</definedName>
    <definedName name="BO6A0F97D1C1E44CB5AF6CF13D3CFF16C9" hidden="1">#REF!</definedName>
    <definedName name="BO6A3DDA6506544E82B855C0D104B49B31" hidden="1">#REF!</definedName>
    <definedName name="BO6A5FD84F6F2D4ACA986DAF8954370CFC" hidden="1">#REF!</definedName>
    <definedName name="BO6A6A105B80F247498AEB7B7C2424902B" hidden="1">#REF!</definedName>
    <definedName name="BO6A75FD17C5F84A5B895D0872AAC774EA" hidden="1">#REF!</definedName>
    <definedName name="BO6ABD9CCC4D25488E99F8208B897C4684" hidden="1">#REF!</definedName>
    <definedName name="BO6AD23BDF244147F8AF7DA4DDD31EE46C" hidden="1">#REF!</definedName>
    <definedName name="BO6ADA4A7B015A47E48CE18453C09A9A28" hidden="1">#REF!</definedName>
    <definedName name="BO6AF477B638E44E20A0BD692E64AEB6F0" hidden="1">#REF!</definedName>
    <definedName name="BO6B2CF716FD1A4BC3928BCB0EC72E3B0D" hidden="1">#REF!</definedName>
    <definedName name="BO6B633C7623204F9094615B141A8633A2" hidden="1">#REF!</definedName>
    <definedName name="BO6B71F895F44643F6AAD789C645D0E8E0" hidden="1">#REF!</definedName>
    <definedName name="BO6B9278E652164F859465D5128E6C2661" hidden="1">#REF!</definedName>
    <definedName name="BO6B9770CD5DD64888A71AF866E1317654" hidden="1">#REF!</definedName>
    <definedName name="BO6B97BB91ACFB4324BA4CFC955A81ADAA" hidden="1">#REF!</definedName>
    <definedName name="BO6BC86BAA41A547468F6E9AD7931F5287" hidden="1">#REF!</definedName>
    <definedName name="BO6BCCBE0EB9B748A89BDEE5D538ACCDED" hidden="1">#REF!</definedName>
    <definedName name="BO6BCFA7C129A2467E97E597A5147106E1" hidden="1">#REF!</definedName>
    <definedName name="BO6BD7D8156ED44891A5AF1DABF35D4404" hidden="1">#REF!</definedName>
    <definedName name="BO6C05F334454F41C8B0B3678171CEC732" hidden="1">#REF!</definedName>
    <definedName name="BO6C082E03050E482090B01D3CEE896CE6" hidden="1">#REF!</definedName>
    <definedName name="BO6C32A595014942B9A3831CB8C8F5E2EA" hidden="1">#REF!</definedName>
    <definedName name="BO6C68BCC504F8443F856209C9C3C616C1" hidden="1">#REF!</definedName>
    <definedName name="BO6C8F4C54FA22481EA25C9A6E14DB3EE0" hidden="1">#REF!</definedName>
    <definedName name="BO6CA34BCFD336480891D464857FAA1BFF" hidden="1">#REF!</definedName>
    <definedName name="BO6CAC87F339424FCBA71C90521188D9F3" hidden="1">#REF!</definedName>
    <definedName name="BO6D170E9FBADE4FC38A06EEAB1545E1EA" hidden="1">#REF!</definedName>
    <definedName name="BO6D216F35BD0F4066AC051FA2D670BD8D" hidden="1">#REF!</definedName>
    <definedName name="BO6D36F5B3B1B24C41BA7F9A26F47F6E6F" hidden="1">#REF!</definedName>
    <definedName name="BO6D446ED435C340BBB7D6E1DABF2612F9" hidden="1">#REF!</definedName>
    <definedName name="BO6D48B3A216EA475B9802212D00F2F43D" hidden="1">#REF!</definedName>
    <definedName name="BO6E20ACC79B454036B34808A961B58196" hidden="1">#REF!</definedName>
    <definedName name="BO6E21344F47774A6EB1FA9F73B7BD2423" hidden="1">#REF!</definedName>
    <definedName name="BO6E2C21D508264F6B8B5C46A44C349884" hidden="1">#REF!</definedName>
    <definedName name="BO6E3F7562572A4DBB9CCB8552A974008A" hidden="1">#REF!</definedName>
    <definedName name="BO6E525CCAF5C14CE58AA18850F7DD1E07" hidden="1">#REF!</definedName>
    <definedName name="BO6EAC14737525425DB3D048A74D3C2555" hidden="1">#REF!</definedName>
    <definedName name="BO6EB9FF4451774C2DB2F4D3926A2E04F6" hidden="1">#REF!</definedName>
    <definedName name="BO6EDC325F257E4ED6ACC7EAE5B7ACFF4E" hidden="1">#REF!</definedName>
    <definedName name="BO6EFECEF948934EE8B681373562125C2A" hidden="1">#REF!</definedName>
    <definedName name="BO6F1385820D1146F59BF8E33FCC8B729C" hidden="1">#REF!</definedName>
    <definedName name="BO6F1609D75ECD4FF6BC0FF6228940675C" hidden="1">#REF!</definedName>
    <definedName name="BO6F1E1F5F203B44BC9BB6CFF0E412E2D8" hidden="1">#REF!</definedName>
    <definedName name="BO6F28430159734749B88F699C86A3550B" hidden="1">#REF!</definedName>
    <definedName name="BO6F3A5D1BC4944DBFBC8CE1F552DF33DA" hidden="1">#REF!</definedName>
    <definedName name="BO6F5267EB45D64C5F926243284B69BCA6" hidden="1">#REF!</definedName>
    <definedName name="BO6F536741FBB948678BFEC393C691E5D5" hidden="1">#REF!</definedName>
    <definedName name="BO6F70F171E044490BBAE91DB164C68637" hidden="1">#REF!</definedName>
    <definedName name="BO6F7397E62F854ABC9A4B8569B35A4877" hidden="1">#REF!</definedName>
    <definedName name="BO6F876995575C4527A03B04DA744B73FB" hidden="1">#REF!</definedName>
    <definedName name="BO6FA06320574E4113A9F484A352C77D5F" hidden="1">#REF!</definedName>
    <definedName name="BO6FA2D2E1C86D45A9AAD071B3BB6FAF17" hidden="1">#REF!</definedName>
    <definedName name="BO6FA69CEBBC6742018331746C19B43A60" hidden="1">#REF!</definedName>
    <definedName name="BO6FC7AAE6DE0245BF93272BB56E0A78F5" hidden="1">#REF!</definedName>
    <definedName name="BO6FC857D8CD534A2BBA93AA618401DDF0" hidden="1">#REF!</definedName>
    <definedName name="BO6FDA6E7D206B4B7B81E7695256A17B10" hidden="1">#REF!</definedName>
    <definedName name="BO6FED0E09E17C44269179A5BC3F6CC318" hidden="1">#REF!</definedName>
    <definedName name="BO700D962BEB2C4A76B4DB1654681DB4D5" hidden="1">#REF!</definedName>
    <definedName name="BO703AED9A8E984D3DB066D87D9CC0AAF8" hidden="1">#REF!</definedName>
    <definedName name="BO7051D964B75444359686A6D8EA8EE8AB" hidden="1">#REF!</definedName>
    <definedName name="BO705CF1DFE0DE4D389EF730530C15C154" hidden="1">#REF!</definedName>
    <definedName name="BO7061C029DB7E4C3CB5AA4DDE2460392C" hidden="1">#REF!</definedName>
    <definedName name="BO7094E562A1184812844CD42EA41E280A" hidden="1">#REF!</definedName>
    <definedName name="BO70B2AA6445EA47EDB7786D6CD3A62236" hidden="1">#REF!</definedName>
    <definedName name="BO70BDCDFEA7D14BD68ED91DF4F317EEA2" hidden="1">#REF!</definedName>
    <definedName name="BO70ECA966E29F418D9D52FC442E1E8353" hidden="1">#REF!</definedName>
    <definedName name="BO7106DC84060C4E658091D86955D71B96" hidden="1">#REF!</definedName>
    <definedName name="BO71325101CDD14BD4847E605FB812E00E" hidden="1">#REF!</definedName>
    <definedName name="BO71392F77D91448CF871C0C981693FA2E" hidden="1">#REF!</definedName>
    <definedName name="BO713ED7417A1C4961A087E5B2B6BF355D" hidden="1">#REF!</definedName>
    <definedName name="BO7193371CFD16425AA21553D11A0FB8E3" hidden="1">#REF!</definedName>
    <definedName name="BO71A1222E47594EE5868DB4CC220999C8" hidden="1">#REF!</definedName>
    <definedName name="BO71B3C99DBD0646128A15EEAB772F5CED" hidden="1">#REF!</definedName>
    <definedName name="BO71B62A503F0F4126B139358A87402C5F" hidden="1">#REF!</definedName>
    <definedName name="BO71CBB851E18B4919B08BECFF7D168564" hidden="1">#REF!</definedName>
    <definedName name="BO71D22361E628411D99E583D71033DC8A" hidden="1">#REF!</definedName>
    <definedName name="BO71E3CA1F3102488E93395246AD1ED12F" hidden="1">#REF!</definedName>
    <definedName name="BO71E95B7CDEEB417C88423FBD234F13B1" hidden="1">#REF!</definedName>
    <definedName name="BO71F834AEB5174A799F92A83D02A96630" hidden="1">#REF!</definedName>
    <definedName name="BO720382D08E8E4C7CA64CA1B2D5DF0FB5" hidden="1">#REF!</definedName>
    <definedName name="BO72215A72BC8D474AA13A45CAD99CBE96" hidden="1">#REF!</definedName>
    <definedName name="BO723F3F9D1C9D4E4984DAF709942090DC" hidden="1">#REF!</definedName>
    <definedName name="BO72594168DF2A494A91D06EC22DAB422F" hidden="1">#REF!</definedName>
    <definedName name="BO7279B40C726743AEA1D10F4FDA82E066" hidden="1">#REF!</definedName>
    <definedName name="BO729C7144BF3B410F86A028559201D1BC" hidden="1">#REF!</definedName>
    <definedName name="BO72E529392E8C430F8DEA197B49A0A5F6" hidden="1">#REF!</definedName>
    <definedName name="BO72E60F5DCCF74F1B93CFA3ADB443A3E4" hidden="1">#REF!</definedName>
    <definedName name="BO7307D59A4B214EAE86562607C85423E4" hidden="1">#REF!</definedName>
    <definedName name="BO733E15FC2902430994339FF32CD32B87" hidden="1">#REF!</definedName>
    <definedName name="BO73C8D12805554866BDCFE518BBA0B179" hidden="1">#REF!</definedName>
    <definedName name="BO73D5E3CE0DB6414399F7EE6D4D82A5D9" hidden="1">#REF!</definedName>
    <definedName name="BO740BD9ACD53D4068A50D01FBE388B184" hidden="1">#REF!</definedName>
    <definedName name="BO745C72726784433CA2465633D103E307" hidden="1">#REF!</definedName>
    <definedName name="BO747581AAE69340A3AA55D7E0E33F3BD2" hidden="1">#REF!</definedName>
    <definedName name="BO74850815E6B1496FB74F7BD6E50A4B3F" hidden="1">#REF!</definedName>
    <definedName name="BO748A034528AC408E83941B792E8FA572" hidden="1">#REF!</definedName>
    <definedName name="BO74E54C7D3DB246FD92CE6991D9B2A618" hidden="1">#REF!</definedName>
    <definedName name="BO74EBB284B6E44D8F991552BD3F66BCEE" hidden="1">#REF!</definedName>
    <definedName name="BO74F61FD7579A48E9B280208A620C9635" hidden="1">#REF!</definedName>
    <definedName name="BO74FB646248E345A29000CB6D66A465DD" hidden="1">#REF!</definedName>
    <definedName name="BO751BB62B928C4F22B20A477A18A85A03" hidden="1">#REF!</definedName>
    <definedName name="BO75258E2858A9487EB7D94A55D3F6F8F6" hidden="1">#REF!</definedName>
    <definedName name="BO755BFAF8F1BE47CE93D2E222DC51550B" hidden="1">#REF!</definedName>
    <definedName name="BO75691212455E4A329A200FEED489F25F" hidden="1">#REF!</definedName>
    <definedName name="BO756E3C1445D247469896FA894EC4F005" hidden="1">#REF!</definedName>
    <definedName name="BO7580E6D7B3D94206932D02E17C652894" hidden="1">#REF!</definedName>
    <definedName name="BO759F8AE7EA794C918C72E12E9DCF68A2" hidden="1">#REF!</definedName>
    <definedName name="BO75A2E743AECE46AFA74D486D82926E01" hidden="1">#REF!</definedName>
    <definedName name="BO75ADB4F32A9B4C6B9B23A6F06C77B2FA" hidden="1">#REF!</definedName>
    <definedName name="BO75B1AFE3E773475FB97325EBA97E15D4" hidden="1">#REF!</definedName>
    <definedName name="BO75C4101A9A9A47BE958056E317701004" hidden="1">#REF!</definedName>
    <definedName name="BO75EC821199834E478B5ABFB12B4E254B" hidden="1">#REF!</definedName>
    <definedName name="BO75FF3FD4DDA84CB39C4F91511EB9CE55" hidden="1">#REF!</definedName>
    <definedName name="BO76000B08B14A42FA8E260991624932B5" hidden="1">#REF!</definedName>
    <definedName name="BO760478BC3AC541D48B8B653180858CA8" hidden="1">#REF!</definedName>
    <definedName name="BO7663B46CDF5746FEA8D1B90DAA9D7343" hidden="1">#REF!</definedName>
    <definedName name="BO76AB248C19CA4AC8A89A4E53C9FA6D85" hidden="1">#REF!</definedName>
    <definedName name="BO76C044F1E3A04423B809A94C35FD6957" hidden="1">#REF!</definedName>
    <definedName name="BO76CA88E084EC4A54AEC7CA1F00F2CFC4" hidden="1">#REF!</definedName>
    <definedName name="BO76DA8C49D5AC48959D01ACC0A51323E6" hidden="1">#REF!</definedName>
    <definedName name="BO76DE8D9A64C642A29533096617FC630B" hidden="1">#REF!</definedName>
    <definedName name="BO76E9430E1E124C8E90FE35356FFD4346" hidden="1">#REF!</definedName>
    <definedName name="BO7700E20E746149E291ACCD677C9D0766" hidden="1">#REF!</definedName>
    <definedName name="BO77161466E3A248C6B42360A44488D5EB" hidden="1">#REF!</definedName>
    <definedName name="BO772857C878F74C8EBAC2132A89BCE5D2" hidden="1">#REF!</definedName>
    <definedName name="BO773483D3E1804CA69CB9EBAB8EDF44E2" hidden="1">#REF!</definedName>
    <definedName name="BO7735543194A245FBAB0BB9E8F74851DA" hidden="1">#REF!</definedName>
    <definedName name="BO7764E7B14F1F4E928E4376007F22ABAF" hidden="1">#REF!</definedName>
    <definedName name="BO77723F0E62C44BD3A26ABA5DD53B4F2A" hidden="1">#REF!</definedName>
    <definedName name="BO77A82294730E49ADA1F07FC8F00AA69D" hidden="1">#REF!</definedName>
    <definedName name="BO77CC4968C6FB4AE891D9203BB882D196" hidden="1">#REF!</definedName>
    <definedName name="BO77E21B89C8AB4C31920492CF930D9D60" hidden="1">#REF!</definedName>
    <definedName name="BO77E3BD8340C8474DA7D45CEC71ECC2E7" hidden="1">#REF!</definedName>
    <definedName name="BO780FE6F4A17D423CAAAE5E547813AF83" hidden="1">#REF!</definedName>
    <definedName name="BO7825A254A3284232B88DD51D44537CE6" hidden="1">#REF!</definedName>
    <definedName name="BO78293AB6CE91423691629BC52DBE67C5" hidden="1">#REF!</definedName>
    <definedName name="BO786482A3A5514950BBE4162F7C12A46A" hidden="1">#REF!</definedName>
    <definedName name="BO788ED74ED939412CB753298F77C36E43" hidden="1">#REF!</definedName>
    <definedName name="BO7893E4A0FDDA4DEFB6C87748B1C0D7E5" hidden="1">#REF!</definedName>
    <definedName name="BO78A26449E14A4E0898706C634FB8920A" hidden="1">#REF!</definedName>
    <definedName name="BO78B26688225A431E92C72662FBF21F94" hidden="1">#REF!</definedName>
    <definedName name="BO78C24C51799B48EC9BAD7647746A6F2F" hidden="1">#REF!</definedName>
    <definedName name="BO78CEEB703E4C4D78A579EE8F6D76D929" hidden="1">#REF!</definedName>
    <definedName name="BO7900DBEF3E8C481CB1DBCA63E0704C8E" hidden="1">#REF!</definedName>
    <definedName name="BO796520ECF0BA480DBCDDCB64C9832C4C" hidden="1">#REF!</definedName>
    <definedName name="BO797DA6191F9E43AB8625A5F6351A1609" hidden="1">#REF!</definedName>
    <definedName name="BO798FD8E248DE4C92A7F81EAC0A8F29A7" hidden="1">#REF!</definedName>
    <definedName name="BO79F79C58C8A641CF81752FDEA72C10D9" hidden="1">#REF!</definedName>
    <definedName name="BO7A14BDFD5B2841A8BDFFCCE11C18BE90" hidden="1">#REF!</definedName>
    <definedName name="BO7A3E4B6B1E6246EAA461969DE7AEB47B" hidden="1">#REF!</definedName>
    <definedName name="BO7A56D81323D346BCB253ED202182F14C" hidden="1">#REF!</definedName>
    <definedName name="BO7A67D1A3C2D1457494C925FBF571D683" hidden="1">#REF!</definedName>
    <definedName name="BO7A77E7DD81CB4CC68FEEABE2F3743C94" hidden="1">#REF!</definedName>
    <definedName name="BO7A84B87F8EDA4FDBAFF63724D92A7D16" hidden="1">#REF!</definedName>
    <definedName name="BO7ADAAAF76D5D4F11A1D6DCE52EDC3F0E" hidden="1">#REF!</definedName>
    <definedName name="BO7AECE17A45E947888D280C0A3669697F" hidden="1">#REF!</definedName>
    <definedName name="BO7AF2782FB7104FC28CFE46F4B181C0A8" hidden="1">#REF!</definedName>
    <definedName name="BO7B3F57C7D37A4D9F932F412B50E3A9C5" hidden="1">#REF!</definedName>
    <definedName name="BO7B4C1F4DCA5C4F91BE3808330ED991B4" hidden="1">#REF!</definedName>
    <definedName name="BO7B5705FA795B4415A95726BFE7507495" hidden="1">#REF!</definedName>
    <definedName name="BO7BBECD97126749A5BD63E736BE94A255" hidden="1">#REF!</definedName>
    <definedName name="BO7BC170CD198B41C692619BD0B2829984" hidden="1">#REF!</definedName>
    <definedName name="BO7BFEA2FCFFCB48E5B36F4809D85D5E7B" hidden="1">#REF!</definedName>
    <definedName name="BO7BFF594E1FEE4946BBAF27C54ADD6291" hidden="1">#REF!</definedName>
    <definedName name="BO7C16913B80E24B5DBA9EBB5E5FE3FBBC" hidden="1">#REF!</definedName>
    <definedName name="BO7C47A86CF33C4FCDAA0C54AA65B095A3" hidden="1">#REF!</definedName>
    <definedName name="BO7C4CD6B9E9C044EB9EC6C389774E6C65" hidden="1">#REF!</definedName>
    <definedName name="BO7C4E1B7E876445188B34969A634BA9DA" hidden="1">#REF!</definedName>
    <definedName name="BO7C7DABCD75A7494CA0243D508880E90D" hidden="1">#REF!</definedName>
    <definedName name="BO7CB19D575BA4421B91CCC82C209C8073" hidden="1">#REF!</definedName>
    <definedName name="BO7CB713453E414A90B10F3550A0F253EC" hidden="1">#REF!</definedName>
    <definedName name="BO7D1FDB8727184C13B4570E65F80DC3A8" hidden="1">#REF!</definedName>
    <definedName name="BO7D2EA66DF2E7481DA3B087A68D516C3D" hidden="1">#REF!</definedName>
    <definedName name="BO7D74CA4352B94CADA69060B858A229A7" hidden="1">#REF!</definedName>
    <definedName name="BO7D89FACA725047CB91C9B25626B1B1A8" hidden="1">#REF!</definedName>
    <definedName name="BO7D93C65EB0A44BBF9FCB07C446798A2C" hidden="1">#REF!</definedName>
    <definedName name="BO7DB9636AF6B6464587E05192DDA8F0FA" hidden="1">#REF!</definedName>
    <definedName name="BO7DB99E66FA9F4C188B1DA2EB33053C58" hidden="1">#REF!</definedName>
    <definedName name="BO7DBBE8B2D3EF445282BC0CB8AD4B8131" hidden="1">#REF!</definedName>
    <definedName name="BO7E1EB127D17647DCAF66576435571B9D" hidden="1">#REF!</definedName>
    <definedName name="BO7E20AF36C10E4DE1ACFF5DAB21E6F0CF" hidden="1">#REF!</definedName>
    <definedName name="BO7E41D564AEEA4C6280E66CE7C612FD8B" hidden="1">#REF!</definedName>
    <definedName name="BO7E5AD48C85964A4DA0892651C66FB5FA" hidden="1">#REF!</definedName>
    <definedName name="BO7E74EB17091144229C8DA32E72D0B0DE" hidden="1">#REF!</definedName>
    <definedName name="BO7ECA0CE87AD5486E8B520A1B3C302741" hidden="1">#REF!</definedName>
    <definedName name="BO7ED2877E1E044BF588CE91B0F73A907C" hidden="1">#REF!</definedName>
    <definedName name="BO7F328DF0B87B4733927898ED428C4902" hidden="1">#REF!</definedName>
    <definedName name="BO7F5D4C35425E426D8A302B12D509ECAC" hidden="1">#REF!</definedName>
    <definedName name="BO7F733737D2164EB396378752B251DF56" hidden="1">#REF!</definedName>
    <definedName name="BO7FA568F38B8549BD8CCB4099EBA6D59E" hidden="1">#REF!</definedName>
    <definedName name="BO7FE15ABA24B8440CB3D66CB2BEB8CD57" hidden="1">#REF!</definedName>
    <definedName name="BO7FED074D327A46A5B3846340D3E435AA" hidden="1">#REF!</definedName>
    <definedName name="BO8026067F176D423BB8A45430475AA310" hidden="1">#REF!</definedName>
    <definedName name="BO806F055F6D3248B38530AA53D8ABD768" hidden="1">#REF!</definedName>
    <definedName name="BO80E41CB5CADD420F8D0E1B0833B86BE7" hidden="1">#REF!</definedName>
    <definedName name="BO80F01F433AED4BA9B57F1088CBCCE98C" hidden="1">#REF!</definedName>
    <definedName name="BO81124862005F424FA1E78C5F5A56CE77" hidden="1">#REF!</definedName>
    <definedName name="BO8116D3330FC0481ABDE5EA390248C0FB" hidden="1">#REF!</definedName>
    <definedName name="BO812D1D90173740FF9EB59A105954F73E" hidden="1">#REF!</definedName>
    <definedName name="BO81398069C13F4CF48755661AA61D4B05" hidden="1">#REF!</definedName>
    <definedName name="BO8140CB8CB4934D52A45138EFCF43482F" hidden="1">#REF!</definedName>
    <definedName name="BO8152E1CBEABA406BB88B1EA29F8BD9B5" hidden="1">#REF!</definedName>
    <definedName name="BO815A38454A38422DAE2CBA1F342AB384" hidden="1">#REF!</definedName>
    <definedName name="BO8160DAE7346B4302A174200177384D45" hidden="1">#REF!</definedName>
    <definedName name="BO8161C454A2A04D77934C4F2B83E1D4AB" hidden="1">#REF!</definedName>
    <definedName name="BO8185A22756D844D485A4345BFAA5E51B" hidden="1">#REF!</definedName>
    <definedName name="BO81889E13E8BD4C878CCC1CCC34498B32" hidden="1">#REF!</definedName>
    <definedName name="BO81D37D16DB894932AABCA35600FE54D0" hidden="1">#REF!</definedName>
    <definedName name="BO81EB4DF8F6194B6D99943B71E32D1F8E" hidden="1">#REF!</definedName>
    <definedName name="BO8204C98D845C47289C2A48ACE7BB360F" hidden="1">#REF!</definedName>
    <definedName name="BO823A35FDC9FF43708B18DB11AE72EA46" hidden="1">#REF!</definedName>
    <definedName name="BO82599D26C22F4ECBAFBDBDDD0AC6B9DC" hidden="1">#REF!</definedName>
    <definedName name="BO8270DC61B3634703802A06111963247A" hidden="1">#REF!</definedName>
    <definedName name="BO8271FF2B72A4468699A1BEBB1CE7770A" hidden="1">#REF!</definedName>
    <definedName name="BO828C727B9F184011B97187B8FE59D9AE" hidden="1">#REF!</definedName>
    <definedName name="BO82AF49A840DC4E97A1E3E116C1017164" hidden="1">#REF!</definedName>
    <definedName name="BO82BC65E019234EAF896CAC4231F81781" hidden="1">#REF!</definedName>
    <definedName name="BO82CDE0C0F8AE420C9AB086E3F934D0FC" hidden="1">#REF!</definedName>
    <definedName name="BO82D0E1CF095B4D65B4D7B212912DA8E2" hidden="1">#REF!</definedName>
    <definedName name="BO82ED3D19CD6E4FE3941A3E1F6AD39401" hidden="1">#REF!</definedName>
    <definedName name="BO834ED8D711B54779884FECD0FD6C40F5" hidden="1">#REF!</definedName>
    <definedName name="BO835775321D284060B20BC052F1967F91" hidden="1">#REF!</definedName>
    <definedName name="BO836104A2FDD3439ABE6D95097289FA9B" hidden="1">#REF!</definedName>
    <definedName name="BO83DE305067F04E1FAF2073E158A42ED1" hidden="1">#REF!</definedName>
    <definedName name="BO83F96117CD7E43729C8F78CE6AA55364" hidden="1">#REF!</definedName>
    <definedName name="BO841E9D2788184F4B99B75B2D56050952" hidden="1">#REF!</definedName>
    <definedName name="BO845C63CD4426489B984D7A614921953B" hidden="1">#REF!</definedName>
    <definedName name="BO8462467AC4C04364864AA7B0E1E7103B" hidden="1">#REF!</definedName>
    <definedName name="BO847CD7266F44473E873D0BAC81568EE4" hidden="1">#REF!</definedName>
    <definedName name="BO84816916A3374C44A33B2B1E7CCBF62D" hidden="1">#REF!</definedName>
    <definedName name="BO8490395EA5A34B7281F95374AA651140" hidden="1">#REF!</definedName>
    <definedName name="BO849DAABD57DE400C976DE83FBD70852D" hidden="1">#REF!</definedName>
    <definedName name="BO84ACB7EA827D44EA920269A783FD03AF" hidden="1">#REF!</definedName>
    <definedName name="BO851125B4C9CF4507A505DFFE9759796E" hidden="1">#REF!</definedName>
    <definedName name="BO8537B991C1704514852540F58377C0F2" hidden="1">#REF!</definedName>
    <definedName name="BO8549AD1E42034B56A5A757A435BE5F99" hidden="1">#REF!</definedName>
    <definedName name="BO859CB049DE164366843D9C4F49208836" hidden="1">#REF!</definedName>
    <definedName name="BO85A46695882A420C817331A985BB9006" hidden="1">#REF!</definedName>
    <definedName name="BO85B3AD2EFD8B4EB4ACC21B67E6729BC4" hidden="1">#REF!</definedName>
    <definedName name="BO85CA8185403D4829A471E3C021F11823" hidden="1">#REF!</definedName>
    <definedName name="BO85EB01DFCFE245209787E6272A712082" hidden="1">#REF!</definedName>
    <definedName name="BO85F78F97543D4BAEBAA665AE23BF5F6E" hidden="1">#REF!</definedName>
    <definedName name="BO8639A9B559F64F969DAB29512C30B990" hidden="1">#REF!</definedName>
    <definedName name="BO865E85FAE63F471990E87A9EEEA0EBE2" hidden="1">#REF!</definedName>
    <definedName name="BO866A0D13F47E44558B185A80CB233625" hidden="1">#REF!</definedName>
    <definedName name="BO8674B77AC9C34190AE9EF29F8B3699AA" hidden="1">#REF!</definedName>
    <definedName name="BO86887E9489924B3CB6F2E988412CFB38" hidden="1">#REF!</definedName>
    <definedName name="BO868F562CA4E84985BF12F71371CCBC43" hidden="1">#REF!</definedName>
    <definedName name="BO86B6149BCDCC48A98A3D3C8A3A2729E6" hidden="1">#REF!</definedName>
    <definedName name="BO86BA1D0544E24C5C8A8180FF78CB5B06" hidden="1">#REF!</definedName>
    <definedName name="BO86D1438E23664D2B9FCD09512F3A93F8" hidden="1">#REF!</definedName>
    <definedName name="BO8703EEC12706416FB6ED04E179922738" hidden="1">#REF!</definedName>
    <definedName name="BO870886B6C73540E7BF1183ECA9AFF2B9" hidden="1">#REF!</definedName>
    <definedName name="BO8711D358A64C4D6AA1DE8CD9A503C0BD" hidden="1">#REF!</definedName>
    <definedName name="BO87299F945EA94175941F16F36740FD72" hidden="1">#REF!</definedName>
    <definedName name="BO8774AB7115B9480BA7502A21831439EB" hidden="1">#REF!</definedName>
    <definedName name="BO879CBD59307A43159AF2A4CED84C7472" hidden="1">#REF!</definedName>
    <definedName name="BO87B8EF89B2C846A289AE2145FA25030D" hidden="1">#REF!</definedName>
    <definedName name="BO87CACAE458564193B56975B2B5153420" hidden="1">#REF!</definedName>
    <definedName name="BO87F88410ED7F4182BE480F68D5F7E898" hidden="1">#REF!</definedName>
    <definedName name="BO8803BCBBE7974E4D88C057E49C0A7E07" hidden="1">#REF!</definedName>
    <definedName name="BO8827CF9AC78B41C79197737D53769A81" hidden="1">#REF!</definedName>
    <definedName name="BO884007A616A14E82BF8896F6D6B26A5A" hidden="1">#REF!</definedName>
    <definedName name="BO886E487C7EC9459489C12770C18ABEFD" hidden="1">#REF!</definedName>
    <definedName name="BO88A0ED37476047A9B79C3A73D5CAC3D2" hidden="1">#REF!</definedName>
    <definedName name="BO88B4A6CA845B4661AD2C9B0437234540" hidden="1">#REF!</definedName>
    <definedName name="BO88D455E4ACC843D4B075A8838BBF7D0C" hidden="1">#REF!</definedName>
    <definedName name="BO8916BA3A93DA473688862DC75848CA2A" hidden="1">#REF!</definedName>
    <definedName name="BO891CBAC1FEC041A9B1D2D5CAF876C3F0" hidden="1">#REF!</definedName>
    <definedName name="BO891FBC517DE746748A172799A83F07CB" hidden="1">#REF!</definedName>
    <definedName name="BO892CFB3B77F84724BE348F89B434721C" hidden="1">#REF!</definedName>
    <definedName name="BO893A612FBBF546A793F9B2F896C82AB5" hidden="1">#REF!</definedName>
    <definedName name="BO896731F41BBF4213B3E24429048CEBA0" hidden="1">#REF!</definedName>
    <definedName name="BO897389AC65794E96B87A0E76349A7E34" hidden="1">#REF!</definedName>
    <definedName name="BO8989F6C0B5DE414BADE674ECD51A4FFF" hidden="1">#REF!</definedName>
    <definedName name="BO89D827B7EF21445F830158AB1DB86EC3" hidden="1">#REF!</definedName>
    <definedName name="BO89EB193C9BF34E028B60BA2D06CDA850" hidden="1">#REF!</definedName>
    <definedName name="BO89F9BF5F1CD24F618FE42E6AEBC567DA" hidden="1">#REF!</definedName>
    <definedName name="BO8A11D840060F48A7A732512C54D8EAE5" hidden="1">#REF!</definedName>
    <definedName name="BO8A270233A6574574A5A316C2111A6B1A" hidden="1">#REF!</definedName>
    <definedName name="BO8A64A4873C0043DFB3995AAF8DC72790" hidden="1">#REF!</definedName>
    <definedName name="BO8A6F64578EA54D39B172DBB5F3870C6C" hidden="1">#REF!</definedName>
    <definedName name="BO8A742A3411094EA2AE29F3285CBDE97D" hidden="1">#REF!</definedName>
    <definedName name="BO8A76E1E597094F4AB0C09CE276EBB2AD" hidden="1">#REF!</definedName>
    <definedName name="BO8A921E1B07E84FE58A86CBFB254FC057" hidden="1">#REF!</definedName>
    <definedName name="BO8AA1781CDFE7451D8158DA9690BFD0CF" hidden="1">#REF!</definedName>
    <definedName name="BO8ABE68A54E9F4069ADD8462748851C18" hidden="1">#REF!</definedName>
    <definedName name="BO8AC7E18C57C84E229E0484E8B9B6A88C" hidden="1">#REF!</definedName>
    <definedName name="BO8ACBA67537FE40D9B10DE69058561E8E" hidden="1">#REF!</definedName>
    <definedName name="BO8B0E799EB2E747E08CC00A5CB7983720" hidden="1">#REF!</definedName>
    <definedName name="BO8B313457CD884D279D2548003F5D238D" hidden="1">#REF!</definedName>
    <definedName name="BO8B73BD8E9A0442A5A9F90AA4A70F6203" hidden="1">#REF!</definedName>
    <definedName name="BO8B979C2BC098453D8F62F9ADF5FEC071" hidden="1">#REF!</definedName>
    <definedName name="BO8BAFA77CB8BD4A9592F0A86BBD33A1B0" hidden="1">#REF!</definedName>
    <definedName name="BO8BDE8563DFDD419597EA3D1993A8E10E" hidden="1">#REF!</definedName>
    <definedName name="BO8BEFE8F9E9D94E0B8690BCF6FF778891" hidden="1">#REF!</definedName>
    <definedName name="BO8BF82CAB71EB4877BE2981B52240CDDB" hidden="1">#REF!</definedName>
    <definedName name="BO8BFBEE5EC43D4067962E8A52A23B2D50" hidden="1">#REF!</definedName>
    <definedName name="BO8C0049F46034494F9A9EA954789841B0" hidden="1">#REF!</definedName>
    <definedName name="BO8C2C15F699E14EDC94E42D4D15367A0D" hidden="1">#REF!</definedName>
    <definedName name="BO8C46C2D3D27C44F1AA60C52DBE893015" hidden="1">#REF!</definedName>
    <definedName name="BO8C54B39154C04A089EB3A2B03C75FCAD" hidden="1">#REF!</definedName>
    <definedName name="BO8C5D16B390B84E039A4F635DC9723990" hidden="1">#REF!</definedName>
    <definedName name="BO8C5D1AEB64E34CF69E4AEDEE394D2DF0" hidden="1">#REF!</definedName>
    <definedName name="BO8C756DB6D0084392A94AD363D9B3578A" hidden="1">#REF!</definedName>
    <definedName name="BO8C78667FFC67462C9A1643AC3DEA1B4D" hidden="1">#REF!</definedName>
    <definedName name="BO8C79291520C14D76B12F6B3100DC8B42" hidden="1">#REF!</definedName>
    <definedName name="BO8CC5B39B3E324C918A32819C9A07A727" hidden="1">#REF!</definedName>
    <definedName name="BO8CD76D68B350487FA0250A4A2EC5C2AD" hidden="1">#REF!</definedName>
    <definedName name="BO8D0213375C7F4E22A8FB01B418680B0B" hidden="1">#REF!</definedName>
    <definedName name="BO8D0ABD8164D04FC8B630B28D32646B09" hidden="1">#REF!</definedName>
    <definedName name="BO8D1B1B1B73DB404588CEED5EB7DBE08B" hidden="1">#REF!</definedName>
    <definedName name="BO8D24E811C41141359E065633B90B3ACB" hidden="1">#REF!</definedName>
    <definedName name="BO8D4A19F885E642D98251152558F518D0" hidden="1">#REF!</definedName>
    <definedName name="BO8D675C8D2C204F9EA5F6FB0C91BE9377" hidden="1">#REF!</definedName>
    <definedName name="BO8D8CDB5D0D984AF78FA24D1842552A13" hidden="1">#REF!</definedName>
    <definedName name="BO8DE89F4B4DB24B028D65D7B1C37D49A6" hidden="1">#REF!</definedName>
    <definedName name="BO8E04539AF5EA48F4A85BB9D8405EFE31" hidden="1">#REF!</definedName>
    <definedName name="BO8E247A336E7641BA8C759FA12C34B429" hidden="1">#REF!</definedName>
    <definedName name="BO8E64C19B77C74B4DA67868374DB4E3C8" hidden="1">#REF!</definedName>
    <definedName name="BO8E95876454BF4F2CA6988C26A165276E" hidden="1">#REF!</definedName>
    <definedName name="BO8E9F198DEB16434A9D0753A88CDF5215" hidden="1">#REF!</definedName>
    <definedName name="BO8EA5CD8275A64439ABF3E0E90503E2EB" hidden="1">#REF!</definedName>
    <definedName name="BO8EAFF7EBC66B4843859F00C277E10C35" hidden="1">#REF!</definedName>
    <definedName name="BO8ED02D762180437385E47C88BB9EEC20" hidden="1">#REF!</definedName>
    <definedName name="BO8EDFDB3F4A244405BD653340E001817F" hidden="1">#REF!</definedName>
    <definedName name="BO8EED6EA8341647B18E46E12EF5981737" hidden="1">#REF!</definedName>
    <definedName name="BO8F3F75AB3A994609B8A1BAA8D827B7D0" hidden="1">#REF!</definedName>
    <definedName name="BO8F4458B31E284C0B90A9336E9C28C284" hidden="1">#REF!</definedName>
    <definedName name="BO8F5C237F8C7C40E58D0B879F90947365" hidden="1">#REF!</definedName>
    <definedName name="BO8F69E36AA533438FB255DE448D2F78C1" hidden="1">#REF!</definedName>
    <definedName name="BO8F9ADFA732534966ACC45B4222D08278" hidden="1">#REF!</definedName>
    <definedName name="BO8FAB3988FD7A4610BB4D6F6553753FB0" hidden="1">#REF!</definedName>
    <definedName name="BO8FB6EDE92460437DB46269B760A9FF87" hidden="1">#REF!</definedName>
    <definedName name="BO9003C2B1CEA04D4799A07D012743DEC1" hidden="1">#REF!</definedName>
    <definedName name="BO901024E83D29496B899A127B34EC4440" hidden="1">#REF!</definedName>
    <definedName name="BO9010F2C0CC9E494A99E197637D325788" hidden="1">#REF!</definedName>
    <definedName name="BO9027C5BD01DF42DC93C5D78821D24A6C" hidden="1">#REF!</definedName>
    <definedName name="BO904BCFDAB4C44A96A1BAD24E7B5C4CFB" hidden="1">#REF!</definedName>
    <definedName name="BO90721953D91A42828345C72DA2C886EF" hidden="1">#REF!</definedName>
    <definedName name="BO90D5B7AE6DF34FC6A182261CEF953B81" hidden="1">#REF!</definedName>
    <definedName name="BO90F76DFC9F5F430F88B468A9892E4AC4" hidden="1">#REF!</definedName>
    <definedName name="BO91262F6339964C14984FDE97C6306DF7" hidden="1">#REF!</definedName>
    <definedName name="BO91511019934B448E8E0723C0742ED2AE" hidden="1">#REF!</definedName>
    <definedName name="BO9155D541487B4FBC9E854615EB1B4E06" hidden="1">#REF!</definedName>
    <definedName name="BO9159C1E514C74EDAB686FCB93521755B" hidden="1">#REF!</definedName>
    <definedName name="BO91AF57D4731E42D3BD43C805328349BB" hidden="1">#REF!</definedName>
    <definedName name="BO91B1C71622B84DC09FCF82790CCC6703" hidden="1">#REF!</definedName>
    <definedName name="BO91C46125583D4C069EE7155B503E3BDC" hidden="1">#REF!</definedName>
    <definedName name="BO920A4D58587E4B348E656E2FB55DBF5A" hidden="1">#REF!</definedName>
    <definedName name="BO924B50D148534EB4BFAB07809F576F86" hidden="1">#REF!</definedName>
    <definedName name="BO92544256210E49188C03B1EBD2040774" hidden="1">#REF!</definedName>
    <definedName name="BO9268349F1CCF49DEB0561574CF57C558" hidden="1">#REF!</definedName>
    <definedName name="BO926B5DA94093402CAF44525268D29478" hidden="1">#REF!</definedName>
    <definedName name="BO92714A6ED6124D27829A03BD605CFABF" hidden="1">#REF!</definedName>
    <definedName name="BO928DC16886B2445797C8B9905F1CD971" hidden="1">#REF!</definedName>
    <definedName name="BO92C9ED6F059A4A3FBF49382DA781E052" hidden="1">#REF!</definedName>
    <definedName name="BO92EA0833D1CB48CFB02613AE12C820A4" hidden="1">#REF!</definedName>
    <definedName name="BO92EFCC3CC64A4D068BF90CD047BA59AD" hidden="1">#REF!</definedName>
    <definedName name="BO92EFFAEB634443FE91C7F58365598D5E" hidden="1">#REF!</definedName>
    <definedName name="BO92F6D42A17AC4074BBD00DCE92DF03C9" hidden="1">#REF!</definedName>
    <definedName name="BO930DA66B28B14BEAA44697A5823258AA" hidden="1">#REF!</definedName>
    <definedName name="BO930FD1E9B9EB478BBAD94346BAE68338" hidden="1">#REF!</definedName>
    <definedName name="BO9329BF9F354242D086A1F242CA6684D6" hidden="1">#REF!</definedName>
    <definedName name="BO932B0A19ACC444A2BB8954EED654465A" hidden="1">#REF!</definedName>
    <definedName name="BO933ED92411824C6FAC78C97BA2A11AAB" hidden="1">#REF!</definedName>
    <definedName name="BO933FAA4514814F85818066C84AF854C9" hidden="1">#REF!</definedName>
    <definedName name="BO93A4D280E8CA43DC8B02811F751ABAA2" hidden="1">#REF!</definedName>
    <definedName name="BO93B2980E647143A5A17C67935ED6DC7F" hidden="1">#REF!</definedName>
    <definedName name="BO93E74F3970FD46C489BC2A92AE9C7404" hidden="1">#REF!</definedName>
    <definedName name="BO93EBF6734EA34A90BA493473DE688EBF" hidden="1">#REF!</definedName>
    <definedName name="BO93ECFE632155481DA0FDBB0615E7281C" hidden="1">#REF!</definedName>
    <definedName name="BO93F310F9C2F24700BD756AB5D39C0C70" hidden="1">#REF!</definedName>
    <definedName name="BO9406D55A95A444A3B45C4B90FE2D125A" hidden="1">#REF!</definedName>
    <definedName name="BO94073230D0F44D879F25D75E8A1F6E7E" hidden="1">#REF!</definedName>
    <definedName name="BO94220D9907CC4E24A9678F2D022262BF" hidden="1">#REF!</definedName>
    <definedName name="BO94286E15B5C249DF83B6D785E99910F3" hidden="1">#REF!</definedName>
    <definedName name="BO942AFFE69A8B4A8C80C2C626B5017758" hidden="1">#REF!</definedName>
    <definedName name="BO943F7197EDF04FF2A7D1A29789D38FC7" hidden="1">#REF!</definedName>
    <definedName name="BO9440F575DEAD4D009356CD54D15D0646" hidden="1">#REF!</definedName>
    <definedName name="BO945D4AE586B049C4B26F43D2964BF053" hidden="1">#REF!</definedName>
    <definedName name="BO9479247504A240DB8AA62248BA3AD62A" hidden="1">#REF!</definedName>
    <definedName name="BO948E4098C46048728921E52405E20CE2" hidden="1">#REF!</definedName>
    <definedName name="BO9494C43445E94B2F9101B150DA348936" hidden="1">#REF!</definedName>
    <definedName name="BO94ACFBA87DCA4A049A7A7B2CF5A0099B" hidden="1">#REF!</definedName>
    <definedName name="BO94C268B1ABDC4BE5AF160FC92E6E930E" hidden="1">#REF!</definedName>
    <definedName name="BO94CAC1B2B9184A0CA149982A6B0EDA40" hidden="1">#REF!</definedName>
    <definedName name="BO95297CC5443C4A87921219AEDB0053A4" hidden="1">#REF!</definedName>
    <definedName name="BO95315A491963462088AB010F1E6536ED" hidden="1">#REF!</definedName>
    <definedName name="BO9531F6C583AD4A5B8EACA1697DCA76E5" hidden="1">#REF!</definedName>
    <definedName name="BO9546AAE559804D05934EF2CC58527114" hidden="1">#REF!</definedName>
    <definedName name="BO955821DBA81848509481FD646A939426" hidden="1">#REF!</definedName>
    <definedName name="BO9569473B49744295BBBB13BF84496763" hidden="1">#REF!</definedName>
    <definedName name="BO95B8948E71674C9BBD6DC47262E07D3C" hidden="1">#REF!</definedName>
    <definedName name="BO96012A3695F24EEDA41060270FB23FD7" hidden="1">#REF!</definedName>
    <definedName name="BO961753E720B34B64928183DBF2D50EF4" hidden="1">#REF!</definedName>
    <definedName name="BO9619A3E64E904BBF830DEA71105C6554" hidden="1">#REF!</definedName>
    <definedName name="BO961B2829573B4BF3AEDBD5F574CBDFBE" hidden="1">#REF!</definedName>
    <definedName name="BO963AA06C95F0448C98E7B7ADF814B641" hidden="1">#REF!</definedName>
    <definedName name="BO9655D4D083304B6B84234D7B3D520D2C" hidden="1">#REF!</definedName>
    <definedName name="BO96C96D0DC4524E10AD2A3B05945FC3F1" hidden="1">#REF!</definedName>
    <definedName name="BO96D6B2D14BCE426B82DFC4BC6BE36452" hidden="1">#REF!</definedName>
    <definedName name="BO96DD60ACDEAB49279901EDA429A1D057" hidden="1">#REF!</definedName>
    <definedName name="BO9705DA3C5FE549B1B6C232BEE3BE0B4A" hidden="1">#REF!</definedName>
    <definedName name="BO971ABF41FC324365BB3C3958837215AD" hidden="1">#REF!</definedName>
    <definedName name="BO972EF9E0468B46789B22F42FA9EDF429" hidden="1">#REF!</definedName>
    <definedName name="BO97435E36457D4D9F8A41E78406793419" hidden="1">#REF!</definedName>
    <definedName name="BO974DD56617CC44BB82F4580C5391D3C4" hidden="1">#REF!</definedName>
    <definedName name="BO9763C8E8672C44EE9CC8F3034DE59781" hidden="1">#REF!</definedName>
    <definedName name="BO97705033685D404CA111963901512904" hidden="1">#REF!</definedName>
    <definedName name="BO97754172F33648A1B02D0D2E9D35C937" hidden="1">#REF!</definedName>
    <definedName name="BO97B220745DA94ED7BB96EECFA8DC4E6E" hidden="1">#REF!</definedName>
    <definedName name="BO97E864FF22354435934B5E0583930B1A" hidden="1">#REF!</definedName>
    <definedName name="BO9809C12F3B384ADF849C353B35FBAA0D" hidden="1">#REF!</definedName>
    <definedName name="BO9847A201EFCB4ACB9B307CE635AEB5E1" hidden="1">#REF!</definedName>
    <definedName name="BO985BAF614F20419688C24910DA7EDD6A" hidden="1">#REF!</definedName>
    <definedName name="BO98CB2505045548E2961B8E6D1605915E" hidden="1">#REF!</definedName>
    <definedName name="BO98D37362E38B4CDA8C9E54163DEBEB0D" hidden="1">#REF!</definedName>
    <definedName name="BO98E5E992939548CE8FEDD43F3C859A4F" hidden="1">#REF!</definedName>
    <definedName name="BO98EE941FAF8946578E04E20339EF8603" hidden="1">#REF!</definedName>
    <definedName name="BO9916AA24635F4BF297FA83B8070D44FE" hidden="1">#REF!</definedName>
    <definedName name="BO9922DCDDA14C416E94C27CE584A50205" hidden="1">#REF!</definedName>
    <definedName name="BO9952FD1FDB394000A77CFF0ECF03E8D2" hidden="1">#REF!</definedName>
    <definedName name="BO9966FC2A064D44348ED41FEA6E021D6E" hidden="1">#REF!</definedName>
    <definedName name="BO99746685114E4D81834B645CEAD25AA3" hidden="1">#REF!</definedName>
    <definedName name="BO9984FAA95CC94B57809C5AA8ADD50266" hidden="1">#REF!</definedName>
    <definedName name="BO99986C2F1A874F3AB3EFFC6732063BAA" hidden="1">#REF!</definedName>
    <definedName name="BO9999A410B168401BA23B06933F517548" hidden="1">#REF!</definedName>
    <definedName name="BO99A5EA3B6465412E99F307619EFF22BA" hidden="1">#REF!</definedName>
    <definedName name="BO99BAC6217DB74194A730AF104092B111" hidden="1">#REF!</definedName>
    <definedName name="BO99C4CA4681754EEA872316A386BE91B9" hidden="1">#REF!</definedName>
    <definedName name="BO99E873DF55E2407AA79BE4AC482D57C1" hidden="1">#REF!</definedName>
    <definedName name="BO99F730DA3CE3438682559D78DBEB1137" hidden="1">#REF!</definedName>
    <definedName name="BO99FFBEBD80BD4018998241073ABBEC36" hidden="1">#REF!</definedName>
    <definedName name="BO9A05D1ED402548C7BCD6598F99A3D539" hidden="1">#REF!</definedName>
    <definedName name="BO9A0A3EF557FE4FF79C9C276FF2750A78" hidden="1">#REF!</definedName>
    <definedName name="BO9A2A567F0CC545CC9043BF9A4C5F101F" hidden="1">#REF!</definedName>
    <definedName name="BO9A4A94F5AF7D4C0395CB3119F73CE421" hidden="1">#REF!</definedName>
    <definedName name="BO9A59FC65E18E4F21B33CA5B9F96320B3" hidden="1">#REF!</definedName>
    <definedName name="BO9A78932710404751B80863614952311A" hidden="1">#REF!</definedName>
    <definedName name="BO9AB4EE1BE75A4835A849BC3D07FB835E" hidden="1">#REF!</definedName>
    <definedName name="BO9AD7468F6951475F80B883FFA1EFF394" hidden="1">#REF!</definedName>
    <definedName name="BO9AE63B8B66BF4271961E67AB87C27BE3" hidden="1">#REF!</definedName>
    <definedName name="BO9AFDD4CFEDE84C3CAEAD110DF748A416" hidden="1">#REF!</definedName>
    <definedName name="BO9B07B29E896D4E689C3E019FE42771E7" hidden="1">#REF!</definedName>
    <definedName name="BO9B3B4252A5054C8AA9BB04D57CE43C60" hidden="1">#REF!</definedName>
    <definedName name="BO9B3B6F3CBDDD4CB0B98E9DAC2E6DFBB4" hidden="1">#REF!</definedName>
    <definedName name="BO9B640C81FAC3478A9C0CE081CB3E73D5" hidden="1">#REF!</definedName>
    <definedName name="BO9B6675559D5942B3B387B2E69918ECCC" hidden="1">#REF!</definedName>
    <definedName name="BO9B9AF7C9673C48CD8E8EAE4AC4E281CA" hidden="1">#REF!</definedName>
    <definedName name="BO9BAECBA19405487FB031825E7B70BE1C" hidden="1">#REF!</definedName>
    <definedName name="BO9BB7786E205641A9BCB10515C5FB9C5C" hidden="1">#REF!</definedName>
    <definedName name="BO9BBBD5E6AA58480F99501CB155F50055" hidden="1">#REF!</definedName>
    <definedName name="BO9BC62009464D4CDC8AFA09C3FB8BBE87" hidden="1">#REF!</definedName>
    <definedName name="BO9BCF658BBEEB42C89189AA47132AC73A" hidden="1">#REF!</definedName>
    <definedName name="BO9BE41D1F231A418F830EAA8396305640" hidden="1">#REF!</definedName>
    <definedName name="BO9C17161872F74DB0BA6C03506E72CEFE" hidden="1">#REF!</definedName>
    <definedName name="BO9C95306ECA8A4DF29A67E71B4C27512C" hidden="1">#REF!</definedName>
    <definedName name="BO9CA845EC09454761BFF0DC05A2EB3A06" hidden="1">#REF!</definedName>
    <definedName name="BO9CBCC0D3894A44B58DAC2B863B7E25B3" hidden="1">#REF!</definedName>
    <definedName name="BO9D0FB7C1C3B841A59A5E9CAD840B8C0F" hidden="1">#REF!</definedName>
    <definedName name="BO9D2EC89415594DFCBFA383F91B4F5835" hidden="1">#REF!</definedName>
    <definedName name="BO9D31DD6E049A4E7FB735DB29E71A97F2" hidden="1">#REF!</definedName>
    <definedName name="BO9D382EA010864BB39B897D3D6C08CE6F" hidden="1">#REF!</definedName>
    <definedName name="BO9D566E07211A4542B709221142FB26CC" hidden="1">#REF!</definedName>
    <definedName name="BO9D5B83458C744002B63E411CDE03ECB7" hidden="1">#REF!</definedName>
    <definedName name="BO9D679CDB0BC745C492504DED9E16F0C1" hidden="1">#REF!</definedName>
    <definedName name="BO9D9E159D0FE347688EBFFA8002E44AD0" hidden="1">#REF!</definedName>
    <definedName name="BO9DBFA7A314A14358A1BDB1236CC63047" hidden="1">#REF!</definedName>
    <definedName name="BO9DE21AB0C811455699C778ECB24B4AD9" hidden="1">#REF!</definedName>
    <definedName name="BO9DEF2EE08D964A7E8310419E9921EE75" hidden="1">#REF!</definedName>
    <definedName name="BO9E003DA1F36B44AB9EC08ACBAEE6F65D" hidden="1">#REF!</definedName>
    <definedName name="BO9E0C25B7E0C84BFE9426A44CBF8937BB" hidden="1">#REF!</definedName>
    <definedName name="BO9E3D1164FF204D198D23C9100A1AEA98" hidden="1">#REF!</definedName>
    <definedName name="BO9E4FD01082214E3F8437C9DF0F856DBF" hidden="1">#REF!</definedName>
    <definedName name="BO9E592C4A1FD54960AAB050B54EBC10CB" hidden="1">#REF!</definedName>
    <definedName name="BO9E99CD5583BF4ABC9E6E2B3ECDCCA708" hidden="1">#REF!</definedName>
    <definedName name="BO9EC96CBE66E94173B9AD6AFFF322328A" hidden="1">#REF!</definedName>
    <definedName name="BO9EE40B3D0579479EA703138ABB06409C" hidden="1">#REF!</definedName>
    <definedName name="BO9EE65237CE8142E28DABAA00F78B15A0" hidden="1">#REF!</definedName>
    <definedName name="BO9EEDCF5DB65140C1B2B70A982B0F3E91" hidden="1">#REF!</definedName>
    <definedName name="BO9F07CBAC4C5F49DE92CC2A52C21CAB7E" hidden="1">#REF!</definedName>
    <definedName name="BO9F10FA186178484FABB4E8B074B15420" hidden="1">#REF!</definedName>
    <definedName name="BO9F34E55FDD3A4D32B20E4E980B02C425" hidden="1">#REF!</definedName>
    <definedName name="BO9F40D694D9684B508FA9A8F103228394" hidden="1">#REF!</definedName>
    <definedName name="BO9F54818F41EF40E6A9F3633AB2F2EA20" hidden="1">#REF!</definedName>
    <definedName name="BO9F6B8C696CF146C280FEB5D6C749222C" hidden="1">#REF!</definedName>
    <definedName name="BO9F71EDDE4E924BF3A0A7E8E09E21BF3A" hidden="1">#REF!</definedName>
    <definedName name="BO9F7F85E5F8D34CDDA86FC6528443462F" hidden="1">#REF!</definedName>
    <definedName name="BO9F8DFCDB096345B68BCF462FC11B9706" hidden="1">#REF!</definedName>
    <definedName name="BO9FBFFA7083694DD3AD4640D05A58F483" hidden="1">#REF!</definedName>
    <definedName name="BO9FDB53228D304274A31FEEB51F85A06C" hidden="1">#REF!</definedName>
    <definedName name="BO9FDC777231194DEBAE529B75C7703B12" hidden="1">#REF!</definedName>
    <definedName name="BOA006F4ABB05B4841864CE9366EE3464D" hidden="1">#REF!</definedName>
    <definedName name="BOA01AB44C3CB1473A905F71A02375605D" hidden="1">#REF!</definedName>
    <definedName name="BOA03D360312ED4F30BACC528D9A68ADA8" hidden="1">#REF!</definedName>
    <definedName name="BOA092EBD10A39436D961FC4626BA9D54B" hidden="1">#REF!</definedName>
    <definedName name="BOA0973CD7CB0D4427822DCC15C8DC36E6" hidden="1">#REF!</definedName>
    <definedName name="BOA09939E62F734F3790CB58BAACFAF893" hidden="1">#REF!</definedName>
    <definedName name="BOA0A6F7DBC13340D99A8C09D43A8C5FDD" hidden="1">#REF!</definedName>
    <definedName name="BOA0A8CC93F5D64DCD97471686FFBAD7A1" hidden="1">#REF!</definedName>
    <definedName name="BOA103EFA0D3EE40399ECD9FAE4B4DC409" hidden="1">#REF!</definedName>
    <definedName name="BOA11A3364279C4FC0B49B5233DDFB7141" hidden="1">#REF!</definedName>
    <definedName name="BOA12F3EEDA20B4FD9B8C4F5748C7E15C6" hidden="1">#REF!</definedName>
    <definedName name="BOA1352C67E57F45F18A3132F095B04042" hidden="1">#REF!</definedName>
    <definedName name="BOA13EC5CDB2214E749DF116E65443FF6F" hidden="1">#REF!</definedName>
    <definedName name="BOA141CE166F8440C3A8CD0C0AB35AE9C6" hidden="1">#REF!</definedName>
    <definedName name="BOA152F44A37C4455681690219A61BB8B3" hidden="1">#REF!</definedName>
    <definedName name="BOA15AEAA763514B49B56E0598A1F4F5B6" hidden="1">#REF!</definedName>
    <definedName name="BOA161645A570249BAA9140EF1ADACF4CD" hidden="1">#REF!</definedName>
    <definedName name="BOA169A3CB6EE44860BB3708E0DF1BC3AF" hidden="1">#REF!</definedName>
    <definedName name="BOA1758065E1644D98A1D35456D11460EC" hidden="1">#REF!</definedName>
    <definedName name="BOA1A05E26429E4F3195FA94B46415BFDA" hidden="1">#REF!</definedName>
    <definedName name="BOA1E2A5EE861F49C38EE305E436EEFE96" hidden="1">#REF!</definedName>
    <definedName name="BOA1FF26CC55B443828B3455BBCDFFD9E1" hidden="1">#REF!</definedName>
    <definedName name="BOA22B3CD7328748DCA7244693DF118DB7" hidden="1">#REF!</definedName>
    <definedName name="BOA2412A5E6D57468B938BE2B72C05DA56" hidden="1">#REF!</definedName>
    <definedName name="BOA2534E435EDB40A392C16CD7756BF8AC" hidden="1">#REF!</definedName>
    <definedName name="BOA27561E4E6D54D2E82204A11F24FBE9A" hidden="1">#REF!</definedName>
    <definedName name="BOA283388003664BE3B1DC3A3FFF38FE73" hidden="1">#REF!</definedName>
    <definedName name="BOA2859B8A4F184F7D8C8ACEB84BCC80E1" hidden="1">#REF!</definedName>
    <definedName name="BOA289AA4645634A87B4FB1CCD6F128776" hidden="1">#REF!</definedName>
    <definedName name="BOA29B3938849B4A3C87A0DE3336238EAE" hidden="1">#REF!</definedName>
    <definedName name="BOA2A0FA23CD564225A72813CC35CFC8D6" hidden="1">#REF!</definedName>
    <definedName name="BOA2CC00FFAA57489F9D9480BE93021654" hidden="1">#REF!</definedName>
    <definedName name="BOA2D1DDA741CE4F6B9D71E5D5771574D6" hidden="1">#REF!</definedName>
    <definedName name="BOA2E484543D694D02994BC4EC2F655330" hidden="1">#REF!</definedName>
    <definedName name="BOA315AA4931CC4001A9EC8F6920A91C79" hidden="1">#REF!</definedName>
    <definedName name="BOA32426FCD5BF4607A33D160E9645EB0D" hidden="1">#REF!</definedName>
    <definedName name="BOA33A7D819F024B85B56B7D2A2E4484D7" hidden="1">#REF!</definedName>
    <definedName name="BOA352B72344F0429E86D9ED262C4398FA" hidden="1">#REF!</definedName>
    <definedName name="BOA35594FBAC6C4023A87A6DCB6BA099EA" hidden="1">#REF!</definedName>
    <definedName name="BOA39EB795244B453F9C0B7BB24072C50B" hidden="1">#REF!</definedName>
    <definedName name="BOA3ABC3ACDB7C467FA9004B72803A383E" hidden="1">#REF!</definedName>
    <definedName name="BOA3B2EB35C3BF4AD2AE5C9FBEA422359B" hidden="1">#REF!</definedName>
    <definedName name="BOA3B6C2E31A424B5884BD468565BC45E1" hidden="1">#REF!</definedName>
    <definedName name="BOA3C4CE09FB0449E9B7E9CA671975ACCF" hidden="1">#REF!</definedName>
    <definedName name="BOA3F98ABF94274EBDBA8B8C0A346CF6BF" hidden="1">#REF!</definedName>
    <definedName name="BOA42602D37E80421497F71AE8DF396BFB" hidden="1">#REF!</definedName>
    <definedName name="BOA439A957F73944B38D8C767CF10E9716" hidden="1">#REF!</definedName>
    <definedName name="BOA44AE348903746CA9B8ABE6EF71D1077" hidden="1">#REF!</definedName>
    <definedName name="BOA462C80DE3494FC685782204231EF933" hidden="1">#REF!</definedName>
    <definedName name="BOA4649298C78E4096A85D8FD30642C288" hidden="1">#REF!</definedName>
    <definedName name="BOA4748AD854304C5B817167E99614D86A" hidden="1">#REF!</definedName>
    <definedName name="BOA47E09412705450888DD8453BF6DCA12" hidden="1">#REF!</definedName>
    <definedName name="BOA4940DB879CF4599A4F180784D029065" hidden="1">#REF!</definedName>
    <definedName name="BOA4A383CBB5DA4205B715E501850002D6" hidden="1">#REF!</definedName>
    <definedName name="BOA4B854E4A98E4EE8B599A4C36A99C92F" hidden="1">#REF!</definedName>
    <definedName name="BOA4DF3CBC0DFB41228237A09E59236542" hidden="1">#REF!</definedName>
    <definedName name="BOA4F66357C5124D408BDE2D48F6F81BDA" hidden="1">#REF!</definedName>
    <definedName name="BOA50372BAFCAA49439AF1A75FA936229B" hidden="1">#REF!</definedName>
    <definedName name="BOA50776DD34F341719EF3B1C7B8D350A9" hidden="1">#REF!</definedName>
    <definedName name="BOA52077D9BB274AFAB79A440D6D5E9C65" hidden="1">#REF!</definedName>
    <definedName name="BOA55144CF16B44B83A70A3CE1429CAB79" hidden="1">#REF!</definedName>
    <definedName name="BOA5563290A14545B291A1460769DA573E" hidden="1">#REF!</definedName>
    <definedName name="BOA56250C6D113490494A85508FA96F117" hidden="1">#REF!</definedName>
    <definedName name="BOA569850F54084856964BAC3DD63DE6CF" hidden="1">#REF!</definedName>
    <definedName name="BOA57BAACC082A40159BEF18E4E3DB2ACD" hidden="1">#REF!</definedName>
    <definedName name="BOA581B3576FD14DDA8428A257E41BD465" hidden="1">#REF!</definedName>
    <definedName name="BOA59812A6C8F6471D8B7808CD5A2D4E46" hidden="1">#REF!</definedName>
    <definedName name="BOA5F52A81589749329CDCE8685E3175F2" hidden="1">#REF!</definedName>
    <definedName name="BOA61A6AC1202F4579BCCF9BDB3C59424F" hidden="1">#REF!</definedName>
    <definedName name="BOA632E1E19F6146D8B540BA96DD9F15BF" hidden="1">#REF!</definedName>
    <definedName name="BOA65CEC24542D4292AAD5283DBB046FE4" hidden="1">#REF!</definedName>
    <definedName name="BOA6CEB363B62D4A5E8653E0BEE5CE80FD" hidden="1">#REF!</definedName>
    <definedName name="BOA6E203E4C48E4F42A3FA31107DA549DE" hidden="1">#REF!</definedName>
    <definedName name="BOA707A60280214C118EE4576BCB8B7DAB" hidden="1">#REF!</definedName>
    <definedName name="BOA712AA636CCB425093E780C6F6E88895" hidden="1">#REF!</definedName>
    <definedName name="BOA71E9E0A6B654860B10DCBA2CFBBCEE1" hidden="1">#REF!</definedName>
    <definedName name="BOA728B6EAF7A14885845F7AA7D62EB408" hidden="1">#REF!</definedName>
    <definedName name="BOA7455FF6DF214261A4347081C1D9C8EE" hidden="1">#REF!</definedName>
    <definedName name="BOA746A2AB5671481DA3DD991C94176C8A" hidden="1">#REF!</definedName>
    <definedName name="BOA74AA104568E47BD86B932FFDA257D7C" hidden="1">#REF!</definedName>
    <definedName name="BOA75545E5DDD144219F5A61A771BF481F" hidden="1">#REF!</definedName>
    <definedName name="BOA78A2F476D7443DA9A43D445AD643547" hidden="1">#REF!</definedName>
    <definedName name="BOA791A74458E94B4FBEE935AC97E2C20A" hidden="1">#REF!</definedName>
    <definedName name="BOA79FF83862C844F696454C0522D0843E" hidden="1">#REF!</definedName>
    <definedName name="BOA7DEC5F243FB4F35912907E0D2F89E0A" hidden="1">#REF!</definedName>
    <definedName name="BOA7FF2C28276841DDA5FD8013F2976256" hidden="1">#REF!</definedName>
    <definedName name="BOA80A354E42AB46F8BB5D1820B60A5551" hidden="1">#REF!</definedName>
    <definedName name="BOA8206628314E4A578EFEF6514ED8FA60" hidden="1">#REF!</definedName>
    <definedName name="BOA845FB7BA6F94DD384D9239414F1084D" hidden="1">#REF!</definedName>
    <definedName name="BOA8540DFBF8EF49C5AB8D4B08918806F3" hidden="1">#REF!</definedName>
    <definedName name="BOA86399A514B142459FA538ED95ED75D7" hidden="1">#REF!</definedName>
    <definedName name="BOA867A12A4E9B4122A055945A85515980" hidden="1">#REF!</definedName>
    <definedName name="BOA879FFE6ECBE4F8ABCD12D7BCBA427F4" hidden="1">#REF!</definedName>
    <definedName name="BOA880BD92CB5B4C59AA5C0A8CA4F5372F" hidden="1">#REF!</definedName>
    <definedName name="BOA8957C86FB6643AC809FD39567629B64" hidden="1">#REF!</definedName>
    <definedName name="BOA8AB53237752430BB0B4104856BA4E2A" hidden="1">#REF!</definedName>
    <definedName name="BOA8B6E7E580EC46D5A167ECCE259105F9" hidden="1">#REF!</definedName>
    <definedName name="BOA8BDC17C9B004D55A015D84C15CB45EB" hidden="1">#REF!</definedName>
    <definedName name="BOA8D1E2E64BB645C680E24AB89AEDFCE3" hidden="1">#REF!</definedName>
    <definedName name="BOA901AF30926D453BB7505F619BF078C6" hidden="1">#REF!</definedName>
    <definedName name="BOA905A35F3C83427BAF8078DEA92E3DCC" hidden="1">#REF!</definedName>
    <definedName name="BOA91942887A174391853984C0DB8FA258" hidden="1">#REF!</definedName>
    <definedName name="BOA924C8471B3D4BEFBFB2779ECB07D4B5" hidden="1">#REF!</definedName>
    <definedName name="BOA92CD5ABDF7142A9A3BBE8219AB7AD1E" hidden="1">#REF!</definedName>
    <definedName name="BOA941C0CD3F314CADA478A0C1CD85D250" hidden="1">#REF!</definedName>
    <definedName name="BOA960BBD34FE24271BB6009F552117A5E" hidden="1">#REF!</definedName>
    <definedName name="BOA97D1C5882D9460FB9B7E8BE3E06D7C7" hidden="1">#REF!</definedName>
    <definedName name="BOA99B3EA44A6444AD81F311DA7CDA0E02" hidden="1">#REF!</definedName>
    <definedName name="BOA9AFF096E6444A7E8455417EDE43E417" hidden="1">#REF!</definedName>
    <definedName name="BOA9DCE25621BA40C296FF0BBC64986F2B" hidden="1">#REF!</definedName>
    <definedName name="BOAA01475766094341BAC5937C45B98679" hidden="1">#REF!</definedName>
    <definedName name="BOAA0860BF715E47AC9514FA50EA6E61AF" hidden="1">#REF!</definedName>
    <definedName name="BOAA1E223595434D068D4C203B89333068" hidden="1">#REF!</definedName>
    <definedName name="BOAA37683A5AAF416AA96E3DADC31E1AC4" hidden="1">#REF!</definedName>
    <definedName name="BOAA3F9143BD93402B92B4D5E889675490" hidden="1">#REF!</definedName>
    <definedName name="BOAA7F88AD6DC24F15815B41B5545C66B0" hidden="1">#REF!</definedName>
    <definedName name="BOAA98F55B3C264C12B78EEDFCEDE06C07" hidden="1">#REF!</definedName>
    <definedName name="BOAAB11C84339D4299BFC1AA6D04698F2A" hidden="1">#REF!</definedName>
    <definedName name="BOAAF327AFC0664C7091659BAFCB27C490" hidden="1">#REF!</definedName>
    <definedName name="BOAAFFA14D3B8C42998A9CCDB720EFA746" hidden="1">#REF!</definedName>
    <definedName name="BOAB2FFF70AB0E4B7DBDC7FC821977E79A" hidden="1">#REF!</definedName>
    <definedName name="BOAB55A49C750F4A04BB95727169E240E7" hidden="1">#REF!</definedName>
    <definedName name="BOAB82E269C9C44E749643F11D7E8DC781" hidden="1">#REF!</definedName>
    <definedName name="BOABA37D4AAAF34670989EA3781641E276" hidden="1">#REF!</definedName>
    <definedName name="BOABBB8A5582AF477181C945BF9631CC31" hidden="1">#REF!</definedName>
    <definedName name="BOABBCC65C502741CFA6171DACF843BA39" hidden="1">#REF!</definedName>
    <definedName name="BOABBEDF0B098A4D5BAD03B9ADDF109A8A" hidden="1">#REF!</definedName>
    <definedName name="BOABE634B5257648299573C5F63F4789DB" hidden="1">#REF!</definedName>
    <definedName name="BOABE796C119AC4DD4AD13723882F95431" hidden="1">#REF!</definedName>
    <definedName name="BOABF49C33DA224342BB7F2E87F17C1DB3" hidden="1">#REF!</definedName>
    <definedName name="BOAC02D46F12594606ADE7DD9C89989778" hidden="1">#REF!</definedName>
    <definedName name="BOAC079C7332FB405D90554C0619547187" hidden="1">#REF!</definedName>
    <definedName name="BOAC20EFF8A0BF4A449CF6FC64F7797071" hidden="1">#REF!</definedName>
    <definedName name="BOAC254DA305B94649A40A1818F4397657" hidden="1">#REF!</definedName>
    <definedName name="BOAC42AA5A12354BB6ABF8F402A90E9584" hidden="1">#REF!</definedName>
    <definedName name="BOAC589E242BED4D2782DB5354106024F8" hidden="1">#REF!</definedName>
    <definedName name="BOAC61F7699EB644B28983D0AA8E23DC41" hidden="1">#REF!</definedName>
    <definedName name="BOAC6F009BD4564DF482F3FD521B8DD5EC" hidden="1">#REF!</definedName>
    <definedName name="BOAC99D26F3C3749C0B07E837B64380195" hidden="1">#REF!</definedName>
    <definedName name="BOAC9D19CAAE6E4BA58BB8B42C2FEB90A0" hidden="1">#REF!</definedName>
    <definedName name="BOACB4EB5ACCF641E594B4370068A37C9C" hidden="1">#REF!</definedName>
    <definedName name="BOACBE6399B62B4EE0940B3DE41E102E4C" hidden="1">#REF!</definedName>
    <definedName name="BOAD109524018746029F061D1102BE87A6" hidden="1">#REF!</definedName>
    <definedName name="BOAD20497ABDDF428683C9AA6B905928CA" hidden="1">#REF!</definedName>
    <definedName name="BOAD4C8585543C420C9900B3D1DE628AFD" hidden="1">#REF!</definedName>
    <definedName name="BOAD51D154FD2A44888BB75B466BB3E12D" hidden="1">#REF!</definedName>
    <definedName name="BOAD616A0644E843968166BAAF341567A8" hidden="1">#REF!</definedName>
    <definedName name="BOADA7B463158B4CDE8AB36B4F72817DAD" hidden="1">#REF!</definedName>
    <definedName name="BOADEA752D0A9F4765BC7D7C566BFED409" hidden="1">#REF!</definedName>
    <definedName name="BOADF5449B6E78471788DE53CF0F67654B" hidden="1">#REF!</definedName>
    <definedName name="BOAE03B6416C174C3C959BE294997057DF" hidden="1">#REF!</definedName>
    <definedName name="BOAE216CC5B8D845F8813B2A359845EA1B" hidden="1">#REF!</definedName>
    <definedName name="BOAE43C9E5ED7544BF9AA630E3E7AC4A0F" hidden="1">#REF!</definedName>
    <definedName name="BOAE62644DF78A4A79879DE7E6C0CC7E80" hidden="1">#REF!</definedName>
    <definedName name="BOAE845F26838B4190AB1940D3C571CCD4" hidden="1">#REF!</definedName>
    <definedName name="BOAE8A454357A54A7496954F9B58CDE6BA" hidden="1">#REF!</definedName>
    <definedName name="BOAE9A5402D50645F0AF1D1E3ECB6210EA" hidden="1">#REF!</definedName>
    <definedName name="BOAECC4E2710DA49978423665B98EFB884" hidden="1">#REF!</definedName>
    <definedName name="BOAEDE2D12CB7E485F9D076390A0D1B42E" hidden="1">#REF!</definedName>
    <definedName name="BOAEE4C7AD3A0D4945BAAE43130AE8345F" hidden="1">#REF!</definedName>
    <definedName name="BOAF1B98F1E4DC4A63B1711F6E8BC3F91E" hidden="1">#REF!</definedName>
    <definedName name="BOAF651A9896FF42F0BDE2EF05576DFDD4" hidden="1">#REF!</definedName>
    <definedName name="BOAF70E8C078C44B15848B0157DAEB030D" hidden="1">#REF!</definedName>
    <definedName name="BOAF8E97A633AE4FB7BA6538C295FFDAB0" hidden="1">#REF!</definedName>
    <definedName name="BOAFB48AC82A044805A64B6552F84ABBAA" hidden="1">#REF!</definedName>
    <definedName name="BOAFE182F766BE4779BE06CF0DCFCE9311" hidden="1">#REF!</definedName>
    <definedName name="BOAFEF08D3BC8E4FA4AF0F9B54EC8311E3" hidden="1">#REF!</definedName>
    <definedName name="BOB0005FEC357741F1B08AFDCDA6737282" hidden="1">#REF!</definedName>
    <definedName name="BOB024CCF181264ECE85BFF081215167FF" hidden="1">#REF!</definedName>
    <definedName name="BOB06879D010704034846308A026AC0104" hidden="1">#REF!</definedName>
    <definedName name="BOB07B7C18C6C940DCA55EFA4F331BC4D8" hidden="1">#REF!</definedName>
    <definedName name="BOB0ADE433516B4482B5672D405EDF049B" hidden="1">#REF!</definedName>
    <definedName name="BOB0C47C0F6B6341EDA110D37233A5DC39" hidden="1">#REF!</definedName>
    <definedName name="BOB0CACCD738524BF98BF13A8D99CB826A" hidden="1">#REF!</definedName>
    <definedName name="BOB0D1157E835946EF8B49FC7A4D347D33" hidden="1">#REF!</definedName>
    <definedName name="BOB0DB03BB544B4DDC80F0339B570ABDFD" hidden="1">#REF!</definedName>
    <definedName name="BOB0DE2293AB3D439CABB387AA445D830E" hidden="1">#REF!</definedName>
    <definedName name="BOB0E665E57F50460EAFE68DA73B20B1FB" hidden="1">#REF!</definedName>
    <definedName name="BOB118B30094824A7BB27DE65C8F1CA545" hidden="1">#REF!</definedName>
    <definedName name="BOB11D84AB9CB346269E0235E71A883A60" hidden="1">#REF!</definedName>
    <definedName name="BOB11E3C10088E4498AEAA83D086237A5F" hidden="1">#REF!</definedName>
    <definedName name="BOB1378CE222264DCFA73EBB47436B5203" hidden="1">#REF!</definedName>
    <definedName name="BOB13AB377472C4EDEBB446C5D4CFD7FF3" hidden="1">#REF!</definedName>
    <definedName name="BOB184616FB5BC4637B82004F40B23E788" hidden="1">#REF!</definedName>
    <definedName name="BOB185D168B4244E8483A302F590E19A55" hidden="1">#REF!</definedName>
    <definedName name="BOB18CA3F64CB04767AED01AA8490DB779" hidden="1">#REF!</definedName>
    <definedName name="BOB19B4ED5A5DF4C8AAA9FAB05B282DC3E" hidden="1">#REF!</definedName>
    <definedName name="BOB1F1C272A006471A914ACD7DF91D3F84" hidden="1">#REF!</definedName>
    <definedName name="BOB1F3558029C34A18BE2B422B0D9601AB" hidden="1">#REF!</definedName>
    <definedName name="BOB1FC6C03F3E749DF83826D310F4971EC" hidden="1">#REF!</definedName>
    <definedName name="BOB2121768159748418F929263EFA12598" hidden="1">#REF!</definedName>
    <definedName name="BOB2174B9FD1A845A0AE1CE36C64119C7B" hidden="1">#REF!</definedName>
    <definedName name="BOB2187ECA0E1B4D86BE3F24606F147AA6" hidden="1">#REF!</definedName>
    <definedName name="BOB25C2C23C245424EB9EE1D9E9F34950B" hidden="1">#REF!</definedName>
    <definedName name="BOB26205A33F8B495DB98591C55C49AFEB" hidden="1">#REF!</definedName>
    <definedName name="BOB262E38128BE44AFACB9773BC536ACC0" hidden="1">#REF!</definedName>
    <definedName name="BOB28D198A17724199854C56E873CA3CD9" hidden="1">#REF!</definedName>
    <definedName name="BOB2CFF02E995448899DD7AA9BFA754975" hidden="1">#REF!</definedName>
    <definedName name="BOB2E6C59B39DD4FDDADBB253AB1CA4A42" hidden="1">#REF!</definedName>
    <definedName name="BOB2EC1F6E53524B0FB3EAAB47B75E1A4A" hidden="1">#REF!</definedName>
    <definedName name="BOB2FF2C05B4B24566A4378E9F6A30DAA6" hidden="1">#REF!</definedName>
    <definedName name="BOB30878E62D94405B94EB42E77D410AA6" hidden="1">#REF!</definedName>
    <definedName name="BOB35A440D208A4881A3ABF94FA1592708" hidden="1">#REF!</definedName>
    <definedName name="BOB394F8C1BC9E4FFFB00A89B6B1F07030" hidden="1">#REF!</definedName>
    <definedName name="BOB3BED51348A144A482D58659F020672D" hidden="1">#REF!</definedName>
    <definedName name="BOB3E2F4C5C24F4FDB859294B731A7526D" hidden="1">#REF!</definedName>
    <definedName name="BOB40E52CEE8564B77A41F6A21CE7B305D" hidden="1">#REF!</definedName>
    <definedName name="BOB416943CDCFB4F43AA7C6819E2F9B12D" hidden="1">#REF!</definedName>
    <definedName name="BOB42CD81F746C4B4E95ACCE3D02580BE7" hidden="1">#REF!</definedName>
    <definedName name="BOB43F86CF00F74F48B06EECB2304B477D" hidden="1">#REF!</definedName>
    <definedName name="BOB445E9AD75E847939A2B1557BF5971F9" hidden="1">#REF!</definedName>
    <definedName name="BOB479A46B5B804011BD5757EB99D00230" hidden="1">#REF!</definedName>
    <definedName name="BOB47FC43118E146BDB3CAAF1100AE4BA9" hidden="1">#REF!</definedName>
    <definedName name="BOB499772055A24A87B84BB365CB71EF04" hidden="1">#REF!</definedName>
    <definedName name="BOB49D75FC4F944B8BA43274A1AC9F7C6C" hidden="1">#REF!</definedName>
    <definedName name="BOB4AC7EF692F84E2DA30ABC01858F46BF" hidden="1">#REF!</definedName>
    <definedName name="BOB4E2CA0EE6E74647B60DA3564245A717" hidden="1">#REF!</definedName>
    <definedName name="BOB50BF41DCD164684B1F2B21C949F656F" hidden="1">#REF!</definedName>
    <definedName name="BOB53972A3FF444E36B5C5A6F9314FEF44" hidden="1">#REF!</definedName>
    <definedName name="BOB56475FD822948B7A28C547B153EB0B6" hidden="1">#REF!</definedName>
    <definedName name="BOB57709B4B68746E7B7B36AE6CD17CA91" hidden="1">#REF!</definedName>
    <definedName name="BOB58C2859469F4F7E8180DA5462279541" hidden="1">#REF!</definedName>
    <definedName name="BOB596E9268DED478AB9C99865ADF4A688" hidden="1">#REF!</definedName>
    <definedName name="BOB599A09F8E8C43EDA96DE5174F3C32D0" hidden="1">#REF!</definedName>
    <definedName name="BOB5D1339BC11C47F9996A96FA13719AC5" hidden="1">#REF!</definedName>
    <definedName name="BOB5D16031AAE94686A01B98E3F1B32BB1" hidden="1">#REF!</definedName>
    <definedName name="BOB61F1D7767114687812A69756748869E" hidden="1">#REF!</definedName>
    <definedName name="BOB63700DC41E8405192EC6B4CED6A1B62" hidden="1">#REF!</definedName>
    <definedName name="BOB664A434F7C242089CB97CD90496E73A" hidden="1">#REF!</definedName>
    <definedName name="BOB666B5A1CA664A37B71F765D2CEA59FD" hidden="1">#REF!</definedName>
    <definedName name="BOB6711245BFC04DC491D154B426C58F12" hidden="1">#REF!</definedName>
    <definedName name="BOB6870DB4AF074130A54E1277C2C63A76" hidden="1">#REF!</definedName>
    <definedName name="BOB69A54AB6B0843AA8F5A296614E69E51" hidden="1">#REF!</definedName>
    <definedName name="BOB6A0A16FDDBC445698D5A7013BFF4FAD" hidden="1">#REF!</definedName>
    <definedName name="BOB6A457D7367441AF833D44B69FA81AB6" hidden="1">#REF!</definedName>
    <definedName name="BOB6D73283C9BC4F85BC7AEA002E570DEE" hidden="1">#REF!</definedName>
    <definedName name="BOB6E1122AFC4141AA87003E5075AEB9A7" hidden="1">#REF!</definedName>
    <definedName name="BOB7145384A50344518D8FD9948CD1C4E7" hidden="1">#REF!</definedName>
    <definedName name="BOB72930F608574554957BB4C2630750F3" hidden="1">#REF!</definedName>
    <definedName name="BOB740B50D59FA4EB29F2E8DBE8D7A2963" hidden="1">#REF!</definedName>
    <definedName name="BOB76C63B311474B4E869F1347F0606665" hidden="1">#REF!</definedName>
    <definedName name="BOB82684B002CF467A9A281F1253F57824" hidden="1">#REF!</definedName>
    <definedName name="BOB832FDF088D846C4895BA05113DA0AD7" hidden="1">#REF!</definedName>
    <definedName name="BOB85A3D6CAB4F43F29017967DC75100EA" hidden="1">#REF!</definedName>
    <definedName name="BOB86C8D0306854CD4B0F867E8A8158DAB" hidden="1">#REF!</definedName>
    <definedName name="BOB87165E3118C47D38853C793508C9940" hidden="1">#REF!</definedName>
    <definedName name="BOB883505093734FB1AB2DD45A35A46C3D" hidden="1">#REF!</definedName>
    <definedName name="BOB8C1A9F1BC7A40A998408F04E6A4901D" hidden="1">#REF!</definedName>
    <definedName name="BOB8D84C69820C440982813CB320AAA6A8" hidden="1">#REF!</definedName>
    <definedName name="BOB8E45A4C043B45E088448297898BB517" hidden="1">#REF!</definedName>
    <definedName name="BOB8FA4CCA1A4B448494A6D5FBD7007F00" hidden="1">#REF!</definedName>
    <definedName name="BOB90EAF3FF0A343A7BFDA7E349CB8A6C8" hidden="1">#REF!</definedName>
    <definedName name="BOB916E67475FD40C0B6F612D224A65F1D" hidden="1">#REF!</definedName>
    <definedName name="BOB921C37B1DC4491B8A8F9B327DF07744" hidden="1">#REF!</definedName>
    <definedName name="BOB92EC7BA00894C32BC9F274B21BD4F7B" hidden="1">#REF!</definedName>
    <definedName name="BOB9304C7E29B04D9C9C77B24A55EEE53F" hidden="1">#REF!</definedName>
    <definedName name="BOB933B109328E43B08122C926D1EEDE14" hidden="1">#REF!</definedName>
    <definedName name="BOB94BA94A44584A5AB62D61925DD38822" hidden="1">#REF!</definedName>
    <definedName name="BOB9A9269337994CD9995912095A03586A" hidden="1">#REF!</definedName>
    <definedName name="BOBA07D5FEDDBF4CFFACB6E315D8998C1F" hidden="1">#REF!</definedName>
    <definedName name="BOBA12CCBB83DC490293B4024877957D98" hidden="1">#REF!</definedName>
    <definedName name="BOBA181222A7AE4A45AD62F5ED0E622660" hidden="1">#REF!</definedName>
    <definedName name="BOBA24DFB554AF460B8AB282C13492A629" hidden="1">#REF!</definedName>
    <definedName name="BOBA2A09FA3F74474E9CB8537C38559D3A" hidden="1">#REF!</definedName>
    <definedName name="BOBA34D01E25FC4AF18006E289F2DEA305" hidden="1">#REF!</definedName>
    <definedName name="BOBA6F771A713D44818466A48A99D86999" hidden="1">#REF!</definedName>
    <definedName name="BOBA7996250A2C48C0A1B2A9E9E89C4F08" hidden="1">#REF!</definedName>
    <definedName name="BOBA83205E5F2841FC8E5118CDCEC79269" hidden="1">#REF!</definedName>
    <definedName name="BOBAB788881F1D4460854EE1FBFFE8B2E0" hidden="1">#REF!</definedName>
    <definedName name="BOBACC3EB41E7D4536869AAA67F5F9FB2B" hidden="1">#REF!</definedName>
    <definedName name="BOBADED6FB922F4A3CAA610B246C015166" hidden="1">#REF!</definedName>
    <definedName name="BOBAE47B872A5345298D6CFC1292FF0229" hidden="1">#REF!</definedName>
    <definedName name="BOBB2CD22C468846029AA7E79B86A82CEF" hidden="1">#REF!</definedName>
    <definedName name="BOBB45F71539614D0090D4B6087D188B78" hidden="1">#REF!</definedName>
    <definedName name="BOBB58D5EDD0B1467AB5D9915F132ADF94" hidden="1">#REF!</definedName>
    <definedName name="BOBB5BB6FEEFA64B79BB64C92031FA3AE8" hidden="1">#REF!</definedName>
    <definedName name="BOBB6AE77CF3A54CC3AC51350B77472DF8" hidden="1">#REF!</definedName>
    <definedName name="BOBB9D4C0897DA494AA513D0A883F9D1D4" hidden="1">#REF!</definedName>
    <definedName name="BOBBAA7F824582476F88CDCFB08F1934D5" hidden="1">#REF!</definedName>
    <definedName name="BOBBDC73CDE37B4F45AB68C38A9635AF80" hidden="1">#REF!</definedName>
    <definedName name="BOBBE4AA840EEC4997B000A639F871E6CE" hidden="1">#REF!</definedName>
    <definedName name="BOBBEA4F95A23E45E1B25DDDD7FC411C90" hidden="1">#REF!</definedName>
    <definedName name="BOBC04FB3E707E4D2489786AEF4796C806" hidden="1">#REF!</definedName>
    <definedName name="BOBC16CFAF95AD4A8D86D3641EA9FE0CCA" hidden="1">#REF!</definedName>
    <definedName name="BOBC26361192634C519AD3E18D48CFA644" hidden="1">#REF!</definedName>
    <definedName name="BOBC4B15CA572E4683B22D1E93207B42A3" hidden="1">#REF!</definedName>
    <definedName name="BOBC7C71DE64364CBC9244EA234BE295B4" hidden="1">#REF!</definedName>
    <definedName name="BOBC8009AB97724AB7B944FF6F455E412C" hidden="1">#REF!</definedName>
    <definedName name="BOBC9E30F080984844B237570A172714A0" hidden="1">#REF!</definedName>
    <definedName name="BOBCAADD13A1F84467B1BBFB74C99EC30A" hidden="1">#REF!</definedName>
    <definedName name="BOBCB33588A4614DF39553836F9E9B99A7" hidden="1">#REF!</definedName>
    <definedName name="BOBCD1D56E09DB4DFAA7DB1D9A7130ED97" hidden="1">#REF!</definedName>
    <definedName name="BOBCE6D0590F1F4A9BBA41EA7B159799C7" hidden="1">#REF!</definedName>
    <definedName name="BOBCEF82B4A18646D583662D742CB2C342" hidden="1">#REF!</definedName>
    <definedName name="BOBCF840ED273A41608C4A037ED35225A8" hidden="1">#REF!</definedName>
    <definedName name="BOBD17A2C2D8F347BD99946B7CD678E633" hidden="1">#REF!</definedName>
    <definedName name="BOBD17ACF591A04BA2A7F3EA73A1F5EFD0" hidden="1">#REF!</definedName>
    <definedName name="BOBD3418D3E6034A599B7DAEA5496D5FDE" hidden="1">#REF!</definedName>
    <definedName name="BOBD4AB5E2FE574DC99B097054215C9A1B" hidden="1">#REF!</definedName>
    <definedName name="BOBD51A79D7FDA451D81D3D3FA930EF10E" hidden="1">#REF!</definedName>
    <definedName name="BOBDCBC5CEFC9147E19737AA97A932005B" hidden="1">#REF!</definedName>
    <definedName name="BOBDD7F3ADA3694C6E8F1CAE0F4BE4749B" hidden="1">#REF!</definedName>
    <definedName name="BOBDDDE587C0FE4B2BB4CA177ADFC0167B" hidden="1">#REF!</definedName>
    <definedName name="BOBE539086D02E49FCAA6D14E00A770963" hidden="1">#REF!</definedName>
    <definedName name="BOBE836A4F3D514C76A86E6929F69D34D2" hidden="1">#REF!</definedName>
    <definedName name="BOBE8F924DB3BC4F038EED0771BA85527D" hidden="1">#REF!</definedName>
    <definedName name="BOBE9E067C7210472B81073CBDC8230580" hidden="1">#REF!</definedName>
    <definedName name="BOBE9E33F6E4374A1FA4BDFB49B0EC0372" hidden="1">#REF!</definedName>
    <definedName name="BOBEA7830841314FCDB7120FD70396E04B" hidden="1">#REF!</definedName>
    <definedName name="BOBEA7B5BBB87048D49DF67B697A931813" hidden="1">#REF!</definedName>
    <definedName name="BOBEBC91AB89344689A508D7928603507D" hidden="1">#REF!</definedName>
    <definedName name="BOBEDB25FFFAF545899AA7025FE56C6C2F" hidden="1">#REF!</definedName>
    <definedName name="BOBEDF7874AE9D470FA8757B3FE1C5C49B" hidden="1">#REF!</definedName>
    <definedName name="BOBF066253C59B4751B64F555F9CA9FFAF" hidden="1">#REF!</definedName>
    <definedName name="BOBF14B3CAA77F4CC1B3F7F20024F8A96A" hidden="1">#REF!</definedName>
    <definedName name="BOBF166ABC8C78432CA8BFD934BBE79972" hidden="1">#REF!</definedName>
    <definedName name="BOBF218951A49F4995BB917FB43DBD1E9A" hidden="1">#REF!</definedName>
    <definedName name="BOBF2EB7AC0C2E4E0C9817C4936D0FC1CA" hidden="1">#REF!</definedName>
    <definedName name="BOBF387716EA054B5A88F16E8D2F5071A2" hidden="1">#REF!</definedName>
    <definedName name="BOBF44EA3972BE4BD4AD10908DF27E5F85" hidden="1">#REF!</definedName>
    <definedName name="BOBF4988CD268949D4A253EEEA2B64894B" hidden="1">#REF!</definedName>
    <definedName name="BOBF71F05A89BF45EA8C5D468675F75348" hidden="1">#REF!</definedName>
    <definedName name="BOBF72A77C10CA4EB1AB2AE062D421AC07" hidden="1">#REF!</definedName>
    <definedName name="BOBF8216921A30407686F2EBD0638399EE" hidden="1">#REF!</definedName>
    <definedName name="BOBF946EC04D3547D3BB1C2D55230B5FB2" hidden="1">#REF!</definedName>
    <definedName name="BOBFB6324E87F045BD9652F2FD4088F44D" hidden="1">#REF!</definedName>
    <definedName name="BOBFB9EA6C68994C4DA36158FCBD8427AF" hidden="1">#REF!</definedName>
    <definedName name="BOBFCE70D506DA4B6EB944A29AC6F839D9" hidden="1">#REF!</definedName>
    <definedName name="BOBFFDDF01966245CEAD50F02A4E5CFF2B" hidden="1">#REF!</definedName>
    <definedName name="BOC029C03D489640C28C30B97E1E431499" hidden="1">#REF!</definedName>
    <definedName name="BOC03D34745BAC448FBC3B84E6F54C143B" hidden="1">#REF!</definedName>
    <definedName name="BOC04CF57DCDFC4B82907B0EB8306FB82B" hidden="1">#REF!</definedName>
    <definedName name="BOC083451CA9584C4B9FAD7385194CD451" hidden="1">#REF!</definedName>
    <definedName name="BOC09371D1F2E84BEEAD586C8440AF9E85" hidden="1">#REF!</definedName>
    <definedName name="BOC107B6717B674C2EB1E24E70C8A2D78E" hidden="1">#REF!</definedName>
    <definedName name="BOC1331A3748714271B2B009F21159B493" hidden="1">#REF!</definedName>
    <definedName name="BOC1540D5EA63B44AAB228E5C3495F8EA1" hidden="1">#REF!</definedName>
    <definedName name="BOC156AACB264943ED8DE9584787C81FE3" hidden="1">#REF!</definedName>
    <definedName name="BOC15FB12785484F4FA926E3E4BA4FA48C" hidden="1">#REF!</definedName>
    <definedName name="BOC1665FF270474C74A986A0655C0C97F8" hidden="1">#REF!</definedName>
    <definedName name="BOC1BF282BE1BE476088A0D359CD2ABE06" hidden="1">#REF!</definedName>
    <definedName name="BOC1D51866C6B14E63851A380E2D581C14" hidden="1">#REF!</definedName>
    <definedName name="BOC1DD356020184557A3FA39220108A500" hidden="1">#REF!</definedName>
    <definedName name="BOC1E3AFDEC6DE4B529A2CC02210E9AD12" hidden="1">#REF!</definedName>
    <definedName name="BOC1EB78BA40C6402384910947B22306F7" hidden="1">#REF!</definedName>
    <definedName name="BOC20D6A8136474E8982B135F07AD78981" hidden="1">#REF!</definedName>
    <definedName name="BOC22B8AB3BC004F3E84FF5709DE8AB691" hidden="1">#REF!</definedName>
    <definedName name="BOC2452160117D45398C90A3A74E219282" hidden="1">#REF!</definedName>
    <definedName name="BOC25CA19C04EB461383765BC725F1A9C0" hidden="1">#REF!</definedName>
    <definedName name="BOC2A368458B8C466A8EAB350D814B6553" hidden="1">#REF!</definedName>
    <definedName name="BOC2BD5FFDAEE6428485C3A37469FC06C9" hidden="1">#REF!</definedName>
    <definedName name="BOC30112A4C82B4FDB9A0BE4DE668F4582" hidden="1">#REF!</definedName>
    <definedName name="BOC343F21B6DD940F0A688481148243E9A" hidden="1">#REF!</definedName>
    <definedName name="BOC3568EEBF2E1419EA9BEFDDFA241C67E" hidden="1">#REF!</definedName>
    <definedName name="BOC35ADF6F14B948919BD25280A05E3AC1" hidden="1">#REF!</definedName>
    <definedName name="BOC365FC61CAF6449BB1865E7D5BCCE2C3" hidden="1">#REF!</definedName>
    <definedName name="BOC39750E43B5B4EC892EABA56991C183A" hidden="1">#REF!</definedName>
    <definedName name="BOC3A2C5E32A78490FA02F0D6AFD24DFC0" hidden="1">#REF!</definedName>
    <definedName name="BOC3CBB290D163430A91DDA7599ED108F6" hidden="1">#REF!</definedName>
    <definedName name="BOC438E5AB00C9410DAB817A8739F9C426" hidden="1">#REF!</definedName>
    <definedName name="BOC43B69839854400A904778932A9E664F" hidden="1">#REF!</definedName>
    <definedName name="BOC4471151C06B43499A16E3B350A1CB30" hidden="1">#REF!</definedName>
    <definedName name="BOC473037395EF41CB9003BD66C5957660" hidden="1">#REF!</definedName>
    <definedName name="BOC482F327D8574379A20E908BC5EB2993" hidden="1">#REF!</definedName>
    <definedName name="BOC49D30DCC91B4948B1B91B358D1BFDF4" hidden="1">#REF!</definedName>
    <definedName name="BOC4A6BB89CD2B435293F191D82C0F58C9" hidden="1">#REF!</definedName>
    <definedName name="BOC4B00C308D204BE4B36D6D0F97F6EE83" hidden="1">#REF!</definedName>
    <definedName name="BOC4C301D63FB048DFBBB6C1766C1386B8" hidden="1">#REF!</definedName>
    <definedName name="BOC511D83A0C974EF8AD8E92A38214A8D5" hidden="1">#REF!</definedName>
    <definedName name="BOC522634DDC464314809CDF99493533FC" hidden="1">#REF!</definedName>
    <definedName name="BOC54204551F1D42B9BD6174DBDD9D741F" hidden="1">#REF!</definedName>
    <definedName name="BOC551D7779FF74F4EB6CC609F3CB55CD9" hidden="1">#REF!</definedName>
    <definedName name="BOC551DE2E91D44244ADD2A1963C33F5E1" hidden="1">#REF!</definedName>
    <definedName name="BOC57265C045CA450DBB172F33D90D9979" hidden="1">#REF!</definedName>
    <definedName name="BOC594B4F835E7418D90F061F92E8FB202" hidden="1">#REF!</definedName>
    <definedName name="BOC5AAE40B455D4043B6078A525F8433B7" hidden="1">#REF!</definedName>
    <definedName name="BOC5B50A3B093A4281A75D4209F6A75893" hidden="1">#REF!</definedName>
    <definedName name="BOC5C310983B4A4E16AECA5B9C6C7341BA" hidden="1">#REF!</definedName>
    <definedName name="BOC5FB79A4E3E540F8AE42FE861B1410EC" hidden="1">#REF!</definedName>
    <definedName name="BOC611376B3C6C45C99450D1DCF9397302" hidden="1">#REF!</definedName>
    <definedName name="BOC612254B51284FEE866CB31C88AFD453" hidden="1">#REF!</definedName>
    <definedName name="BOC6136ACAF1304E288216E27040F4D5E2" hidden="1">#REF!</definedName>
    <definedName name="BOC61DAC29429047E49941643414EF43CB" hidden="1">#REF!</definedName>
    <definedName name="BOC6468585AB6A4AE28970E03B2C62231E" hidden="1">#REF!</definedName>
    <definedName name="BOC65919DB60B64FFF93DB70579668EFC1" hidden="1">#REF!</definedName>
    <definedName name="BOC659C53743D5499EADD2474C5A6BE0FB" hidden="1">#REF!</definedName>
    <definedName name="BOC6601207ADB74941835C10583405D57E" hidden="1">#REF!</definedName>
    <definedName name="BOC6AF8DD1DEA34721BD0118E22F55322B" hidden="1">#REF!</definedName>
    <definedName name="BOC720578C9E594CF695ACFADC24BF33A4" hidden="1">#REF!</definedName>
    <definedName name="BOC72BB273A64E48D8828E544B36E74CCB" hidden="1">#REF!</definedName>
    <definedName name="BOC7B274FF472245C2B140F67E5FD1665B" hidden="1">#REF!</definedName>
    <definedName name="BOC7D2E11843E0453DB764C67C96D9ADF1" hidden="1">#REF!</definedName>
    <definedName name="BOC7FECB190F654212AF3F13F583581D59" hidden="1">#REF!</definedName>
    <definedName name="BOC809B7F8F4B14E208E5C54561FDB0F73" hidden="1">#REF!</definedName>
    <definedName name="BOC812A08FFF08478E87D119AB81FAE120" hidden="1">#REF!</definedName>
    <definedName name="BOC8137838440B47DAAC1ED794C15C441F" hidden="1">#REF!</definedName>
    <definedName name="BOC8231C2E9D8D4406BEC83D6F992CA139" hidden="1">#REF!</definedName>
    <definedName name="BOC869EDE25CC544CEA5A645A5E7A6B9AD" hidden="1">#REF!</definedName>
    <definedName name="BOC87D3336154245E3827858692226AFA4" hidden="1">#REF!</definedName>
    <definedName name="BOC88CDAF756A04342B92A57969166ABBF" hidden="1">#REF!</definedName>
    <definedName name="BOC896FC9D8F0841CAB1EA5A7E80358CCE" hidden="1">#REF!</definedName>
    <definedName name="BOC89ECEB280F34A1B87031041C2CF7847" hidden="1">#REF!</definedName>
    <definedName name="BOC8BC5627E1B34E0A8B05A4AAB8DD2DE8" hidden="1">#REF!</definedName>
    <definedName name="BOC8C22820924F41ED968636277E46E23C" hidden="1">#REF!</definedName>
    <definedName name="BOC8CE017DA77240AD9FD0EC7D16051AA6" hidden="1">#REF!</definedName>
    <definedName name="BOC8D9B846059147558F9CDF6DDE6F808E" hidden="1">#REF!</definedName>
    <definedName name="BOC8F24FC03F1147E9972C8D9D76295327" hidden="1">#REF!</definedName>
    <definedName name="BOC9021DAEC8534AA88821959B876F2AB8" hidden="1">#REF!</definedName>
    <definedName name="BOC9078726475D48768A4B800B228B8B8C" hidden="1">#REF!</definedName>
    <definedName name="BOC92BDE64A88C4F4888056339739F0504" hidden="1">#REF!</definedName>
    <definedName name="BOC93D76F627824034AADA8A9F13A2889A" hidden="1">#REF!</definedName>
    <definedName name="BOC96D8191DBAE4D6183DEA37F46B8436D" hidden="1">#REF!</definedName>
    <definedName name="BOC9786DD1B39B43A0BD52CC797EB809F9" hidden="1">#REF!</definedName>
    <definedName name="BOC979AF26AC844C15B0C4A390E47EDEFD" hidden="1">#REF!</definedName>
    <definedName name="BOC98DCB7764E4486B867068ABA319D462" hidden="1">#REF!</definedName>
    <definedName name="BOC9B43FE1F9D84461AFB00DB17BAEB487" hidden="1">#REF!</definedName>
    <definedName name="BOC9CF91C01B79495EB3EDF264630F3035" hidden="1">#REF!</definedName>
    <definedName name="BOC9D043ABD5CB459188E6E3FD93946123" hidden="1">#REF!</definedName>
    <definedName name="BOCA1F88327DEB4D2DBBA1D321DBFE4FA3" hidden="1">#REF!</definedName>
    <definedName name="BOCA1FB259D8714151AA2B3C6AEA1F0770" hidden="1">#REF!</definedName>
    <definedName name="BOCA37046B007E407686AA5E82F7A8FFC7" hidden="1">#REF!</definedName>
    <definedName name="BOCA5133A1A0DD490591E8590A5076EDB5" hidden="1">#REF!</definedName>
    <definedName name="BOCA7ED576C19B404997CEB1F51D09DA13" hidden="1">#REF!</definedName>
    <definedName name="BOCAE778C3378D4DEA8C59D3D493F17D92" hidden="1">#REF!</definedName>
    <definedName name="BOCB20F1B9F3C846A48126BE531FB918DF" hidden="1">#REF!</definedName>
    <definedName name="BOCB275BC87A58422EA0F9349C40EF7779" hidden="1">#REF!</definedName>
    <definedName name="BOCBA1B95825D144B78E2D686F9E99757B" hidden="1">#REF!</definedName>
    <definedName name="BOCBECE0B77CC842D393B20B9F944CEBB5" hidden="1">#REF!</definedName>
    <definedName name="BOCBF59B6853AE4F78B44ECC74F3D6E9CA" hidden="1">#REF!</definedName>
    <definedName name="BOCBFAF1D642934F1D84D4B8F7579C0857" hidden="1">#REF!</definedName>
    <definedName name="BOCC1EA691A78A4CF0974017D9802E6A50" hidden="1">#REF!</definedName>
    <definedName name="BOCC330219F2FA42238AA019FA4A7434C7" hidden="1">#REF!</definedName>
    <definedName name="BOCC4E1F0139CA4CCE842276D221283B25" hidden="1">#REF!</definedName>
    <definedName name="BOCC858C19D7F047F6ADFC5A40DFBF24A1" hidden="1">#REF!</definedName>
    <definedName name="BOCCE1C932CCA344CE9ECE3EB0DD94638C" hidden="1">#REF!</definedName>
    <definedName name="BOCCF334A9BDB64C2697AE9352A937B6E5" hidden="1">#REF!</definedName>
    <definedName name="BOCD19B2F2E8774A589EFF3317FDB5225C" hidden="1">#REF!</definedName>
    <definedName name="BOCD20F214D4AA41C281599C484FB99FDC" hidden="1">#REF!</definedName>
    <definedName name="BOCD23F0C3BE5D4A57B07C7B46AAE9B586" hidden="1">#REF!</definedName>
    <definedName name="BOCD2C6B11CEED44B287F63EABF1C67668" hidden="1">#REF!</definedName>
    <definedName name="BOCD316364C89949588B6EA9EFB7EFED71" hidden="1">#REF!</definedName>
    <definedName name="BOCD3E920BAE7C41B5B4C491D4AB8D55B6" hidden="1">#REF!</definedName>
    <definedName name="BOCD94EC8563CB4322AAB39F7BBEABB319" hidden="1">#REF!</definedName>
    <definedName name="BOCD97881AE04342B9B58E7D82FD2B45E9" hidden="1">#REF!</definedName>
    <definedName name="BOCDA9B7CBD5D9427E84053F8E38F252A0" hidden="1">#REF!</definedName>
    <definedName name="BOCDBD4F3A3DA349B2A9734E12B4FA4152" hidden="1">#REF!</definedName>
    <definedName name="BOCDCDF8EF0E5646DAB0D5AEEACD436DBA" hidden="1">#REF!</definedName>
    <definedName name="BOCDD9929C645542878E90D6D900B798EE" hidden="1">#REF!</definedName>
    <definedName name="BOCDE7F75740B346FC9E55D667CD9EC425" hidden="1">#REF!</definedName>
    <definedName name="BOCDED67C8566647ED9C954DE6FCEBFBFF" hidden="1">#REF!</definedName>
    <definedName name="BOCDF00353D53047B6A4A85487D43B9AF1" hidden="1">#REF!</definedName>
    <definedName name="BOCE1431147F334E33B41B0302E1BD9519" hidden="1">#REF!</definedName>
    <definedName name="BOCE1BF69715794F4E87C7B791630E9EED" hidden="1">#REF!</definedName>
    <definedName name="BOCE1D2212C92D4302ADFD62D5ACB65176" hidden="1">#REF!</definedName>
    <definedName name="BOCE3F4651FC6D47F6888CAACD6B895BD6" hidden="1">#REF!</definedName>
    <definedName name="BOCE5078CB7E104277832DC3F09395B864" hidden="1">#REF!</definedName>
    <definedName name="BOCE59D3DAB1844F599AC2D0EF7482C0ED" hidden="1">#REF!</definedName>
    <definedName name="BOCEBE29A3E8094395A0CF9CD1AAA1D065" hidden="1">#REF!</definedName>
    <definedName name="BOCED7368BDC814EA9977A0FC117CC1EEF" hidden="1">#REF!</definedName>
    <definedName name="BOCF038B17D1434B6A86DE2821F3844C2A" hidden="1">#REF!</definedName>
    <definedName name="BOCF2CA454D7714DF7803655110854DC0F" hidden="1">#REF!</definedName>
    <definedName name="BOCF3D1CC14C5E4EFAA13121DC4E701CF2" hidden="1">#REF!</definedName>
    <definedName name="BOCF523EEE92D345E98BFF5F175FC3CF90" hidden="1">#REF!</definedName>
    <definedName name="BOCF5983A1FADD40DAAC7E6892F1622A11" hidden="1">#REF!</definedName>
    <definedName name="BOCF7C5B983CBF42DBBDD6CD92650B00B0" hidden="1">#REF!</definedName>
    <definedName name="BOCF89873156A349CD99C522010DADF9FB" hidden="1">#REF!</definedName>
    <definedName name="BOCF96717DA6014EDC80C3AA39BE91443A" hidden="1">#REF!</definedName>
    <definedName name="BOCFC28344B50E4F72945BC627F69A7D0D" hidden="1">#REF!</definedName>
    <definedName name="BOCFC5F04A27E646818E21BB31308C53B4" hidden="1">#REF!</definedName>
    <definedName name="BOD0382903153C4298A06C72FB4C2F82BC" hidden="1">#REF!</definedName>
    <definedName name="BOD03FD50591A1425293C16D8979726923" hidden="1">#REF!</definedName>
    <definedName name="BOD0447A1F84A848AE8FE0265DA4E43469" hidden="1">#REF!</definedName>
    <definedName name="BOD049906584524697915E494D82ABEA6C" hidden="1">#REF!</definedName>
    <definedName name="BOD0ACCA99C91345F482A513BFCE9186E0" hidden="1">#REF!</definedName>
    <definedName name="BOD0CE909846AF4B5C93B759B9FE505ADE" hidden="1">#REF!</definedName>
    <definedName name="BOD129B1AAD1A8454A988FD077660E0746" hidden="1">#REF!</definedName>
    <definedName name="BOD14638B491F746CA808EE455711E2DFA" hidden="1">#REF!</definedName>
    <definedName name="BOD1571EBC9EFC4719B17E00444AC145C8" hidden="1">#REF!</definedName>
    <definedName name="BOD16D4E30F94E4951AB3786D1D961D3FE" hidden="1">#REF!</definedName>
    <definedName name="BOD19EE91F5D99468F9C79D62A64548F42" hidden="1">#REF!</definedName>
    <definedName name="BOD1D5BE4C0FB24EE798AA74F90F407A1A" hidden="1">#REF!</definedName>
    <definedName name="BOD1F9357DA9A64BF5B6306A06275A8872" hidden="1">#REF!</definedName>
    <definedName name="BOD211DE122DB3497AB5D76A1542188482" hidden="1">#REF!</definedName>
    <definedName name="BOD22B62E0D3D9450598F759030DDF895E" hidden="1">#REF!</definedName>
    <definedName name="BOD230302E244347D0800B1FE794A98043" hidden="1">#REF!</definedName>
    <definedName name="BOD2367E7BD60547E68E9D20C429DC1536" hidden="1">#REF!</definedName>
    <definedName name="BOD2974288C8344CB9981C0B5A2E924BBC" hidden="1">#REF!</definedName>
    <definedName name="BOD30584112A9549E48949A93D8039E4F6" hidden="1">#REF!</definedName>
    <definedName name="BOD307E5F479264767B463B99E251AE3B1" hidden="1">#REF!</definedName>
    <definedName name="BOD362591848624AB7BE2C8B3AAD7614EC" hidden="1">#REF!</definedName>
    <definedName name="BOD3AC1AE62968479AA5A373821C711DA4" hidden="1">#REF!</definedName>
    <definedName name="BOD3B4567942A74870ACFA86C24659E392" hidden="1">#REF!</definedName>
    <definedName name="BOD3C8E760EBF4481FA1151651A2CE45F5" hidden="1">#REF!</definedName>
    <definedName name="BOD3CF0471BBA140C293A38AE7B62C4035" hidden="1">#REF!</definedName>
    <definedName name="BOD3D164D82A744D349944A2A4C12AC6C2" hidden="1">#REF!</definedName>
    <definedName name="BOD3D705DAB5324AE6A0460FD1B8021FD2" hidden="1">#REF!</definedName>
    <definedName name="BOD404D5F4D6104339BA3ACB5CB4FD091A" hidden="1">#REF!</definedName>
    <definedName name="BOD475444D2F7646A1932BB6C5A1117279" hidden="1">#REF!</definedName>
    <definedName name="BOD484ECF67C214C179402F1A9DB88B556" hidden="1">#REF!</definedName>
    <definedName name="BOD4B8AEC8EB9B455EBC82ADE84BFE1969" hidden="1">#REF!</definedName>
    <definedName name="BOD4C2216847B647D8B4D3A0954B6CB148" hidden="1">#REF!</definedName>
    <definedName name="BOD4C74FD8D1C64510899C02AFBA21037D" hidden="1">#REF!</definedName>
    <definedName name="BOD4D26CA1C52F43BDBE4F64A3B560F6ED" hidden="1">#REF!</definedName>
    <definedName name="BOD4F0099CA2E5413C90FDBEAE610F6613" hidden="1">#REF!</definedName>
    <definedName name="BOD4F78C2E32CE40AEB95B29DBD0B9E6A8" hidden="1">#REF!</definedName>
    <definedName name="BOD56983E5837D4255991E6CB791DEA783" hidden="1">#REF!</definedName>
    <definedName name="BOD589C64A18FB4E39808CD1A9801D9FF1" hidden="1">#REF!</definedName>
    <definedName name="BOD5A1654692584EBD9A4C27B60244E347" hidden="1">#REF!</definedName>
    <definedName name="BOD5AC6DCB5AFB4CAB92836B1090B745A2" hidden="1">#REF!</definedName>
    <definedName name="BOD5B944D7D611407DBE1C2E9AD4B12423" hidden="1">#REF!</definedName>
    <definedName name="BOD5BA562CEF6B4E8593C7650256496875" hidden="1">#REF!</definedName>
    <definedName name="BOD5F38165B4F64CCEAE1233F99E1C1D10" hidden="1">#REF!</definedName>
    <definedName name="BOD5FBDB6792ED490294B58B91280CB793" hidden="1">#REF!</definedName>
    <definedName name="BOD6000BBE6ADA4F37B41FCA2EA4794054" hidden="1">#REF!</definedName>
    <definedName name="BOD6091EBE9E4D4E7088A85736BE77FBC4" hidden="1">#REF!</definedName>
    <definedName name="BOD6093DB2F42544739F3F0BC6B185776E" hidden="1">#REF!</definedName>
    <definedName name="BOD616EB6B252A485DB2E914540E19A79E" hidden="1">#REF!</definedName>
    <definedName name="BOD666E0EA748C4906A50FDE186DC7A343" hidden="1">#REF!</definedName>
    <definedName name="BOD689611FA42248308D3AEC62500BF17E" hidden="1">#REF!</definedName>
    <definedName name="BOD6C2AF20BFCC436F8212AE446F7FBF3F" hidden="1">#REF!</definedName>
    <definedName name="BOD6F75FC25E2D470E8DEA7A2C735F8787" hidden="1">#REF!</definedName>
    <definedName name="BOD7117E6358C242E3A1E99B0A14C7E296" hidden="1">#REF!</definedName>
    <definedName name="BOD7359D4D72344971A55B6DE10166EC3A" hidden="1">#REF!</definedName>
    <definedName name="BOD74816BF53604C1A8EBE7794E78C6157" hidden="1">#REF!</definedName>
    <definedName name="BOD75E9FD91EEB4991967840667D14ADE1" hidden="1">#REF!</definedName>
    <definedName name="BOD7619C4CBE234EA9ACB18176025ACAF4" hidden="1">#REF!</definedName>
    <definedName name="BOD76C4C62ED6349BA82C6E762885F9C42" hidden="1">#REF!</definedName>
    <definedName name="BOD7827679259E487A82EFBD97FB249CE4" hidden="1">#REF!</definedName>
    <definedName name="BOD789790B96514DC59042719B5805E3D6" hidden="1">#REF!</definedName>
    <definedName name="BOD7A20F011DC3496F8EABD9053412155F" hidden="1">#REF!</definedName>
    <definedName name="BOD7D258278B4E4E4AA509D9197261A0B6" hidden="1">#REF!</definedName>
    <definedName name="BOD7D4711B87494F72B9462DABAD2DC16A" hidden="1">#REF!</definedName>
    <definedName name="BOD7D61BB333884A59A2C1D33A88CD9F47" hidden="1">#REF!</definedName>
    <definedName name="BOD7DA78831B7D48AE8E9730BE01D093B4" hidden="1">#REF!</definedName>
    <definedName name="BOD829974450B945C5A22B9631131E3E46" hidden="1">#REF!</definedName>
    <definedName name="BOD850650076FB4BE9871891647862E226" hidden="1">#REF!</definedName>
    <definedName name="BOD86240FF503D4482871F210F78E6EAF1" hidden="1">#REF!</definedName>
    <definedName name="BOD8667399EA71405F87B99EFA114442CA" hidden="1">#REF!</definedName>
    <definedName name="BOD874E9B7452B43E3896CE7DCCA6B8098" hidden="1">#REF!</definedName>
    <definedName name="BOD87AF798F4114AAE832DA72E182DC955" hidden="1">#REF!</definedName>
    <definedName name="BOD89421961BB04B30A18D09156E068BB7" hidden="1">#REF!</definedName>
    <definedName name="BOD8F132C61D834425A5AB58E021D51B78" hidden="1">#REF!</definedName>
    <definedName name="BOD9075F94CA5E4DF49026448EF16C6BC2" hidden="1">#REF!</definedName>
    <definedName name="BOD932BB85A2EA4DE7821393AA49C1C395" hidden="1">#REF!</definedName>
    <definedName name="BOD943A115A65C44929A9117010923227D" hidden="1">#REF!</definedName>
    <definedName name="BOD9559A9C37E4433E9A2515161293F207" hidden="1">#REF!</definedName>
    <definedName name="BOD95A4F3C7E5643819BB2404D8D3C844B" hidden="1">#REF!</definedName>
    <definedName name="BOD96324D7AA0D403DA0608422F8714591" hidden="1">#REF!</definedName>
    <definedName name="BOD96AF82529F54504A665EA4AEF6C316F" hidden="1">#REF!</definedName>
    <definedName name="BOD96E3FB0F08B4BA793D580A9BB11918A" hidden="1">#REF!</definedName>
    <definedName name="BOD985D8DFEF844A22A4066793823C10D6" hidden="1">#REF!</definedName>
    <definedName name="BOD99A1BF81C5B41C8AE446A73B518337B" hidden="1">#REF!</definedName>
    <definedName name="BOD99BCDC70C184DDFAF6D60D7C6E5517B" hidden="1">#REF!</definedName>
    <definedName name="BOD9A42C58406D4E608CC8FCBA4AFB85CF" hidden="1">#REF!</definedName>
    <definedName name="BODA375714EEA345AB87E9DFF80B6A4F21" hidden="1">#REF!</definedName>
    <definedName name="BODA43B8E6CC44409AB32EDA5EC1C2D534" hidden="1">#REF!</definedName>
    <definedName name="BODA4BB33FF9E64FF5820E7F9B0AA4D353" hidden="1">#REF!</definedName>
    <definedName name="BODA5A40D6E6F14474A347255EB2CE0830" hidden="1">#REF!</definedName>
    <definedName name="BODA7B6ECB5BD9411FA5F149FBD6A417D8" hidden="1">#REF!</definedName>
    <definedName name="BODA96815803994119B481057BFF9E1AFA" hidden="1">#REF!</definedName>
    <definedName name="BODADA2F4581F642CE9110CA83D2F68CC5" hidden="1">#REF!</definedName>
    <definedName name="BODAFE33F3F0F24DF68180B0C5FACF094E" hidden="1">#REF!</definedName>
    <definedName name="BODAFE438D2A524D94896C2A23B0EBD390" hidden="1">#REF!</definedName>
    <definedName name="BODB51402C13E54FD9ACD87EBAAB07CBAD" hidden="1">#REF!</definedName>
    <definedName name="BODB6D0286CAFA43D0B1FF4F03C3CCED95" hidden="1">#REF!</definedName>
    <definedName name="BODB8D1BF6E5DA4A67AC16C08B05DABAF3" hidden="1">#REF!</definedName>
    <definedName name="BODBA61B9A973B4DBF80DAFFCFA52A46F7" hidden="1">#REF!</definedName>
    <definedName name="BODBC3E114B6BA433B95744F76179805E1" hidden="1">#REF!</definedName>
    <definedName name="BODBD351D67E7342638656268F62E3FEAD" hidden="1">#REF!</definedName>
    <definedName name="BODC12D5C9AE1345F38FFB7CC8A3BE043C" hidden="1">#REF!</definedName>
    <definedName name="BODC2F0323AD924436ABFB4D23525B29AF" hidden="1">#REF!</definedName>
    <definedName name="BODC342A3652B944F09E1FCD60DF1F133D" hidden="1">#REF!</definedName>
    <definedName name="BODC35D2D9197948F5B41EF4D2CE5E8576" hidden="1">#REF!</definedName>
    <definedName name="BODC43C42893F5471992092AACDD77C08F" hidden="1">#REF!</definedName>
    <definedName name="BODC4D145DB1F54CE999BD1B07C1604457" hidden="1">#REF!</definedName>
    <definedName name="BODCACB442AFF147DA8534A6D75C35399F" hidden="1">#REF!</definedName>
    <definedName name="BODCDC60E0DAE14E1A87E177A39424DBBA" hidden="1">#REF!</definedName>
    <definedName name="BODCF9B3C3B64847C5B7AA49E141E8367F" hidden="1">#REF!</definedName>
    <definedName name="BODD55D711679540EBA8B4626BAFC0C961" hidden="1">#REF!</definedName>
    <definedName name="BODD87356B32F3448BA7F6D80C4681836A" hidden="1">#REF!</definedName>
    <definedName name="BODD912D5833004681A88D2F9EF257B7C0" hidden="1">#REF!</definedName>
    <definedName name="BODD9480E3CACE4F268ADF8A4111607E56" hidden="1">#REF!</definedName>
    <definedName name="BODDA82180A02945AABDD7BADBD4BB12C4" hidden="1">#REF!</definedName>
    <definedName name="BODDC65C1306484FAD8C5B5098B18FA369" hidden="1">#REF!</definedName>
    <definedName name="BODDE486C3BA604263A250727A6C11879D" hidden="1">#REF!</definedName>
    <definedName name="BODDEFC0D0572B4042AB60AB186BB501E7" hidden="1">#REF!</definedName>
    <definedName name="BODE40BF5CBE26430282B79A6769A9E4EE" hidden="1">#REF!</definedName>
    <definedName name="BODE5C9656178241B9854DC0E7B7BB4C1D" hidden="1">#REF!</definedName>
    <definedName name="BODE768A9B2D54461F9A71EC094B8BFEA9" hidden="1">#REF!</definedName>
    <definedName name="BODE811A6228654F54939A745212057316" hidden="1">#REF!</definedName>
    <definedName name="BODE89B1DA731A4454A01E45129D52F892" hidden="1">#REF!</definedName>
    <definedName name="BODE9072EB3BFB4B1C92C8FCDBBE8360D7" hidden="1">#REF!</definedName>
    <definedName name="BODEC00C0FE625435EAB16BBF3CF5423FA" hidden="1">#REF!</definedName>
    <definedName name="BODECEBD48E9604A83A10F1F22350794BF" hidden="1">#REF!</definedName>
    <definedName name="BODECF7922D5794E779C6CADC7B440F3E1" hidden="1">#REF!</definedName>
    <definedName name="BODEF3253214EB42739241C6059132B79D" hidden="1">#REF!</definedName>
    <definedName name="BODF01B683526347E0ACBE5A579DBFCF9C" hidden="1">#REF!</definedName>
    <definedName name="BODF073AE731E849BDACD3A7E9DA3E9CE6" hidden="1">#REF!</definedName>
    <definedName name="BODF094FBD134141929A57AFD3107DEBE1" hidden="1">#REF!</definedName>
    <definedName name="BODF0BD33E1E0443CE8483C28E0E36B7C7" hidden="1">#REF!</definedName>
    <definedName name="BODF744399BFC0430AA3F357277380EE88" hidden="1">#REF!</definedName>
    <definedName name="BODFAFE6B7B5DD494DA46E02F336EB4451" hidden="1">#REF!</definedName>
    <definedName name="BODFB578F516AA465893C1FE1B2B12D366" hidden="1">#REF!</definedName>
    <definedName name="BOE006847D0A6D4D4D8D2533E19C49D667" hidden="1">#REF!</definedName>
    <definedName name="BOE006ED9E20C3444F8CEAF6E03763551D" hidden="1">#REF!</definedName>
    <definedName name="BOE00DA9EEAD2747C89688401F227A1B47" hidden="1">#REF!</definedName>
    <definedName name="BOE017B1FDF9474AB39B4D907FFF9B93B4" hidden="1">#REF!</definedName>
    <definedName name="BOE026125E78E5458981F88E04737F5FDD" hidden="1">#REF!</definedName>
    <definedName name="BOE034E323591D4D3081245B383BB615E3" hidden="1">#REF!</definedName>
    <definedName name="BOE0360C2D533540EA91E5BF1F73B1D78C" hidden="1">#REF!</definedName>
    <definedName name="BOE0576357A0FB48FFB1C2EE97C539209D" hidden="1">#REF!</definedName>
    <definedName name="BOE05AB811E6DC47F588E989213BDA0E49" hidden="1">#REF!</definedName>
    <definedName name="BOE072055565B440F0B96E015B8A86281B" hidden="1">#REF!</definedName>
    <definedName name="BOE07673114B354AADB2FE0F4CF47306B1" hidden="1">#REF!</definedName>
    <definedName name="BOE07C99ECF2B04F24AF66BE9134092175" hidden="1">#REF!</definedName>
    <definedName name="BOE0B675C6FF644F25ABE231535B04807E" hidden="1">#REF!</definedName>
    <definedName name="BOE0BE8FB3CBC74049B3BDC5FBC4F0515A" hidden="1">#REF!</definedName>
    <definedName name="BOE0F80A181E3C4F628830B11216FE6E5C" hidden="1">#REF!</definedName>
    <definedName name="BOE11978DCD81043259E316E7A919B3956" hidden="1">#REF!</definedName>
    <definedName name="BOE12937672CEA40B2A2C0AC7904CC44AE" hidden="1">#REF!</definedName>
    <definedName name="BOE13AB4235AC2402DAB027B3936B550B9" hidden="1">#REF!</definedName>
    <definedName name="BOE153C64737424AE6B4DB32194D7FF0E2" hidden="1">#REF!</definedName>
    <definedName name="BOE18C517FEAEA45E8BCA8C8C731F3D920" hidden="1">#REF!</definedName>
    <definedName name="BOE18EC19E8AEF402EAE2B0F9CB5CCA3AB" hidden="1">#REF!</definedName>
    <definedName name="BOE19089FAC16F4B8688A0492982FF446E" hidden="1">#REF!</definedName>
    <definedName name="BOE1D5BDF45331474CB5BCDA5D62240B3B" hidden="1">#REF!</definedName>
    <definedName name="BOE1D864672D394290A795746A1DE77B08" hidden="1">#REF!</definedName>
    <definedName name="BOE2120FD099664455B8C4D55E1FF026FD" hidden="1">#REF!</definedName>
    <definedName name="BOE214051AC1A748E081A158A11E4ADD05" hidden="1">#REF!</definedName>
    <definedName name="BOE22CD0E0569A49439417A071544CE72A" hidden="1">#REF!</definedName>
    <definedName name="BOE25B77D6C27540E6AAA556148B083B53" hidden="1">#REF!</definedName>
    <definedName name="BOE263959986DE4AC8B573670D83DDB9EF" hidden="1">#REF!</definedName>
    <definedName name="BOE28EA0D9163A45FDBB2590D2729647C9" hidden="1">#REF!</definedName>
    <definedName name="BOE2D85861CE134B2899A88CE95589BEA9" hidden="1">#REF!</definedName>
    <definedName name="BOE307F88CF982433D8A5E1A5800FD2AD4" hidden="1">#REF!</definedName>
    <definedName name="BOE32845D4217248B5A29BB1EF05A74B53" hidden="1">#REF!</definedName>
    <definedName name="BOE337F40BCDB04761B6982A92D8288043" hidden="1">#REF!</definedName>
    <definedName name="BOE376496472834A1187F8B2D218F47A9C" hidden="1">#REF!</definedName>
    <definedName name="BOE3903726787A43369D14E2CFD75168C1" hidden="1">#REF!</definedName>
    <definedName name="BOE398E17A4D2C4403AC2E55DCE59A4DB3" hidden="1">#REF!</definedName>
    <definedName name="BOE3A961B9C77F419C80AA8DBDE61BF21F" hidden="1">#REF!</definedName>
    <definedName name="BOE3D3C537354043529495944246227E54" hidden="1">#REF!</definedName>
    <definedName name="BOE3EAB94B34994813A192F85F34F64788" hidden="1">#REF!</definedName>
    <definedName name="BOE447A50A6A0445EDA278C8F6684F9F56" hidden="1">#REF!</definedName>
    <definedName name="BOE449661142474D1998C432F3D15150A8" hidden="1">#REF!</definedName>
    <definedName name="BOE4553A17435E44E1A73A3E8C5BB03776" hidden="1">#REF!</definedName>
    <definedName name="BOE4570C8160CD449BA2EB7A5799F3D970" hidden="1">#REF!</definedName>
    <definedName name="BOE46F6DB57CC5418DB632FD6AA4046084" hidden="1">#REF!</definedName>
    <definedName name="BOE4864185A3864D3AB1C30FBB75915886" hidden="1">#REF!</definedName>
    <definedName name="BOE49A28902F614E22AADB7D311EBA846E" hidden="1">#REF!</definedName>
    <definedName name="BOE4CBEA97B39C41D8BA6F03263BFA8066" hidden="1">#REF!</definedName>
    <definedName name="BOE4D5A5154F4C482B944548BC47E31E5D" hidden="1">#REF!</definedName>
    <definedName name="BOE4EC52FAC01E4D389789FE914DC05BF6" hidden="1">#REF!</definedName>
    <definedName name="BOE503A37C2DDD4514A5244826E6A6DB54" hidden="1">#REF!</definedName>
    <definedName name="BOE51DFD1C9562469194F32690B232F3D3" hidden="1">#REF!</definedName>
    <definedName name="BOE545914D51B74F8F80A99121E9F681D3" hidden="1">#REF!</definedName>
    <definedName name="BOE5480C2C9C554E828BCF6B26CE00644E" hidden="1">#REF!</definedName>
    <definedName name="BOE549C9E705DE4877993E07C59BDC0CE5" hidden="1">#REF!</definedName>
    <definedName name="BOE55435D37049454395ECA083E501131D" hidden="1">#REF!</definedName>
    <definedName name="BOE57D2810DF2F40AA8FB1D0C2ECDAA661" hidden="1">#REF!</definedName>
    <definedName name="BOE585DC72C4564FA68F5AA993D43A7E96" hidden="1">#REF!</definedName>
    <definedName name="BOE5AA83923A2A4251A365967B0FABE997" hidden="1">#REF!</definedName>
    <definedName name="BOE5C36DE72DD74A34BA37E9397BF4B1BF" hidden="1">#REF!</definedName>
    <definedName name="BOE5D737DF7DC04EF4A3F1879E3C59FBA5" hidden="1">#REF!</definedName>
    <definedName name="BOE5DB18EC4BF143CAB33F7AB9CE0BC7AD" hidden="1">#REF!</definedName>
    <definedName name="BOE5E15CBA8693404E95C6E7532B0455DE" hidden="1">#REF!</definedName>
    <definedName name="BOE5F1AA16B89C46E08917B4E586F61146" hidden="1">#REF!</definedName>
    <definedName name="BOE6016488BD9B43AB807B2FDE97A1E5C6" hidden="1">#REF!</definedName>
    <definedName name="BOE642644C80644606B590C952B2B679BB" hidden="1">#REF!</definedName>
    <definedName name="BOE6472F62E05843E3A42485F3FC4DAA7B" hidden="1">#REF!</definedName>
    <definedName name="BOE64B65D0B2E3477D965DA34BE633B705" hidden="1">#REF!</definedName>
    <definedName name="BOE671A811FEE443B0AF77FFD7B973E3D8" hidden="1">#REF!</definedName>
    <definedName name="BOE69EC63A965D4D389109A1397229FE81" hidden="1">#REF!</definedName>
    <definedName name="BOE6CF0641D1CF4974818BF6A3C75563DF" hidden="1">#REF!</definedName>
    <definedName name="BOE6CF7371C48B4B4CA75BF8C02972E606" hidden="1">#REF!</definedName>
    <definedName name="BOE6D827D9E2DE489ABEBB24B97E6503E8" hidden="1">#REF!</definedName>
    <definedName name="BOE6EC2B01DAAC4CAA860BFF94370676C8" hidden="1">#REF!</definedName>
    <definedName name="BOE723E5A34F7C49D89A97CE036F53E20A" hidden="1">#REF!</definedName>
    <definedName name="BOE741AA47A5B7491BB12A8962C001BCD6" hidden="1">#REF!</definedName>
    <definedName name="BOE74688F5AC1E4867865C628E71974C74" hidden="1">#REF!</definedName>
    <definedName name="BOE749E2E453224EDE819CB02CD51A08BE" hidden="1">#REF!</definedName>
    <definedName name="BOE75B49FAF61B4EF69763E611B56CE634" hidden="1">#REF!</definedName>
    <definedName name="BOE76250712D36454EA8BD340089539AD6" hidden="1">#REF!</definedName>
    <definedName name="BOE76431D47602405BB3C0FF818CC34755" hidden="1">#REF!</definedName>
    <definedName name="BOE776B09F34E244928F8EA22D197685DA" hidden="1">#REF!</definedName>
    <definedName name="BOE798598350E04FBFAF7A6A194F1568BE" hidden="1">#REF!</definedName>
    <definedName name="BOE7CBB0CC34384B958962B499B09B2EFE" hidden="1">#REF!</definedName>
    <definedName name="BOE7DFAF165385446BA6A3484A6449F5EB" hidden="1">#REF!</definedName>
    <definedName name="BOE7EC9B4E00164CB5B67EF6A26F794461" hidden="1">#REF!</definedName>
    <definedName name="BOE7F286C313164F68BF206AFA08DBC094" hidden="1">#REF!</definedName>
    <definedName name="BOE7FB822E1C854B0080C789D2304CB9DE" hidden="1">#REF!</definedName>
    <definedName name="BOE7FF59A65485454D9BAF35A631532BE7" hidden="1">#REF!</definedName>
    <definedName name="BOE8052FE958B8496D959F6782B970EA25" hidden="1">#REF!</definedName>
    <definedName name="BOE8473256F0E74B51A0AF9E07903BA006" hidden="1">#REF!</definedName>
    <definedName name="BOE84E82EEFCCE41D0BA91EFACF23EBFA7" hidden="1">#REF!</definedName>
    <definedName name="BOE84FCC406C184191AFE42CCF04997FEE" hidden="1">#REF!</definedName>
    <definedName name="BOE884DB0E080F4026AEDEAD76588B78FC" hidden="1">#REF!</definedName>
    <definedName name="BOE8970DB59C714C8BA0FB79E01170D916" hidden="1">#REF!</definedName>
    <definedName name="BOE8C9C3ED265B48589109A08A9505A1D1" hidden="1">#REF!</definedName>
    <definedName name="BOE8DBD581E91E43A295718AF22899C040" hidden="1">#REF!</definedName>
    <definedName name="BOE8FD561F920B4D0EB0A7FF754C48EC59" hidden="1">#REF!</definedName>
    <definedName name="BOE9070F3F0E5C4CECA88BDCD0FE83FACA" hidden="1">#REF!</definedName>
    <definedName name="BOE9145CAB99E74AFE9E99E9CC29206FC8" hidden="1">#REF!</definedName>
    <definedName name="BOE919721A160440009B2F08B691E057F6" hidden="1">#REF!</definedName>
    <definedName name="BOE9365DA92F0142D688109164C3F00B4C" hidden="1">#REF!</definedName>
    <definedName name="BOE93FF485CBB143C8B17639519B225C67" hidden="1">#REF!</definedName>
    <definedName name="BOE9711470A17248E1818E183991FEFBE1" hidden="1">#REF!</definedName>
    <definedName name="BOE986E94CE98349AE8748D58895E44442" hidden="1">#REF!</definedName>
    <definedName name="BOE9A94086040D4182824491AC50D5A715" hidden="1">#REF!</definedName>
    <definedName name="BOE9C1CB3E7BDF4A4B99B9C11169458EA4" hidden="1">#REF!</definedName>
    <definedName name="BOE9D930B87D734F9798F59AA71877AC27" hidden="1">#REF!</definedName>
    <definedName name="BOE9E6BF7CEFB94FE1A00EF1AF9DE0670D" hidden="1">#REF!</definedName>
    <definedName name="BOEA23F73FE7434EFCA0F38B740B2A71CE" hidden="1">#REF!</definedName>
    <definedName name="BOEA24131FE3B34D1F9614F7212C119A06" hidden="1">#REF!</definedName>
    <definedName name="BOEA250B12AC0048F08246845DA3D06B8B" hidden="1">#REF!</definedName>
    <definedName name="BOEA3DBC7CAAA9402E85E619F5B8A0658D" hidden="1">#REF!</definedName>
    <definedName name="BOEA45133290A5471DA1865C6961B27895" hidden="1">#REF!</definedName>
    <definedName name="BOEA487DFBBB0446B0A8D7FEFB2D9E7C93" hidden="1">#REF!</definedName>
    <definedName name="BOEAD6D7767DC54CBEBCE421A3DB34DE6B" hidden="1">#REF!</definedName>
    <definedName name="BOEADD9A517C9E4CB4999114D4B9BD6920" hidden="1">#REF!</definedName>
    <definedName name="BOEAF3B895ABCD49308AF2F5A2E22BBC94" hidden="1">#REF!</definedName>
    <definedName name="BOEAFDF322262145CB86BF48DC1DB6B5A2" hidden="1">#REF!</definedName>
    <definedName name="BOEB0E75BF9AEA444FA574EF153F2DE2A5" hidden="1">#REF!</definedName>
    <definedName name="BOEB1FBF1FAD7F4ECC8BB20074F709319C" hidden="1">#REF!</definedName>
    <definedName name="BOEB217BD039004C72ABA77A436DA8A424" hidden="1">#REF!</definedName>
    <definedName name="BOEB458FBEB36F4ACDA8C9CB398BDD60AB" hidden="1">#REF!</definedName>
    <definedName name="BOEB7ECE9285934C488E6B2136A2F0641C" hidden="1">#REF!</definedName>
    <definedName name="BOEBB477EA004747AC923498244421587D" hidden="1">#REF!</definedName>
    <definedName name="BOEBBC73E30C5E459DB8E9982D70CCFA83" hidden="1">#REF!</definedName>
    <definedName name="BOEC0BCDB4FA624FE89507CCDAFB2DE5F3" hidden="1">#REF!</definedName>
    <definedName name="BOEC0DD3F439BA4003AD46A41F29874030" hidden="1">#REF!</definedName>
    <definedName name="BOEC1A5FBA282D4E98AC0A8B6E60EA9049" hidden="1">#REF!</definedName>
    <definedName name="BOEC3F2E58E5E44307B2E206499188E1FC" hidden="1">#REF!</definedName>
    <definedName name="BOEC425E786A5F4CE78604F43CC4690D0E" hidden="1">#REF!</definedName>
    <definedName name="BOEC5B408FC72D40DAAEAB05CE85838531" hidden="1">#REF!</definedName>
    <definedName name="BOEC6B3D1B408C4BEA9A1E84D8EDF0F1D8" hidden="1">#REF!</definedName>
    <definedName name="BOEC9B5B1AD36D4F2AA7A07F0BDCAA69E4" hidden="1">#REF!</definedName>
    <definedName name="BOECDF813F5B044D3090546B36A2795F21" hidden="1">#REF!</definedName>
    <definedName name="BOECF8FF9A3492427BA40FF8CA6171F72D" hidden="1">#REF!</definedName>
    <definedName name="BOED05B2F2B9E94F6187B09D58E9239D88" hidden="1">#REF!</definedName>
    <definedName name="BOED1EA8F825644ABA99CA16B474D79E3E" hidden="1">#REF!</definedName>
    <definedName name="BOED562F54123C431F9027C5E4DD931301" hidden="1">#REF!</definedName>
    <definedName name="BOED90211738DC45B88535CD01C1135A78" hidden="1">#REF!</definedName>
    <definedName name="BOED9EE50BAF774E2AA4A7596663A49FC4" hidden="1">#REF!</definedName>
    <definedName name="BOEDA36C9CE4FA4581A52255AF23DB93A0" hidden="1">#REF!</definedName>
    <definedName name="BOEDB3BA53AFC3453DB990331E0B5780A0" hidden="1">#REF!</definedName>
    <definedName name="BOEDBABC0C059545189DC8E8F1C8E61166" hidden="1">#REF!</definedName>
    <definedName name="BOEDE32FE5EB604C1F930D99BA4C3B57D5" hidden="1">#REF!</definedName>
    <definedName name="BOEDE768E044204D4896FC83EA9E0DED28" hidden="1">#REF!</definedName>
    <definedName name="BOEDF260BEC9454C2AAB8653DAA455274C" hidden="1">#REF!</definedName>
    <definedName name="BOEDFE33E509F943EB8068C63B6FBA2CD7" hidden="1">#REF!</definedName>
    <definedName name="BOEE0353DEA87047D1BC8BA1A10AA66E19" hidden="1">#REF!</definedName>
    <definedName name="BOEE89452115254AA5AD1B4A4D53F5D207" hidden="1">#REF!</definedName>
    <definedName name="BOEEACC20B9FE44B1AA33590292E5D0028" hidden="1">#REF!</definedName>
    <definedName name="BOEEDA0B6B46114ED382263C8C9D55A945" hidden="1">#REF!</definedName>
    <definedName name="BOEEE402F4521E4129B8F3DAFD319B8DE9" hidden="1">#REF!</definedName>
    <definedName name="BOEF3940E6E677491BAE23FF17364EF17E" hidden="1">#REF!</definedName>
    <definedName name="BOEF406C0827AE4CBCAA017E0C0DCC3DED" hidden="1">#REF!</definedName>
    <definedName name="BOEF56D01AD3D14C099D494FBC502954D5" hidden="1">#REF!</definedName>
    <definedName name="BOEF7322C278CF4E74A4F50631FF61E1A4" hidden="1">#REF!</definedName>
    <definedName name="BOEFBD1451554C46C5B09F0AEEE7170DBE" hidden="1">#REF!</definedName>
    <definedName name="BOEFC38C6084D4401087A1495EDEB30DD0" hidden="1">#REF!</definedName>
    <definedName name="BOEFED11C55B7D42F0BA74E1AC52FFFCB6" hidden="1">#REF!</definedName>
    <definedName name="BOEFFA9E855A8D4352994E68849AF48905" hidden="1">#REF!</definedName>
    <definedName name="BOF0100A92ADA14111A38DCB300766F521" hidden="1">#REF!</definedName>
    <definedName name="BOF01838A6DDBE45D4B2B655AAD88D5B0E" hidden="1">#REF!</definedName>
    <definedName name="BOF02333F78A05422AA5A1F733A8834CD6" hidden="1">#REF!</definedName>
    <definedName name="BOF05E6310E06849798562BB8BD53C4F28" hidden="1">#REF!</definedName>
    <definedName name="BOF05FFF3AC94B4E36925B5EDAAC8C1C53" hidden="1">#REF!</definedName>
    <definedName name="BOF0905563093845A997A50AF692884153" hidden="1">#REF!</definedName>
    <definedName name="BOF0A825745E464D13A54ABA20B609B9E8" hidden="1">#REF!</definedName>
    <definedName name="BOF0C59731D4AE4017B5B4169F3C9AA2A6" hidden="1">#REF!</definedName>
    <definedName name="BOF0CBC11E611C46CAA732EB2558A413AB" hidden="1">#REF!</definedName>
    <definedName name="BOF0D4EF18741047F1B1043984130F0FA6" hidden="1">#REF!</definedName>
    <definedName name="BOF0DBB60FBA7B487483C6404113C66C6E" hidden="1">#REF!</definedName>
    <definedName name="BOF0E3743744E240A992B06E29FA68C50A" hidden="1">#REF!</definedName>
    <definedName name="BOF0E6E6B0E78C42E08BE2CDEA8CF44D78" hidden="1">#REF!</definedName>
    <definedName name="BOF109CEBDEEAC441FA6E936017139B088" hidden="1">#REF!</definedName>
    <definedName name="BOF15E20C21B1C4680B293AE7291F7DD0F" hidden="1">#REF!</definedName>
    <definedName name="BOF1ABC4FD00E64BA58CFF06D348B0C5C3" hidden="1">#REF!</definedName>
    <definedName name="BOF1AEBC9A7BD44233A1943849C28C4FEC" hidden="1">#REF!</definedName>
    <definedName name="BOF1B8AD00099048A2A8AEC0999BE156F5" hidden="1">#REF!</definedName>
    <definedName name="BOF20CCB7468C540F09F18FAB754EC370F" hidden="1">#REF!</definedName>
    <definedName name="BOF23D7E5217A24026827BA1D213504D2A" hidden="1">#REF!</definedName>
    <definedName name="BOF24947DB82D64635840A8DB5866B51FD" hidden="1">#REF!</definedName>
    <definedName name="BOF27712BD4E094407ACB4899BA5C49295" hidden="1">#REF!</definedName>
    <definedName name="BOF28675E81D624568B83E5006EE4DAB41" hidden="1">#REF!</definedName>
    <definedName name="BOF287C0DE87E04A9FA22B2ECD2F94C614" hidden="1">#REF!</definedName>
    <definedName name="BOF2E4E26EFA1B45A6B451A32AF9340BA2" hidden="1">#REF!</definedName>
    <definedName name="BOF2E9D408E0CE4BE8BFEABB6B73934CC2" hidden="1">#REF!</definedName>
    <definedName name="BOF2EBB03F32CB43D982795A06A0CE7F14" hidden="1">#REF!</definedName>
    <definedName name="BOF2ED9B84F0014707AE8E96E655EA83CB" hidden="1">#REF!</definedName>
    <definedName name="BOF2FF48AA091D4BA99B50E6B5AC55A3E5" hidden="1">#REF!</definedName>
    <definedName name="BOF33D6B6D93C74BB18FE3D6E0FF794B23" hidden="1">#REF!</definedName>
    <definedName name="BOF36997466DCA419EB5BB546C26585165" hidden="1">#REF!</definedName>
    <definedName name="BOF36B04952D7E494D8982DF32678ED517" hidden="1">#REF!</definedName>
    <definedName name="BOF37F793DBD86486CB8F124C4A5B4790A" hidden="1">#REF!</definedName>
    <definedName name="BOF3A90882C3F646AC8E52826DE77B4F42" hidden="1">#REF!</definedName>
    <definedName name="BOF3C2FA67E9714243A6A0E31921FBEEBC" hidden="1">#REF!</definedName>
    <definedName name="BOF3E50E227A544F7F8427DB69807893E0" hidden="1">#REF!</definedName>
    <definedName name="BOF3F8EC36F0584B21B040E4FAE9B8810F" hidden="1">#REF!</definedName>
    <definedName name="BOF40B8D5DE4EF48C8A142F2738685DF4E" hidden="1">#REF!</definedName>
    <definedName name="BOF4CCF65C0AB248CE8B3EBF1FF477CB5C" hidden="1">#REF!</definedName>
    <definedName name="BOF4E734F5E0B346399B3F74EDDE1364EA" hidden="1">#REF!</definedName>
    <definedName name="BOF4F541C0A6C94B61A4CE373A6C565169" hidden="1">#REF!</definedName>
    <definedName name="BOF51A52841A654E94BE5B17633A966825" hidden="1">#REF!</definedName>
    <definedName name="BOF53CCAFB02904DA4AF21417141E6C458" hidden="1">#REF!</definedName>
    <definedName name="BOF5497173AE06489E9550275FB325A5AD" hidden="1">#REF!</definedName>
    <definedName name="BOF55CF31ECD7A406CA38DE801694F8552" hidden="1">#REF!</definedName>
    <definedName name="BOF5631028159044D78779C45CA65FC43B" hidden="1">#REF!</definedName>
    <definedName name="BOF585D8968C854C30B591C88227EDB648" hidden="1">#REF!</definedName>
    <definedName name="BOF5AEE545461542C7A1A82997EB41AB35" hidden="1">#REF!</definedName>
    <definedName name="BOF5CB44B1A6E44FDC89B7F2976A7CE3A8" hidden="1">#REF!</definedName>
    <definedName name="BOF5DC32DE31BD4B50B0267F468F4E4CB0" hidden="1">#REF!</definedName>
    <definedName name="BOF604F32E6DAC49BBA3716C381BEBAB3A" hidden="1">#REF!</definedName>
    <definedName name="BOF611A9E8BB0F49E497EFF27831772058" hidden="1">#REF!</definedName>
    <definedName name="BOF63D3B4EB0E544EFA271FEA8860AC25D" hidden="1">#REF!</definedName>
    <definedName name="BOF669A2D2BA994424B1F5A8AC117A55CA" hidden="1">#REF!</definedName>
    <definedName name="BOF66F23777B7C431BBA70EAF3374BA9DD" hidden="1">#REF!</definedName>
    <definedName name="BOF67F5AA185884F23B340D90B4494144F" hidden="1">#REF!</definedName>
    <definedName name="BOF687F176C001453A8BDD5BE28067C5E9" hidden="1">#REF!</definedName>
    <definedName name="BOF6AE8BD0902148AA869657E40D971E11" hidden="1">#REF!</definedName>
    <definedName name="BOF6C435831C884A2B958ECF1499C5AE81" hidden="1">#REF!</definedName>
    <definedName name="BOF6C9B9EED16443ED8CB7FF99A5DBCC26" hidden="1">#REF!</definedName>
    <definedName name="BOF6CDA264C92D4DF2907EB1622B5003D6" hidden="1">#REF!</definedName>
    <definedName name="BOF708D1281373454597A1A056AB3A3531" hidden="1">#REF!</definedName>
    <definedName name="BOF72B7E5688A24599B26396DA1025418E" hidden="1">#REF!</definedName>
    <definedName name="BOF75BD264DBB04172906E6710FDC5CE9B" hidden="1">#REF!</definedName>
    <definedName name="BOF770BE81EB0647A29E9CE4D634384356" hidden="1">#REF!</definedName>
    <definedName name="BOF77B331BE93848B7BCD11717BB266D2A" hidden="1">#REF!</definedName>
    <definedName name="BOF7976E88AE214F67B9CBB47608F7DDA9" hidden="1">#REF!</definedName>
    <definedName name="BOF79C8057618541DB900AC860DEA92122" hidden="1">#REF!</definedName>
    <definedName name="BOF7B5D1FBB8764A4FB0220E77B2881D62" hidden="1">#REF!</definedName>
    <definedName name="BOF7B5FA1754E0413AAFB010856810A5BA" hidden="1">#REF!</definedName>
    <definedName name="BOF7C0B15686234EACBE0FB09FC35AFFF4" hidden="1">#REF!</definedName>
    <definedName name="BOF7CF94FFA36A46ACB0FCB81905FBD824" hidden="1">#REF!</definedName>
    <definedName name="BOF83559FBC7D04204ADB4B6AED114EAF7" hidden="1">#REF!</definedName>
    <definedName name="BOF835CA3093464BB98CC8821172B1F91C" hidden="1">#REF!</definedName>
    <definedName name="BOF85E6CCF6A57462A8CA36AA9540D141F" hidden="1">#REF!</definedName>
    <definedName name="BOF861024EEF514C6389B851E8D3982275" hidden="1">#REF!</definedName>
    <definedName name="BOF86B41F85B3F42E4B7EFE1B2C2199C1B" hidden="1">#REF!</definedName>
    <definedName name="BOF87E495A74FB4EFAB3F46E6715C2B04E" hidden="1">#REF!</definedName>
    <definedName name="BOF8B846D7E8B34D05B384F863E85A28E5" hidden="1">#REF!</definedName>
    <definedName name="BOF8E521594CB6424A882EA938563567D8" hidden="1">#REF!</definedName>
    <definedName name="BOF8F113671AB242A0A31C324D25132756" hidden="1">#REF!</definedName>
    <definedName name="BOF90C081FC31448DE8B5AE57F93E88D5A" hidden="1">#REF!</definedName>
    <definedName name="BOF9376400C8CF4FCD85B320E7EAD04A94" hidden="1">#REF!</definedName>
    <definedName name="BOF9495CF6160944879E041E0D38789F50" hidden="1">#REF!</definedName>
    <definedName name="BOF9509C2000054150B4B30DF7C43A4A51" hidden="1">#REF!</definedName>
    <definedName name="BOF96D6F15B6C64D5C8030DD9389EA8255" hidden="1">#REF!</definedName>
    <definedName name="BOF976143D93AF4A00A035132360605823" hidden="1">#REF!</definedName>
    <definedName name="BOF97FF29AFA964EB4A7194CFD2D06893A" hidden="1">#REF!</definedName>
    <definedName name="BOF982D863C97441DE8C3A59719A3F7A1C" hidden="1">#REF!</definedName>
    <definedName name="BOF991385FBFDD4DD7AD5E7F1640C78BB8" hidden="1">#REF!</definedName>
    <definedName name="BOF9958D4FBFBF40E68FCC6DC7A805A18F" hidden="1">#REF!</definedName>
    <definedName name="BOF9A745490A1F4A0695067659AAAB07E4" hidden="1">#REF!</definedName>
    <definedName name="BOF9CCA466DDE34243A28BEC11EA7696FC" hidden="1">#REF!</definedName>
    <definedName name="BOF9D0F7B0FC8745ADA15A7F51ACA86046" hidden="1">#REF!</definedName>
    <definedName name="BOF9E3ACA774784CC185178823C21D0683" hidden="1">#REF!</definedName>
    <definedName name="BOF9E4F58BD63540A68A019559C64FCADD" hidden="1">#REF!</definedName>
    <definedName name="BOF9F15082364A4134B98686203548E9D2" hidden="1">#REF!</definedName>
    <definedName name="BOF9F2E505E437475E8029DC8D894C88D9" hidden="1">#REF!</definedName>
    <definedName name="BOF9F503D5C8DC4F159CA92378C6C2F165" hidden="1">#REF!</definedName>
    <definedName name="BOFA14A2D8CB234719B612B2CD55B5C9B9" hidden="1">#REF!</definedName>
    <definedName name="BOFA189D6399D741059121AB58C4681E1B" hidden="1">#REF!</definedName>
    <definedName name="BOFA2EA8565515456BB492A0487B3028BB" hidden="1">#REF!</definedName>
    <definedName name="BOFA2F87762DFD484D94075FC95CB64240" hidden="1">#REF!</definedName>
    <definedName name="BOFA6FBCF148F348859DF1A84441CCBAE5" hidden="1">#REF!</definedName>
    <definedName name="BOFA864009E0984036BEA4C678AD54A99F" hidden="1">#REF!</definedName>
    <definedName name="BOFAABE7614B284661B98C71FC73AF5357" hidden="1">#REF!</definedName>
    <definedName name="BOFAC709B4C59A409D8062E376F00BEAEB" hidden="1">#REF!</definedName>
    <definedName name="BOFAD762ED2D514C759268845816353004" hidden="1">#REF!</definedName>
    <definedName name="BOFB1C41C30B6E4FDDB1D2E412168345EA" hidden="1">#REF!</definedName>
    <definedName name="BOFB336458987A4A00A14567345C5A3BC3" hidden="1">#REF!</definedName>
    <definedName name="BOFB68B3AB13A949D6B91D57867C55ACBD" hidden="1">#REF!</definedName>
    <definedName name="BOFB8FF5299BAC4A3980A0C9D97B2C2A8F" hidden="1">#REF!</definedName>
    <definedName name="BOFBD1BBF7BCC14007A52AFA1AC14DFD90" hidden="1">#REF!</definedName>
    <definedName name="BOFC008101E26942739BCE45A22FDC1809" hidden="1">#REF!</definedName>
    <definedName name="BOFC101594CCBD46F69B92FD32FB5B2967" hidden="1">#REF!</definedName>
    <definedName name="BOFC3CE9B777E942BF8427BC366D3B0A70" hidden="1">#REF!</definedName>
    <definedName name="BOFC5BF5B340284577A6C0DA03F1824FF8" hidden="1">#REF!</definedName>
    <definedName name="BOFC691235AADD4AF99E5F69CD249F2546" hidden="1">#REF!</definedName>
    <definedName name="BOFC779837E3E04A1985835E5DF253266E" hidden="1">#REF!</definedName>
    <definedName name="BOFC9287FB937E45768ACB07545CEEA2D9" hidden="1">#REF!</definedName>
    <definedName name="BOFCAD2E401667477E9D464FB1AA22C096" hidden="1">#REF!</definedName>
    <definedName name="BOFCB243D312254A6495E9987C2B550B68" hidden="1">#REF!</definedName>
    <definedName name="BOFCBD10D75B584C3B8A3E8226942B145A" hidden="1">#REF!</definedName>
    <definedName name="BOFCED67DF69DE4476812BDAF010897053" hidden="1">#REF!</definedName>
    <definedName name="BOFCF51C93505B48AC82B9911B1E5E5C72" hidden="1">#REF!</definedName>
    <definedName name="BOFD09022DAC094A40B6A03F0E06944AFA" hidden="1">#REF!</definedName>
    <definedName name="BOFD529BCDFD5B4DC1A3A3F2BB939D10F7" hidden="1">#REF!</definedName>
    <definedName name="BOFD8DF3176E384B91BF0EC93EA8ADD67B" hidden="1">#REF!</definedName>
    <definedName name="BOFE0305390B704C48BA2EC4A05D8EC976" hidden="1">#REF!</definedName>
    <definedName name="BOFE0FFADB41B0470093CD34743DAA5984" hidden="1">#REF!</definedName>
    <definedName name="BOFE2E98B7B96147599125BD16B196EA9A" hidden="1">#REF!</definedName>
    <definedName name="BOFE80B2BAD5AA490FB1090A0F5A6B2D3E" hidden="1">#REF!</definedName>
    <definedName name="BOFEA5122D1E64440F99EE2A3A11DF2E00" hidden="1">#REF!</definedName>
    <definedName name="BOFEA6BEA308954340BEC08D6EE88D6232" hidden="1">#REF!</definedName>
    <definedName name="BOFEBB355536364ED8B2C1BF3DA875F9C0" hidden="1">#REF!</definedName>
    <definedName name="BOFEEA8528210641EAAB5BD7AF7B5A478A" hidden="1">#REF!</definedName>
    <definedName name="BOFEEC3A32A9914EA8B78F465349332185" hidden="1">#REF!</definedName>
    <definedName name="BOFF2E1E2C77F74388A8E5E3760D657FFD" hidden="1">#REF!</definedName>
    <definedName name="BOFF3F97E7FAA347979ACC7B2E0F8F09D1" hidden="1">#REF!</definedName>
    <definedName name="BOFF4D952AA1C249788BD8E15A5BF80074" hidden="1">#REF!</definedName>
    <definedName name="BOFF5544F0476F470FA140C6EE947E013F" hidden="1">#REF!</definedName>
    <definedName name="BOFF61E3DC87BE4E8894E44CFB42BEB0B5" hidden="1">#REF!</definedName>
    <definedName name="BOFF7CC3ACE061481A91BF100123E466EF" hidden="1">#REF!</definedName>
    <definedName name="BOFFC6A738E872423F9F535B7F1AC62C55" hidden="1">#REF!</definedName>
    <definedName name="BOFFD8B225E60E4EF78F585F6FA950656C" hidden="1">#REF!</definedName>
    <definedName name="boonthak" localSheetId="16" hidden="1">{"'ตัวอย่าง'!$A$1:$O$21"}</definedName>
    <definedName name="boonthak" hidden="1">{"'ตัวอย่าง'!$A$1:$O$21"}</definedName>
    <definedName name="Capacity">'Cover Page'!$F$28</definedName>
    <definedName name="ccc" localSheetId="16" hidden="1">{"PRINT_EST",#N/A,FALSE,"ESTMON"}</definedName>
    <definedName name="ccc" hidden="1">{"PRINT_EST",#N/A,FALSE,"ESTMON"}</definedName>
    <definedName name="CCÑCangdung10.2" localSheetId="16" hidden="1">{"'Sheet1'!$L$16"}</definedName>
    <definedName name="CCÑCangdung10.2" hidden="1">{"'Sheet1'!$L$16"}</definedName>
    <definedName name="Chiphi" localSheetId="16" hidden="1">{"'Sheet1'!$L$16"}</definedName>
    <definedName name="Chiphi" hidden="1">{"'Sheet1'!$L$16"}</definedName>
    <definedName name="Currency">'Cover Page'!$A$33</definedName>
    <definedName name="da" localSheetId="16" hidden="1">{"'Sheet1'!$L$16"}</definedName>
    <definedName name="da" hidden="1">{"'Sheet1'!$L$16"}</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7" hidden="1">#REF!</definedName>
    <definedName name="data1" hidden="1">#REF!</definedName>
    <definedName name="data2" hidden="1">#REF!</definedName>
    <definedName name="data3" hidden="1">#REF!</definedName>
    <definedName name="Database.File" hidden="1">#REF!</definedName>
    <definedName name="dd" localSheetId="16" hidden="1">{"'ตัวอย่าง'!$A$1:$O$21"}</definedName>
    <definedName name="dd" hidden="1">{"'ตัวอย่าง'!$A$1:$O$21"}</definedName>
    <definedName name="ddd" localSheetId="16" hidden="1">{"index",#N/A,FALSE,"INDEX"}</definedName>
    <definedName name="ddd" hidden="1">{"index",#N/A,FALSE,"INDEX"}</definedName>
    <definedName name="del" localSheetId="16" hidden="1">{"level1",#N/A,FALSE,"1_LEV";"LEVEL1",#N/A,FALSE,"1_LEV"}</definedName>
    <definedName name="del" hidden="1">{"level1",#N/A,FALSE,"1_LEV";"LEVEL1",#N/A,FALSE,"1_LEV"}</definedName>
    <definedName name="detail" localSheetId="16" hidden="1">{"index",#N/A,FALSE,"INDEX"}</definedName>
    <definedName name="detail" hidden="1">{"index",#N/A,FALSE,"INDEX"}</definedName>
    <definedName name="Discount" hidden="1">#REF!</definedName>
    <definedName name="display_area_2" hidden="1">#REF!</definedName>
    <definedName name="ds\" hidden="1">#REF!</definedName>
    <definedName name="dsad" localSheetId="16" hidden="1">{#N/A,#N/A,FALSE,"SYSOC";#N/A,#N/A,FALSE,"RESU-GESTION";#N/A,#N/A,FALSE,"EVOL-MNA";#N/A,#N/A,FALSE,"VTAS-ANALI";#N/A,#N/A,FALSE,"ANALI-GSFIJOS";#N/A,#N/A,FALSE,"DETA-RUBROS";#N/A,#N/A,FALSE,"ANALI-CNF";#N/A,#N/A,FALSE,"BILAN";#N/A,#N/A,FALSE,"TAB_FIN";#N/A,#N/A,FALSE,"IND_ECO"}</definedName>
    <definedName name="dsad" hidden="1">{#N/A,#N/A,FALSE,"SYSOC";#N/A,#N/A,FALSE,"RESU-GESTION";#N/A,#N/A,FALSE,"EVOL-MNA";#N/A,#N/A,FALSE,"VTAS-ANALI";#N/A,#N/A,FALSE,"ANALI-GSFIJOS";#N/A,#N/A,FALSE,"DETA-RUBROS";#N/A,#N/A,FALSE,"ANALI-CNF";#N/A,#N/A,FALSE,"BILAN";#N/A,#N/A,FALSE,"TAB_FIN";#N/A,#N/A,FALSE,"IND_ECO"}</definedName>
    <definedName name="eee" localSheetId="16" hidden="1">{"revsale",#N/A,FALSE,"REV-ยุพดี"}</definedName>
    <definedName name="eee" hidden="1">{"revsale",#N/A,FALSE,"REV-ยุพดี"}</definedName>
    <definedName name="EVOLUTION_DES_ROI" localSheetId="16" hidden="1">{#N/A,#N/A,FALSE,"SYSOC";#N/A,#N/A,FALSE,"RESU-GESTION";#N/A,#N/A,FALSE,"EVOL-MNA";#N/A,#N/A,FALSE,"VTAS-ANALI";#N/A,#N/A,FALSE,"ANALI-GSFIJOS";#N/A,#N/A,FALSE,"DETA-RUBROS";#N/A,#N/A,FALSE,"ANALI-CNF";#N/A,#N/A,FALSE,"BILAN";#N/A,#N/A,FALSE,"TAB_FIN";#N/A,#N/A,FALSE,"IND_ECO"}</definedName>
    <definedName name="EVOLUTION_DES_ROI" hidden="1">{#N/A,#N/A,FALSE,"SYSOC";#N/A,#N/A,FALSE,"RESU-GESTION";#N/A,#N/A,FALSE,"EVOL-MNA";#N/A,#N/A,FALSE,"VTAS-ANALI";#N/A,#N/A,FALSE,"ANALI-GSFIJOS";#N/A,#N/A,FALSE,"DETA-RUBROS";#N/A,#N/A,FALSE,"ANALI-CNF";#N/A,#N/A,FALSE,"BILAN";#N/A,#N/A,FALSE,"TAB_FIN";#N/A,#N/A,FALSE,"IND_ECO"}</definedName>
    <definedName name="ewe" localSheetId="16" hidden="1">{"'ตัวอย่าง'!$A$1:$O$21"}</definedName>
    <definedName name="ewe" hidden="1">{"'ตัวอย่าง'!$A$1:$O$21"}</definedName>
    <definedName name="EXPORT_รายหน่วยงาน" localSheetId="16" hidden="1">{"'ตัวอย่าง'!$A$1:$O$21"}</definedName>
    <definedName name="EXPORT_รายหน่วยงาน" hidden="1">{"'ตัวอย่าง'!$A$1:$O$21"}</definedName>
    <definedName name="EXR">'Cover Page'!$F$10</definedName>
    <definedName name="FCode" localSheetId="16" hidden="1">#REF!</definedName>
    <definedName name="FCode" hidden="1">#REF!</definedName>
    <definedName name="ff" localSheetId="16" hidden="1">{"'ตัวอย่าง'!$A$1:$O$21"}</definedName>
    <definedName name="ff" hidden="1">{"'ตัวอย่าง'!$A$1:$O$21"}</definedName>
    <definedName name="FiCo" hidden="1">#REF!</definedName>
    <definedName name="File.Type" hidden="1">#REF!</definedName>
    <definedName name="gg" localSheetId="16" hidden="1">{"'ตัวอย่าง'!$A$1:$O$21"}</definedName>
    <definedName name="gg" hidden="1">{"'ตัวอย่าง'!$A$1:$O$21"}</definedName>
    <definedName name="gh" localSheetId="16" hidden="1">{"revsale",#N/A,FALSE,"REV-ยุพดี"}</definedName>
    <definedName name="gh" hidden="1">{"revsale",#N/A,FALSE,"REV-ยุพดี"}</definedName>
    <definedName name="GJVIF" localSheetId="16" hidden="1">{"Profit",#N/A,FALSE,"4500(12)";"Capital",#N/A,FALSE,"4500(12)";"Profit",#N/A,FALSE,"Cisco4000";"Capital",#N/A,FALSE,"Cisco4000"}</definedName>
    <definedName name="GJVIF" hidden="1">{"Profit",#N/A,FALSE,"4500(12)";"Capital",#N/A,FALSE,"4500(12)";"Profit",#N/A,FALSE,"Cisco4000";"Capital",#N/A,FALSE,"Cisco4000"}</definedName>
    <definedName name="GTM" localSheetId="16" hidden="1">{"'Sheet1'!$L$16"}</definedName>
    <definedName name="GTM" hidden="1">{"'Sheet1'!$L$16"}</definedName>
    <definedName name="hfgdas" hidden="1">#REF!</definedName>
    <definedName name="HiddenRows" hidden="1">#REF!</definedName>
    <definedName name="HTML_CodePage" hidden="1">874</definedName>
    <definedName name="HTML_Control" localSheetId="16" hidden="1">{"'Model'!$A$1:$N$53"}</definedName>
    <definedName name="HTML_Control" hidden="1">{"'Model'!$A$1:$N$53"}</definedName>
    <definedName name="HTML_Control1" localSheetId="16" hidden="1">{"'Model'!$A$1:$N$53"}</definedName>
    <definedName name="HTML_Control1" hidden="1">{"'Model'!$A$1:$N$53"}</definedName>
    <definedName name="HTML_Description" hidden="1">""</definedName>
    <definedName name="HTML_Email" hidden="1">""</definedName>
    <definedName name="HTML_Header" hidden="1">"Model"</definedName>
    <definedName name="HTML_LastUpdate" hidden="1">"31/7/01"</definedName>
    <definedName name="HTML_LineAfter" hidden="1">FALSE</definedName>
    <definedName name="HTML_LineBefore" hidden="1">FALSE</definedName>
    <definedName name="HTML_Name" hidden="1">"Bundit Sanguanprasert"</definedName>
    <definedName name="HTML_OBDlg2" hidden="1">TRUE</definedName>
    <definedName name="HTML_OBDlg4" hidden="1">TRUE</definedName>
    <definedName name="HTML_OS" hidden="1">0</definedName>
    <definedName name="HTML_PathFile" hidden="1">"C:\My Documents\TPS project\Carried Loss\SCC2.htm"</definedName>
    <definedName name="HTML_Title" hidden="1">"Model SCC"</definedName>
    <definedName name="huy" localSheetId="16" hidden="1">{"'Sheet1'!$L$16"}</definedName>
    <definedName name="huy" hidden="1">{"'Sheet1'!$L$16"}</definedName>
    <definedName name="Inflation">'Cover Page'!$F$9</definedName>
    <definedName name="info2" localSheetId="16" hidden="1">{"level1",#N/A,FALSE,"1_LEV";"LEVEL1",#N/A,FALSE,"1_LEV"}</definedName>
    <definedName name="info2" hidden="1">{"level1",#N/A,FALSE,"1_LEV";"LEVEL1",#N/A,FALSE,"1_LEV"}</definedName>
    <definedName name="IntroPrintArea" hidden="1">#REF!</definedName>
    <definedName name="jjj" localSheetId="16" hidden="1">{"'Sheet1'!$L$16"}</definedName>
    <definedName name="jjj" hidden="1">{"'Sheet1'!$L$16"}</definedName>
    <definedName name="ju" localSheetId="16" hidden="1">{"'Sheet1'!$L$16"}</definedName>
    <definedName name="ju" hidden="1">{"'Sheet1'!$L$16"}</definedName>
    <definedName name="kk" hidden="1">#REF!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LABOR_TAX" localSheetId="16" hidden="1">#REF!</definedName>
    <definedName name="LABOR_TAX" hidden="1">#REF!</definedName>
    <definedName name="Lai" localSheetId="16" hidden="1">{"'Sheet1'!$L$16"}</definedName>
    <definedName name="Lai" hidden="1">{"'Sheet1'!$L$16"}</definedName>
    <definedName name="limcount" hidden="1">1</definedName>
    <definedName name="liza" localSheetId="16" hidden="1">{"level1",#N/A,FALSE,"1_LEV";"LEVEL1",#N/A,FALSE,"1_LEV"}</definedName>
    <definedName name="liza" hidden="1">{"level1",#N/A,FALSE,"1_LEV";"LEVEL1",#N/A,FALSE,"1_LEV"}</definedName>
    <definedName name="lll" localSheetId="16" hidden="1">{"sales",#N/A,FALSE,"SALES"}</definedName>
    <definedName name="lll" hidden="1">{"sales",#N/A,FALSE,"SALES"}</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eww" hidden="1">OFFSET(#REF!,1,0)</definedName>
    <definedName name="nn" localSheetId="16" hidden="1">{#N/A,#N/A,FALSE,"SYSOC";#N/A,#N/A,FALSE,"RESU-GESTION";#N/A,#N/A,FALSE,"EVOL-MNA";#N/A,#N/A,FALSE,"VTAS-ANALI";#N/A,#N/A,FALSE,"ANALI-GSFIJOS";#N/A,#N/A,FALSE,"DETA-RUBROS";#N/A,#N/A,FALSE,"ANALI-CNF";#N/A,#N/A,FALSE,"BILAN";#N/A,#N/A,FALSE,"TAB_FIN";#N/A,#N/A,FALSE,"IND_ECO"}</definedName>
    <definedName name="nn" hidden="1">{#N/A,#N/A,FALSE,"SYSOC";#N/A,#N/A,FALSE,"RESU-GESTION";#N/A,#N/A,FALSE,"EVOL-MNA";#N/A,#N/A,FALSE,"VTAS-ANALI";#N/A,#N/A,FALSE,"ANALI-GSFIJOS";#N/A,#N/A,FALSE,"DETA-RUBROS";#N/A,#N/A,FALSE,"ANALI-CNF";#N/A,#N/A,FALSE,"BILAN";#N/A,#N/A,FALSE,"TAB_FIN";#N/A,#N/A,FALSE,"IND_ECO"}</definedName>
    <definedName name="nnn" localSheetId="16"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nnn"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NotUse" localSheetId="16" hidden="1">{"'ตัวอย่าง'!$A$1:$O$21"}</definedName>
    <definedName name="NotUse" hidden="1">{"'ตัวอย่าง'!$A$1:$O$21"}</definedName>
    <definedName name="ooooo" localSheetId="16" hidden="1">{"'connew '!$C$40:$C$60"}</definedName>
    <definedName name="ooooo" hidden="1">{"'connew '!$C$40:$C$60"}</definedName>
    <definedName name="Opt1_WACC">'Cover Page'!$H$23</definedName>
    <definedName name="Opt10_CAPEX">'Cover Page'!$AI$6</definedName>
    <definedName name="Opt10_CPSX">'Cover Page'!$AI$7</definedName>
    <definedName name="Opt2_CAPEX">'Cover Page'!$K$6</definedName>
    <definedName name="Opt2_CPSX">'Cover Page'!$K$7</definedName>
    <definedName name="Opt2_EXW">'Cover Page'!$K$10</definedName>
    <definedName name="Opt2_WACC">'Cover Page'!$K$23</definedName>
    <definedName name="Opt3_CAPEX">'Cover Page'!$N$6</definedName>
    <definedName name="Opt3_CPSX">'Cover Page'!$N$7</definedName>
    <definedName name="Opt3_WACC">'Cover Page'!$W$23</definedName>
    <definedName name="Opt4_CAPEX">'Cover Page'!$Q$6</definedName>
    <definedName name="Opt4_CPSX">'Cover Page'!$Q$7</definedName>
    <definedName name="Opt5_CAPEX">'Cover Page'!$T$6</definedName>
    <definedName name="Opt5_CPSX">'Cover Page'!$T$7</definedName>
    <definedName name="Opt6_CAPEX">'Cover Page'!$W$6</definedName>
    <definedName name="Opt6_CPSX">'Cover Page'!$W$7</definedName>
    <definedName name="Opt7_CAPEX">'Cover Page'!$Z$6</definedName>
    <definedName name="Opt7_CPSX">'Cover Page'!$Z$7</definedName>
    <definedName name="Opt8_CAPEX">'Cover Page'!$AC$6</definedName>
    <definedName name="Opt8_CPSX">'Cover Page'!$AC$7</definedName>
    <definedName name="Opt9_CAPEX">'Cover Page'!$AF$6</definedName>
    <definedName name="Opt9_CPSX">'Cover Page'!$AF$7</definedName>
    <definedName name="OrderTable" hidden="1">#REF!</definedName>
    <definedName name="Ownership" hidden="1">OFFSET(#REF!,1,0)</definedName>
    <definedName name="p" localSheetId="16" hidden="1">{"'ตัวอย่าง'!$A$1:$O$21"}</definedName>
    <definedName name="p" hidden="1">{"'ตัวอย่าง'!$A$1:$O$21"}</definedName>
    <definedName name="PARTS_TAX" hidden="1">#REF!</definedName>
    <definedName name="PC_msg" hidden="1">"Yes"</definedName>
    <definedName name="PHOI_KG">'Cover Page'!$F$30</definedName>
    <definedName name="PHUONG" hidden="1">#REF!</definedName>
    <definedName name="pison" localSheetId="16" hidden="1">{#N/A,#N/A,FALSE,"4_TOTAL";#N/A,#N/A,FALSE,"3_2TOTAL";#N/A,#N/A,FALSE,"5_INCOME";#N/A,#N/A,FALSE,"2_2LEV";#N/A,#N/A,FALSE,"2_2LEVYTD";#N/A,#N/A,FALSE,"BALANCE";#N/A,#N/A,FALSE,"CASHFLOW";#N/A,#N/A,FALSE,"PRODUCT";#N/A,#N/A,FALSE,"SALES";#N/A,#N/A,FALSE,"AGING"}</definedName>
    <definedName name="pison" hidden="1">{#N/A,#N/A,FALSE,"4_TOTAL";#N/A,#N/A,FALSE,"3_2TOTAL";#N/A,#N/A,FALSE,"5_INCOME";#N/A,#N/A,FALSE,"2_2LEV";#N/A,#N/A,FALSE,"2_2LEVYTD";#N/A,#N/A,FALSE,"BALANCE";#N/A,#N/A,FALSE,"CASHFLOW";#N/A,#N/A,FALSE,"PRODUCT";#N/A,#N/A,FALSE,"SALES";#N/A,#N/A,FALSE,"AGING"}</definedName>
    <definedName name="PKTN." localSheetId="16" hidden="1">{"'Sheet1'!$L$16"}</definedName>
    <definedName name="PKTN." hidden="1">{"'Sheet1'!$L$16"}</definedName>
    <definedName name="PP" localSheetId="16" hidden="1">{"'Model'!$A$1:$N$53"}</definedName>
    <definedName name="PP" hidden="1">{"'Model'!$A$1:$N$53"}</definedName>
    <definedName name="ProdForm" hidden="1">#REF!</definedName>
    <definedName name="Product" hidden="1">#REF!</definedName>
    <definedName name="PUTA" localSheetId="16" hidden="1">{"revsale",#N/A,FALSE,"REV-ยุพดี"}</definedName>
    <definedName name="PUTA" hidden="1">{"revsale",#N/A,FALSE,"REV-ยุพดี"}</definedName>
    <definedName name="qq" localSheetId="16" hidden="1">{"'ตัวอย่าง'!$A$1:$O$21"}</definedName>
    <definedName name="qq" hidden="1">{"'ตัวอย่าง'!$A$1:$O$21"}</definedName>
    <definedName name="qqq" localSheetId="16" hidden="1">{#N/A,#N/A,FALSE,"4_TOTAL";#N/A,#N/A,FALSE,"3_2TOTAL";#N/A,#N/A,FALSE,"5_INCOME";#N/A,#N/A,FALSE,"2_2LEV";#N/A,#N/A,FALSE,"2_2LEVYTD";#N/A,#N/A,FALSE,"BALANCE";#N/A,#N/A,FALSE,"CASHFLOW";#N/A,#N/A,FALSE,"PRODUCT";#N/A,#N/A,FALSE,"SALES";#N/A,#N/A,FALSE,"AGING"}</definedName>
    <definedName name="qqq" hidden="1">{#N/A,#N/A,FALSE,"4_TOTAL";#N/A,#N/A,FALSE,"3_2TOTAL";#N/A,#N/A,FALSE,"5_INCOME";#N/A,#N/A,FALSE,"2_2LEV";#N/A,#N/A,FALSE,"2_2LEVYTD";#N/A,#N/A,FALSE,"BALANCE";#N/A,#N/A,FALSE,"CASHFLOW";#N/A,#N/A,FALSE,"PRODUCT";#N/A,#N/A,FALSE,"SALES";#N/A,#N/A,FALSE,"AGING"}</definedName>
    <definedName name="RCArea" localSheetId="16" hidden="1">#REF!</definedName>
    <definedName name="RCArea" hidden="1">#REF!</definedName>
    <definedName name="rd" localSheetId="16" hidden="1">{"'ตัวอย่าง'!$A$1:$O$21"}</definedName>
    <definedName name="rd" hidden="1">{"'ตัวอย่าง'!$A$1:$O$21"}</definedName>
    <definedName name="rrer" localSheetId="16" hidden="1">{"'ตัวอย่าง'!$A$1:$O$21"}</definedName>
    <definedName name="rrer" hidden="1">{"'ตัวอย่าง'!$A$1:$O$21"}</definedName>
    <definedName name="rrrr" localSheetId="16" hidden="1">{"'ตัวอย่าง'!$A$1:$O$21"}</definedName>
    <definedName name="rrrr" hidden="1">{"'ตัวอย่าง'!$A$1:$O$21"}</definedName>
    <definedName name="rung" hidden="1">"sci"</definedName>
    <definedName name="SAPBEXrevision" hidden="1">2</definedName>
    <definedName name="SAPBEXsysID" hidden="1">"BWP"</definedName>
    <definedName name="SAPBEXwbID" hidden="1">"45TSOG149EJ5R0N9HDKCO6BXG"</definedName>
    <definedName name="sas" localSheetId="16" hidden="1">{"'ตัวอย่าง'!$A$1:$O$21"}</definedName>
    <definedName name="sas" hidden="1">{"'ตัวอย่าง'!$A$1:$O$21"}</definedName>
    <definedName name="SC" localSheetId="16" hidden="1">{"'Sheet1'!$L$16"}</definedName>
    <definedName name="SC" hidden="1">{"'Sheet1'!$L$16"}</definedName>
    <definedName name="sdf" localSheetId="16" hidden="1">{"'ตัวอย่าง'!$A$1:$O$21"}</definedName>
    <definedName name="sdf" hidden="1">{"'ตัวอย่าง'!$A$1:$O$21"}</definedName>
    <definedName name="sdgt" hidden="1">#REF!</definedName>
    <definedName name="sencount" hidden="1">1</definedName>
    <definedName name="SEPFIX01" localSheetId="16" hidden="1">{"income",#N/A,FALSE,"INCOME"}</definedName>
    <definedName name="SEPFIX01" hidden="1">{"income",#N/A,FALSE,"INCOME"}</definedName>
    <definedName name="sfe" localSheetId="16" hidden="1">{"'ตัวอย่าง'!$A$1:$O$21"}</definedName>
    <definedName name="sfe" hidden="1">{"'ตัวอย่าง'!$A$1:$O$21"}</definedName>
    <definedName name="sheet" localSheetId="16"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sheet"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Show.Acct.Update.Warning" localSheetId="16" hidden="1">#REF!</definedName>
    <definedName name="Show.Acct.Update.Warning" hidden="1">#REF!</definedName>
    <definedName name="Show.MDB.Update.Warning" hidden="1">#REF!</definedName>
    <definedName name="SL" localSheetId="16" hidden="1">{"Profit",#N/A,FALSE,"Cisco4500";"Capital",#N/A,FALSE,"Cisco4500"}</definedName>
    <definedName name="SL" hidden="1">{"Profit",#N/A,FALSE,"Cisco4500";"Capital",#N/A,FALSE,"Cisco4500"}</definedName>
    <definedName name="Slicer_Currency">#N/A</definedName>
    <definedName name="Sort" localSheetId="16" hidden="1">#REF!</definedName>
    <definedName name="Sort" hidden="1">#REF!</definedName>
    <definedName name="SpecialPrice" hidden="1">#REF!</definedName>
    <definedName name="srgsaergfsergaerg" localSheetId="16" hidden="1">{"month_a",#N/A,FALSE,"ACTUALS";"ytd_a",#N/A,FALSE,"ACTUALS"}</definedName>
    <definedName name="srgsaergfsergaerg" hidden="1">{"month_a",#N/A,FALSE,"ACTUALS";"ytd_a",#N/A,FALSE,"ACTUALS"}</definedName>
    <definedName name="ssss" localSheetId="16" hidden="1">{"'ตัวอย่าง'!$A$1:$O$21"}</definedName>
    <definedName name="ssss" hidden="1">{"'ตัวอย่าง'!$A$1:$O$21"}</definedName>
    <definedName name="sssss" localSheetId="16" hidden="1">{"'ตัวอย่าง'!$A$1:$O$21"}</definedName>
    <definedName name="sssss" hidden="1">{"'ตัวอย่าง'!$A$1:$O$21"}</definedName>
    <definedName name="SuperUser" hidden="1">FALSE</definedName>
    <definedName name="tast" localSheetId="16" hidden="1">{"'connew '!$C$40:$C$60"}</definedName>
    <definedName name="tast" hidden="1">{"'connew '!$C$40:$C$60"}</definedName>
    <definedName name="Tax_rate">'Cover Page'!$F$11</definedName>
    <definedName name="tbl_ProdInfo" localSheetId="16" hidden="1">#REF!</definedName>
    <definedName name="tbl_ProdInfo" hidden="1">#REF!</definedName>
    <definedName name="test" localSheetId="16" hidden="1">{"'ตัวอย่าง'!$A$1:$O$21"}</definedName>
    <definedName name="test" hidden="1">{"'ตัวอย่าง'!$A$1:$O$21"}</definedName>
    <definedName name="test77" localSheetId="16" hidden="1">{"'ตัวอย่าง'!$A$1:$O$21"}</definedName>
    <definedName name="test77" hidden="1">{"'ตัวอย่าง'!$A$1:$O$21"}</definedName>
    <definedName name="test8888" localSheetId="16" hidden="1">{"'ตัวอย่าง'!$A$1:$O$21"}</definedName>
    <definedName name="test8888" hidden="1">{"'ตัวอย่าง'!$A$1:$O$21"}</definedName>
    <definedName name="testa" localSheetId="16" hidden="1">{"'ตัวอย่าง'!$A$1:$O$21"}</definedName>
    <definedName name="testa" hidden="1">{"'ตัวอย่าง'!$A$1:$O$21"}</definedName>
    <definedName name="TextRefCopyRangeCount" hidden="1">5</definedName>
    <definedName name="THCP2" localSheetId="16" hidden="1">{"'Sheet1'!$L$16"}</definedName>
    <definedName name="THCP2" hidden="1">{"'Sheet1'!$L$16"}</definedName>
    <definedName name="THCPCTD" localSheetId="16" hidden="1">{"'Sheet1'!$L$16"}</definedName>
    <definedName name="THCPCTD" hidden="1">{"'Sheet1'!$L$16"}</definedName>
    <definedName name="tram" hidden="1">#REF!</definedName>
    <definedName name="tt" localSheetId="16" hidden="1">{"'connew '!$C$40:$C$60"}</definedName>
    <definedName name="tt" hidden="1">{"'connew '!$C$40:$C$60"}</definedName>
    <definedName name="TTE" localSheetId="16" hidden="1">{"'ตัวอย่าง'!$A$1:$O$21"}</definedName>
    <definedName name="TTE" hidden="1">{"'ตัวอย่าง'!$A$1:$O$21"}</definedName>
    <definedName name="TTSC" localSheetId="16" hidden="1">{"'Sheet1'!$L$16"}</definedName>
    <definedName name="TTSC" hidden="1">{"'Sheet1'!$L$16"}</definedName>
    <definedName name="TU" localSheetId="16" hidden="1">{#N/A,#N/A,FALSE,"4_TOTAL";#N/A,#N/A,FALSE,"3_2TOTAL";#N/A,#N/A,FALSE,"5_INCOME";#N/A,#N/A,FALSE,"2_2LEV";#N/A,#N/A,FALSE,"2_2LEVYTD";#N/A,#N/A,FALSE,"BALANCE";#N/A,#N/A,FALSE,"CASHFLOW";#N/A,#N/A,FALSE,"PRODUCT";#N/A,#N/A,FALSE,"SALES";#N/A,#N/A,FALSE,"AGING"}</definedName>
    <definedName name="TU" hidden="1">{#N/A,#N/A,FALSE,"4_TOTAL";#N/A,#N/A,FALSE,"3_2TOTAL";#N/A,#N/A,FALSE,"5_INCOME";#N/A,#N/A,FALSE,"2_2LEV";#N/A,#N/A,FALSE,"2_2LEVYTD";#N/A,#N/A,FALSE,"BALANCE";#N/A,#N/A,FALSE,"CASHFLOW";#N/A,#N/A,FALSE,"PRODUCT";#N/A,#N/A,FALSE,"SALES";#N/A,#N/A,FALSE,"AGING"}</definedName>
    <definedName name="WACC">'Cover Page'!$F$23</definedName>
    <definedName name="WEE" localSheetId="16" hidden="1">{"'ตัวอย่าง'!$A$1:$O$21"}</definedName>
    <definedName name="WEE" hidden="1">{"'ตัวอย่าง'!$A$1:$O$21"}</definedName>
    <definedName name="wqwqw" localSheetId="16" hidden="1">{"'ตัวอย่าง'!$A$1:$O$21"}</definedName>
    <definedName name="wqwqw" hidden="1">{"'ตัวอย่าง'!$A$1:$O$21"}</definedName>
    <definedName name="wrn.1_lev." localSheetId="16" hidden="1">{"level1",#N/A,FALSE,"1_LEV";"LEVEL1",#N/A,FALSE,"1_LEV"}</definedName>
    <definedName name="wrn.1_lev." hidden="1">{"level1",#N/A,FALSE,"1_LEV";"LEVEL1",#N/A,FALSE,"1_LEV"}</definedName>
    <definedName name="wrn.1_levbt." localSheetId="16" hidden="1">{"lev1bt",#N/A,FALSE,"1_LEVB-T"}</definedName>
    <definedName name="wrn.1_levbt." hidden="1">{"lev1bt",#N/A,FALSE,"1_LEVB-T"}</definedName>
    <definedName name="wrn.2_levmon." localSheetId="16" hidden="1">{"lev2mon",#N/A,FALSE,"2_levmon"}</definedName>
    <definedName name="wrn.2_levmon." hidden="1">{"lev2mon",#N/A,FALSE,"2_levmon"}</definedName>
    <definedName name="wrn.2_levmonbt." localSheetId="16" hidden="1">{"lev2monbt",#N/A,FALSE,"2_levmonB-T"}</definedName>
    <definedName name="wrn.2_levmonbt." hidden="1">{"lev2monbt",#N/A,FALSE,"2_levmonB-T"}</definedName>
    <definedName name="wrn.2_levytd." localSheetId="16" hidden="1">{"lev2ytd",#N/A,FALSE,"2_LEVYTD"}</definedName>
    <definedName name="wrn.2_levytd." hidden="1">{"lev2ytd",#N/A,FALSE,"2_LEVYTD"}</definedName>
    <definedName name="wrn.2_levytdbt." localSheetId="16" hidden="1">{"lev2tytbt",#N/A,FALSE,"2_LEVYTDB-T"}</definedName>
    <definedName name="wrn.2_levytdbt." hidden="1">{"lev2tytbt",#N/A,FALSE,"2_LEVYTDB-T"}</definedName>
    <definedName name="wrn.448k." localSheetId="16" hidden="1">{"Profit",#N/A,FALSE,"448k";"Capital",#N/A,FALSE,"448k"}</definedName>
    <definedName name="wrn.448k." hidden="1">{"Profit",#N/A,FALSE,"448k";"Capital",#N/A,FALSE,"448k"}</definedName>
    <definedName name="wrn.4500_4P." localSheetId="16" hidden="1">{"Profit",#N/A,FALSE,"4500(4P)";"Capital",#N/A,FALSE,"4500(4P)"}</definedName>
    <definedName name="wrn.4500_4P." hidden="1">{"Profit",#N/A,FALSE,"4500(4P)";"Capital",#N/A,FALSE,"4500(4P)"}</definedName>
    <definedName name="wrn.4500_6P." localSheetId="16" hidden="1">{"Profit",#N/A,FALSE,"4500(6P)";"Capital",#N/A,FALSE,"4500(6P)"}</definedName>
    <definedName name="wrn.4500_6P." hidden="1">{"Profit",#N/A,FALSE,"4500(6P)";"Capital",#N/A,FALSE,"4500(6P)"}</definedName>
    <definedName name="wrn.4500_8P." localSheetId="16" hidden="1">{"Profit",#N/A,FALSE,"4500(8P)";"Capital",#N/A,FALSE,"4500(8P)"}</definedName>
    <definedName name="wrn.4500_8P." hidden="1">{"Profit",#N/A,FALSE,"4500(8P)";"Capital",#N/A,FALSE,"4500(8P)"}</definedName>
    <definedName name="wrn.All." localSheetId="16" hidden="1">{"Page1",#N/A,FALSE,"out_total";"Page2",#N/A,FALSE,"out_total";"Page3",#N/A,FALSE,"out_total";"Page4",#N/A,FALSE,"out_total";"Page5",#N/A,FALSE,"out_total";"Profit",#N/A,FALSE,"cisco7000";"Capital",#N/A,FALSE,"cisco7000";"Profit",#N/A,FALSE,"ciscoags+";"Capital",#N/A,FALSE,"ciscoags+";"Profit",#N/A,FALSE,"Cisco 4500p";"Capital",#N/A,FALSE,"Cisco 4500p";"Profit",#N/A,FALSE,"cisco2501";"Capital",#N/A,FALSE,"cisco2501";"Profit",#N/A,FALSE,"Cisco4500";"Capital",#N/A,FALSE,"Cisco4500";"Profit",#N/A,FALSE,"4500(12)";"Capital",#N/A,FALSE,"4500(12)";"Profit",#N/A,FALSE,"Cisco4000";"Capital",#N/A,FALSE,"Cisco4000";"Profit",#N/A,FALSE,"4500(8P)";"Capital",#N/A,FALSE,"4500(8P)";"Profit",#N/A,FALSE,"4500(6P)";"Capital",#N/A,FALSE,"4500(6P)";"Profit",#N/A,FALSE,"448k";"Capital",#N/A,FALSE,"448k";"Profit",#N/A,FALSE,"Cisco7000a";"Capital",#N/A,FALSE,"Cisco7000a";"Profit",#N/A,FALSE,"Cisco2501a";"Capital",#N/A,FALSE,"Cisco2501a";"Profit",#N/A,FALSE,"Cisco2514";"Profit",#N/A,FALSE,"extn_2501";"Capital",#N/A,FALSE,"extn_2501";"Profit",#N/A,FALSE,"4500(4P)";"Capital",#N/A,FALSE,"4500(4P)"}</definedName>
    <definedName name="wrn.All." hidden="1">{"Page1",#N/A,FALSE,"out_total";"Page2",#N/A,FALSE,"out_total";"Page3",#N/A,FALSE,"out_total";"Page4",#N/A,FALSE,"out_total";"Page5",#N/A,FALSE,"out_total";"Profit",#N/A,FALSE,"cisco7000";"Capital",#N/A,FALSE,"cisco7000";"Profit",#N/A,FALSE,"ciscoags+";"Capital",#N/A,FALSE,"ciscoags+";"Profit",#N/A,FALSE,"Cisco 4500p";"Capital",#N/A,FALSE,"Cisco 4500p";"Profit",#N/A,FALSE,"cisco2501";"Capital",#N/A,FALSE,"cisco2501";"Profit",#N/A,FALSE,"Cisco4500";"Capital",#N/A,FALSE,"Cisco4500";"Profit",#N/A,FALSE,"4500(12)";"Capital",#N/A,FALSE,"4500(12)";"Profit",#N/A,FALSE,"Cisco4000";"Capital",#N/A,FALSE,"Cisco4000";"Profit",#N/A,FALSE,"4500(8P)";"Capital",#N/A,FALSE,"4500(8P)";"Profit",#N/A,FALSE,"4500(6P)";"Capital",#N/A,FALSE,"4500(6P)";"Profit",#N/A,FALSE,"448k";"Capital",#N/A,FALSE,"448k";"Profit",#N/A,FALSE,"Cisco7000a";"Capital",#N/A,FALSE,"Cisco7000a";"Profit",#N/A,FALSE,"Cisco2501a";"Capital",#N/A,FALSE,"Cisco2501a";"Profit",#N/A,FALSE,"Cisco2514";"Profit",#N/A,FALSE,"extn_2501";"Capital",#N/A,FALSE,"extn_2501";"Profit",#N/A,FALSE,"4500(4P)";"Capital",#N/A,FALSE,"4500(4P)"}</definedName>
    <definedName name="wrn.ASSDEPART2." localSheetId="16"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ASSDEPART2."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BALANCE." localSheetId="16" hidden="1">{"balance",#N/A,FALSE,"BALANCE"}</definedName>
    <definedName name="wrn.BALANCE." hidden="1">{"balance",#N/A,FALSE,"BALANCE"}</definedName>
    <definedName name="wrn.BidReview." localSheetId="16" hidden="1">{#N/A,#N/A,FALSE,"Assumptions";"finsumm",#N/A,FALSE,"Finsumm";"FBGroup",#N/A,FALSE,"FB - BT Group";"FBSync",#N/A,FALSE,"FB - Syncordia Total ";"PLCustom",#N/A,FALSE,"P&amp;L summary";"PriSumm",#N/A,FALSE,"Price Summary";"HoursPay",#N/A,FALSE,"pay_non pay input";"ResourceNonPay",#N/A,FALSE,"pay_non pay input";"CapitalInput",#N/A,FALSE,"Equipt Input";"CurrEqptInput",#N/A,FALSE,"Equipt Input";"TotMtce",#N/A,FALSE,"Equipt Input";"TPNwks",#N/A,FALSE,"Nwks Input";"BTNwks",#N/A,FALSE,"Nwks Input";"Miscellaneous",#N/A,FALSE,"Misc."}</definedName>
    <definedName name="wrn.BidReview." hidden="1">{#N/A,#N/A,FALSE,"Assumptions";"finsumm",#N/A,FALSE,"Finsumm";"FBGroup",#N/A,FALSE,"FB - BT Group";"FBSync",#N/A,FALSE,"FB - Syncordia Total ";"PLCustom",#N/A,FALSE,"P&amp;L summary";"PriSumm",#N/A,FALSE,"Price Summary";"HoursPay",#N/A,FALSE,"pay_non pay input";"ResourceNonPay",#N/A,FALSE,"pay_non pay input";"CapitalInput",#N/A,FALSE,"Equipt Input";"CurrEqptInput",#N/A,FALSE,"Equipt Input";"TotMtce",#N/A,FALSE,"Equipt Input";"TPNwks",#N/A,FALSE,"Nwks Input";"BTNwks",#N/A,FALSE,"Nwks Input";"Miscellaneous",#N/A,FALSE,"Misc."}</definedName>
    <definedName name="wrn.Capital." localSheetId="16" hidden="1">{"CapitalInput",#N/A,FALSE,"Equipt Input";"Capital Profile",#N/A,FALSE,"Equipt Input"}</definedName>
    <definedName name="wrn.Capital." hidden="1">{"CapitalInput",#N/A,FALSE,"Equipt Input";"Capital Profile",#N/A,FALSE,"Equipt Input"}</definedName>
    <definedName name="wrn.cashflow." localSheetId="16" hidden="1">{"cashflow",#N/A,FALSE,"CASHFLOW "}</definedName>
    <definedName name="wrn.cashflow." hidden="1">{"cashflow",#N/A,FALSE,"CASHFLOW "}</definedName>
    <definedName name="wrn.chi._.tiÆt." localSheetId="16" hidden="1">{#N/A,#N/A,FALSE,"Chi tiÆt"}</definedName>
    <definedName name="wrn.chi._.tiÆt." hidden="1">{#N/A,#N/A,FALSE,"Chi tiÆt"}</definedName>
    <definedName name="wrn.cisco2501." localSheetId="16" hidden="1">{"Profit",#N/A,FALSE,"cisco2501";"Capital",#N/A,FALSE,"cisco2501"}</definedName>
    <definedName name="wrn.cisco2501." hidden="1">{"Profit",#N/A,FALSE,"cisco2501";"Capital",#N/A,FALSE,"cisco2501"}</definedName>
    <definedName name="wrn.cisco2501a." localSheetId="16" hidden="1">{"Profit",#N/A,FALSE,"Cisco2501a";"Capital",#N/A,FALSE,"Cisco2501a"}</definedName>
    <definedName name="wrn.cisco2501a." hidden="1">{"Profit",#N/A,FALSE,"Cisco2501a";"Capital",#N/A,FALSE,"Cisco2501a"}</definedName>
    <definedName name="wrn.cisco2514." localSheetId="16" hidden="1">{"Profit",#N/A,FALSE,"Cisco2514";"Capital",#N/A,FALSE,"Cisco2514"}</definedName>
    <definedName name="wrn.cisco2514." hidden="1">{"Profit",#N/A,FALSE,"Cisco2514";"Capital",#N/A,FALSE,"Cisco2514"}</definedName>
    <definedName name="wrn.cisco4000." localSheetId="16" hidden="1">{"Profit",#N/A,FALSE,"4500(12)";"Capital",#N/A,FALSE,"4500(12)";"Profit",#N/A,FALSE,"Cisco4000";"Capital",#N/A,FALSE,"Cisco4000"}</definedName>
    <definedName name="wrn.cisco4000." hidden="1">{"Profit",#N/A,FALSE,"4500(12)";"Capital",#N/A,FALSE,"4500(12)";"Profit",#N/A,FALSE,"Cisco4000";"Capital",#N/A,FALSE,"Cisco4000"}</definedName>
    <definedName name="wrn.cisco4500." localSheetId="16" hidden="1">{"Profit",#N/A,FALSE,"Cisco4500";"Capital",#N/A,FALSE,"Cisco4500"}</definedName>
    <definedName name="wrn.cisco4500." hidden="1">{"Profit",#N/A,FALSE,"Cisco4500";"Capital",#N/A,FALSE,"Cisco4500"}</definedName>
    <definedName name="wrn.Cisco4500p." localSheetId="16" hidden="1">{"Profit",#N/A,FALSE,"Cisco 4500p";"Capital",#N/A,FALSE,"Cisco 4500p"}</definedName>
    <definedName name="wrn.Cisco4500p." hidden="1">{"Profit",#N/A,FALSE,"Cisco 4500p";"Capital",#N/A,FALSE,"Cisco 4500p"}</definedName>
    <definedName name="wrn.cisco7000a." localSheetId="16" hidden="1">{"Profit",#N/A,FALSE,"Cisco7000a";"Capital",#N/A,FALSE,"Cisco7000a"}</definedName>
    <definedName name="wrn.cisco7000a." hidden="1">{"Profit",#N/A,FALSE,"Cisco7000a";"Capital",#N/A,FALSE,"Cisco7000a"}</definedName>
    <definedName name="wrn.CiscoAGS." localSheetId="16" hidden="1">{"Profit",#N/A,FALSE,"ciscoags+";"Capital",#N/A,FALSE,"ciscoags+"}</definedName>
    <definedName name="wrn.CiscoAGS." hidden="1">{"Profit",#N/A,FALSE,"ciscoags+";"Capital",#N/A,FALSE,"ciscoags+"}</definedName>
    <definedName name="wrn.CustomPrice." localSheetId="16" hidden="1">{"PLCustom",#N/A,FALSE,"P&amp;L summary"}</definedName>
    <definedName name="wrn.CustomPrice." hidden="1">{"PLCustom",#N/A,FALSE,"P&amp;L summary"}</definedName>
    <definedName name="wrn.dep12." localSheetId="16" hidden="1">{#N/A,#N/A,FALSE,"PM1";#N/A,#N/A,FALSE,"PM2";#N/A,#N/A,FALSE,"PM3";#N/A,#N/A,FALSE,"PM4";#N/A,#N/A,FALSE,"PM5";#N/A,#N/A,FALSE,"PM6";#N/A,#N/A,FALSE,"CM1"}</definedName>
    <definedName name="wrn.dep12." hidden="1">{#N/A,#N/A,FALSE,"PM1";#N/A,#N/A,FALSE,"PM2";#N/A,#N/A,FALSE,"PM3";#N/A,#N/A,FALSE,"PM4";#N/A,#N/A,FALSE,"PM5";#N/A,#N/A,FALSE,"PM6";#N/A,#N/A,FALSE,"CM1"}</definedName>
    <definedName name="wrn.Depn." localSheetId="16" hidden="1">{"Depn",#N/A,TRUE,"Equipt Input"}</definedName>
    <definedName name="wrn.Depn." hidden="1">{"Depn",#N/A,TRUE,"Equipt Input"}</definedName>
    <definedName name="wrn.extn_2501." localSheetId="16" hidden="1">{"Profit",#N/A,FALSE,"extn_2501";"Capital",#N/A,FALSE,"extn_2501"}</definedName>
    <definedName name="wrn.extn_2501." hidden="1">{"Profit",#N/A,FALSE,"extn_2501";"Capital",#N/A,FALSE,"extn_2501"}</definedName>
    <definedName name="wrn.Financials." localSheetId="16" hidden="1">{#N/A,#N/A,FALSE,"Assumptions";"finsumm",#N/A,FALSE,"Finsumm";"FBGroup",#N/A,FALSE,"FB - BT Group";"BSGroup",#N/A,FALSE,"FB - BT Group";"FBSync",#N/A,FALSE,"FB - Syncordia Total ";"FBSyncEx3P",#N/A,FALSE,"FB - Sync excl. 3rd party"}</definedName>
    <definedName name="wrn.Financials." hidden="1">{#N/A,#N/A,FALSE,"Assumptions";"finsumm",#N/A,FALSE,"Finsumm";"FBGroup",#N/A,FALSE,"FB - BT Group";"BSGroup",#N/A,FALSE,"FB - BT Group";"FBSync",#N/A,FALSE,"FB - Syncordia Total ";"FBSyncEx3P",#N/A,FALSE,"FB - Sync excl. 3rd party"}</definedName>
    <definedName name="wrn.finsummary." localSheetId="16" hidden="1">{"finsumm",#N/A,FALSE,"Finsumm";"graph",#N/A,FALSE,"Finsumm";"costgraph",#N/A,FALSE,"Finsumm";"costbreakdown",#N/A,FALSE,"Finsumm"}</definedName>
    <definedName name="wrn.finsummary." hidden="1">{"finsumm",#N/A,FALSE,"Finsumm";"graph",#N/A,FALSE,"Finsumm";"costgraph",#N/A,FALSE,"Finsumm";"costbreakdown",#N/A,FALSE,"Finsumm"}</definedName>
    <definedName name="wrn.FIX." localSheetId="16" hidden="1">{#N/A,#N/A,FALSE,"TL";#N/A,#N/A,FALSE,"KK";#N/A,#N/A,FALSE,"TS";#N/A,#N/A,FALSE,"KW";#N/A,#N/A,FALSE,"LP";#N/A,#N/A,FALSE,"DC"}</definedName>
    <definedName name="wrn.FIX." hidden="1">{#N/A,#N/A,FALSE,"TL";#N/A,#N/A,FALSE,"KK";#N/A,#N/A,FALSE,"TS";#N/A,#N/A,FALSE,"KW";#N/A,#N/A,FALSE,"LP";#N/A,#N/A,FALSE,"DC"}</definedName>
    <definedName name="wrn.FURDEPART2." localSheetId="16" hidden="1">{"FUR5CC",#N/A,FALSE,"PM5CC_95";"FUR5DB",#N/A,FALSE,"PM5DB_95";"FUR5WB",#N/A,FALSE,"PM5WB_95";"FUR5WTK",#N/A,FALSE,"PM5WTK_9";"FURPM6B1",#N/A,FALSE,"PM6B1_95";"FUR6OT",#N/A,FALSE,"PM6OT_95";"FUR6EM",#N/A,FALSE,"PM6BEM_9";"FUR6AC",#N/A,FALSE,"PM6BAC_9";"FURC1AC",#N/A,FALSE,"C1AC_95";"FURC11CA",#N/A,FALSE,"C11CA_95";"FURC1EM",#N/A,FALSE,"C1EM_95"}</definedName>
    <definedName name="wrn.FURDEPART2." hidden="1">{"FUR5CC",#N/A,FALSE,"PM5CC_95";"FUR5DB",#N/A,FALSE,"PM5DB_95";"FUR5WB",#N/A,FALSE,"PM5WB_95";"FUR5WTK",#N/A,FALSE,"PM5WTK_9";"FURPM6B1",#N/A,FALSE,"PM6B1_95";"FUR6OT",#N/A,FALSE,"PM6OT_95";"FUR6EM",#N/A,FALSE,"PM6BEM_9";"FUR6AC",#N/A,FALSE,"PM6BAC_9";"FURC1AC",#N/A,FALSE,"C1AC_95";"FURC11CA",#N/A,FALSE,"C11CA_95";"FURC1EM",#N/A,FALSE,"C1EM_95"}</definedName>
    <definedName name="wrn.hilight1." localSheetId="16" hidden="1">{"hilight1",#N/A,FALSE,"HILIGHT1"}</definedName>
    <definedName name="wrn.hilight1." hidden="1">{"hilight1",#N/A,FALSE,"HILIGHT1"}</definedName>
    <definedName name="wrn.hilight2." localSheetId="16" hidden="1">{"hilight2",#N/A,FALSE,"HILIGHT2"}</definedName>
    <definedName name="wrn.hilight2." hidden="1">{"hilight2",#N/A,FALSE,"HILIGHT2"}</definedName>
    <definedName name="wrn.hilight3." localSheetId="16" hidden="1">{"hilight3",#N/A,FALSE,"HILIGHT3"}</definedName>
    <definedName name="wrn.hilight3." hidden="1">{"hilight3",#N/A,FALSE,"HILIGHT3"}</definedName>
    <definedName name="wrn.income." localSheetId="16" hidden="1">{"income",#N/A,FALSE,"INCOME"}</definedName>
    <definedName name="wrn.income." hidden="1">{"income",#N/A,FALSE,"INCOME"}</definedName>
    <definedName name="wrn.index." localSheetId="16" hidden="1">{"index",#N/A,FALSE,"INDEX"}</definedName>
    <definedName name="wrn.index." hidden="1">{"index",#N/A,FALSE,"INDEX"}</definedName>
    <definedName name="wrn.Inputs." localSheetId="16" hidden="1">{#N/A,#N/A,TRUE,"Assumptions";"Inputs",#N/A,TRUE,"BASEINPUT";"HoursPay",#N/A,TRUE,"pay_non pay input";"ResourceNonPay",#N/A,TRUE,"pay_non pay input";"CapitalInput",#N/A,TRUE,"Equipt Input";"CurrEqptInput",#N/A,TRUE,"Equipt Input";"TPNwks",#N/A,TRUE,"Nwks Input";"BTNwks",#N/A,TRUE,"Nwks Input";"Miscellaneous",#N/A,TRUE,"Misc."}</definedName>
    <definedName name="wrn.Inputs." hidden="1">{#N/A,#N/A,TRUE,"Assumptions";"Inputs",#N/A,TRUE,"BASEINPUT";"HoursPay",#N/A,TRUE,"pay_non pay input";"ResourceNonPay",#N/A,TRUE,"pay_non pay input";"CapitalInput",#N/A,TRUE,"Equipt Input";"CurrEqptInput",#N/A,TRUE,"Equipt Input";"TPNwks",#N/A,TRUE,"Nwks Input";"BTNwks",#N/A,TRUE,"Nwks Input";"Miscellaneous",#N/A,TRUE,"Misc."}</definedName>
    <definedName name="wrn.MONTH._.YTD." localSheetId="16" hidden="1">{"month_a",#N/A,FALSE,"ACTUALS";"ytd_a",#N/A,FALSE,"ACTUALS"}</definedName>
    <definedName name="wrn.MONTH._.YTD." hidden="1">{"month_a",#N/A,FALSE,"ACTUALS";"ytd_a",#N/A,FALSE,"ACTUALS"}</definedName>
    <definedName name="wrn.MONTHLY." localSheetId="16" hidden="1">{#N/A,#N/A,FALSE,"4_TOTAL";#N/A,#N/A,FALSE,"3_2TOTAL";#N/A,#N/A,FALSE,"5_INCOME";#N/A,#N/A,FALSE,"2_2LEV";#N/A,#N/A,FALSE,"2_2LEVYTD";#N/A,#N/A,FALSE,"BALANCE";#N/A,#N/A,FALSE,"CASHFLOW";#N/A,#N/A,FALSE,"PRODUCT";#N/A,#N/A,FALSE,"SALES";#N/A,#N/A,FALSE,"AGING"}</definedName>
    <definedName name="wrn.MONTHLY." hidden="1">{#N/A,#N/A,FALSE,"4_TOTAL";#N/A,#N/A,FALSE,"3_2TOTAL";#N/A,#N/A,FALSE,"5_INCOME";#N/A,#N/A,FALSE,"2_2LEV";#N/A,#N/A,FALSE,"2_2LEVYTD";#N/A,#N/A,FALSE,"BALANCE";#N/A,#N/A,FALSE,"CASHFLOW";#N/A,#N/A,FALSE,"PRODUCT";#N/A,#N/A,FALSE,"SALES";#N/A,#N/A,FALSE,"AGING"}</definedName>
    <definedName name="wrn.NonPay." localSheetId="16" hidden="1">{"ResourceNonPay",#N/A,FALSE,"pay_non pay input";"CapMaint",#N/A,FALSE,"Equipt Input";"CurrEqptProfile",#N/A,FALSE,"Equipt Input";"Curr Eqpt Mtce",#N/A,FALSE,"Equipt Input";"Miscellaneous",#N/A,FALSE,"Misc."}</definedName>
    <definedName name="wrn.NonPay." hidden="1">{"ResourceNonPay",#N/A,FALSE,"pay_non pay input";"CapMaint",#N/A,FALSE,"Equipt Input";"CurrEqptProfile",#N/A,FALSE,"Equipt Input";"Curr Eqpt Mtce",#N/A,FALSE,"Equipt Input";"Miscellaneous",#N/A,FALSE,"Misc."}</definedName>
    <definedName name="wrn.Notes." localSheetId="16" hidden="1">{#N/A,#N/A,FALSE,"Assumptions";"Basedata",#N/A,FALSE,"BASEINPUT";"Checklist",#N/A,FALSE,"BASEINPUT"}</definedName>
    <definedName name="wrn.Notes." hidden="1">{#N/A,#N/A,FALSE,"Assumptions";"Basedata",#N/A,FALSE,"BASEINPUT";"Checklist",#N/A,FALSE,"BASEINPUT"}</definedName>
    <definedName name="wrn.PMDEPAER2." localSheetId="16" hidden="1">{"PM5CC",#N/A,FALSE,"PM5CC_95";"PM5DB",#N/A,FALSE,"PM5DB_95";"PM5WB",#N/A,FALSE,"PM5WB_95";"PM5WTK",#N/A,FALSE,"PM5WTK_9";"PM6B1",#N/A,FALSE,"PM6B1_95";"PM6OT",#N/A,FALSE,"PM6OT_95";"PM6BEM",#N/A,FALSE,"PM6BEM_9";"PM6AC",#N/A,FALSE,"PM6BAC_9";"PMC1AC",#N/A,FALSE,"C1AC_95";"PMC11CA",#N/A,FALSE,"C11CA_95";"PMC1EM",#N/A,FALSE,"C1EM_95";"PMDEPART2",#N/A,FALSE,"DEPART2";"PMCM1",#N/A,FALSE,"CM1_Q1"}</definedName>
    <definedName name="wrn.PMDEPAER2." hidden="1">{"PM5CC",#N/A,FALSE,"PM5CC_95";"PM5DB",#N/A,FALSE,"PM5DB_95";"PM5WB",#N/A,FALSE,"PM5WB_95";"PM5WTK",#N/A,FALSE,"PM5WTK_9";"PM6B1",#N/A,FALSE,"PM6B1_95";"PM6OT",#N/A,FALSE,"PM6OT_95";"PM6BEM",#N/A,FALSE,"PM6BEM_9";"PM6AC",#N/A,FALSE,"PM6BAC_9";"PMC1AC",#N/A,FALSE,"C1AC_95";"PMC11CA",#N/A,FALSE,"C11CA_95";"PMC1EM",#N/A,FALSE,"C1EM_95";"PMDEPART2",#N/A,FALSE,"DEPART2";"PMCM1",#N/A,FALSE,"CM1_Q1"}</definedName>
    <definedName name="wrn.Price." localSheetId="16" hidden="1">{"PLCustom",#N/A,TRUE,"P&amp;L summary";"PriSumm",#N/A,TRUE,"Price Summary";"HoursPay",#N/A,TRUE,"pay_non pay input";"ResourceNonPay",#N/A,TRUE,"pay_non pay input";"Capital Profile",#N/A,TRUE,"Equipt Input";"CurrEqptProfile",#N/A,TRUE,"Equipt Input";"TotMtce",#N/A,TRUE,"Equipt Input";"TPNwks",#N/A,TRUE,"Nwks Input";"BTNwks",#N/A,TRUE,"Nwks Input";"Miscellaneous",#N/A,TRUE,"Misc."}</definedName>
    <definedName name="wrn.Price." hidden="1">{"PLCustom",#N/A,TRUE,"P&amp;L summary";"PriSumm",#N/A,TRUE,"Price Summary";"HoursPay",#N/A,TRUE,"pay_non pay input";"ResourceNonPay",#N/A,TRUE,"pay_non pay input";"Capital Profile",#N/A,TRUE,"Equipt Input";"CurrEqptProfile",#N/A,TRUE,"Equipt Input";"TotMtce",#N/A,TRUE,"Equipt Input";"TPNwks",#N/A,TRUE,"Nwks Input";"BTNwks",#N/A,TRUE,"Nwks Input";"Miscellaneous",#N/A,TRUE,"Misc."}</definedName>
    <definedName name="wrn.REPORT_EST." localSheetId="16" hidden="1">{"PRINT_EST",#N/A,FALSE,"ESTMON"}</definedName>
    <definedName name="wrn.REPORT_EST." hidden="1">{"PRINT_EST",#N/A,FALSE,"ESTMON"}</definedName>
    <definedName name="wrn.rev_sale._.report." localSheetId="16" hidden="1">{"revsale",#N/A,FALSE,"REV-ยุพดี"}</definedName>
    <definedName name="wrn.rev_sale._.report." hidden="1">{"revsale",#N/A,FALSE,"REV-ยุพดี"}</definedName>
    <definedName name="wrn.revable." localSheetId="16" hidden="1">{"revable",#N/A,FALSE,"REVABLE"}</definedName>
    <definedName name="wrn.revable." hidden="1">{"revable",#N/A,FALSE,"REVABLE"}</definedName>
    <definedName name="wrn.RLDEPART2." localSheetId="16"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wrn.RLDEPART2."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wrn.sales._.report." localSheetId="16" hidden="1">{"sales",#N/A,FALSE,"SALES"}</definedName>
    <definedName name="wrn.sales._.report." hidden="1">{"sales",#N/A,FALSE,"SALES"}</definedName>
    <definedName name="wrn.SOCIEDAD." localSheetId="16" hidden="1">{#N/A,#N/A,FALSE,"SYSOC";#N/A,#N/A,FALSE,"RESU-GESTION";#N/A,#N/A,FALSE,"EVOL-MNA";#N/A,#N/A,FALSE,"VTAS-ANALI";#N/A,#N/A,FALSE,"ANALI-GSFIJOS";#N/A,#N/A,FALSE,"DETA-RUBROS";#N/A,#N/A,FALSE,"ANALI-CNF";#N/A,#N/A,FALSE,"BILAN";#N/A,#N/A,FALSE,"TAB_FIN";#N/A,#N/A,FALSE,"IND_ECO"}</definedName>
    <definedName name="wrn.SOCIEDAD." hidden="1">{#N/A,#N/A,FALSE,"SYSOC";#N/A,#N/A,FALSE,"RESU-GESTION";#N/A,#N/A,FALSE,"EVOL-MNA";#N/A,#N/A,FALSE,"VTAS-ANALI";#N/A,#N/A,FALSE,"ANALI-GSFIJOS";#N/A,#N/A,FALSE,"DETA-RUBROS";#N/A,#N/A,FALSE,"ANALI-CNF";#N/A,#N/A,FALSE,"BILAN";#N/A,#N/A,FALSE,"TAB_FIN";#N/A,#N/A,FALSE,"IND_ECO"}</definedName>
    <definedName name="wrn.Validation._.Report." localSheetId="16" hidden="1">{#N/A,#N/A,FALSE,"Capacity";#N/A,#N/A,FALSE,"TAAdjmts";#N/A,#N/A,FALSE,"MatlBal";#N/A,#N/A,FALSE,"YldRatio";#N/A,#N/A,FALSE,"EEICalc";#N/A,#N/A,FALSE,"YIRCalc";#N/A,#N/A,FALSE,"Prodn";#N/A,#N/A,FALSE,"OtherProducts";#N/A,#N/A,FALSE,"Quality";#N/A,#N/A,FALSE,"EnergyCheck";#N/A,#N/A,FALSE,"EnergyCost";#N/A,#N/A,FALSE,"Personnel";#N/A,#N/A,FALSE,"Pricing";#N/A,#N/A,FALSE,"MiscCalcs";#N/A,#N/A,FALSE,"OPEX";#N/A,#N/A,FALSE,"Margin";#N/A,#N/A,FALSE,"ReplVal"}</definedName>
    <definedName name="wrn.Validation._.Report." hidden="1">{#N/A,#N/A,FALSE,"Capacity";#N/A,#N/A,FALSE,"TAAdjmts";#N/A,#N/A,FALSE,"MatlBal";#N/A,#N/A,FALSE,"YldRatio";#N/A,#N/A,FALSE,"EEICalc";#N/A,#N/A,FALSE,"YIRCalc";#N/A,#N/A,FALSE,"Prodn";#N/A,#N/A,FALSE,"OtherProducts";#N/A,#N/A,FALSE,"Quality";#N/A,#N/A,FALSE,"EnergyCheck";#N/A,#N/A,FALSE,"EnergyCost";#N/A,#N/A,FALSE,"Personnel";#N/A,#N/A,FALSE,"Pricing";#N/A,#N/A,FALSE,"MiscCalcs";#N/A,#N/A,FALSE,"OPEX";#N/A,#N/A,FALSE,"Margin";#N/A,#N/A,FALSE,"ReplVal"}</definedName>
    <definedName name="WRN2.NONPAY" localSheetId="16" hidden="1">{"ResourceNonPay",#N/A,FALSE,"pay_non pay input";"CapMaint",#N/A,FALSE,"Equipt Input";"CurrEqptProfile",#N/A,FALSE,"Equipt Input";"Curr Eqpt Mtce",#N/A,FALSE,"Equipt Input";"Miscellaneous",#N/A,FALSE,"Misc."}</definedName>
    <definedName name="WRN2.NONPAY" hidden="1">{"ResourceNonPay",#N/A,FALSE,"pay_non pay input";"CapMaint",#N/A,FALSE,"Equipt Input";"CurrEqptProfile",#N/A,FALSE,"Equipt Input";"Curr Eqpt Mtce",#N/A,FALSE,"Equipt Input";"Miscellaneous",#N/A,FALSE,"Misc."}</definedName>
    <definedName name="ww" localSheetId="16" hidden="1">{#N/A,#N/A,FALSE,"4_TOTAL";#N/A,#N/A,FALSE,"3_2TOTAL";#N/A,#N/A,FALSE,"5_INCOME";#N/A,#N/A,FALSE,"2_2LEV";#N/A,#N/A,FALSE,"2_2LEVYTD";#N/A,#N/A,FALSE,"BALANCE";#N/A,#N/A,FALSE,"CASHFLOW";#N/A,#N/A,FALSE,"PRODUCT";#N/A,#N/A,FALSE,"SALES";#N/A,#N/A,FALSE,"AGING"}</definedName>
    <definedName name="ww" hidden="1">{#N/A,#N/A,FALSE,"4_TOTAL";#N/A,#N/A,FALSE,"3_2TOTAL";#N/A,#N/A,FALSE,"5_INCOME";#N/A,#N/A,FALSE,"2_2LEV";#N/A,#N/A,FALSE,"2_2LEVYTD";#N/A,#N/A,FALSE,"BALANCE";#N/A,#N/A,FALSE,"CASHFLOW";#N/A,#N/A,FALSE,"PRODUCT";#N/A,#N/A,FALSE,"SALES";#N/A,#N/A,FALSE,"AGING"}</definedName>
    <definedName name="www" localSheetId="16" hidden="1">{"'ตัวอย่าง'!$A$1:$O$21"}</definedName>
    <definedName name="www" hidden="1">{"'ตัวอย่าง'!$A$1:$O$21"}</definedName>
    <definedName name="wwwewe" localSheetId="16" hidden="1">{"'ตัวอย่าง'!$A$1:$O$21"}</definedName>
    <definedName name="wwwewe" hidden="1">{"'ตัวอย่าง'!$A$1:$O$21"}</definedName>
    <definedName name="xdfgsg" localSheetId="16" hidden="1">{"Profit",#N/A,FALSE,"Cisco7000a";"Capital",#N/A,FALSE,"Cisco7000a"}</definedName>
    <definedName name="xdfgsg" hidden="1">{"Profit",#N/A,FALSE,"Cisco7000a";"Capital",#N/A,FALSE,"Cisco7000a"}</definedName>
    <definedName name="xx" hidden="1">#REF!</definedName>
    <definedName name="z" localSheetId="16" hidden="1">{"'ตัวอย่าง'!$A$1:$O$21"}</definedName>
    <definedName name="z" hidden="1">{"'ตัวอย่าง'!$A$1:$O$21"}</definedName>
    <definedName name="zz" localSheetId="16" hidden="1">{"cashflow",#N/A,FALSE,"CASHFLOW "}</definedName>
    <definedName name="zz" hidden="1">{"cashflow",#N/A,FALSE,"CASHFLOW "}</definedName>
    <definedName name="เม.ย" localSheetId="16" hidden="1">{"'ตัวอย่าง'!$A$1:$O$21"}</definedName>
    <definedName name="เม.ย" hidden="1">{"'ตัวอย่าง'!$A$1:$O$21"}</definedName>
    <definedName name="เมษายน" localSheetId="16" hidden="1">{"'ตัวอย่าง'!$A$1:$O$21"}</definedName>
    <definedName name="เมษายน" hidden="1">{"'ตัวอย่าง'!$A$1:$O$21"}</definedName>
    <definedName name="เมษายน๑" localSheetId="16" hidden="1">{"'ตัวอย่าง'!$A$1:$O$21"}</definedName>
    <definedName name="เมษายน๑" hidden="1">{"'ตัวอย่าง'!$A$1:$O$21"}</definedName>
    <definedName name="ก" localSheetId="16" hidden="1">{"index",#N/A,FALSE,"INDEX"}</definedName>
    <definedName name="ก" hidden="1">{"index",#N/A,FALSE,"INDEX"}</definedName>
    <definedName name="กกกกกก" localSheetId="16" hidden="1">{"PRINT_EST",#N/A,FALSE,"ESTMON"}</definedName>
    <definedName name="กกกกกก" hidden="1">{"PRINT_EST",#N/A,FALSE,"ESTMON"}</definedName>
    <definedName name="กดฟหกด" localSheetId="16" hidden="1">{"'ตัวอย่าง'!$A$1:$O$21"}</definedName>
    <definedName name="กดฟหกด" hidden="1">{"'ตัวอย่าง'!$A$1:$O$21"}</definedName>
    <definedName name="ชัยเจริญมารีน" localSheetId="16" hidden="1">{#N/A,#N/A,FALSE,"4_TOTAL";#N/A,#N/A,FALSE,"3_2TOTAL";#N/A,#N/A,FALSE,"5_INCOME";#N/A,#N/A,FALSE,"2_2LEV";#N/A,#N/A,FALSE,"2_2LEVYTD";#N/A,#N/A,FALSE,"BALANCE";#N/A,#N/A,FALSE,"CASHFLOW";#N/A,#N/A,FALSE,"PRODUCT";#N/A,#N/A,FALSE,"SALES";#N/A,#N/A,FALSE,"AGING"}</definedName>
    <definedName name="ชัยเจริญมารีน" hidden="1">{#N/A,#N/A,FALSE,"4_TOTAL";#N/A,#N/A,FALSE,"3_2TOTAL";#N/A,#N/A,FALSE,"5_INCOME";#N/A,#N/A,FALSE,"2_2LEV";#N/A,#N/A,FALSE,"2_2LEVYTD";#N/A,#N/A,FALSE,"BALANCE";#N/A,#N/A,FALSE,"CASHFLOW";#N/A,#N/A,FALSE,"PRODUCT";#N/A,#N/A,FALSE,"SALES";#N/A,#N/A,FALSE,"AGING"}</definedName>
    <definedName name="ฏฏฏ" localSheetId="16" hidden="1">{#N/A,#N/A,FALSE,"4_TOTAL";#N/A,#N/A,FALSE,"3_2TOTAL";#N/A,#N/A,FALSE,"5_INCOME";#N/A,#N/A,FALSE,"2_2LEV";#N/A,#N/A,FALSE,"2_2LEVYTD";#N/A,#N/A,FALSE,"BALANCE";#N/A,#N/A,FALSE,"CASHFLOW";#N/A,#N/A,FALSE,"PRODUCT";#N/A,#N/A,FALSE,"SALES";#N/A,#N/A,FALSE,"AGING"}</definedName>
    <definedName name="ฏฏฏ" hidden="1">{#N/A,#N/A,FALSE,"4_TOTAL";#N/A,#N/A,FALSE,"3_2TOTAL";#N/A,#N/A,FALSE,"5_INCOME";#N/A,#N/A,FALSE,"2_2LEV";#N/A,#N/A,FALSE,"2_2LEVYTD";#N/A,#N/A,FALSE,"BALANCE";#N/A,#N/A,FALSE,"CASHFLOW";#N/A,#N/A,FALSE,"PRODUCT";#N/A,#N/A,FALSE,"SALES";#N/A,#N/A,FALSE,"AGING"}</definedName>
    <definedName name="ด" localSheetId="16" hidden="1">{"'ตัวอย่าง'!$A$1:$O$21"}</definedName>
    <definedName name="ด" hidden="1">{"'ตัวอย่าง'!$A$1:$O$21"}</definedName>
    <definedName name="ดา" localSheetId="16" hidden="1">{"'ตัวอย่าง'!$A$1:$O$21"}</definedName>
    <definedName name="ดา" hidden="1">{"'ตัวอย่าง'!$A$1:$O$21"}</definedName>
    <definedName name="ดารา" localSheetId="16" hidden="1">{"'ตัวอย่าง'!$A$1:$O$21"}</definedName>
    <definedName name="ดารา" hidden="1">{"'ตัวอย่าง'!$A$1:$O$21"}</definedName>
    <definedName name="ปั๊มดูดน้ำมันเก่าเข้า" localSheetId="16" hidden="1">{"'ตัวอย่าง'!$A$1:$O$21"}</definedName>
    <definedName name="ปั๊มดูดน้ำมันเก่าเข้า" hidden="1">{"'ตัวอย่าง'!$A$1:$O$21"}</definedName>
    <definedName name="ปั๊มน้ำท้าย" localSheetId="16" hidden="1">{"'ตัวอย่าง'!$A$1:$O$21"}</definedName>
    <definedName name="ปั๊มน้ำท้าย" hidden="1">{"'ตัวอย่าง'!$A$1:$O$21"}</definedName>
    <definedName name="ปืน" localSheetId="16" hidden="1">{"'ตัวอย่าง'!$A$1:$O$21"}</definedName>
    <definedName name="ปืน" hidden="1">{"'ตัวอย่าง'!$A$1:$O$21"}</definedName>
    <definedName name="พ" localSheetId="16" hidden="1">{"'ตัวอย่าง'!$A$1:$O$21"}</definedName>
    <definedName name="พ" hidden="1">{"'ตัวอย่าง'!$A$1:$O$21"}</definedName>
    <definedName name="พ.ค." localSheetId="16" hidden="1">{"'ตัวอย่าง'!$A$1:$O$21"}</definedName>
    <definedName name="พ.ค." hidden="1">{"'ตัวอย่าง'!$A$1:$O$21"}</definedName>
    <definedName name="พด" localSheetId="16" hidden="1">{"'ตัวอย่าง'!$A$1:$O$21"}</definedName>
    <definedName name="พด" hidden="1">{"'ตัวอย่าง'!$A$1:$O$21"}</definedName>
    <definedName name="พฤษภาคม" localSheetId="16" hidden="1">{"'ตัวอย่าง'!$A$1:$O$21"}</definedName>
    <definedName name="พฤษภาคม" hidden="1">{"'ตัวอย่าง'!$A$1:$O$21"}</definedName>
    <definedName name="ฟ" localSheetId="16" hidden="1">{"hilight2",#N/A,FALSE,"HILIGHT2"}</definedName>
    <definedName name="ฟ" hidden="1">{"hilight2",#N/A,FALSE,"HILIGHT2"}</definedName>
    <definedName name="ฟหด" localSheetId="16" hidden="1">{"'ตัวอย่าง'!$A$1:$O$21"}</definedName>
    <definedName name="ฟหด" hidden="1">{"'ตัวอย่าง'!$A$1:$O$21"}</definedName>
    <definedName name="ฟำ" localSheetId="16" hidden="1">{"'ตัวอย่าง'!$A$1:$O$21"}</definedName>
    <definedName name="ฟำ" hidden="1">{"'ตัวอย่าง'!$A$1:$O$21"}</definedName>
    <definedName name="ฟำดฟำ" localSheetId="16" hidden="1">{"'ตัวอย่าง'!$A$1:$O$21"}</definedName>
    <definedName name="ฟำดฟำ" hidden="1">{"'ตัวอย่าง'!$A$1:$O$21"}</definedName>
    <definedName name="ระบบโฟม" localSheetId="16" hidden="1">{"'ตัวอย่าง'!$A$1:$O$21"}</definedName>
    <definedName name="ระบบโฟม" hidden="1">{"'ตัวอย่าง'!$A$1:$O$21"}</definedName>
    <definedName name="ศูนย์พัฒนา" localSheetId="16"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ศูนย์พัฒนา"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ห" localSheetId="16" hidden="1">{"'ตัวอย่าง'!$A$1:$O$21"}</definedName>
    <definedName name="ห" hidden="1">{"'ตัวอย่าง'!$A$1:$O$21"}</definedName>
  </definedNames>
  <calcPr calcId="191029" calcMode="manual"/>
  <pivotCaches>
    <pivotCache cacheId="497" r:id="rId36"/>
  </pivotCaches>
  <extLst>
    <ext xmlns:x14="http://schemas.microsoft.com/office/spreadsheetml/2009/9/main" uri="{BBE1A952-AA13-448e-AADC-164F8A28A991}">
      <x14:slicerCaches>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63" l="1"/>
  <c r="A21" i="63" s="1"/>
  <c r="A22" i="63" s="1"/>
  <c r="A23" i="63" s="1"/>
  <c r="A24" i="63" s="1"/>
  <c r="A25" i="63" s="1"/>
  <c r="A26" i="63" s="1"/>
  <c r="A27" i="63" s="1"/>
  <c r="A28" i="63" s="1"/>
  <c r="A29" i="63" s="1"/>
  <c r="S21" i="54" l="1"/>
  <c r="F52" i="41"/>
  <c r="F47" i="41"/>
  <c r="F42" i="41"/>
  <c r="F37" i="41"/>
  <c r="F32" i="41"/>
  <c r="F27" i="41"/>
  <c r="F22" i="41"/>
  <c r="F17" i="41"/>
  <c r="F12" i="41"/>
  <c r="F7" i="41"/>
  <c r="R9" i="54" l="1"/>
  <c r="C18" i="56"/>
  <c r="H18" i="56" l="1"/>
  <c r="L1550" i="39"/>
  <c r="AI2" i="31"/>
  <c r="S13" i="54"/>
  <c r="S12" i="54" s="1"/>
  <c r="R13" i="54"/>
  <c r="R12" i="54" s="1"/>
  <c r="P13" i="54"/>
  <c r="P12" i="54" s="1"/>
  <c r="O13" i="54"/>
  <c r="O12" i="54" s="1"/>
  <c r="M1" i="31"/>
  <c r="AG2" i="31" s="1"/>
  <c r="T14" i="38" s="1"/>
  <c r="I1" i="31"/>
  <c r="K1" i="31" s="1"/>
  <c r="W11" i="31"/>
  <c r="U11" i="31"/>
  <c r="S11" i="31"/>
  <c r="W12" i="31"/>
  <c r="U12" i="31"/>
  <c r="S12" i="31"/>
  <c r="Q11" i="31"/>
  <c r="K1636" i="39"/>
  <c r="Z1626" i="39"/>
  <c r="Y1626" i="39"/>
  <c r="X1626" i="39"/>
  <c r="W1626" i="39"/>
  <c r="V1626" i="39"/>
  <c r="U1626" i="39"/>
  <c r="T1626" i="39"/>
  <c r="S1626" i="39"/>
  <c r="R1626" i="39"/>
  <c r="Q1626" i="39"/>
  <c r="P1626" i="39"/>
  <c r="O1626" i="39"/>
  <c r="N1626" i="39"/>
  <c r="M1626" i="39"/>
  <c r="L1626" i="39"/>
  <c r="Z1608" i="39"/>
  <c r="Y1608" i="39"/>
  <c r="X1608" i="39"/>
  <c r="W1608" i="39"/>
  <c r="V1608" i="39"/>
  <c r="U1608" i="39"/>
  <c r="T1608" i="39"/>
  <c r="S1608" i="39"/>
  <c r="R1608" i="39"/>
  <c r="Q1608" i="39"/>
  <c r="P1608" i="39"/>
  <c r="O1608" i="39"/>
  <c r="N1608" i="39"/>
  <c r="M1608" i="39"/>
  <c r="L1608" i="39"/>
  <c r="Z1606" i="39"/>
  <c r="Y1606" i="39"/>
  <c r="X1606" i="39"/>
  <c r="W1606" i="39"/>
  <c r="V1606" i="39"/>
  <c r="U1606" i="39"/>
  <c r="T1606" i="39"/>
  <c r="S1606" i="39"/>
  <c r="R1606" i="39"/>
  <c r="Q1606" i="39"/>
  <c r="P1606" i="39"/>
  <c r="O1606" i="39"/>
  <c r="N1606" i="39"/>
  <c r="M1606" i="39"/>
  <c r="L1606" i="39"/>
  <c r="K1592" i="39"/>
  <c r="K1585" i="39" s="1"/>
  <c r="K1589" i="39"/>
  <c r="K1586" i="39"/>
  <c r="K1577" i="39"/>
  <c r="K1575" i="39"/>
  <c r="K1597" i="39" s="1"/>
  <c r="K1604" i="39" s="1"/>
  <c r="Z1570" i="39"/>
  <c r="Y1570" i="39"/>
  <c r="X1570" i="39"/>
  <c r="W1570" i="39"/>
  <c r="V1570" i="39"/>
  <c r="U1570" i="39"/>
  <c r="T1570" i="39"/>
  <c r="S1570" i="39"/>
  <c r="R1570" i="39"/>
  <c r="Q1570" i="39"/>
  <c r="P1570" i="39"/>
  <c r="O1570" i="39"/>
  <c r="N1570" i="39"/>
  <c r="M1570" i="39"/>
  <c r="L1570" i="39"/>
  <c r="Z1568" i="39"/>
  <c r="Y1568" i="39"/>
  <c r="X1568" i="39"/>
  <c r="W1568" i="39"/>
  <c r="V1568" i="39"/>
  <c r="U1568" i="39"/>
  <c r="T1568" i="39"/>
  <c r="S1568" i="39"/>
  <c r="R1568" i="39"/>
  <c r="Q1568" i="39"/>
  <c r="P1568" i="39"/>
  <c r="O1568" i="39"/>
  <c r="N1568" i="39"/>
  <c r="M1568" i="39"/>
  <c r="L1568" i="39"/>
  <c r="K1554" i="39"/>
  <c r="K1551" i="39"/>
  <c r="K1548" i="39"/>
  <c r="K1547" i="39" s="1"/>
  <c r="K1539" i="39"/>
  <c r="K1537" i="39" s="1"/>
  <c r="K1522" i="39"/>
  <c r="K1519" i="39"/>
  <c r="K1516" i="39"/>
  <c r="K1515" i="39" s="1"/>
  <c r="K1507" i="39"/>
  <c r="K1505" i="39"/>
  <c r="K1527" i="39" s="1"/>
  <c r="K1534" i="39" s="1"/>
  <c r="Z1493" i="39"/>
  <c r="Y1493" i="39"/>
  <c r="X1493" i="39"/>
  <c r="W1493" i="39"/>
  <c r="V1493" i="39"/>
  <c r="U1493" i="39"/>
  <c r="T1493" i="39"/>
  <c r="S1493" i="39"/>
  <c r="R1493" i="39"/>
  <c r="Q1493" i="39"/>
  <c r="P1493" i="39"/>
  <c r="O1493" i="39"/>
  <c r="N1493" i="39"/>
  <c r="M1493" i="39"/>
  <c r="L1493" i="39"/>
  <c r="Z1489" i="39"/>
  <c r="Y1489" i="39"/>
  <c r="X1489" i="39"/>
  <c r="W1489" i="39"/>
  <c r="V1489" i="39"/>
  <c r="U1489" i="39"/>
  <c r="T1489" i="39"/>
  <c r="S1489" i="39"/>
  <c r="R1489" i="39"/>
  <c r="Q1489" i="39"/>
  <c r="P1489" i="39"/>
  <c r="O1489" i="39"/>
  <c r="N1489" i="39"/>
  <c r="M1489" i="39"/>
  <c r="L1489" i="39"/>
  <c r="Z1488" i="39"/>
  <c r="Y1488" i="39"/>
  <c r="X1488" i="39"/>
  <c r="W1488" i="39"/>
  <c r="V1488" i="39"/>
  <c r="U1488" i="39"/>
  <c r="T1488" i="39"/>
  <c r="S1488" i="39"/>
  <c r="R1488" i="39"/>
  <c r="Q1488" i="39"/>
  <c r="P1488" i="39"/>
  <c r="O1488" i="39"/>
  <c r="N1488" i="39"/>
  <c r="M1488" i="39"/>
  <c r="L1488" i="39"/>
  <c r="K1473" i="39"/>
  <c r="Z1463" i="39"/>
  <c r="Y1463" i="39"/>
  <c r="X1463" i="39"/>
  <c r="W1463" i="39"/>
  <c r="V1463" i="39"/>
  <c r="U1463" i="39"/>
  <c r="T1463" i="39"/>
  <c r="S1463" i="39"/>
  <c r="R1463" i="39"/>
  <c r="Q1463" i="39"/>
  <c r="P1463" i="39"/>
  <c r="O1463" i="39"/>
  <c r="N1463" i="39"/>
  <c r="M1463" i="39"/>
  <c r="L1463" i="39"/>
  <c r="Z1445" i="39"/>
  <c r="Y1445" i="39"/>
  <c r="X1445" i="39"/>
  <c r="W1445" i="39"/>
  <c r="V1445" i="39"/>
  <c r="U1445" i="39"/>
  <c r="T1445" i="39"/>
  <c r="S1445" i="39"/>
  <c r="R1445" i="39"/>
  <c r="Q1445" i="39"/>
  <c r="P1445" i="39"/>
  <c r="O1445" i="39"/>
  <c r="N1445" i="39"/>
  <c r="M1445" i="39"/>
  <c r="L1445" i="39"/>
  <c r="Z1443" i="39"/>
  <c r="Y1443" i="39"/>
  <c r="X1443" i="39"/>
  <c r="W1443" i="39"/>
  <c r="V1443" i="39"/>
  <c r="U1443" i="39"/>
  <c r="T1443" i="39"/>
  <c r="S1443" i="39"/>
  <c r="R1443" i="39"/>
  <c r="Q1443" i="39"/>
  <c r="P1443" i="39"/>
  <c r="O1443" i="39"/>
  <c r="N1443" i="39"/>
  <c r="M1443" i="39"/>
  <c r="L1443" i="39"/>
  <c r="K1429" i="39"/>
  <c r="K1422" i="39" s="1"/>
  <c r="K1434" i="39" s="1"/>
  <c r="K1441" i="39" s="1"/>
  <c r="K1426" i="39"/>
  <c r="K1423" i="39"/>
  <c r="K1414" i="39"/>
  <c r="K1412" i="39" s="1"/>
  <c r="Z1407" i="39"/>
  <c r="Y1407" i="39"/>
  <c r="X1407" i="39"/>
  <c r="W1407" i="39"/>
  <c r="V1407" i="39"/>
  <c r="U1407" i="39"/>
  <c r="T1407" i="39"/>
  <c r="S1407" i="39"/>
  <c r="R1407" i="39"/>
  <c r="Q1407" i="39"/>
  <c r="P1407" i="39"/>
  <c r="O1407" i="39"/>
  <c r="N1407" i="39"/>
  <c r="M1407" i="39"/>
  <c r="L1407" i="39"/>
  <c r="Z1405" i="39"/>
  <c r="Y1405" i="39"/>
  <c r="X1405" i="39"/>
  <c r="W1405" i="39"/>
  <c r="V1405" i="39"/>
  <c r="U1405" i="39"/>
  <c r="T1405" i="39"/>
  <c r="S1405" i="39"/>
  <c r="R1405" i="39"/>
  <c r="Q1405" i="39"/>
  <c r="P1405" i="39"/>
  <c r="O1405" i="39"/>
  <c r="N1405" i="39"/>
  <c r="M1405" i="39"/>
  <c r="L1405" i="39"/>
  <c r="K1391" i="39"/>
  <c r="K1388" i="39"/>
  <c r="K1385" i="39"/>
  <c r="K1384" i="39"/>
  <c r="K1376" i="39"/>
  <c r="K1374" i="39"/>
  <c r="K1359" i="39"/>
  <c r="K1356" i="39"/>
  <c r="K1353" i="39"/>
  <c r="K1352" i="39" s="1"/>
  <c r="K1344" i="39"/>
  <c r="K1342" i="39"/>
  <c r="K1364" i="39" s="1"/>
  <c r="K1371" i="39" s="1"/>
  <c r="Z1330" i="39"/>
  <c r="Y1330" i="39"/>
  <c r="X1330" i="39"/>
  <c r="W1330" i="39"/>
  <c r="V1330" i="39"/>
  <c r="U1330" i="39"/>
  <c r="T1330" i="39"/>
  <c r="S1330" i="39"/>
  <c r="R1330" i="39"/>
  <c r="Q1330" i="39"/>
  <c r="P1330" i="39"/>
  <c r="O1330" i="39"/>
  <c r="N1330" i="39"/>
  <c r="M1330" i="39"/>
  <c r="L1330" i="39"/>
  <c r="Z1326" i="39"/>
  <c r="Y1326" i="39"/>
  <c r="X1326" i="39"/>
  <c r="W1326" i="39"/>
  <c r="V1326" i="39"/>
  <c r="U1326" i="39"/>
  <c r="T1326" i="39"/>
  <c r="S1326" i="39"/>
  <c r="R1326" i="39"/>
  <c r="Q1326" i="39"/>
  <c r="P1326" i="39"/>
  <c r="O1326" i="39"/>
  <c r="N1326" i="39"/>
  <c r="M1326" i="39"/>
  <c r="L1326" i="39"/>
  <c r="Z1325" i="39"/>
  <c r="Y1325" i="39"/>
  <c r="X1325" i="39"/>
  <c r="W1325" i="39"/>
  <c r="V1325" i="39"/>
  <c r="U1325" i="39"/>
  <c r="T1325" i="39"/>
  <c r="S1325" i="39"/>
  <c r="R1325" i="39"/>
  <c r="Q1325" i="39"/>
  <c r="P1325" i="39"/>
  <c r="O1325" i="39"/>
  <c r="N1325" i="39"/>
  <c r="M1325" i="39"/>
  <c r="L1325" i="39"/>
  <c r="K1310" i="39"/>
  <c r="Z1300" i="39"/>
  <c r="Y1300" i="39"/>
  <c r="X1300" i="39"/>
  <c r="W1300" i="39"/>
  <c r="V1300" i="39"/>
  <c r="U1300" i="39"/>
  <c r="T1300" i="39"/>
  <c r="S1300" i="39"/>
  <c r="R1300" i="39"/>
  <c r="Q1300" i="39"/>
  <c r="P1300" i="39"/>
  <c r="O1300" i="39"/>
  <c r="N1300" i="39"/>
  <c r="M1300" i="39"/>
  <c r="L1300" i="39"/>
  <c r="Z1282" i="39"/>
  <c r="Y1282" i="39"/>
  <c r="X1282" i="39"/>
  <c r="W1282" i="39"/>
  <c r="V1282" i="39"/>
  <c r="U1282" i="39"/>
  <c r="T1282" i="39"/>
  <c r="S1282" i="39"/>
  <c r="R1282" i="39"/>
  <c r="Q1282" i="39"/>
  <c r="P1282" i="39"/>
  <c r="O1282" i="39"/>
  <c r="N1282" i="39"/>
  <c r="M1282" i="39"/>
  <c r="L1282" i="39"/>
  <c r="Z1280" i="39"/>
  <c r="Y1280" i="39"/>
  <c r="X1280" i="39"/>
  <c r="W1280" i="39"/>
  <c r="V1280" i="39"/>
  <c r="U1280" i="39"/>
  <c r="T1280" i="39"/>
  <c r="S1280" i="39"/>
  <c r="R1280" i="39"/>
  <c r="Q1280" i="39"/>
  <c r="P1280" i="39"/>
  <c r="O1280" i="39"/>
  <c r="N1280" i="39"/>
  <c r="M1280" i="39"/>
  <c r="L1280" i="39"/>
  <c r="K1266" i="39"/>
  <c r="K1263" i="39"/>
  <c r="K1260" i="39"/>
  <c r="K1259" i="39" s="1"/>
  <c r="K1251" i="39"/>
  <c r="K1249" i="39" s="1"/>
  <c r="K1271" i="39" s="1"/>
  <c r="K1278" i="39" s="1"/>
  <c r="Z1244" i="39"/>
  <c r="Y1244" i="39"/>
  <c r="X1244" i="39"/>
  <c r="W1244" i="39"/>
  <c r="V1244" i="39"/>
  <c r="U1244" i="39"/>
  <c r="T1244" i="39"/>
  <c r="S1244" i="39"/>
  <c r="R1244" i="39"/>
  <c r="Q1244" i="39"/>
  <c r="P1244" i="39"/>
  <c r="O1244" i="39"/>
  <c r="N1244" i="39"/>
  <c r="M1244" i="39"/>
  <c r="L1244" i="39"/>
  <c r="Z1242" i="39"/>
  <c r="Y1242" i="39"/>
  <c r="X1242" i="39"/>
  <c r="W1242" i="39"/>
  <c r="V1242" i="39"/>
  <c r="U1242" i="39"/>
  <c r="T1242" i="39"/>
  <c r="S1242" i="39"/>
  <c r="R1242" i="39"/>
  <c r="Q1242" i="39"/>
  <c r="P1242" i="39"/>
  <c r="O1242" i="39"/>
  <c r="N1242" i="39"/>
  <c r="M1242" i="39"/>
  <c r="L1242" i="39"/>
  <c r="K1228" i="39"/>
  <c r="K1225" i="39"/>
  <c r="K1221" i="39" s="1"/>
  <c r="K1222" i="39"/>
  <c r="K1213" i="39"/>
  <c r="K1211" i="39" s="1"/>
  <c r="K1233" i="39" s="1"/>
  <c r="K1240" i="39" s="1"/>
  <c r="K1196" i="39"/>
  <c r="K1193" i="39"/>
  <c r="K1190" i="39"/>
  <c r="K1189" i="39"/>
  <c r="K1181" i="39"/>
  <c r="K1179" i="39"/>
  <c r="K1201" i="39" s="1"/>
  <c r="K1208" i="39" s="1"/>
  <c r="Z1167" i="39"/>
  <c r="Y1167" i="39"/>
  <c r="X1167" i="39"/>
  <c r="W1167" i="39"/>
  <c r="V1167" i="39"/>
  <c r="U1167" i="39"/>
  <c r="T1167" i="39"/>
  <c r="S1167" i="39"/>
  <c r="R1167" i="39"/>
  <c r="Q1167" i="39"/>
  <c r="P1167" i="39"/>
  <c r="O1167" i="39"/>
  <c r="N1167" i="39"/>
  <c r="M1167" i="39"/>
  <c r="L1167" i="39"/>
  <c r="Z1163" i="39"/>
  <c r="Y1163" i="39"/>
  <c r="X1163" i="39"/>
  <c r="W1163" i="39"/>
  <c r="V1163" i="39"/>
  <c r="U1163" i="39"/>
  <c r="T1163" i="39"/>
  <c r="S1163" i="39"/>
  <c r="R1163" i="39"/>
  <c r="Q1163" i="39"/>
  <c r="P1163" i="39"/>
  <c r="O1163" i="39"/>
  <c r="N1163" i="39"/>
  <c r="M1163" i="39"/>
  <c r="L1163" i="39"/>
  <c r="Z1162" i="39"/>
  <c r="Y1162" i="39"/>
  <c r="X1162" i="39"/>
  <c r="W1162" i="39"/>
  <c r="V1162" i="39"/>
  <c r="U1162" i="39"/>
  <c r="T1162" i="39"/>
  <c r="S1162" i="39"/>
  <c r="R1162" i="39"/>
  <c r="Q1162" i="39"/>
  <c r="P1162" i="39"/>
  <c r="O1162" i="39"/>
  <c r="N1162" i="39"/>
  <c r="M1162" i="39"/>
  <c r="L1162" i="39"/>
  <c r="K1147" i="39"/>
  <c r="Z1137" i="39"/>
  <c r="Y1137" i="39"/>
  <c r="X1137" i="39"/>
  <c r="W1137" i="39"/>
  <c r="V1137" i="39"/>
  <c r="U1137" i="39"/>
  <c r="T1137" i="39"/>
  <c r="S1137" i="39"/>
  <c r="R1137" i="39"/>
  <c r="Q1137" i="39"/>
  <c r="P1137" i="39"/>
  <c r="O1137" i="39"/>
  <c r="N1137" i="39"/>
  <c r="M1137" i="39"/>
  <c r="L1137" i="39"/>
  <c r="Z1119" i="39"/>
  <c r="Y1119" i="39"/>
  <c r="X1119" i="39"/>
  <c r="W1119" i="39"/>
  <c r="V1119" i="39"/>
  <c r="U1119" i="39"/>
  <c r="T1119" i="39"/>
  <c r="S1119" i="39"/>
  <c r="R1119" i="39"/>
  <c r="Q1119" i="39"/>
  <c r="P1119" i="39"/>
  <c r="O1119" i="39"/>
  <c r="N1119" i="39"/>
  <c r="M1119" i="39"/>
  <c r="L1119" i="39"/>
  <c r="Z1117" i="39"/>
  <c r="Y1117" i="39"/>
  <c r="X1117" i="39"/>
  <c r="W1117" i="39"/>
  <c r="V1117" i="39"/>
  <c r="U1117" i="39"/>
  <c r="T1117" i="39"/>
  <c r="S1117" i="39"/>
  <c r="R1117" i="39"/>
  <c r="Q1117" i="39"/>
  <c r="P1117" i="39"/>
  <c r="O1117" i="39"/>
  <c r="N1117" i="39"/>
  <c r="M1117" i="39"/>
  <c r="L1117" i="39"/>
  <c r="K1103" i="39"/>
  <c r="K1100" i="39"/>
  <c r="K1096" i="39" s="1"/>
  <c r="K1097" i="39"/>
  <c r="K1088" i="39"/>
  <c r="K1086" i="39" s="1"/>
  <c r="K1108" i="39" s="1"/>
  <c r="K1115" i="39" s="1"/>
  <c r="Z1081" i="39"/>
  <c r="Y1081" i="39"/>
  <c r="X1081" i="39"/>
  <c r="W1081" i="39"/>
  <c r="V1081" i="39"/>
  <c r="U1081" i="39"/>
  <c r="T1081" i="39"/>
  <c r="S1081" i="39"/>
  <c r="R1081" i="39"/>
  <c r="Q1081" i="39"/>
  <c r="P1081" i="39"/>
  <c r="O1081" i="39"/>
  <c r="N1081" i="39"/>
  <c r="M1081" i="39"/>
  <c r="L1081" i="39"/>
  <c r="Z1079" i="39"/>
  <c r="Y1079" i="39"/>
  <c r="X1079" i="39"/>
  <c r="W1079" i="39"/>
  <c r="V1079" i="39"/>
  <c r="U1079" i="39"/>
  <c r="T1079" i="39"/>
  <c r="S1079" i="39"/>
  <c r="R1079" i="39"/>
  <c r="Q1079" i="39"/>
  <c r="P1079" i="39"/>
  <c r="O1079" i="39"/>
  <c r="N1079" i="39"/>
  <c r="M1079" i="39"/>
  <c r="L1079" i="39"/>
  <c r="K1065" i="39"/>
  <c r="K1062" i="39"/>
  <c r="K1059" i="39"/>
  <c r="K1058" i="39" s="1"/>
  <c r="K1070" i="39" s="1"/>
  <c r="K1077" i="39" s="1"/>
  <c r="K1050" i="39"/>
  <c r="K1048" i="39"/>
  <c r="K1033" i="39"/>
  <c r="K1030" i="39"/>
  <c r="K1027" i="39"/>
  <c r="K1026" i="39"/>
  <c r="K1018" i="39"/>
  <c r="K1016" i="39"/>
  <c r="K1038" i="39" s="1"/>
  <c r="K1045" i="39" s="1"/>
  <c r="Z1004" i="39"/>
  <c r="Y1004" i="39"/>
  <c r="X1004" i="39"/>
  <c r="W1004" i="39"/>
  <c r="V1004" i="39"/>
  <c r="U1004" i="39"/>
  <c r="T1004" i="39"/>
  <c r="S1004" i="39"/>
  <c r="R1004" i="39"/>
  <c r="Q1004" i="39"/>
  <c r="P1004" i="39"/>
  <c r="O1004" i="39"/>
  <c r="N1004" i="39"/>
  <c r="M1004" i="39"/>
  <c r="L1004" i="39"/>
  <c r="Z1000" i="39"/>
  <c r="Y1000" i="39"/>
  <c r="X1000" i="39"/>
  <c r="W1000" i="39"/>
  <c r="V1000" i="39"/>
  <c r="U1000" i="39"/>
  <c r="T1000" i="39"/>
  <c r="S1000" i="39"/>
  <c r="R1000" i="39"/>
  <c r="Q1000" i="39"/>
  <c r="P1000" i="39"/>
  <c r="O1000" i="39"/>
  <c r="N1000" i="39"/>
  <c r="M1000" i="39"/>
  <c r="L1000" i="39"/>
  <c r="Z999" i="39"/>
  <c r="Y999" i="39"/>
  <c r="X999" i="39"/>
  <c r="W999" i="39"/>
  <c r="V999" i="39"/>
  <c r="U999" i="39"/>
  <c r="T999" i="39"/>
  <c r="S999" i="39"/>
  <c r="R999" i="39"/>
  <c r="Q999" i="39"/>
  <c r="P999" i="39"/>
  <c r="O999" i="39"/>
  <c r="N999" i="39"/>
  <c r="M999" i="39"/>
  <c r="L999" i="39"/>
  <c r="K984" i="39"/>
  <c r="Z974" i="39"/>
  <c r="Y974" i="39"/>
  <c r="X974" i="39"/>
  <c r="W974" i="39"/>
  <c r="V974" i="39"/>
  <c r="U974" i="39"/>
  <c r="T974" i="39"/>
  <c r="S974" i="39"/>
  <c r="R974" i="39"/>
  <c r="Q974" i="39"/>
  <c r="P974" i="39"/>
  <c r="O974" i="39"/>
  <c r="N974" i="39"/>
  <c r="M974" i="39"/>
  <c r="L974" i="39"/>
  <c r="Z956" i="39"/>
  <c r="Y956" i="39"/>
  <c r="X956" i="39"/>
  <c r="W956" i="39"/>
  <c r="V956" i="39"/>
  <c r="U956" i="39"/>
  <c r="T956" i="39"/>
  <c r="S956" i="39"/>
  <c r="R956" i="39"/>
  <c r="Q956" i="39"/>
  <c r="P956" i="39"/>
  <c r="O956" i="39"/>
  <c r="N956" i="39"/>
  <c r="M956" i="39"/>
  <c r="L956" i="39"/>
  <c r="Z954" i="39"/>
  <c r="Y954" i="39"/>
  <c r="X954" i="39"/>
  <c r="W954" i="39"/>
  <c r="V954" i="39"/>
  <c r="U954" i="39"/>
  <c r="T954" i="39"/>
  <c r="S954" i="39"/>
  <c r="R954" i="39"/>
  <c r="Q954" i="39"/>
  <c r="P954" i="39"/>
  <c r="O954" i="39"/>
  <c r="N954" i="39"/>
  <c r="M954" i="39"/>
  <c r="L954" i="39"/>
  <c r="K940" i="39"/>
  <c r="K937" i="39"/>
  <c r="K934" i="39"/>
  <c r="K933" i="39" s="1"/>
  <c r="K945" i="39" s="1"/>
  <c r="K952" i="39" s="1"/>
  <c r="K925" i="39"/>
  <c r="K923" i="39"/>
  <c r="Z918" i="39"/>
  <c r="Y918" i="39"/>
  <c r="X918" i="39"/>
  <c r="W918" i="39"/>
  <c r="V918" i="39"/>
  <c r="U918" i="39"/>
  <c r="T918" i="39"/>
  <c r="S918" i="39"/>
  <c r="R918" i="39"/>
  <c r="Q918" i="39"/>
  <c r="P918" i="39"/>
  <c r="O918" i="39"/>
  <c r="N918" i="39"/>
  <c r="M918" i="39"/>
  <c r="L918" i="39"/>
  <c r="Z916" i="39"/>
  <c r="Y916" i="39"/>
  <c r="X916" i="39"/>
  <c r="W916" i="39"/>
  <c r="V916" i="39"/>
  <c r="U916" i="39"/>
  <c r="T916" i="39"/>
  <c r="S916" i="39"/>
  <c r="R916" i="39"/>
  <c r="Q916" i="39"/>
  <c r="P916" i="39"/>
  <c r="O916" i="39"/>
  <c r="N916" i="39"/>
  <c r="M916" i="39"/>
  <c r="L916" i="39"/>
  <c r="K902" i="39"/>
  <c r="K895" i="39" s="1"/>
  <c r="K899" i="39"/>
  <c r="K896" i="39"/>
  <c r="K887" i="39"/>
  <c r="K885" i="39"/>
  <c r="K907" i="39" s="1"/>
  <c r="K914" i="39" s="1"/>
  <c r="K870" i="39"/>
  <c r="K867" i="39"/>
  <c r="K863" i="39" s="1"/>
  <c r="K864" i="39"/>
  <c r="K855" i="39"/>
  <c r="K853" i="39"/>
  <c r="K875" i="39" s="1"/>
  <c r="K882" i="39" s="1"/>
  <c r="Z841" i="39"/>
  <c r="Y841" i="39"/>
  <c r="X841" i="39"/>
  <c r="W841" i="39"/>
  <c r="V841" i="39"/>
  <c r="U841" i="39"/>
  <c r="T841" i="39"/>
  <c r="S841" i="39"/>
  <c r="R841" i="39"/>
  <c r="Q841" i="39"/>
  <c r="P841" i="39"/>
  <c r="O841" i="39"/>
  <c r="N841" i="39"/>
  <c r="M841" i="39"/>
  <c r="L841" i="39"/>
  <c r="Z837" i="39"/>
  <c r="Y837" i="39"/>
  <c r="X837" i="39"/>
  <c r="W837" i="39"/>
  <c r="V837" i="39"/>
  <c r="U837" i="39"/>
  <c r="T837" i="39"/>
  <c r="S837" i="39"/>
  <c r="R837" i="39"/>
  <c r="Q837" i="39"/>
  <c r="P837" i="39"/>
  <c r="O837" i="39"/>
  <c r="N837" i="39"/>
  <c r="M837" i="39"/>
  <c r="L837" i="39"/>
  <c r="Z836" i="39"/>
  <c r="Y836" i="39"/>
  <c r="X836" i="39"/>
  <c r="W836" i="39"/>
  <c r="V836" i="39"/>
  <c r="U836" i="39"/>
  <c r="T836" i="39"/>
  <c r="S836" i="39"/>
  <c r="R836" i="39"/>
  <c r="Q836" i="39"/>
  <c r="P836" i="39"/>
  <c r="O836" i="39"/>
  <c r="N836" i="39"/>
  <c r="M836" i="39"/>
  <c r="L836" i="39"/>
  <c r="K821" i="39"/>
  <c r="Z811" i="39"/>
  <c r="Y811" i="39"/>
  <c r="X811" i="39"/>
  <c r="W811" i="39"/>
  <c r="V811" i="39"/>
  <c r="U811" i="39"/>
  <c r="T811" i="39"/>
  <c r="S811" i="39"/>
  <c r="R811" i="39"/>
  <c r="Q811" i="39"/>
  <c r="P811" i="39"/>
  <c r="O811" i="39"/>
  <c r="N811" i="39"/>
  <c r="M811" i="39"/>
  <c r="L811" i="39"/>
  <c r="Z793" i="39"/>
  <c r="Y793" i="39"/>
  <c r="X793" i="39"/>
  <c r="W793" i="39"/>
  <c r="V793" i="39"/>
  <c r="U793" i="39"/>
  <c r="T793" i="39"/>
  <c r="S793" i="39"/>
  <c r="R793" i="39"/>
  <c r="Q793" i="39"/>
  <c r="P793" i="39"/>
  <c r="O793" i="39"/>
  <c r="N793" i="39"/>
  <c r="M793" i="39"/>
  <c r="L793" i="39"/>
  <c r="Z791" i="39"/>
  <c r="Y791" i="39"/>
  <c r="X791" i="39"/>
  <c r="W791" i="39"/>
  <c r="V791" i="39"/>
  <c r="U791" i="39"/>
  <c r="T791" i="39"/>
  <c r="S791" i="39"/>
  <c r="R791" i="39"/>
  <c r="Q791" i="39"/>
  <c r="P791" i="39"/>
  <c r="O791" i="39"/>
  <c r="N791" i="39"/>
  <c r="M791" i="39"/>
  <c r="L791" i="39"/>
  <c r="K777" i="39"/>
  <c r="K770" i="39" s="1"/>
  <c r="K774" i="39"/>
  <c r="K771" i="39"/>
  <c r="K762" i="39"/>
  <c r="K760" i="39" s="1"/>
  <c r="Z755" i="39"/>
  <c r="Y755" i="39"/>
  <c r="X755" i="39"/>
  <c r="W755" i="39"/>
  <c r="V755" i="39"/>
  <c r="U755" i="39"/>
  <c r="T755" i="39"/>
  <c r="S755" i="39"/>
  <c r="R755" i="39"/>
  <c r="Q755" i="39"/>
  <c r="P755" i="39"/>
  <c r="O755" i="39"/>
  <c r="N755" i="39"/>
  <c r="M755" i="39"/>
  <c r="L755" i="39"/>
  <c r="Z753" i="39"/>
  <c r="Y753" i="39"/>
  <c r="X753" i="39"/>
  <c r="W753" i="39"/>
  <c r="V753" i="39"/>
  <c r="U753" i="39"/>
  <c r="T753" i="39"/>
  <c r="S753" i="39"/>
  <c r="R753" i="39"/>
  <c r="Q753" i="39"/>
  <c r="P753" i="39"/>
  <c r="O753" i="39"/>
  <c r="N753" i="39"/>
  <c r="M753" i="39"/>
  <c r="L753" i="39"/>
  <c r="K739" i="39"/>
  <c r="K736" i="39"/>
  <c r="K733" i="39"/>
  <c r="K732" i="39" s="1"/>
  <c r="K724" i="39"/>
  <c r="K722" i="39" s="1"/>
  <c r="K744" i="39" s="1"/>
  <c r="K751" i="39" s="1"/>
  <c r="K707" i="39"/>
  <c r="K704" i="39"/>
  <c r="K701" i="39"/>
  <c r="K700" i="39" s="1"/>
  <c r="K692" i="39"/>
  <c r="K690" i="39"/>
  <c r="K712" i="39" s="1"/>
  <c r="K719" i="39" s="1"/>
  <c r="Z678" i="39"/>
  <c r="Y678" i="39"/>
  <c r="X678" i="39"/>
  <c r="W678" i="39"/>
  <c r="V678" i="39"/>
  <c r="U678" i="39"/>
  <c r="T678" i="39"/>
  <c r="S678" i="39"/>
  <c r="R678" i="39"/>
  <c r="Q678" i="39"/>
  <c r="P678" i="39"/>
  <c r="O678" i="39"/>
  <c r="N678" i="39"/>
  <c r="M678" i="39"/>
  <c r="L678" i="39"/>
  <c r="Z674" i="39"/>
  <c r="Y674" i="39"/>
  <c r="X674" i="39"/>
  <c r="W674" i="39"/>
  <c r="V674" i="39"/>
  <c r="U674" i="39"/>
  <c r="T674" i="39"/>
  <c r="S674" i="39"/>
  <c r="R674" i="39"/>
  <c r="Q674" i="39"/>
  <c r="P674" i="39"/>
  <c r="O674" i="39"/>
  <c r="N674" i="39"/>
  <c r="M674" i="39"/>
  <c r="L674" i="39"/>
  <c r="Z673" i="39"/>
  <c r="Y673" i="39"/>
  <c r="X673" i="39"/>
  <c r="W673" i="39"/>
  <c r="V673" i="39"/>
  <c r="U673" i="39"/>
  <c r="T673" i="39"/>
  <c r="S673" i="39"/>
  <c r="R673" i="39"/>
  <c r="Q673" i="39"/>
  <c r="P673" i="39"/>
  <c r="O673" i="39"/>
  <c r="N673" i="39"/>
  <c r="M673" i="39"/>
  <c r="L673" i="39"/>
  <c r="K658" i="39"/>
  <c r="Z648" i="39"/>
  <c r="Y648" i="39"/>
  <c r="X648" i="39"/>
  <c r="W648" i="39"/>
  <c r="V648" i="39"/>
  <c r="U648" i="39"/>
  <c r="T648" i="39"/>
  <c r="S648" i="39"/>
  <c r="R648" i="39"/>
  <c r="Q648" i="39"/>
  <c r="P648" i="39"/>
  <c r="O648" i="39"/>
  <c r="N648" i="39"/>
  <c r="M648" i="39"/>
  <c r="L648" i="39"/>
  <c r="Z630" i="39"/>
  <c r="Y630" i="39"/>
  <c r="X630" i="39"/>
  <c r="W630" i="39"/>
  <c r="V630" i="39"/>
  <c r="U630" i="39"/>
  <c r="T630" i="39"/>
  <c r="S630" i="39"/>
  <c r="R630" i="39"/>
  <c r="Q630" i="39"/>
  <c r="P630" i="39"/>
  <c r="O630" i="39"/>
  <c r="N630" i="39"/>
  <c r="M630" i="39"/>
  <c r="L630" i="39"/>
  <c r="Z628" i="39"/>
  <c r="Y628" i="39"/>
  <c r="X628" i="39"/>
  <c r="W628" i="39"/>
  <c r="V628" i="39"/>
  <c r="U628" i="39"/>
  <c r="T628" i="39"/>
  <c r="S628" i="39"/>
  <c r="R628" i="39"/>
  <c r="Q628" i="39"/>
  <c r="P628" i="39"/>
  <c r="O628" i="39"/>
  <c r="N628" i="39"/>
  <c r="M628" i="39"/>
  <c r="L628" i="39"/>
  <c r="K614" i="39"/>
  <c r="K607" i="39" s="1"/>
  <c r="K611" i="39"/>
  <c r="K608" i="39"/>
  <c r="K599" i="39"/>
  <c r="K597" i="39"/>
  <c r="Z592" i="39"/>
  <c r="Y592" i="39"/>
  <c r="X592" i="39"/>
  <c r="W592" i="39"/>
  <c r="V592" i="39"/>
  <c r="U592" i="39"/>
  <c r="T592" i="39"/>
  <c r="S592" i="39"/>
  <c r="R592" i="39"/>
  <c r="Q592" i="39"/>
  <c r="P592" i="39"/>
  <c r="O592" i="39"/>
  <c r="N592" i="39"/>
  <c r="M592" i="39"/>
  <c r="L592" i="39"/>
  <c r="Z590" i="39"/>
  <c r="Y590" i="39"/>
  <c r="X590" i="39"/>
  <c r="W590" i="39"/>
  <c r="V590" i="39"/>
  <c r="U590" i="39"/>
  <c r="T590" i="39"/>
  <c r="S590" i="39"/>
  <c r="R590" i="39"/>
  <c r="Q590" i="39"/>
  <c r="P590" i="39"/>
  <c r="O590" i="39"/>
  <c r="N590" i="39"/>
  <c r="M590" i="39"/>
  <c r="L590" i="39"/>
  <c r="K576" i="39"/>
  <c r="K573" i="39"/>
  <c r="K570" i="39"/>
  <c r="K569" i="39"/>
  <c r="K561" i="39"/>
  <c r="K559" i="39" s="1"/>
  <c r="K581" i="39" s="1"/>
  <c r="K588" i="39" s="1"/>
  <c r="K544" i="39"/>
  <c r="K541" i="39"/>
  <c r="K538" i="39"/>
  <c r="K537" i="39" s="1"/>
  <c r="K529" i="39"/>
  <c r="K527" i="39"/>
  <c r="K549" i="39" s="1"/>
  <c r="K556" i="39" s="1"/>
  <c r="Z515" i="39"/>
  <c r="Y515" i="39"/>
  <c r="X515" i="39"/>
  <c r="W515" i="39"/>
  <c r="V515" i="39"/>
  <c r="U515" i="39"/>
  <c r="T515" i="39"/>
  <c r="S515" i="39"/>
  <c r="R515" i="39"/>
  <c r="Q515" i="39"/>
  <c r="P515" i="39"/>
  <c r="O515" i="39"/>
  <c r="N515" i="39"/>
  <c r="M515" i="39"/>
  <c r="L515" i="39"/>
  <c r="Z511" i="39"/>
  <c r="Y511" i="39"/>
  <c r="X511" i="39"/>
  <c r="W511" i="39"/>
  <c r="V511" i="39"/>
  <c r="U511" i="39"/>
  <c r="T511" i="39"/>
  <c r="S511" i="39"/>
  <c r="R511" i="39"/>
  <c r="Q511" i="39"/>
  <c r="P511" i="39"/>
  <c r="O511" i="39"/>
  <c r="N511" i="39"/>
  <c r="M511" i="39"/>
  <c r="L511" i="39"/>
  <c r="Z510" i="39"/>
  <c r="Y510" i="39"/>
  <c r="X510" i="39"/>
  <c r="W510" i="39"/>
  <c r="V510" i="39"/>
  <c r="U510" i="39"/>
  <c r="T510" i="39"/>
  <c r="S510" i="39"/>
  <c r="R510" i="39"/>
  <c r="Q510" i="39"/>
  <c r="P510" i="39"/>
  <c r="O510" i="39"/>
  <c r="N510" i="39"/>
  <c r="M510" i="39"/>
  <c r="L510" i="39"/>
  <c r="K495" i="39"/>
  <c r="Z485" i="39"/>
  <c r="Y485" i="39"/>
  <c r="X485" i="39"/>
  <c r="W485" i="39"/>
  <c r="V485" i="39"/>
  <c r="U485" i="39"/>
  <c r="T485" i="39"/>
  <c r="S485" i="39"/>
  <c r="R485" i="39"/>
  <c r="Q485" i="39"/>
  <c r="P485" i="39"/>
  <c r="O485" i="39"/>
  <c r="N485" i="39"/>
  <c r="M485" i="39"/>
  <c r="L485" i="39"/>
  <c r="Z467" i="39"/>
  <c r="Y467" i="39"/>
  <c r="X467" i="39"/>
  <c r="W467" i="39"/>
  <c r="V467" i="39"/>
  <c r="U467" i="39"/>
  <c r="T467" i="39"/>
  <c r="S467" i="39"/>
  <c r="R467" i="39"/>
  <c r="Q467" i="39"/>
  <c r="P467" i="39"/>
  <c r="O467" i="39"/>
  <c r="N467" i="39"/>
  <c r="M467" i="39"/>
  <c r="L467" i="39"/>
  <c r="Z465" i="39"/>
  <c r="Y465" i="39"/>
  <c r="X465" i="39"/>
  <c r="W465" i="39"/>
  <c r="V465" i="39"/>
  <c r="U465" i="39"/>
  <c r="T465" i="39"/>
  <c r="S465" i="39"/>
  <c r="R465" i="39"/>
  <c r="Q465" i="39"/>
  <c r="P465" i="39"/>
  <c r="O465" i="39"/>
  <c r="N465" i="39"/>
  <c r="M465" i="39"/>
  <c r="L465" i="39"/>
  <c r="K451" i="39"/>
  <c r="K448" i="39"/>
  <c r="K445" i="39"/>
  <c r="K436" i="39"/>
  <c r="K434" i="39" s="1"/>
  <c r="Z429" i="39"/>
  <c r="Y429" i="39"/>
  <c r="X429" i="39"/>
  <c r="W429" i="39"/>
  <c r="V429" i="39"/>
  <c r="U429" i="39"/>
  <c r="T429" i="39"/>
  <c r="S429" i="39"/>
  <c r="R429" i="39"/>
  <c r="Q429" i="39"/>
  <c r="P429" i="39"/>
  <c r="O429" i="39"/>
  <c r="N429" i="39"/>
  <c r="M429" i="39"/>
  <c r="L429" i="39"/>
  <c r="Z427" i="39"/>
  <c r="Y427" i="39"/>
  <c r="X427" i="39"/>
  <c r="W427" i="39"/>
  <c r="V427" i="39"/>
  <c r="U427" i="39"/>
  <c r="T427" i="39"/>
  <c r="S427" i="39"/>
  <c r="R427" i="39"/>
  <c r="Q427" i="39"/>
  <c r="P427" i="39"/>
  <c r="O427" i="39"/>
  <c r="N427" i="39"/>
  <c r="M427" i="39"/>
  <c r="L427" i="39"/>
  <c r="K413" i="39"/>
  <c r="K410" i="39"/>
  <c r="K407" i="39"/>
  <c r="K406" i="39" s="1"/>
  <c r="K398" i="39"/>
  <c r="K396" i="39" s="1"/>
  <c r="K381" i="39"/>
  <c r="K378" i="39"/>
  <c r="K375" i="39"/>
  <c r="K374" i="39" s="1"/>
  <c r="K366" i="39"/>
  <c r="K364" i="39"/>
  <c r="Z352" i="39"/>
  <c r="Y352" i="39"/>
  <c r="X352" i="39"/>
  <c r="W352" i="39"/>
  <c r="V352" i="39"/>
  <c r="U352" i="39"/>
  <c r="T352" i="39"/>
  <c r="S352" i="39"/>
  <c r="R352" i="39"/>
  <c r="Q352" i="39"/>
  <c r="P352" i="39"/>
  <c r="O352" i="39"/>
  <c r="N352" i="39"/>
  <c r="M352" i="39"/>
  <c r="L352" i="39"/>
  <c r="Z348" i="39"/>
  <c r="Y348" i="39"/>
  <c r="X348" i="39"/>
  <c r="W348" i="39"/>
  <c r="V348" i="39"/>
  <c r="U348" i="39"/>
  <c r="T348" i="39"/>
  <c r="S348" i="39"/>
  <c r="R348" i="39"/>
  <c r="Q348" i="39"/>
  <c r="P348" i="39"/>
  <c r="O348" i="39"/>
  <c r="N348" i="39"/>
  <c r="M348" i="39"/>
  <c r="L348" i="39"/>
  <c r="Z347" i="39"/>
  <c r="Y347" i="39"/>
  <c r="X347" i="39"/>
  <c r="W347" i="39"/>
  <c r="V347" i="39"/>
  <c r="U347" i="39"/>
  <c r="T347" i="39"/>
  <c r="S347" i="39"/>
  <c r="R347" i="39"/>
  <c r="Q347" i="39"/>
  <c r="P347" i="39"/>
  <c r="O347" i="39"/>
  <c r="N347" i="39"/>
  <c r="M347" i="39"/>
  <c r="L347" i="39"/>
  <c r="K332" i="39"/>
  <c r="Z322" i="39"/>
  <c r="Y322" i="39"/>
  <c r="X322" i="39"/>
  <c r="W322" i="39"/>
  <c r="V322" i="39"/>
  <c r="U322" i="39"/>
  <c r="T322" i="39"/>
  <c r="S322" i="39"/>
  <c r="R322" i="39"/>
  <c r="Q322" i="39"/>
  <c r="P322" i="39"/>
  <c r="O322" i="39"/>
  <c r="N322" i="39"/>
  <c r="M322" i="39"/>
  <c r="L322" i="39"/>
  <c r="Z304" i="39"/>
  <c r="Y304" i="39"/>
  <c r="X304" i="39"/>
  <c r="W304" i="39"/>
  <c r="V304" i="39"/>
  <c r="U304" i="39"/>
  <c r="T304" i="39"/>
  <c r="S304" i="39"/>
  <c r="R304" i="39"/>
  <c r="Q304" i="39"/>
  <c r="P304" i="39"/>
  <c r="O304" i="39"/>
  <c r="N304" i="39"/>
  <c r="M304" i="39"/>
  <c r="L304" i="39"/>
  <c r="Z302" i="39"/>
  <c r="Y302" i="39"/>
  <c r="X302" i="39"/>
  <c r="W302" i="39"/>
  <c r="V302" i="39"/>
  <c r="U302" i="39"/>
  <c r="T302" i="39"/>
  <c r="S302" i="39"/>
  <c r="R302" i="39"/>
  <c r="Q302" i="39"/>
  <c r="P302" i="39"/>
  <c r="O302" i="39"/>
  <c r="N302" i="39"/>
  <c r="M302" i="39"/>
  <c r="L302" i="39"/>
  <c r="K288" i="39"/>
  <c r="K285" i="39"/>
  <c r="K282" i="39"/>
  <c r="K281" i="39" s="1"/>
  <c r="K273" i="39"/>
  <c r="K271" i="39" s="1"/>
  <c r="Z266" i="39"/>
  <c r="Y266" i="39"/>
  <c r="X266" i="39"/>
  <c r="W266" i="39"/>
  <c r="V266" i="39"/>
  <c r="U266" i="39"/>
  <c r="T266" i="39"/>
  <c r="S266" i="39"/>
  <c r="R266" i="39"/>
  <c r="Q266" i="39"/>
  <c r="P266" i="39"/>
  <c r="O266" i="39"/>
  <c r="N266" i="39"/>
  <c r="M266" i="39"/>
  <c r="L266" i="39"/>
  <c r="Z264" i="39"/>
  <c r="Y264" i="39"/>
  <c r="X264" i="39"/>
  <c r="W264" i="39"/>
  <c r="V264" i="39"/>
  <c r="U264" i="39"/>
  <c r="T264" i="39"/>
  <c r="S264" i="39"/>
  <c r="R264" i="39"/>
  <c r="Q264" i="39"/>
  <c r="P264" i="39"/>
  <c r="O264" i="39"/>
  <c r="N264" i="39"/>
  <c r="M264" i="39"/>
  <c r="L264" i="39"/>
  <c r="K250" i="39"/>
  <c r="K247" i="39"/>
  <c r="K244" i="39"/>
  <c r="K235" i="39"/>
  <c r="K233" i="39" s="1"/>
  <c r="K218" i="39"/>
  <c r="K215" i="39"/>
  <c r="K212" i="39"/>
  <c r="K203" i="39"/>
  <c r="K201" i="39"/>
  <c r="Z189" i="39"/>
  <c r="Y189" i="39"/>
  <c r="X189" i="39"/>
  <c r="W189" i="39"/>
  <c r="V189" i="39"/>
  <c r="U189" i="39"/>
  <c r="T189" i="39"/>
  <c r="S189" i="39"/>
  <c r="R189" i="39"/>
  <c r="Q189" i="39"/>
  <c r="P189" i="39"/>
  <c r="O189" i="39"/>
  <c r="N189" i="39"/>
  <c r="M189" i="39"/>
  <c r="L189" i="39"/>
  <c r="Z185" i="39"/>
  <c r="Y185" i="39"/>
  <c r="X185" i="39"/>
  <c r="W185" i="39"/>
  <c r="V185" i="39"/>
  <c r="U185" i="39"/>
  <c r="T185" i="39"/>
  <c r="S185" i="39"/>
  <c r="R185" i="39"/>
  <c r="Q185" i="39"/>
  <c r="P185" i="39"/>
  <c r="O185" i="39"/>
  <c r="N185" i="39"/>
  <c r="M185" i="39"/>
  <c r="L185" i="39"/>
  <c r="Z184" i="39"/>
  <c r="Y184" i="39"/>
  <c r="X184" i="39"/>
  <c r="W184" i="39"/>
  <c r="V184" i="39"/>
  <c r="U184" i="39"/>
  <c r="T184" i="39"/>
  <c r="S184" i="39"/>
  <c r="R184" i="39"/>
  <c r="Q184" i="39"/>
  <c r="P184" i="39"/>
  <c r="O184" i="39"/>
  <c r="N184" i="39"/>
  <c r="M184" i="39"/>
  <c r="L184" i="39"/>
  <c r="NE58" i="1"/>
  <c r="ND58" i="1"/>
  <c r="NC58" i="1"/>
  <c r="NB58" i="1"/>
  <c r="NA58" i="1"/>
  <c r="MZ58" i="1"/>
  <c r="MY58" i="1"/>
  <c r="MX58" i="1"/>
  <c r="MW58" i="1"/>
  <c r="MV58" i="1"/>
  <c r="MU58" i="1"/>
  <c r="MT58" i="1"/>
  <c r="MS58" i="1"/>
  <c r="MR58" i="1"/>
  <c r="MQ58" i="1"/>
  <c r="MP58" i="1"/>
  <c r="MO58" i="1"/>
  <c r="MN58" i="1"/>
  <c r="NE57" i="1"/>
  <c r="ND57" i="1"/>
  <c r="NC57" i="1"/>
  <c r="NB57" i="1"/>
  <c r="NA57" i="1"/>
  <c r="MZ57" i="1"/>
  <c r="MY57" i="1"/>
  <c r="MX57" i="1"/>
  <c r="MW57" i="1"/>
  <c r="MV57" i="1"/>
  <c r="MU57" i="1"/>
  <c r="MT57" i="1"/>
  <c r="MS57" i="1"/>
  <c r="MR57" i="1"/>
  <c r="MQ57" i="1"/>
  <c r="MP57" i="1"/>
  <c r="MO57" i="1"/>
  <c r="MN57" i="1"/>
  <c r="NE56" i="1"/>
  <c r="ND56" i="1"/>
  <c r="NC56" i="1"/>
  <c r="NB56" i="1"/>
  <c r="NA56" i="1"/>
  <c r="MZ56" i="1"/>
  <c r="MY56" i="1"/>
  <c r="MX56" i="1"/>
  <c r="MW56" i="1"/>
  <c r="MV56" i="1"/>
  <c r="MU56" i="1"/>
  <c r="MT56" i="1"/>
  <c r="MS56" i="1"/>
  <c r="MR56" i="1"/>
  <c r="MQ56" i="1"/>
  <c r="MP56" i="1"/>
  <c r="MO56" i="1"/>
  <c r="MN56" i="1"/>
  <c r="NE55" i="1"/>
  <c r="ND55" i="1"/>
  <c r="NC55" i="1"/>
  <c r="NB55" i="1"/>
  <c r="NA55" i="1"/>
  <c r="MZ55" i="1"/>
  <c r="MY55" i="1"/>
  <c r="MX55" i="1"/>
  <c r="MW55" i="1"/>
  <c r="MV55" i="1"/>
  <c r="MU55" i="1"/>
  <c r="MT55" i="1"/>
  <c r="MS55" i="1"/>
  <c r="MR55" i="1"/>
  <c r="MQ55" i="1"/>
  <c r="MP55" i="1"/>
  <c r="MO55" i="1"/>
  <c r="MN55" i="1"/>
  <c r="NE54" i="1"/>
  <c r="ND54" i="1"/>
  <c r="NC54" i="1"/>
  <c r="NB54" i="1"/>
  <c r="NA54" i="1"/>
  <c r="MZ54" i="1"/>
  <c r="MY54" i="1"/>
  <c r="MX54" i="1"/>
  <c r="MW54" i="1"/>
  <c r="MV54" i="1"/>
  <c r="MU54" i="1"/>
  <c r="MT54" i="1"/>
  <c r="MS54" i="1"/>
  <c r="MR54" i="1"/>
  <c r="MQ54" i="1"/>
  <c r="MP54" i="1"/>
  <c r="MO54" i="1"/>
  <c r="MN54" i="1"/>
  <c r="NE53" i="1"/>
  <c r="ND53" i="1"/>
  <c r="NC53" i="1"/>
  <c r="NB53" i="1"/>
  <c r="NA53" i="1"/>
  <c r="MZ53" i="1"/>
  <c r="MY53" i="1"/>
  <c r="MX53" i="1"/>
  <c r="MW53" i="1"/>
  <c r="MV53" i="1"/>
  <c r="MU53" i="1"/>
  <c r="MT53" i="1"/>
  <c r="MS53" i="1"/>
  <c r="MR53" i="1"/>
  <c r="MQ53" i="1"/>
  <c r="MP53" i="1"/>
  <c r="MO53" i="1"/>
  <c r="MN53" i="1"/>
  <c r="NE52" i="1"/>
  <c r="ND52" i="1"/>
  <c r="NC52" i="1"/>
  <c r="NB52" i="1"/>
  <c r="NA52" i="1"/>
  <c r="MZ52" i="1"/>
  <c r="MY52" i="1"/>
  <c r="MX52" i="1"/>
  <c r="MW52" i="1"/>
  <c r="MV52" i="1"/>
  <c r="MU52" i="1"/>
  <c r="MT52" i="1"/>
  <c r="MS52" i="1"/>
  <c r="MR52" i="1"/>
  <c r="MQ52" i="1"/>
  <c r="MP52" i="1"/>
  <c r="MO52" i="1"/>
  <c r="MN52" i="1"/>
  <c r="NE51" i="1"/>
  <c r="ND51" i="1"/>
  <c r="NC51" i="1"/>
  <c r="NB51" i="1"/>
  <c r="NA51" i="1"/>
  <c r="MZ51" i="1"/>
  <c r="MY51" i="1"/>
  <c r="MX51" i="1"/>
  <c r="MW51" i="1"/>
  <c r="MV51" i="1"/>
  <c r="MU51" i="1"/>
  <c r="MT51" i="1"/>
  <c r="MS51" i="1"/>
  <c r="MR51" i="1"/>
  <c r="MQ51" i="1"/>
  <c r="MP51" i="1"/>
  <c r="MO51" i="1"/>
  <c r="MN51" i="1"/>
  <c r="NE50" i="1"/>
  <c r="ND50" i="1"/>
  <c r="NC50" i="1"/>
  <c r="NB50" i="1"/>
  <c r="NA50" i="1"/>
  <c r="MZ50" i="1"/>
  <c r="MY50" i="1"/>
  <c r="MX50" i="1"/>
  <c r="MW50" i="1"/>
  <c r="MV50" i="1"/>
  <c r="MU50" i="1"/>
  <c r="MT50" i="1"/>
  <c r="MS50" i="1"/>
  <c r="MR50" i="1"/>
  <c r="MQ50" i="1"/>
  <c r="MP50" i="1"/>
  <c r="MO50" i="1"/>
  <c r="MN50" i="1"/>
  <c r="NE49" i="1"/>
  <c r="ND49" i="1"/>
  <c r="NC49" i="1"/>
  <c r="NB49" i="1"/>
  <c r="NA49" i="1"/>
  <c r="MZ49" i="1"/>
  <c r="MY49" i="1"/>
  <c r="MX49" i="1"/>
  <c r="MW49" i="1"/>
  <c r="MV49" i="1"/>
  <c r="MU49" i="1"/>
  <c r="MT49" i="1"/>
  <c r="MS49" i="1"/>
  <c r="MR49" i="1"/>
  <c r="MQ49" i="1"/>
  <c r="MP49" i="1"/>
  <c r="MO49" i="1"/>
  <c r="MN49" i="1"/>
  <c r="NE48" i="1"/>
  <c r="ND48" i="1"/>
  <c r="NC48" i="1"/>
  <c r="NB48" i="1"/>
  <c r="NA48" i="1"/>
  <c r="MZ48" i="1"/>
  <c r="MY48" i="1"/>
  <c r="MX48" i="1"/>
  <c r="MW48" i="1"/>
  <c r="MV48" i="1"/>
  <c r="MU48" i="1"/>
  <c r="MT48" i="1"/>
  <c r="MS48" i="1"/>
  <c r="MR48" i="1"/>
  <c r="MQ48" i="1"/>
  <c r="MP48" i="1"/>
  <c r="MO48" i="1"/>
  <c r="MN48" i="1"/>
  <c r="NE47" i="1"/>
  <c r="ND47" i="1"/>
  <c r="NC47" i="1"/>
  <c r="NB47" i="1"/>
  <c r="NA47" i="1"/>
  <c r="MZ47" i="1"/>
  <c r="MY47" i="1"/>
  <c r="MX47" i="1"/>
  <c r="MW47" i="1"/>
  <c r="MV47" i="1"/>
  <c r="MU47" i="1"/>
  <c r="MT47" i="1"/>
  <c r="MS47" i="1"/>
  <c r="MR47" i="1"/>
  <c r="MQ47" i="1"/>
  <c r="MP47" i="1"/>
  <c r="MO47" i="1"/>
  <c r="MN47" i="1"/>
  <c r="NE46" i="1"/>
  <c r="ND46" i="1"/>
  <c r="NC46" i="1"/>
  <c r="NB46" i="1"/>
  <c r="NA46" i="1"/>
  <c r="MZ46" i="1"/>
  <c r="MY46" i="1"/>
  <c r="MX46" i="1"/>
  <c r="MW46" i="1"/>
  <c r="MV46" i="1"/>
  <c r="MU46" i="1"/>
  <c r="MT46" i="1"/>
  <c r="MS46" i="1"/>
  <c r="MR46" i="1"/>
  <c r="MQ46" i="1"/>
  <c r="MP46" i="1"/>
  <c r="MO46" i="1"/>
  <c r="MN46" i="1"/>
  <c r="NE45" i="1"/>
  <c r="ND45" i="1"/>
  <c r="NC45" i="1"/>
  <c r="NB45" i="1"/>
  <c r="NA45" i="1"/>
  <c r="MZ45" i="1"/>
  <c r="MY45" i="1"/>
  <c r="MX45" i="1"/>
  <c r="MW45" i="1"/>
  <c r="MV45" i="1"/>
  <c r="MU45" i="1"/>
  <c r="MT45" i="1"/>
  <c r="MS45" i="1"/>
  <c r="MR45" i="1"/>
  <c r="MQ45" i="1"/>
  <c r="MP45" i="1"/>
  <c r="MO45" i="1"/>
  <c r="MN45" i="1"/>
  <c r="NE44" i="1"/>
  <c r="ND44" i="1"/>
  <c r="NC44" i="1"/>
  <c r="NB44" i="1"/>
  <c r="NA44" i="1"/>
  <c r="MZ44" i="1"/>
  <c r="MY44" i="1"/>
  <c r="MX44" i="1"/>
  <c r="MW44" i="1"/>
  <c r="MV44" i="1"/>
  <c r="MU44" i="1"/>
  <c r="MT44" i="1"/>
  <c r="MS44" i="1"/>
  <c r="MR44" i="1"/>
  <c r="MQ44" i="1"/>
  <c r="MP44" i="1"/>
  <c r="MO44" i="1"/>
  <c r="MN44" i="1"/>
  <c r="NE43" i="1"/>
  <c r="ND43" i="1"/>
  <c r="NC43" i="1"/>
  <c r="NB43" i="1"/>
  <c r="NA43" i="1"/>
  <c r="MZ43" i="1"/>
  <c r="MY43" i="1"/>
  <c r="MX43" i="1"/>
  <c r="MW43" i="1"/>
  <c r="MV43" i="1"/>
  <c r="MU43" i="1"/>
  <c r="MT43" i="1"/>
  <c r="MS43" i="1"/>
  <c r="MR43" i="1"/>
  <c r="MQ43" i="1"/>
  <c r="MP43" i="1"/>
  <c r="MO43" i="1"/>
  <c r="MN43" i="1"/>
  <c r="NE42" i="1"/>
  <c r="ND42" i="1"/>
  <c r="NC42" i="1"/>
  <c r="NB42" i="1"/>
  <c r="NA42" i="1"/>
  <c r="MZ42" i="1"/>
  <c r="MY42" i="1"/>
  <c r="MX42" i="1"/>
  <c r="MW42" i="1"/>
  <c r="MV42" i="1"/>
  <c r="MU42" i="1"/>
  <c r="MT42" i="1"/>
  <c r="MS42" i="1"/>
  <c r="MR42" i="1"/>
  <c r="MQ42" i="1"/>
  <c r="MP42" i="1"/>
  <c r="MO42" i="1"/>
  <c r="MN42" i="1"/>
  <c r="NE41" i="1"/>
  <c r="ND41" i="1"/>
  <c r="NC41" i="1"/>
  <c r="NB41" i="1"/>
  <c r="NA41" i="1"/>
  <c r="MZ41" i="1"/>
  <c r="MY41" i="1"/>
  <c r="MX41" i="1"/>
  <c r="MW41" i="1"/>
  <c r="MV41" i="1"/>
  <c r="MU41" i="1"/>
  <c r="MT41" i="1"/>
  <c r="MS41" i="1"/>
  <c r="MR41" i="1"/>
  <c r="MQ41" i="1"/>
  <c r="MP41" i="1"/>
  <c r="MO41" i="1"/>
  <c r="MN41" i="1"/>
  <c r="NE40" i="1"/>
  <c r="ND40" i="1"/>
  <c r="NC40" i="1"/>
  <c r="NB40" i="1"/>
  <c r="NA40" i="1"/>
  <c r="MZ40" i="1"/>
  <c r="MY40" i="1"/>
  <c r="MX40" i="1"/>
  <c r="MW40" i="1"/>
  <c r="MV40" i="1"/>
  <c r="MU40" i="1"/>
  <c r="MT40" i="1"/>
  <c r="MS40" i="1"/>
  <c r="MR40" i="1"/>
  <c r="MQ40" i="1"/>
  <c r="MP40" i="1"/>
  <c r="MO40" i="1"/>
  <c r="MN40" i="1"/>
  <c r="NE37" i="1"/>
  <c r="ND37" i="1"/>
  <c r="NC37" i="1"/>
  <c r="NB37" i="1"/>
  <c r="NA37" i="1"/>
  <c r="NE36" i="1"/>
  <c r="ND36" i="1"/>
  <c r="NC36" i="1"/>
  <c r="NB36" i="1"/>
  <c r="NA36" i="1"/>
  <c r="NE33" i="1"/>
  <c r="ND33" i="1"/>
  <c r="NC33" i="1"/>
  <c r="NB33" i="1"/>
  <c r="NA33" i="1"/>
  <c r="MZ33" i="1"/>
  <c r="MY33" i="1"/>
  <c r="MX33" i="1"/>
  <c r="MW33" i="1"/>
  <c r="MV33" i="1"/>
  <c r="MU33" i="1"/>
  <c r="MT33" i="1"/>
  <c r="MS33" i="1"/>
  <c r="MR33" i="1"/>
  <c r="MQ33" i="1"/>
  <c r="MP33" i="1"/>
  <c r="MO33" i="1"/>
  <c r="MN33" i="1"/>
  <c r="NE32" i="1"/>
  <c r="ND32" i="1"/>
  <c r="NC32" i="1"/>
  <c r="NB32" i="1"/>
  <c r="NA32" i="1"/>
  <c r="MZ32" i="1"/>
  <c r="MY32" i="1"/>
  <c r="MX32" i="1"/>
  <c r="MW32" i="1"/>
  <c r="MV32" i="1"/>
  <c r="MU32" i="1"/>
  <c r="MT32" i="1"/>
  <c r="MS32" i="1"/>
  <c r="MR32" i="1"/>
  <c r="MQ32" i="1"/>
  <c r="MP32" i="1"/>
  <c r="MO32" i="1"/>
  <c r="MN32" i="1"/>
  <c r="NE31" i="1"/>
  <c r="ND31" i="1"/>
  <c r="NC31" i="1"/>
  <c r="NB31" i="1"/>
  <c r="NA31" i="1"/>
  <c r="MZ31" i="1"/>
  <c r="MY31" i="1"/>
  <c r="MX31" i="1"/>
  <c r="MW31" i="1"/>
  <c r="MV31" i="1"/>
  <c r="MU31" i="1"/>
  <c r="MT31" i="1"/>
  <c r="MS31" i="1"/>
  <c r="MR31" i="1"/>
  <c r="MQ31" i="1"/>
  <c r="MP31" i="1"/>
  <c r="MO31" i="1"/>
  <c r="MN31" i="1"/>
  <c r="NE30" i="1"/>
  <c r="ND30" i="1"/>
  <c r="NC30" i="1"/>
  <c r="NB30" i="1"/>
  <c r="NA30" i="1"/>
  <c r="MZ30" i="1"/>
  <c r="MY30" i="1"/>
  <c r="MX30" i="1"/>
  <c r="MW30" i="1"/>
  <c r="MV30" i="1"/>
  <c r="MU30" i="1"/>
  <c r="MT30" i="1"/>
  <c r="MS30" i="1"/>
  <c r="MR30" i="1"/>
  <c r="MQ30" i="1"/>
  <c r="MP30" i="1"/>
  <c r="MO30" i="1"/>
  <c r="MN30" i="1"/>
  <c r="NE29" i="1"/>
  <c r="ND29" i="1"/>
  <c r="NC29" i="1"/>
  <c r="NB29" i="1"/>
  <c r="NA29" i="1"/>
  <c r="MZ29" i="1"/>
  <c r="MY29" i="1"/>
  <c r="MX29" i="1"/>
  <c r="MW29" i="1"/>
  <c r="MV29" i="1"/>
  <c r="MU29" i="1"/>
  <c r="MT29" i="1"/>
  <c r="MS29" i="1"/>
  <c r="MR29" i="1"/>
  <c r="MQ29" i="1"/>
  <c r="MP29" i="1"/>
  <c r="MO29" i="1"/>
  <c r="MN29" i="1"/>
  <c r="NE28" i="1"/>
  <c r="ND28" i="1"/>
  <c r="NC28" i="1"/>
  <c r="NB28" i="1"/>
  <c r="NA28" i="1"/>
  <c r="MZ28" i="1"/>
  <c r="MY28" i="1"/>
  <c r="MX28" i="1"/>
  <c r="MW28" i="1"/>
  <c r="MV28" i="1"/>
  <c r="MU28" i="1"/>
  <c r="MT28" i="1"/>
  <c r="MS28" i="1"/>
  <c r="MR28" i="1"/>
  <c r="MQ28" i="1"/>
  <c r="MP28" i="1"/>
  <c r="MO28" i="1"/>
  <c r="MN28" i="1"/>
  <c r="NE27" i="1"/>
  <c r="ND27" i="1"/>
  <c r="NC27" i="1"/>
  <c r="NB27" i="1"/>
  <c r="NA27" i="1"/>
  <c r="MZ27" i="1"/>
  <c r="MY27" i="1"/>
  <c r="MX27" i="1"/>
  <c r="MW27" i="1"/>
  <c r="MV27" i="1"/>
  <c r="MU27" i="1"/>
  <c r="MT27" i="1"/>
  <c r="MS27" i="1"/>
  <c r="MR27" i="1"/>
  <c r="MQ27" i="1"/>
  <c r="MP27" i="1"/>
  <c r="MO27" i="1"/>
  <c r="MN27" i="1"/>
  <c r="NE26" i="1"/>
  <c r="ND26" i="1"/>
  <c r="NC26" i="1"/>
  <c r="NB26" i="1"/>
  <c r="NA26" i="1"/>
  <c r="MZ26" i="1"/>
  <c r="MY26" i="1"/>
  <c r="MX26" i="1"/>
  <c r="MW26" i="1"/>
  <c r="MV26" i="1"/>
  <c r="MU26" i="1"/>
  <c r="MT26" i="1"/>
  <c r="MS26" i="1"/>
  <c r="MR26" i="1"/>
  <c r="MQ26" i="1"/>
  <c r="MP26" i="1"/>
  <c r="MO26" i="1"/>
  <c r="MN26" i="1"/>
  <c r="NE25" i="1"/>
  <c r="ND25" i="1"/>
  <c r="NC25" i="1"/>
  <c r="NB25" i="1"/>
  <c r="NA25" i="1"/>
  <c r="MZ25" i="1"/>
  <c r="MY25" i="1"/>
  <c r="MX25" i="1"/>
  <c r="MW25" i="1"/>
  <c r="MV25" i="1"/>
  <c r="MU25" i="1"/>
  <c r="MT25" i="1"/>
  <c r="MS25" i="1"/>
  <c r="MR25" i="1"/>
  <c r="MQ25" i="1"/>
  <c r="MP25" i="1"/>
  <c r="MO25" i="1"/>
  <c r="MN25" i="1"/>
  <c r="NE24" i="1"/>
  <c r="ND24" i="1"/>
  <c r="NC24" i="1"/>
  <c r="NB24" i="1"/>
  <c r="NA24" i="1"/>
  <c r="MZ24" i="1"/>
  <c r="MY24" i="1"/>
  <c r="MX24" i="1"/>
  <c r="MW24" i="1"/>
  <c r="MV24" i="1"/>
  <c r="MU24" i="1"/>
  <c r="MT24" i="1"/>
  <c r="MS24" i="1"/>
  <c r="MR24" i="1"/>
  <c r="MQ24" i="1"/>
  <c r="MP24" i="1"/>
  <c r="MO24" i="1"/>
  <c r="MN24" i="1"/>
  <c r="NE23" i="1"/>
  <c r="ND23" i="1"/>
  <c r="NC23" i="1"/>
  <c r="NB23" i="1"/>
  <c r="NA23" i="1"/>
  <c r="MZ23" i="1"/>
  <c r="MY23" i="1"/>
  <c r="MX23" i="1"/>
  <c r="MW23" i="1"/>
  <c r="MV23" i="1"/>
  <c r="MU23" i="1"/>
  <c r="MT23" i="1"/>
  <c r="MS23" i="1"/>
  <c r="MR23" i="1"/>
  <c r="MQ23" i="1"/>
  <c r="MP23" i="1"/>
  <c r="MO23" i="1"/>
  <c r="MN23" i="1"/>
  <c r="NE22" i="1"/>
  <c r="ND22" i="1"/>
  <c r="NC22" i="1"/>
  <c r="NB22" i="1"/>
  <c r="NA22" i="1"/>
  <c r="MZ22" i="1"/>
  <c r="MY22" i="1"/>
  <c r="MX22" i="1"/>
  <c r="MW22" i="1"/>
  <c r="MV22" i="1"/>
  <c r="MU22" i="1"/>
  <c r="MT22" i="1"/>
  <c r="MS22" i="1"/>
  <c r="MR22" i="1"/>
  <c r="MQ22" i="1"/>
  <c r="MP22" i="1"/>
  <c r="MO22" i="1"/>
  <c r="MN22" i="1"/>
  <c r="NE21" i="1"/>
  <c r="ND21" i="1"/>
  <c r="NC21" i="1"/>
  <c r="NB21" i="1"/>
  <c r="NA21" i="1"/>
  <c r="MZ21" i="1"/>
  <c r="MY21" i="1"/>
  <c r="MX21" i="1"/>
  <c r="MW21" i="1"/>
  <c r="MV21" i="1"/>
  <c r="MU21" i="1"/>
  <c r="MT21" i="1"/>
  <c r="MS21" i="1"/>
  <c r="MR21" i="1"/>
  <c r="MQ21" i="1"/>
  <c r="MP21" i="1"/>
  <c r="MO21" i="1"/>
  <c r="MN21" i="1"/>
  <c r="NE18" i="1"/>
  <c r="ND18" i="1"/>
  <c r="NC18" i="1"/>
  <c r="NB18" i="1"/>
  <c r="NA18" i="1"/>
  <c r="MZ18" i="1"/>
  <c r="MY18" i="1"/>
  <c r="MX18" i="1"/>
  <c r="MW18" i="1"/>
  <c r="MV18" i="1"/>
  <c r="MU18" i="1"/>
  <c r="MT18" i="1"/>
  <c r="MS18" i="1"/>
  <c r="MR18" i="1"/>
  <c r="MQ18" i="1"/>
  <c r="MP18" i="1"/>
  <c r="MO18" i="1"/>
  <c r="MN18" i="1"/>
  <c r="NE17" i="1"/>
  <c r="ND17" i="1"/>
  <c r="NC17" i="1"/>
  <c r="NB17" i="1"/>
  <c r="NA17" i="1"/>
  <c r="MZ17" i="1"/>
  <c r="MY17" i="1"/>
  <c r="MX17" i="1"/>
  <c r="MW17" i="1"/>
  <c r="MV17" i="1"/>
  <c r="MU17" i="1"/>
  <c r="MT17" i="1"/>
  <c r="MS17" i="1"/>
  <c r="MR17" i="1"/>
  <c r="MQ17" i="1"/>
  <c r="MP17" i="1"/>
  <c r="MO17" i="1"/>
  <c r="MN17" i="1"/>
  <c r="NE16" i="1"/>
  <c r="ND16" i="1"/>
  <c r="NC16" i="1"/>
  <c r="NB16" i="1"/>
  <c r="NA16" i="1"/>
  <c r="MZ16" i="1"/>
  <c r="MY16" i="1"/>
  <c r="MX16" i="1"/>
  <c r="MW16" i="1"/>
  <c r="MV16" i="1"/>
  <c r="MU16" i="1"/>
  <c r="MT16" i="1"/>
  <c r="MS16" i="1"/>
  <c r="MR16" i="1"/>
  <c r="MQ16" i="1"/>
  <c r="MP16" i="1"/>
  <c r="MO16" i="1"/>
  <c r="MN16" i="1"/>
  <c r="NE15" i="1"/>
  <c r="ND15" i="1"/>
  <c r="NC15" i="1"/>
  <c r="NB15" i="1"/>
  <c r="NA15" i="1"/>
  <c r="MZ15" i="1"/>
  <c r="MY15" i="1"/>
  <c r="MX15" i="1"/>
  <c r="MW15" i="1"/>
  <c r="MV15" i="1"/>
  <c r="MU15" i="1"/>
  <c r="MT15" i="1"/>
  <c r="MS15" i="1"/>
  <c r="MR15" i="1"/>
  <c r="MQ15" i="1"/>
  <c r="MP15" i="1"/>
  <c r="MO15" i="1"/>
  <c r="MN15" i="1"/>
  <c r="NE14" i="1"/>
  <c r="ND14" i="1"/>
  <c r="NC14" i="1"/>
  <c r="NB14" i="1"/>
  <c r="NA14" i="1"/>
  <c r="MZ14" i="1"/>
  <c r="MY14" i="1"/>
  <c r="MX14" i="1"/>
  <c r="MW14" i="1"/>
  <c r="MV14" i="1"/>
  <c r="MU14" i="1"/>
  <c r="MT14" i="1"/>
  <c r="MS14" i="1"/>
  <c r="MR14" i="1"/>
  <c r="MQ14" i="1"/>
  <c r="MP14" i="1"/>
  <c r="MO14" i="1"/>
  <c r="MN14" i="1"/>
  <c r="NE13" i="1"/>
  <c r="ND13" i="1"/>
  <c r="NC13" i="1"/>
  <c r="NB13" i="1"/>
  <c r="NA13" i="1"/>
  <c r="MZ13" i="1"/>
  <c r="MY13" i="1"/>
  <c r="MX13" i="1"/>
  <c r="MW13" i="1"/>
  <c r="MV13" i="1"/>
  <c r="MU13" i="1"/>
  <c r="MT13" i="1"/>
  <c r="MS13" i="1"/>
  <c r="MR13" i="1"/>
  <c r="MQ13" i="1"/>
  <c r="MP13" i="1"/>
  <c r="MO13" i="1"/>
  <c r="MN13" i="1"/>
  <c r="LZ58" i="1"/>
  <c r="LY58" i="1"/>
  <c r="LX58" i="1"/>
  <c r="LW58" i="1"/>
  <c r="LV58" i="1"/>
  <c r="LU58" i="1"/>
  <c r="LT58" i="1"/>
  <c r="LS58" i="1"/>
  <c r="LR58" i="1"/>
  <c r="LQ58" i="1"/>
  <c r="LP58" i="1"/>
  <c r="LO58" i="1"/>
  <c r="LN58" i="1"/>
  <c r="LM58" i="1"/>
  <c r="LL58" i="1"/>
  <c r="LK58" i="1"/>
  <c r="LJ58" i="1"/>
  <c r="LI58" i="1"/>
  <c r="LZ57" i="1"/>
  <c r="LY57" i="1"/>
  <c r="LX57" i="1"/>
  <c r="LW57" i="1"/>
  <c r="LV57" i="1"/>
  <c r="LU57" i="1"/>
  <c r="LT57" i="1"/>
  <c r="LS57" i="1"/>
  <c r="LR57" i="1"/>
  <c r="LQ57" i="1"/>
  <c r="LP57" i="1"/>
  <c r="LO57" i="1"/>
  <c r="LN57" i="1"/>
  <c r="LM57" i="1"/>
  <c r="LL57" i="1"/>
  <c r="LK57" i="1"/>
  <c r="LJ57" i="1"/>
  <c r="LI57" i="1"/>
  <c r="LZ56" i="1"/>
  <c r="LY56" i="1"/>
  <c r="LX56" i="1"/>
  <c r="LW56" i="1"/>
  <c r="LV56" i="1"/>
  <c r="LU56" i="1"/>
  <c r="LT56" i="1"/>
  <c r="LS56" i="1"/>
  <c r="LR56" i="1"/>
  <c r="LQ56" i="1"/>
  <c r="LP56" i="1"/>
  <c r="LO56" i="1"/>
  <c r="LN56" i="1"/>
  <c r="LM56" i="1"/>
  <c r="LL56" i="1"/>
  <c r="LK56" i="1"/>
  <c r="LJ56" i="1"/>
  <c r="LI56" i="1"/>
  <c r="LZ55" i="1"/>
  <c r="LY55" i="1"/>
  <c r="LX55" i="1"/>
  <c r="LW55" i="1"/>
  <c r="LV55" i="1"/>
  <c r="LU55" i="1"/>
  <c r="LT55" i="1"/>
  <c r="LS55" i="1"/>
  <c r="LR55" i="1"/>
  <c r="LQ55" i="1"/>
  <c r="LP55" i="1"/>
  <c r="LO55" i="1"/>
  <c r="LN55" i="1"/>
  <c r="LM55" i="1"/>
  <c r="LL55" i="1"/>
  <c r="LK55" i="1"/>
  <c r="LJ55" i="1"/>
  <c r="LI55" i="1"/>
  <c r="LZ54" i="1"/>
  <c r="LY54" i="1"/>
  <c r="LX54" i="1"/>
  <c r="LW54" i="1"/>
  <c r="LV54" i="1"/>
  <c r="LU54" i="1"/>
  <c r="LT54" i="1"/>
  <c r="LS54" i="1"/>
  <c r="LR54" i="1"/>
  <c r="LQ54" i="1"/>
  <c r="LP54" i="1"/>
  <c r="LO54" i="1"/>
  <c r="LN54" i="1"/>
  <c r="LM54" i="1"/>
  <c r="LL54" i="1"/>
  <c r="LK54" i="1"/>
  <c r="LJ54" i="1"/>
  <c r="LI54" i="1"/>
  <c r="LZ53" i="1"/>
  <c r="LY53" i="1"/>
  <c r="LX53" i="1"/>
  <c r="LW53" i="1"/>
  <c r="LV53" i="1"/>
  <c r="LU53" i="1"/>
  <c r="LT53" i="1"/>
  <c r="LS53" i="1"/>
  <c r="LR53" i="1"/>
  <c r="LQ53" i="1"/>
  <c r="LP53" i="1"/>
  <c r="LO53" i="1"/>
  <c r="LN53" i="1"/>
  <c r="LM53" i="1"/>
  <c r="LL53" i="1"/>
  <c r="LK53" i="1"/>
  <c r="LJ53" i="1"/>
  <c r="LI53" i="1"/>
  <c r="LZ52" i="1"/>
  <c r="LY52" i="1"/>
  <c r="LX52" i="1"/>
  <c r="LW52" i="1"/>
  <c r="LV52" i="1"/>
  <c r="LU52" i="1"/>
  <c r="LT52" i="1"/>
  <c r="LS52" i="1"/>
  <c r="LR52" i="1"/>
  <c r="LQ52" i="1"/>
  <c r="LP52" i="1"/>
  <c r="LO52" i="1"/>
  <c r="LN52" i="1"/>
  <c r="LM52" i="1"/>
  <c r="LL52" i="1"/>
  <c r="LK52" i="1"/>
  <c r="LJ52" i="1"/>
  <c r="LI52" i="1"/>
  <c r="LZ51" i="1"/>
  <c r="LY51" i="1"/>
  <c r="LX51" i="1"/>
  <c r="LW51" i="1"/>
  <c r="LV51" i="1"/>
  <c r="LU51" i="1"/>
  <c r="LT51" i="1"/>
  <c r="LS51" i="1"/>
  <c r="LR51" i="1"/>
  <c r="LQ51" i="1"/>
  <c r="LP51" i="1"/>
  <c r="LO51" i="1"/>
  <c r="LN51" i="1"/>
  <c r="LM51" i="1"/>
  <c r="LL51" i="1"/>
  <c r="LK51" i="1"/>
  <c r="LJ51" i="1"/>
  <c r="LI51" i="1"/>
  <c r="LZ50" i="1"/>
  <c r="LY50" i="1"/>
  <c r="LX50" i="1"/>
  <c r="LW50" i="1"/>
  <c r="LV50" i="1"/>
  <c r="LU50" i="1"/>
  <c r="LT50" i="1"/>
  <c r="LS50" i="1"/>
  <c r="LR50" i="1"/>
  <c r="LQ50" i="1"/>
  <c r="LP50" i="1"/>
  <c r="LO50" i="1"/>
  <c r="LN50" i="1"/>
  <c r="LM50" i="1"/>
  <c r="LL50" i="1"/>
  <c r="LK50" i="1"/>
  <c r="LJ50" i="1"/>
  <c r="LI50" i="1"/>
  <c r="LZ49" i="1"/>
  <c r="LY49" i="1"/>
  <c r="LX49" i="1"/>
  <c r="LW49" i="1"/>
  <c r="LV49" i="1"/>
  <c r="LU49" i="1"/>
  <c r="LT49" i="1"/>
  <c r="LS49" i="1"/>
  <c r="LR49" i="1"/>
  <c r="LQ49" i="1"/>
  <c r="LP49" i="1"/>
  <c r="LO49" i="1"/>
  <c r="LN49" i="1"/>
  <c r="LM49" i="1"/>
  <c r="LL49" i="1"/>
  <c r="LK49" i="1"/>
  <c r="LJ49" i="1"/>
  <c r="LI49" i="1"/>
  <c r="LZ48" i="1"/>
  <c r="LY48" i="1"/>
  <c r="LX48" i="1"/>
  <c r="LW48" i="1"/>
  <c r="LV48" i="1"/>
  <c r="LU48" i="1"/>
  <c r="LT48" i="1"/>
  <c r="LS48" i="1"/>
  <c r="LR48" i="1"/>
  <c r="LQ48" i="1"/>
  <c r="LP48" i="1"/>
  <c r="LO48" i="1"/>
  <c r="LN48" i="1"/>
  <c r="LM48" i="1"/>
  <c r="LL48" i="1"/>
  <c r="LK48" i="1"/>
  <c r="LJ48" i="1"/>
  <c r="LI48" i="1"/>
  <c r="LZ47" i="1"/>
  <c r="LY47" i="1"/>
  <c r="LX47" i="1"/>
  <c r="LW47" i="1"/>
  <c r="LV47" i="1"/>
  <c r="LU47" i="1"/>
  <c r="LT47" i="1"/>
  <c r="LS47" i="1"/>
  <c r="LR47" i="1"/>
  <c r="LQ47" i="1"/>
  <c r="LP47" i="1"/>
  <c r="LO47" i="1"/>
  <c r="LN47" i="1"/>
  <c r="LM47" i="1"/>
  <c r="LL47" i="1"/>
  <c r="LK47" i="1"/>
  <c r="LJ47" i="1"/>
  <c r="LI47" i="1"/>
  <c r="LZ46" i="1"/>
  <c r="LY46" i="1"/>
  <c r="LX46" i="1"/>
  <c r="LW46" i="1"/>
  <c r="LV46" i="1"/>
  <c r="LU46" i="1"/>
  <c r="LT46" i="1"/>
  <c r="LS46" i="1"/>
  <c r="LR46" i="1"/>
  <c r="LQ46" i="1"/>
  <c r="LP46" i="1"/>
  <c r="LO46" i="1"/>
  <c r="LN46" i="1"/>
  <c r="LM46" i="1"/>
  <c r="LL46" i="1"/>
  <c r="LK46" i="1"/>
  <c r="LJ46" i="1"/>
  <c r="LI46" i="1"/>
  <c r="LZ45" i="1"/>
  <c r="LY45" i="1"/>
  <c r="LX45" i="1"/>
  <c r="LW45" i="1"/>
  <c r="LV45" i="1"/>
  <c r="LU45" i="1"/>
  <c r="LT45" i="1"/>
  <c r="LS45" i="1"/>
  <c r="LR45" i="1"/>
  <c r="LQ45" i="1"/>
  <c r="LP45" i="1"/>
  <c r="LO45" i="1"/>
  <c r="LN45" i="1"/>
  <c r="LM45" i="1"/>
  <c r="LL45" i="1"/>
  <c r="LK45" i="1"/>
  <c r="LJ45" i="1"/>
  <c r="LI45" i="1"/>
  <c r="LZ44" i="1"/>
  <c r="LY44" i="1"/>
  <c r="LX44" i="1"/>
  <c r="LW44" i="1"/>
  <c r="LV44" i="1"/>
  <c r="LU44" i="1"/>
  <c r="LT44" i="1"/>
  <c r="LS44" i="1"/>
  <c r="LR44" i="1"/>
  <c r="LQ44" i="1"/>
  <c r="LP44" i="1"/>
  <c r="LO44" i="1"/>
  <c r="LN44" i="1"/>
  <c r="LM44" i="1"/>
  <c r="LL44" i="1"/>
  <c r="LK44" i="1"/>
  <c r="LJ44" i="1"/>
  <c r="LI44" i="1"/>
  <c r="LZ43" i="1"/>
  <c r="LY43" i="1"/>
  <c r="LX43" i="1"/>
  <c r="LW43" i="1"/>
  <c r="LV43" i="1"/>
  <c r="LU43" i="1"/>
  <c r="LT43" i="1"/>
  <c r="LS43" i="1"/>
  <c r="LR43" i="1"/>
  <c r="LQ43" i="1"/>
  <c r="LP43" i="1"/>
  <c r="LO43" i="1"/>
  <c r="LN43" i="1"/>
  <c r="LM43" i="1"/>
  <c r="LL43" i="1"/>
  <c r="LK43" i="1"/>
  <c r="LJ43" i="1"/>
  <c r="LI43" i="1"/>
  <c r="LZ42" i="1"/>
  <c r="LY42" i="1"/>
  <c r="LX42" i="1"/>
  <c r="LW42" i="1"/>
  <c r="LV42" i="1"/>
  <c r="LU42" i="1"/>
  <c r="LT42" i="1"/>
  <c r="LS42" i="1"/>
  <c r="LR42" i="1"/>
  <c r="LQ42" i="1"/>
  <c r="LP42" i="1"/>
  <c r="LO42" i="1"/>
  <c r="LN42" i="1"/>
  <c r="LM42" i="1"/>
  <c r="LL42" i="1"/>
  <c r="LK42" i="1"/>
  <c r="LJ42" i="1"/>
  <c r="LI42" i="1"/>
  <c r="LZ41" i="1"/>
  <c r="LY41" i="1"/>
  <c r="LX41" i="1"/>
  <c r="LW41" i="1"/>
  <c r="LV41" i="1"/>
  <c r="LU41" i="1"/>
  <c r="LT41" i="1"/>
  <c r="LS41" i="1"/>
  <c r="LR41" i="1"/>
  <c r="LQ41" i="1"/>
  <c r="LP41" i="1"/>
  <c r="LO41" i="1"/>
  <c r="LN41" i="1"/>
  <c r="LM41" i="1"/>
  <c r="LL41" i="1"/>
  <c r="LK41" i="1"/>
  <c r="LJ41" i="1"/>
  <c r="LI41" i="1"/>
  <c r="LZ40" i="1"/>
  <c r="LY40" i="1"/>
  <c r="LX40" i="1"/>
  <c r="LW40" i="1"/>
  <c r="LV40" i="1"/>
  <c r="LU40" i="1"/>
  <c r="LT40" i="1"/>
  <c r="LS40" i="1"/>
  <c r="LR40" i="1"/>
  <c r="LQ40" i="1"/>
  <c r="LP40" i="1"/>
  <c r="LO40" i="1"/>
  <c r="LN40" i="1"/>
  <c r="LM40" i="1"/>
  <c r="LL40" i="1"/>
  <c r="LK40" i="1"/>
  <c r="LJ40" i="1"/>
  <c r="LI40" i="1"/>
  <c r="LZ37" i="1"/>
  <c r="LY37" i="1"/>
  <c r="LX37" i="1"/>
  <c r="LW37" i="1"/>
  <c r="LV37" i="1"/>
  <c r="LZ36" i="1"/>
  <c r="LY36" i="1"/>
  <c r="LX36" i="1"/>
  <c r="LW36" i="1"/>
  <c r="LV36" i="1"/>
  <c r="LZ33" i="1"/>
  <c r="LY33" i="1"/>
  <c r="LX33" i="1"/>
  <c r="LW33" i="1"/>
  <c r="LV33" i="1"/>
  <c r="LU33" i="1"/>
  <c r="LT33" i="1"/>
  <c r="LS33" i="1"/>
  <c r="LR33" i="1"/>
  <c r="LQ33" i="1"/>
  <c r="LP33" i="1"/>
  <c r="LO33" i="1"/>
  <c r="LN33" i="1"/>
  <c r="LM33" i="1"/>
  <c r="LL33" i="1"/>
  <c r="LK33" i="1"/>
  <c r="LJ33" i="1"/>
  <c r="LI33" i="1"/>
  <c r="LZ32" i="1"/>
  <c r="LY32" i="1"/>
  <c r="LX32" i="1"/>
  <c r="LW32" i="1"/>
  <c r="LV32" i="1"/>
  <c r="LU32" i="1"/>
  <c r="LT32" i="1"/>
  <c r="LS32" i="1"/>
  <c r="LR32" i="1"/>
  <c r="LQ32" i="1"/>
  <c r="LP32" i="1"/>
  <c r="LO32" i="1"/>
  <c r="LN32" i="1"/>
  <c r="LM32" i="1"/>
  <c r="LL32" i="1"/>
  <c r="LK32" i="1"/>
  <c r="LJ32" i="1"/>
  <c r="LI32" i="1"/>
  <c r="LZ31" i="1"/>
  <c r="LY31" i="1"/>
  <c r="LX31" i="1"/>
  <c r="LW31" i="1"/>
  <c r="LV31" i="1"/>
  <c r="LU31" i="1"/>
  <c r="LT31" i="1"/>
  <c r="LS31" i="1"/>
  <c r="LR31" i="1"/>
  <c r="LQ31" i="1"/>
  <c r="LP31" i="1"/>
  <c r="LO31" i="1"/>
  <c r="LN31" i="1"/>
  <c r="LM31" i="1"/>
  <c r="LL31" i="1"/>
  <c r="LK31" i="1"/>
  <c r="LJ31" i="1"/>
  <c r="LI31" i="1"/>
  <c r="LZ30" i="1"/>
  <c r="LY30" i="1"/>
  <c r="LX30" i="1"/>
  <c r="LW30" i="1"/>
  <c r="LV30" i="1"/>
  <c r="LU30" i="1"/>
  <c r="LT30" i="1"/>
  <c r="LS30" i="1"/>
  <c r="LR30" i="1"/>
  <c r="LQ30" i="1"/>
  <c r="LP30" i="1"/>
  <c r="LO30" i="1"/>
  <c r="LN30" i="1"/>
  <c r="LM30" i="1"/>
  <c r="LL30" i="1"/>
  <c r="LK30" i="1"/>
  <c r="LJ30" i="1"/>
  <c r="LI30" i="1"/>
  <c r="LZ29" i="1"/>
  <c r="LY29" i="1"/>
  <c r="LX29" i="1"/>
  <c r="LW29" i="1"/>
  <c r="LV29" i="1"/>
  <c r="LU29" i="1"/>
  <c r="LT29" i="1"/>
  <c r="LS29" i="1"/>
  <c r="LR29" i="1"/>
  <c r="LQ29" i="1"/>
  <c r="LP29" i="1"/>
  <c r="LO29" i="1"/>
  <c r="LN29" i="1"/>
  <c r="LM29" i="1"/>
  <c r="LL29" i="1"/>
  <c r="LK29" i="1"/>
  <c r="LJ29" i="1"/>
  <c r="LI29" i="1"/>
  <c r="LZ28" i="1"/>
  <c r="LY28" i="1"/>
  <c r="LX28" i="1"/>
  <c r="LW28" i="1"/>
  <c r="LV28" i="1"/>
  <c r="LU28" i="1"/>
  <c r="LT28" i="1"/>
  <c r="LS28" i="1"/>
  <c r="LR28" i="1"/>
  <c r="LQ28" i="1"/>
  <c r="LP28" i="1"/>
  <c r="LO28" i="1"/>
  <c r="LN28" i="1"/>
  <c r="LM28" i="1"/>
  <c r="LL28" i="1"/>
  <c r="LK28" i="1"/>
  <c r="LJ28" i="1"/>
  <c r="LI28" i="1"/>
  <c r="LZ27" i="1"/>
  <c r="LY27" i="1"/>
  <c r="LX27" i="1"/>
  <c r="LW27" i="1"/>
  <c r="LV27" i="1"/>
  <c r="LU27" i="1"/>
  <c r="LT27" i="1"/>
  <c r="LS27" i="1"/>
  <c r="LR27" i="1"/>
  <c r="LQ27" i="1"/>
  <c r="LP27" i="1"/>
  <c r="LO27" i="1"/>
  <c r="LN27" i="1"/>
  <c r="LM27" i="1"/>
  <c r="LL27" i="1"/>
  <c r="LK27" i="1"/>
  <c r="LJ27" i="1"/>
  <c r="LI27" i="1"/>
  <c r="LZ26" i="1"/>
  <c r="LY26" i="1"/>
  <c r="LX26" i="1"/>
  <c r="LW26" i="1"/>
  <c r="LV26" i="1"/>
  <c r="LU26" i="1"/>
  <c r="LT26" i="1"/>
  <c r="LS26" i="1"/>
  <c r="LR26" i="1"/>
  <c r="LQ26" i="1"/>
  <c r="LP26" i="1"/>
  <c r="LO26" i="1"/>
  <c r="LN26" i="1"/>
  <c r="LM26" i="1"/>
  <c r="LL26" i="1"/>
  <c r="LK26" i="1"/>
  <c r="LJ26" i="1"/>
  <c r="LI26" i="1"/>
  <c r="LZ25" i="1"/>
  <c r="LY25" i="1"/>
  <c r="LX25" i="1"/>
  <c r="LW25" i="1"/>
  <c r="LV25" i="1"/>
  <c r="LU25" i="1"/>
  <c r="LT25" i="1"/>
  <c r="LS25" i="1"/>
  <c r="LR25" i="1"/>
  <c r="LQ25" i="1"/>
  <c r="LP25" i="1"/>
  <c r="LO25" i="1"/>
  <c r="LN25" i="1"/>
  <c r="LM25" i="1"/>
  <c r="LL25" i="1"/>
  <c r="LK25" i="1"/>
  <c r="LJ25" i="1"/>
  <c r="LI25" i="1"/>
  <c r="LZ24" i="1"/>
  <c r="LY24" i="1"/>
  <c r="LX24" i="1"/>
  <c r="LW24" i="1"/>
  <c r="LV24" i="1"/>
  <c r="LU24" i="1"/>
  <c r="LT24" i="1"/>
  <c r="LS24" i="1"/>
  <c r="LR24" i="1"/>
  <c r="LQ24" i="1"/>
  <c r="LP24" i="1"/>
  <c r="LO24" i="1"/>
  <c r="LN24" i="1"/>
  <c r="LM24" i="1"/>
  <c r="LL24" i="1"/>
  <c r="LK24" i="1"/>
  <c r="LJ24" i="1"/>
  <c r="LI24" i="1"/>
  <c r="LZ23" i="1"/>
  <c r="LY23" i="1"/>
  <c r="LX23" i="1"/>
  <c r="LW23" i="1"/>
  <c r="LV23" i="1"/>
  <c r="LU23" i="1"/>
  <c r="LT23" i="1"/>
  <c r="LS23" i="1"/>
  <c r="LR23" i="1"/>
  <c r="LQ23" i="1"/>
  <c r="LP23" i="1"/>
  <c r="LO23" i="1"/>
  <c r="LN23" i="1"/>
  <c r="LM23" i="1"/>
  <c r="LL23" i="1"/>
  <c r="LK23" i="1"/>
  <c r="LJ23" i="1"/>
  <c r="LI23" i="1"/>
  <c r="LZ22" i="1"/>
  <c r="LY22" i="1"/>
  <c r="LX22" i="1"/>
  <c r="LW22" i="1"/>
  <c r="LV22" i="1"/>
  <c r="LU22" i="1"/>
  <c r="LT22" i="1"/>
  <c r="LS22" i="1"/>
  <c r="LR22" i="1"/>
  <c r="LQ22" i="1"/>
  <c r="LP22" i="1"/>
  <c r="LO22" i="1"/>
  <c r="LN22" i="1"/>
  <c r="LM22" i="1"/>
  <c r="LL22" i="1"/>
  <c r="LK22" i="1"/>
  <c r="LJ22" i="1"/>
  <c r="LI22" i="1"/>
  <c r="LZ21" i="1"/>
  <c r="LY21" i="1"/>
  <c r="LX21" i="1"/>
  <c r="LW21" i="1"/>
  <c r="LV21" i="1"/>
  <c r="LU21" i="1"/>
  <c r="LT21" i="1"/>
  <c r="LS21" i="1"/>
  <c r="LR21" i="1"/>
  <c r="LQ21" i="1"/>
  <c r="LP21" i="1"/>
  <c r="LO21" i="1"/>
  <c r="LN21" i="1"/>
  <c r="LM21" i="1"/>
  <c r="LL21" i="1"/>
  <c r="LK21" i="1"/>
  <c r="LJ21" i="1"/>
  <c r="LI21" i="1"/>
  <c r="LZ18" i="1"/>
  <c r="LY18" i="1"/>
  <c r="LX18" i="1"/>
  <c r="LW18" i="1"/>
  <c r="LV18" i="1"/>
  <c r="LU18" i="1"/>
  <c r="LT18" i="1"/>
  <c r="LS18" i="1"/>
  <c r="LR18" i="1"/>
  <c r="LQ18" i="1"/>
  <c r="LP18" i="1"/>
  <c r="LO18" i="1"/>
  <c r="LN18" i="1"/>
  <c r="LM18" i="1"/>
  <c r="LL18" i="1"/>
  <c r="LK18" i="1"/>
  <c r="LJ18" i="1"/>
  <c r="LI18" i="1"/>
  <c r="LZ17" i="1"/>
  <c r="LY17" i="1"/>
  <c r="LX17" i="1"/>
  <c r="LW17" i="1"/>
  <c r="LV17" i="1"/>
  <c r="LU17" i="1"/>
  <c r="LT17" i="1"/>
  <c r="LS17" i="1"/>
  <c r="LR17" i="1"/>
  <c r="LQ17" i="1"/>
  <c r="LP17" i="1"/>
  <c r="LO17" i="1"/>
  <c r="LN17" i="1"/>
  <c r="LM17" i="1"/>
  <c r="LL17" i="1"/>
  <c r="LK17" i="1"/>
  <c r="LJ17" i="1"/>
  <c r="LI17" i="1"/>
  <c r="LZ16" i="1"/>
  <c r="LY16" i="1"/>
  <c r="LX16" i="1"/>
  <c r="LW16" i="1"/>
  <c r="LV16" i="1"/>
  <c r="LU16" i="1"/>
  <c r="LT16" i="1"/>
  <c r="LS16" i="1"/>
  <c r="LR16" i="1"/>
  <c r="LQ16" i="1"/>
  <c r="LP16" i="1"/>
  <c r="LO16" i="1"/>
  <c r="LN16" i="1"/>
  <c r="LM16" i="1"/>
  <c r="LL16" i="1"/>
  <c r="LK16" i="1"/>
  <c r="LJ16" i="1"/>
  <c r="LI16" i="1"/>
  <c r="LZ15" i="1"/>
  <c r="LY15" i="1"/>
  <c r="LX15" i="1"/>
  <c r="LW15" i="1"/>
  <c r="LV15" i="1"/>
  <c r="LU15" i="1"/>
  <c r="LT15" i="1"/>
  <c r="LS15" i="1"/>
  <c r="LR15" i="1"/>
  <c r="LQ15" i="1"/>
  <c r="LP15" i="1"/>
  <c r="LO15" i="1"/>
  <c r="LN15" i="1"/>
  <c r="LM15" i="1"/>
  <c r="LL15" i="1"/>
  <c r="LK15" i="1"/>
  <c r="LJ15" i="1"/>
  <c r="LI15" i="1"/>
  <c r="LZ14" i="1"/>
  <c r="LY14" i="1"/>
  <c r="LX14" i="1"/>
  <c r="LW14" i="1"/>
  <c r="LV14" i="1"/>
  <c r="LU14" i="1"/>
  <c r="LT14" i="1"/>
  <c r="LS14" i="1"/>
  <c r="LR14" i="1"/>
  <c r="LQ14" i="1"/>
  <c r="LP14" i="1"/>
  <c r="LO14" i="1"/>
  <c r="LN14" i="1"/>
  <c r="LM14" i="1"/>
  <c r="LL14" i="1"/>
  <c r="LK14" i="1"/>
  <c r="LJ14" i="1"/>
  <c r="LI14" i="1"/>
  <c r="LZ13" i="1"/>
  <c r="LY13" i="1"/>
  <c r="LX13" i="1"/>
  <c r="LW13" i="1"/>
  <c r="LV13" i="1"/>
  <c r="LU13" i="1"/>
  <c r="LT13" i="1"/>
  <c r="LS13" i="1"/>
  <c r="LR13" i="1"/>
  <c r="LQ13" i="1"/>
  <c r="LP13" i="1"/>
  <c r="LO13" i="1"/>
  <c r="LN13" i="1"/>
  <c r="LM13" i="1"/>
  <c r="LL13" i="1"/>
  <c r="LK13" i="1"/>
  <c r="LJ13" i="1"/>
  <c r="LI13" i="1"/>
  <c r="KU58" i="1"/>
  <c r="KT58" i="1"/>
  <c r="KS58" i="1"/>
  <c r="KR58" i="1"/>
  <c r="KQ58" i="1"/>
  <c r="KP58" i="1"/>
  <c r="KO58" i="1"/>
  <c r="KN58" i="1"/>
  <c r="KM58" i="1"/>
  <c r="KL58" i="1"/>
  <c r="KK58" i="1"/>
  <c r="KJ58" i="1"/>
  <c r="KI58" i="1"/>
  <c r="KH58" i="1"/>
  <c r="KG58" i="1"/>
  <c r="KF58" i="1"/>
  <c r="KE58" i="1"/>
  <c r="KD58" i="1"/>
  <c r="KU57" i="1"/>
  <c r="KT57" i="1"/>
  <c r="KS57" i="1"/>
  <c r="KR57" i="1"/>
  <c r="KQ57" i="1"/>
  <c r="KP57" i="1"/>
  <c r="KO57" i="1"/>
  <c r="KN57" i="1"/>
  <c r="KM57" i="1"/>
  <c r="KL57" i="1"/>
  <c r="KK57" i="1"/>
  <c r="KJ57" i="1"/>
  <c r="KI57" i="1"/>
  <c r="KH57" i="1"/>
  <c r="KG57" i="1"/>
  <c r="KF57" i="1"/>
  <c r="KE57" i="1"/>
  <c r="KD57" i="1"/>
  <c r="KU56" i="1"/>
  <c r="KT56" i="1"/>
  <c r="KS56" i="1"/>
  <c r="KR56" i="1"/>
  <c r="KQ56" i="1"/>
  <c r="KP56" i="1"/>
  <c r="KO56" i="1"/>
  <c r="KN56" i="1"/>
  <c r="KM56" i="1"/>
  <c r="KL56" i="1"/>
  <c r="KK56" i="1"/>
  <c r="KJ56" i="1"/>
  <c r="KI56" i="1"/>
  <c r="KH56" i="1"/>
  <c r="KG56" i="1"/>
  <c r="KF56" i="1"/>
  <c r="KE56" i="1"/>
  <c r="KD56" i="1"/>
  <c r="KU55" i="1"/>
  <c r="KT55" i="1"/>
  <c r="KS55" i="1"/>
  <c r="KR55" i="1"/>
  <c r="KQ55" i="1"/>
  <c r="KP55" i="1"/>
  <c r="KO55" i="1"/>
  <c r="KN55" i="1"/>
  <c r="KM55" i="1"/>
  <c r="KL55" i="1"/>
  <c r="KK55" i="1"/>
  <c r="KJ55" i="1"/>
  <c r="KI55" i="1"/>
  <c r="KH55" i="1"/>
  <c r="KG55" i="1"/>
  <c r="KF55" i="1"/>
  <c r="KE55" i="1"/>
  <c r="KD55" i="1"/>
  <c r="KU54" i="1"/>
  <c r="KT54" i="1"/>
  <c r="KS54" i="1"/>
  <c r="KR54" i="1"/>
  <c r="KQ54" i="1"/>
  <c r="KP54" i="1"/>
  <c r="KO54" i="1"/>
  <c r="KN54" i="1"/>
  <c r="KM54" i="1"/>
  <c r="KL54" i="1"/>
  <c r="KK54" i="1"/>
  <c r="KJ54" i="1"/>
  <c r="KI54" i="1"/>
  <c r="KH54" i="1"/>
  <c r="KG54" i="1"/>
  <c r="KF54" i="1"/>
  <c r="KE54" i="1"/>
  <c r="KD54" i="1"/>
  <c r="KU53" i="1"/>
  <c r="KT53" i="1"/>
  <c r="KS53" i="1"/>
  <c r="KR53" i="1"/>
  <c r="KQ53" i="1"/>
  <c r="KP53" i="1"/>
  <c r="KO53" i="1"/>
  <c r="KN53" i="1"/>
  <c r="KM53" i="1"/>
  <c r="KL53" i="1"/>
  <c r="KK53" i="1"/>
  <c r="KJ53" i="1"/>
  <c r="KI53" i="1"/>
  <c r="KH53" i="1"/>
  <c r="KG53" i="1"/>
  <c r="KF53" i="1"/>
  <c r="KE53" i="1"/>
  <c r="KD53" i="1"/>
  <c r="KU52" i="1"/>
  <c r="KT52" i="1"/>
  <c r="KS52" i="1"/>
  <c r="KR52" i="1"/>
  <c r="KQ52" i="1"/>
  <c r="KP52" i="1"/>
  <c r="KO52" i="1"/>
  <c r="KN52" i="1"/>
  <c r="KM52" i="1"/>
  <c r="KL52" i="1"/>
  <c r="KK52" i="1"/>
  <c r="KJ52" i="1"/>
  <c r="KI52" i="1"/>
  <c r="KH52" i="1"/>
  <c r="KG52" i="1"/>
  <c r="KF52" i="1"/>
  <c r="KE52" i="1"/>
  <c r="KD52" i="1"/>
  <c r="KU51" i="1"/>
  <c r="KT51" i="1"/>
  <c r="KS51" i="1"/>
  <c r="KR51" i="1"/>
  <c r="KQ51" i="1"/>
  <c r="KP51" i="1"/>
  <c r="KO51" i="1"/>
  <c r="KN51" i="1"/>
  <c r="KM51" i="1"/>
  <c r="KL51" i="1"/>
  <c r="KK51" i="1"/>
  <c r="KJ51" i="1"/>
  <c r="KI51" i="1"/>
  <c r="KH51" i="1"/>
  <c r="KG51" i="1"/>
  <c r="KF51" i="1"/>
  <c r="KE51" i="1"/>
  <c r="KD51" i="1"/>
  <c r="KU50" i="1"/>
  <c r="KT50" i="1"/>
  <c r="KS50" i="1"/>
  <c r="KR50" i="1"/>
  <c r="KQ50" i="1"/>
  <c r="KP50" i="1"/>
  <c r="KO50" i="1"/>
  <c r="KN50" i="1"/>
  <c r="KM50" i="1"/>
  <c r="KL50" i="1"/>
  <c r="KK50" i="1"/>
  <c r="KJ50" i="1"/>
  <c r="KI50" i="1"/>
  <c r="KH50" i="1"/>
  <c r="KG50" i="1"/>
  <c r="KF50" i="1"/>
  <c r="KE50" i="1"/>
  <c r="KD50" i="1"/>
  <c r="KU49" i="1"/>
  <c r="KT49" i="1"/>
  <c r="KS49" i="1"/>
  <c r="KR49" i="1"/>
  <c r="KQ49" i="1"/>
  <c r="KP49" i="1"/>
  <c r="KO49" i="1"/>
  <c r="KN49" i="1"/>
  <c r="KM49" i="1"/>
  <c r="KL49" i="1"/>
  <c r="KK49" i="1"/>
  <c r="KJ49" i="1"/>
  <c r="KI49" i="1"/>
  <c r="KH49" i="1"/>
  <c r="KG49" i="1"/>
  <c r="KF49" i="1"/>
  <c r="KE49" i="1"/>
  <c r="KD49" i="1"/>
  <c r="KU48" i="1"/>
  <c r="KT48" i="1"/>
  <c r="KS48" i="1"/>
  <c r="KR48" i="1"/>
  <c r="KQ48" i="1"/>
  <c r="KP48" i="1"/>
  <c r="KO48" i="1"/>
  <c r="KN48" i="1"/>
  <c r="KM48" i="1"/>
  <c r="KL48" i="1"/>
  <c r="KK48" i="1"/>
  <c r="KJ48" i="1"/>
  <c r="KI48" i="1"/>
  <c r="KH48" i="1"/>
  <c r="KG48" i="1"/>
  <c r="KF48" i="1"/>
  <c r="KE48" i="1"/>
  <c r="KD48" i="1"/>
  <c r="KU47" i="1"/>
  <c r="KT47" i="1"/>
  <c r="KS47" i="1"/>
  <c r="KR47" i="1"/>
  <c r="KQ47" i="1"/>
  <c r="KP47" i="1"/>
  <c r="KO47" i="1"/>
  <c r="KN47" i="1"/>
  <c r="KM47" i="1"/>
  <c r="KL47" i="1"/>
  <c r="KK47" i="1"/>
  <c r="KJ47" i="1"/>
  <c r="KI47" i="1"/>
  <c r="KH47" i="1"/>
  <c r="KG47" i="1"/>
  <c r="KF47" i="1"/>
  <c r="KE47" i="1"/>
  <c r="KD47" i="1"/>
  <c r="KU46" i="1"/>
  <c r="KT46" i="1"/>
  <c r="KS46" i="1"/>
  <c r="KR46" i="1"/>
  <c r="KQ46" i="1"/>
  <c r="KP46" i="1"/>
  <c r="KO46" i="1"/>
  <c r="KN46" i="1"/>
  <c r="KM46" i="1"/>
  <c r="KL46" i="1"/>
  <c r="KK46" i="1"/>
  <c r="KJ46" i="1"/>
  <c r="KI46" i="1"/>
  <c r="KH46" i="1"/>
  <c r="KG46" i="1"/>
  <c r="KF46" i="1"/>
  <c r="KE46" i="1"/>
  <c r="KD46" i="1"/>
  <c r="KU45" i="1"/>
  <c r="KT45" i="1"/>
  <c r="KS45" i="1"/>
  <c r="KR45" i="1"/>
  <c r="KQ45" i="1"/>
  <c r="KP45" i="1"/>
  <c r="KO45" i="1"/>
  <c r="KN45" i="1"/>
  <c r="KM45" i="1"/>
  <c r="KL45" i="1"/>
  <c r="KK45" i="1"/>
  <c r="KJ45" i="1"/>
  <c r="KI45" i="1"/>
  <c r="KH45" i="1"/>
  <c r="KG45" i="1"/>
  <c r="KF45" i="1"/>
  <c r="KE45" i="1"/>
  <c r="KD45" i="1"/>
  <c r="KU44" i="1"/>
  <c r="KT44" i="1"/>
  <c r="KS44" i="1"/>
  <c r="KR44" i="1"/>
  <c r="KQ44" i="1"/>
  <c r="KP44" i="1"/>
  <c r="KO44" i="1"/>
  <c r="KN44" i="1"/>
  <c r="KM44" i="1"/>
  <c r="KL44" i="1"/>
  <c r="KK44" i="1"/>
  <c r="KJ44" i="1"/>
  <c r="KI44" i="1"/>
  <c r="KH44" i="1"/>
  <c r="KG44" i="1"/>
  <c r="KF44" i="1"/>
  <c r="KE44" i="1"/>
  <c r="KD44" i="1"/>
  <c r="KU43" i="1"/>
  <c r="KT43" i="1"/>
  <c r="KS43" i="1"/>
  <c r="KR43" i="1"/>
  <c r="KQ43" i="1"/>
  <c r="KP43" i="1"/>
  <c r="KO43" i="1"/>
  <c r="KN43" i="1"/>
  <c r="KM43" i="1"/>
  <c r="KL43" i="1"/>
  <c r="KK43" i="1"/>
  <c r="KJ43" i="1"/>
  <c r="KI43" i="1"/>
  <c r="KH43" i="1"/>
  <c r="KG43" i="1"/>
  <c r="KF43" i="1"/>
  <c r="KE43" i="1"/>
  <c r="KD43" i="1"/>
  <c r="KU42" i="1"/>
  <c r="KT42" i="1"/>
  <c r="KS42" i="1"/>
  <c r="KR42" i="1"/>
  <c r="KQ42" i="1"/>
  <c r="KP42" i="1"/>
  <c r="KO42" i="1"/>
  <c r="KN42" i="1"/>
  <c r="KM42" i="1"/>
  <c r="KL42" i="1"/>
  <c r="KK42" i="1"/>
  <c r="KJ42" i="1"/>
  <c r="KI42" i="1"/>
  <c r="KH42" i="1"/>
  <c r="KG42" i="1"/>
  <c r="KF42" i="1"/>
  <c r="KE42" i="1"/>
  <c r="KD42" i="1"/>
  <c r="KU41" i="1"/>
  <c r="KT41" i="1"/>
  <c r="KS41" i="1"/>
  <c r="KR41" i="1"/>
  <c r="KQ41" i="1"/>
  <c r="KP41" i="1"/>
  <c r="KO41" i="1"/>
  <c r="KN41" i="1"/>
  <c r="KM41" i="1"/>
  <c r="KL41" i="1"/>
  <c r="KK41" i="1"/>
  <c r="KJ41" i="1"/>
  <c r="KI41" i="1"/>
  <c r="KH41" i="1"/>
  <c r="KG41" i="1"/>
  <c r="KF41" i="1"/>
  <c r="KE41" i="1"/>
  <c r="KD41" i="1"/>
  <c r="KU40" i="1"/>
  <c r="KT40" i="1"/>
  <c r="KS40" i="1"/>
  <c r="KR40" i="1"/>
  <c r="KQ40" i="1"/>
  <c r="KP40" i="1"/>
  <c r="KO40" i="1"/>
  <c r="KN40" i="1"/>
  <c r="KM40" i="1"/>
  <c r="KL40" i="1"/>
  <c r="KK40" i="1"/>
  <c r="KJ40" i="1"/>
  <c r="KI40" i="1"/>
  <c r="KH40" i="1"/>
  <c r="KG40" i="1"/>
  <c r="KF40" i="1"/>
  <c r="KE40" i="1"/>
  <c r="KD40" i="1"/>
  <c r="KU37" i="1"/>
  <c r="KT37" i="1"/>
  <c r="KS37" i="1"/>
  <c r="KR37" i="1"/>
  <c r="KQ37" i="1"/>
  <c r="KU36" i="1"/>
  <c r="KT36" i="1"/>
  <c r="KS36" i="1"/>
  <c r="KR36" i="1"/>
  <c r="KQ36" i="1"/>
  <c r="KU33" i="1"/>
  <c r="KT33" i="1"/>
  <c r="KS33" i="1"/>
  <c r="KR33" i="1"/>
  <c r="KQ33" i="1"/>
  <c r="KP33" i="1"/>
  <c r="KO33" i="1"/>
  <c r="KN33" i="1"/>
  <c r="KM33" i="1"/>
  <c r="KL33" i="1"/>
  <c r="KK33" i="1"/>
  <c r="KJ33" i="1"/>
  <c r="KI33" i="1"/>
  <c r="KH33" i="1"/>
  <c r="KG33" i="1"/>
  <c r="KF33" i="1"/>
  <c r="KE33" i="1"/>
  <c r="KD33" i="1"/>
  <c r="KU32" i="1"/>
  <c r="KT32" i="1"/>
  <c r="KS32" i="1"/>
  <c r="KR32" i="1"/>
  <c r="KQ32" i="1"/>
  <c r="KP32" i="1"/>
  <c r="KO32" i="1"/>
  <c r="KN32" i="1"/>
  <c r="KM32" i="1"/>
  <c r="KL32" i="1"/>
  <c r="KK32" i="1"/>
  <c r="KJ32" i="1"/>
  <c r="KI32" i="1"/>
  <c r="KH32" i="1"/>
  <c r="KG32" i="1"/>
  <c r="KF32" i="1"/>
  <c r="KE32" i="1"/>
  <c r="KD32" i="1"/>
  <c r="KU31" i="1"/>
  <c r="KT31" i="1"/>
  <c r="KS31" i="1"/>
  <c r="KR31" i="1"/>
  <c r="KQ31" i="1"/>
  <c r="KP31" i="1"/>
  <c r="KO31" i="1"/>
  <c r="KN31" i="1"/>
  <c r="KM31" i="1"/>
  <c r="KL31" i="1"/>
  <c r="KK31" i="1"/>
  <c r="KJ31" i="1"/>
  <c r="KI31" i="1"/>
  <c r="KH31" i="1"/>
  <c r="KG31" i="1"/>
  <c r="KF31" i="1"/>
  <c r="KE31" i="1"/>
  <c r="KD31" i="1"/>
  <c r="KU30" i="1"/>
  <c r="KT30" i="1"/>
  <c r="KS30" i="1"/>
  <c r="KR30" i="1"/>
  <c r="KQ30" i="1"/>
  <c r="KP30" i="1"/>
  <c r="KO30" i="1"/>
  <c r="KN30" i="1"/>
  <c r="KM30" i="1"/>
  <c r="KL30" i="1"/>
  <c r="KK30" i="1"/>
  <c r="KJ30" i="1"/>
  <c r="KI30" i="1"/>
  <c r="KH30" i="1"/>
  <c r="KG30" i="1"/>
  <c r="KF30" i="1"/>
  <c r="KE30" i="1"/>
  <c r="KD30" i="1"/>
  <c r="KU29" i="1"/>
  <c r="KT29" i="1"/>
  <c r="KS29" i="1"/>
  <c r="KR29" i="1"/>
  <c r="KQ29" i="1"/>
  <c r="KP29" i="1"/>
  <c r="KO29" i="1"/>
  <c r="KN29" i="1"/>
  <c r="KM29" i="1"/>
  <c r="KL29" i="1"/>
  <c r="KK29" i="1"/>
  <c r="KJ29" i="1"/>
  <c r="KI29" i="1"/>
  <c r="KH29" i="1"/>
  <c r="KG29" i="1"/>
  <c r="KF29" i="1"/>
  <c r="KE29" i="1"/>
  <c r="KD29" i="1"/>
  <c r="KU28" i="1"/>
  <c r="KT28" i="1"/>
  <c r="KS28" i="1"/>
  <c r="KR28" i="1"/>
  <c r="KQ28" i="1"/>
  <c r="KP28" i="1"/>
  <c r="KO28" i="1"/>
  <c r="KN28" i="1"/>
  <c r="KM28" i="1"/>
  <c r="KL28" i="1"/>
  <c r="KK28" i="1"/>
  <c r="KJ28" i="1"/>
  <c r="KI28" i="1"/>
  <c r="KH28" i="1"/>
  <c r="KG28" i="1"/>
  <c r="KF28" i="1"/>
  <c r="KE28" i="1"/>
  <c r="KD28" i="1"/>
  <c r="KU27" i="1"/>
  <c r="KT27" i="1"/>
  <c r="KS27" i="1"/>
  <c r="KR27" i="1"/>
  <c r="KQ27" i="1"/>
  <c r="KP27" i="1"/>
  <c r="KO27" i="1"/>
  <c r="KN27" i="1"/>
  <c r="KM27" i="1"/>
  <c r="KL27" i="1"/>
  <c r="KK27" i="1"/>
  <c r="KJ27" i="1"/>
  <c r="KI27" i="1"/>
  <c r="KH27" i="1"/>
  <c r="KG27" i="1"/>
  <c r="KF27" i="1"/>
  <c r="KE27" i="1"/>
  <c r="KD27" i="1"/>
  <c r="KU26" i="1"/>
  <c r="KT26" i="1"/>
  <c r="KS26" i="1"/>
  <c r="KR26" i="1"/>
  <c r="KQ26" i="1"/>
  <c r="KP26" i="1"/>
  <c r="KO26" i="1"/>
  <c r="KN26" i="1"/>
  <c r="KM26" i="1"/>
  <c r="KL26" i="1"/>
  <c r="KK26" i="1"/>
  <c r="KJ26" i="1"/>
  <c r="KI26" i="1"/>
  <c r="KH26" i="1"/>
  <c r="KG26" i="1"/>
  <c r="KF26" i="1"/>
  <c r="KE26" i="1"/>
  <c r="KD26" i="1"/>
  <c r="KU25" i="1"/>
  <c r="KT25" i="1"/>
  <c r="KS25" i="1"/>
  <c r="KR25" i="1"/>
  <c r="KQ25" i="1"/>
  <c r="KP25" i="1"/>
  <c r="KO25" i="1"/>
  <c r="KN25" i="1"/>
  <c r="KM25" i="1"/>
  <c r="KL25" i="1"/>
  <c r="KK25" i="1"/>
  <c r="KJ25" i="1"/>
  <c r="KI25" i="1"/>
  <c r="KH25" i="1"/>
  <c r="KG25" i="1"/>
  <c r="KF25" i="1"/>
  <c r="KE25" i="1"/>
  <c r="KD25" i="1"/>
  <c r="KU24" i="1"/>
  <c r="KT24" i="1"/>
  <c r="KS24" i="1"/>
  <c r="KR24" i="1"/>
  <c r="KQ24" i="1"/>
  <c r="KP24" i="1"/>
  <c r="KO24" i="1"/>
  <c r="KN24" i="1"/>
  <c r="KM24" i="1"/>
  <c r="KL24" i="1"/>
  <c r="KK24" i="1"/>
  <c r="KJ24" i="1"/>
  <c r="KI24" i="1"/>
  <c r="KH24" i="1"/>
  <c r="KG24" i="1"/>
  <c r="KF24" i="1"/>
  <c r="KE24" i="1"/>
  <c r="KD24" i="1"/>
  <c r="KU23" i="1"/>
  <c r="KT23" i="1"/>
  <c r="KS23" i="1"/>
  <c r="KR23" i="1"/>
  <c r="KQ23" i="1"/>
  <c r="KP23" i="1"/>
  <c r="KO23" i="1"/>
  <c r="KN23" i="1"/>
  <c r="KM23" i="1"/>
  <c r="KL23" i="1"/>
  <c r="KK23" i="1"/>
  <c r="KJ23" i="1"/>
  <c r="KI23" i="1"/>
  <c r="KH23" i="1"/>
  <c r="KG23" i="1"/>
  <c r="KF23" i="1"/>
  <c r="KE23" i="1"/>
  <c r="KD23" i="1"/>
  <c r="KU22" i="1"/>
  <c r="KT22" i="1"/>
  <c r="KS22" i="1"/>
  <c r="KR22" i="1"/>
  <c r="KQ22" i="1"/>
  <c r="KP22" i="1"/>
  <c r="KO22" i="1"/>
  <c r="KN22" i="1"/>
  <c r="KM22" i="1"/>
  <c r="KL22" i="1"/>
  <c r="KK22" i="1"/>
  <c r="KJ22" i="1"/>
  <c r="KI22" i="1"/>
  <c r="KH22" i="1"/>
  <c r="KG22" i="1"/>
  <c r="KF22" i="1"/>
  <c r="KE22" i="1"/>
  <c r="KD22" i="1"/>
  <c r="KU21" i="1"/>
  <c r="KT21" i="1"/>
  <c r="KS21" i="1"/>
  <c r="KR21" i="1"/>
  <c r="KQ21" i="1"/>
  <c r="KP21" i="1"/>
  <c r="KO21" i="1"/>
  <c r="KN21" i="1"/>
  <c r="KM21" i="1"/>
  <c r="KL21" i="1"/>
  <c r="KK21" i="1"/>
  <c r="KJ21" i="1"/>
  <c r="KI21" i="1"/>
  <c r="KH21" i="1"/>
  <c r="KG21" i="1"/>
  <c r="KF21" i="1"/>
  <c r="KE21" i="1"/>
  <c r="KD21" i="1"/>
  <c r="KU18" i="1"/>
  <c r="KT18" i="1"/>
  <c r="KS18" i="1"/>
  <c r="KR18" i="1"/>
  <c r="KQ18" i="1"/>
  <c r="KP18" i="1"/>
  <c r="KO18" i="1"/>
  <c r="KN18" i="1"/>
  <c r="KM18" i="1"/>
  <c r="KL18" i="1"/>
  <c r="KK18" i="1"/>
  <c r="KJ18" i="1"/>
  <c r="KI18" i="1"/>
  <c r="KH18" i="1"/>
  <c r="KG18" i="1"/>
  <c r="KF18" i="1"/>
  <c r="KE18" i="1"/>
  <c r="KD18" i="1"/>
  <c r="KU17" i="1"/>
  <c r="KT17" i="1"/>
  <c r="KS17" i="1"/>
  <c r="KR17" i="1"/>
  <c r="KQ17" i="1"/>
  <c r="KP17" i="1"/>
  <c r="KO17" i="1"/>
  <c r="KN17" i="1"/>
  <c r="KM17" i="1"/>
  <c r="KL17" i="1"/>
  <c r="KK17" i="1"/>
  <c r="KJ17" i="1"/>
  <c r="KI17" i="1"/>
  <c r="KH17" i="1"/>
  <c r="KG17" i="1"/>
  <c r="KF17" i="1"/>
  <c r="KE17" i="1"/>
  <c r="KD17" i="1"/>
  <c r="KU16" i="1"/>
  <c r="KT16" i="1"/>
  <c r="KS16" i="1"/>
  <c r="KR16" i="1"/>
  <c r="KQ16" i="1"/>
  <c r="KP16" i="1"/>
  <c r="KO16" i="1"/>
  <c r="KN16" i="1"/>
  <c r="KM16" i="1"/>
  <c r="KL16" i="1"/>
  <c r="KK16" i="1"/>
  <c r="KJ16" i="1"/>
  <c r="KI16" i="1"/>
  <c r="KH16" i="1"/>
  <c r="KG16" i="1"/>
  <c r="KF16" i="1"/>
  <c r="KE16" i="1"/>
  <c r="KD16" i="1"/>
  <c r="KU15" i="1"/>
  <c r="KT15" i="1"/>
  <c r="KS15" i="1"/>
  <c r="KR15" i="1"/>
  <c r="KQ15" i="1"/>
  <c r="KP15" i="1"/>
  <c r="KO15" i="1"/>
  <c r="KN15" i="1"/>
  <c r="KM15" i="1"/>
  <c r="KL15" i="1"/>
  <c r="KK15" i="1"/>
  <c r="KJ15" i="1"/>
  <c r="KI15" i="1"/>
  <c r="KH15" i="1"/>
  <c r="KG15" i="1"/>
  <c r="KF15" i="1"/>
  <c r="KE15" i="1"/>
  <c r="KD15" i="1"/>
  <c r="KU14" i="1"/>
  <c r="KT14" i="1"/>
  <c r="KS14" i="1"/>
  <c r="KR14" i="1"/>
  <c r="KQ14" i="1"/>
  <c r="KP14" i="1"/>
  <c r="KO14" i="1"/>
  <c r="KN14" i="1"/>
  <c r="KM14" i="1"/>
  <c r="KL14" i="1"/>
  <c r="KK14" i="1"/>
  <c r="KJ14" i="1"/>
  <c r="KI14" i="1"/>
  <c r="KH14" i="1"/>
  <c r="KG14" i="1"/>
  <c r="KF14" i="1"/>
  <c r="KE14" i="1"/>
  <c r="KD14" i="1"/>
  <c r="KU13" i="1"/>
  <c r="KT13" i="1"/>
  <c r="KS13" i="1"/>
  <c r="KR13" i="1"/>
  <c r="KQ13" i="1"/>
  <c r="KP13" i="1"/>
  <c r="KO13" i="1"/>
  <c r="KN13" i="1"/>
  <c r="KM13" i="1"/>
  <c r="KL13" i="1"/>
  <c r="KK13" i="1"/>
  <c r="KJ13" i="1"/>
  <c r="KI13" i="1"/>
  <c r="KH13" i="1"/>
  <c r="KG13" i="1"/>
  <c r="KF13" i="1"/>
  <c r="KE13" i="1"/>
  <c r="KD13" i="1"/>
  <c r="JP58" i="1"/>
  <c r="JO58" i="1"/>
  <c r="JN58" i="1"/>
  <c r="JM58" i="1"/>
  <c r="JL58" i="1"/>
  <c r="JK58" i="1"/>
  <c r="JJ58" i="1"/>
  <c r="JI58" i="1"/>
  <c r="JH58" i="1"/>
  <c r="JG58" i="1"/>
  <c r="JF58" i="1"/>
  <c r="JE58" i="1"/>
  <c r="JD58" i="1"/>
  <c r="JC58" i="1"/>
  <c r="JB58" i="1"/>
  <c r="JA58" i="1"/>
  <c r="IZ58" i="1"/>
  <c r="IY58" i="1"/>
  <c r="JP57" i="1"/>
  <c r="JO57" i="1"/>
  <c r="JN57" i="1"/>
  <c r="JM57" i="1"/>
  <c r="JL57" i="1"/>
  <c r="JK57" i="1"/>
  <c r="JJ57" i="1"/>
  <c r="JI57" i="1"/>
  <c r="JH57" i="1"/>
  <c r="JG57" i="1"/>
  <c r="JF57" i="1"/>
  <c r="JE57" i="1"/>
  <c r="JD57" i="1"/>
  <c r="JC57" i="1"/>
  <c r="JB57" i="1"/>
  <c r="JA57" i="1"/>
  <c r="IZ57" i="1"/>
  <c r="IY57" i="1"/>
  <c r="JP56" i="1"/>
  <c r="JO56" i="1"/>
  <c r="JN56" i="1"/>
  <c r="JM56" i="1"/>
  <c r="JL56" i="1"/>
  <c r="JK56" i="1"/>
  <c r="JJ56" i="1"/>
  <c r="JI56" i="1"/>
  <c r="JH56" i="1"/>
  <c r="JG56" i="1"/>
  <c r="JF56" i="1"/>
  <c r="JE56" i="1"/>
  <c r="JD56" i="1"/>
  <c r="JC56" i="1"/>
  <c r="JB56" i="1"/>
  <c r="JA56" i="1"/>
  <c r="IZ56" i="1"/>
  <c r="IY56" i="1"/>
  <c r="JP55" i="1"/>
  <c r="JO55" i="1"/>
  <c r="JN55" i="1"/>
  <c r="JM55" i="1"/>
  <c r="JL55" i="1"/>
  <c r="JK55" i="1"/>
  <c r="JJ55" i="1"/>
  <c r="JI55" i="1"/>
  <c r="JH55" i="1"/>
  <c r="JG55" i="1"/>
  <c r="JF55" i="1"/>
  <c r="JE55" i="1"/>
  <c r="JD55" i="1"/>
  <c r="JC55" i="1"/>
  <c r="JB55" i="1"/>
  <c r="JA55" i="1"/>
  <c r="IZ55" i="1"/>
  <c r="IY55" i="1"/>
  <c r="JP54" i="1"/>
  <c r="JO54" i="1"/>
  <c r="JN54" i="1"/>
  <c r="JM54" i="1"/>
  <c r="JL54" i="1"/>
  <c r="JK54" i="1"/>
  <c r="JJ54" i="1"/>
  <c r="JI54" i="1"/>
  <c r="JH54" i="1"/>
  <c r="JG54" i="1"/>
  <c r="JF54" i="1"/>
  <c r="JE54" i="1"/>
  <c r="JD54" i="1"/>
  <c r="JC54" i="1"/>
  <c r="JB54" i="1"/>
  <c r="JA54" i="1"/>
  <c r="IZ54" i="1"/>
  <c r="IY54" i="1"/>
  <c r="JP53" i="1"/>
  <c r="JO53" i="1"/>
  <c r="JN53" i="1"/>
  <c r="JM53" i="1"/>
  <c r="JL53" i="1"/>
  <c r="JK53" i="1"/>
  <c r="JJ53" i="1"/>
  <c r="JI53" i="1"/>
  <c r="JH53" i="1"/>
  <c r="JG53" i="1"/>
  <c r="JF53" i="1"/>
  <c r="JE53" i="1"/>
  <c r="JD53" i="1"/>
  <c r="JC53" i="1"/>
  <c r="JB53" i="1"/>
  <c r="JA53" i="1"/>
  <c r="IZ53" i="1"/>
  <c r="IY53" i="1"/>
  <c r="JP52" i="1"/>
  <c r="JO52" i="1"/>
  <c r="JN52" i="1"/>
  <c r="JM52" i="1"/>
  <c r="JL52" i="1"/>
  <c r="JK52" i="1"/>
  <c r="JJ52" i="1"/>
  <c r="JI52" i="1"/>
  <c r="JH52" i="1"/>
  <c r="JG52" i="1"/>
  <c r="JF52" i="1"/>
  <c r="JE52" i="1"/>
  <c r="JD52" i="1"/>
  <c r="JC52" i="1"/>
  <c r="JB52" i="1"/>
  <c r="JA52" i="1"/>
  <c r="IZ52" i="1"/>
  <c r="IY52" i="1"/>
  <c r="JP51" i="1"/>
  <c r="JO51" i="1"/>
  <c r="JN51" i="1"/>
  <c r="JM51" i="1"/>
  <c r="JL51" i="1"/>
  <c r="JK51" i="1"/>
  <c r="JJ51" i="1"/>
  <c r="JI51" i="1"/>
  <c r="JH51" i="1"/>
  <c r="JG51" i="1"/>
  <c r="JF51" i="1"/>
  <c r="JE51" i="1"/>
  <c r="JD51" i="1"/>
  <c r="JC51" i="1"/>
  <c r="JB51" i="1"/>
  <c r="JA51" i="1"/>
  <c r="IZ51" i="1"/>
  <c r="IY51" i="1"/>
  <c r="JP50" i="1"/>
  <c r="JO50" i="1"/>
  <c r="JN50" i="1"/>
  <c r="JM50" i="1"/>
  <c r="JL50" i="1"/>
  <c r="JK50" i="1"/>
  <c r="JJ50" i="1"/>
  <c r="JI50" i="1"/>
  <c r="JH50" i="1"/>
  <c r="JG50" i="1"/>
  <c r="JF50" i="1"/>
  <c r="JE50" i="1"/>
  <c r="JD50" i="1"/>
  <c r="JC50" i="1"/>
  <c r="JB50" i="1"/>
  <c r="JA50" i="1"/>
  <c r="IZ50" i="1"/>
  <c r="IY50" i="1"/>
  <c r="JP49" i="1"/>
  <c r="JO49" i="1"/>
  <c r="JN49" i="1"/>
  <c r="JM49" i="1"/>
  <c r="JL49" i="1"/>
  <c r="JK49" i="1"/>
  <c r="JJ49" i="1"/>
  <c r="JI49" i="1"/>
  <c r="JH49" i="1"/>
  <c r="JG49" i="1"/>
  <c r="JF49" i="1"/>
  <c r="JE49" i="1"/>
  <c r="JD49" i="1"/>
  <c r="JC49" i="1"/>
  <c r="JB49" i="1"/>
  <c r="JA49" i="1"/>
  <c r="IZ49" i="1"/>
  <c r="IY49" i="1"/>
  <c r="JP48" i="1"/>
  <c r="JO48" i="1"/>
  <c r="JN48" i="1"/>
  <c r="JM48" i="1"/>
  <c r="JL48" i="1"/>
  <c r="JK48" i="1"/>
  <c r="JJ48" i="1"/>
  <c r="JI48" i="1"/>
  <c r="JH48" i="1"/>
  <c r="JG48" i="1"/>
  <c r="JF48" i="1"/>
  <c r="JE48" i="1"/>
  <c r="JD48" i="1"/>
  <c r="JC48" i="1"/>
  <c r="JB48" i="1"/>
  <c r="JA48" i="1"/>
  <c r="IZ48" i="1"/>
  <c r="IY48" i="1"/>
  <c r="JP47" i="1"/>
  <c r="JO47" i="1"/>
  <c r="JN47" i="1"/>
  <c r="JM47" i="1"/>
  <c r="JL47" i="1"/>
  <c r="JK47" i="1"/>
  <c r="JJ47" i="1"/>
  <c r="JI47" i="1"/>
  <c r="JH47" i="1"/>
  <c r="JG47" i="1"/>
  <c r="JF47" i="1"/>
  <c r="JE47" i="1"/>
  <c r="JD47" i="1"/>
  <c r="JC47" i="1"/>
  <c r="JB47" i="1"/>
  <c r="JA47" i="1"/>
  <c r="IZ47" i="1"/>
  <c r="IY47" i="1"/>
  <c r="JP46" i="1"/>
  <c r="JO46" i="1"/>
  <c r="JN46" i="1"/>
  <c r="JM46" i="1"/>
  <c r="JL46" i="1"/>
  <c r="JK46" i="1"/>
  <c r="JJ46" i="1"/>
  <c r="JI46" i="1"/>
  <c r="JH46" i="1"/>
  <c r="JG46" i="1"/>
  <c r="JF46" i="1"/>
  <c r="JE46" i="1"/>
  <c r="JD46" i="1"/>
  <c r="JC46" i="1"/>
  <c r="JB46" i="1"/>
  <c r="JA46" i="1"/>
  <c r="IZ46" i="1"/>
  <c r="IY46" i="1"/>
  <c r="JP45" i="1"/>
  <c r="JO45" i="1"/>
  <c r="JN45" i="1"/>
  <c r="JM45" i="1"/>
  <c r="JL45" i="1"/>
  <c r="JK45" i="1"/>
  <c r="JJ45" i="1"/>
  <c r="JI45" i="1"/>
  <c r="JH45" i="1"/>
  <c r="JG45" i="1"/>
  <c r="JF45" i="1"/>
  <c r="JE45" i="1"/>
  <c r="JD45" i="1"/>
  <c r="JC45" i="1"/>
  <c r="JB45" i="1"/>
  <c r="JA45" i="1"/>
  <c r="IZ45" i="1"/>
  <c r="IY45" i="1"/>
  <c r="JP44" i="1"/>
  <c r="JO44" i="1"/>
  <c r="JN44" i="1"/>
  <c r="JM44" i="1"/>
  <c r="JL44" i="1"/>
  <c r="JK44" i="1"/>
  <c r="JJ44" i="1"/>
  <c r="JI44" i="1"/>
  <c r="JH44" i="1"/>
  <c r="JG44" i="1"/>
  <c r="JF44" i="1"/>
  <c r="JE44" i="1"/>
  <c r="JD44" i="1"/>
  <c r="JC44" i="1"/>
  <c r="JB44" i="1"/>
  <c r="JA44" i="1"/>
  <c r="IZ44" i="1"/>
  <c r="IY44" i="1"/>
  <c r="JP43" i="1"/>
  <c r="JO43" i="1"/>
  <c r="JN43" i="1"/>
  <c r="JM43" i="1"/>
  <c r="JL43" i="1"/>
  <c r="JK43" i="1"/>
  <c r="JJ43" i="1"/>
  <c r="JI43" i="1"/>
  <c r="JH43" i="1"/>
  <c r="JG43" i="1"/>
  <c r="JF43" i="1"/>
  <c r="JE43" i="1"/>
  <c r="JD43" i="1"/>
  <c r="JC43" i="1"/>
  <c r="JB43" i="1"/>
  <c r="JA43" i="1"/>
  <c r="IZ43" i="1"/>
  <c r="IY43" i="1"/>
  <c r="JP42" i="1"/>
  <c r="JO42" i="1"/>
  <c r="JN42" i="1"/>
  <c r="JM42" i="1"/>
  <c r="JL42" i="1"/>
  <c r="JK42" i="1"/>
  <c r="JJ42" i="1"/>
  <c r="JI42" i="1"/>
  <c r="JH42" i="1"/>
  <c r="JG42" i="1"/>
  <c r="JF42" i="1"/>
  <c r="JE42" i="1"/>
  <c r="JD42" i="1"/>
  <c r="JC42" i="1"/>
  <c r="JB42" i="1"/>
  <c r="JA42" i="1"/>
  <c r="IZ42" i="1"/>
  <c r="IY42" i="1"/>
  <c r="JP41" i="1"/>
  <c r="JO41" i="1"/>
  <c r="JN41" i="1"/>
  <c r="JM41" i="1"/>
  <c r="JL41" i="1"/>
  <c r="JK41" i="1"/>
  <c r="JJ41" i="1"/>
  <c r="JI41" i="1"/>
  <c r="JH41" i="1"/>
  <c r="JG41" i="1"/>
  <c r="JF41" i="1"/>
  <c r="JE41" i="1"/>
  <c r="JD41" i="1"/>
  <c r="JC41" i="1"/>
  <c r="JB41" i="1"/>
  <c r="JA41" i="1"/>
  <c r="IZ41" i="1"/>
  <c r="IY41" i="1"/>
  <c r="JP40" i="1"/>
  <c r="JO40" i="1"/>
  <c r="JN40" i="1"/>
  <c r="JM40" i="1"/>
  <c r="JL40" i="1"/>
  <c r="JK40" i="1"/>
  <c r="JJ40" i="1"/>
  <c r="JI40" i="1"/>
  <c r="JH40" i="1"/>
  <c r="JG40" i="1"/>
  <c r="JF40" i="1"/>
  <c r="JE40" i="1"/>
  <c r="JD40" i="1"/>
  <c r="JC40" i="1"/>
  <c r="JB40" i="1"/>
  <c r="JA40" i="1"/>
  <c r="IZ40" i="1"/>
  <c r="IY40" i="1"/>
  <c r="JP37" i="1"/>
  <c r="JO37" i="1"/>
  <c r="JN37" i="1"/>
  <c r="JM37" i="1"/>
  <c r="JL37" i="1"/>
  <c r="JP36" i="1"/>
  <c r="JO36" i="1"/>
  <c r="JN36" i="1"/>
  <c r="JM36" i="1"/>
  <c r="JL36" i="1"/>
  <c r="JP33" i="1"/>
  <c r="JO33" i="1"/>
  <c r="JN33" i="1"/>
  <c r="JM33" i="1"/>
  <c r="JL33" i="1"/>
  <c r="JK33" i="1"/>
  <c r="JJ33" i="1"/>
  <c r="JI33" i="1"/>
  <c r="JH33" i="1"/>
  <c r="JG33" i="1"/>
  <c r="JF33" i="1"/>
  <c r="JE33" i="1"/>
  <c r="JD33" i="1"/>
  <c r="JC33" i="1"/>
  <c r="JB33" i="1"/>
  <c r="JA33" i="1"/>
  <c r="IZ33" i="1"/>
  <c r="IY33" i="1"/>
  <c r="JP32" i="1"/>
  <c r="JO32" i="1"/>
  <c r="JN32" i="1"/>
  <c r="JM32" i="1"/>
  <c r="JL32" i="1"/>
  <c r="JK32" i="1"/>
  <c r="JJ32" i="1"/>
  <c r="JI32" i="1"/>
  <c r="JH32" i="1"/>
  <c r="JG32" i="1"/>
  <c r="JF32" i="1"/>
  <c r="JE32" i="1"/>
  <c r="JD32" i="1"/>
  <c r="JC32" i="1"/>
  <c r="JB32" i="1"/>
  <c r="JA32" i="1"/>
  <c r="IZ32" i="1"/>
  <c r="IY32" i="1"/>
  <c r="JP31" i="1"/>
  <c r="JO31" i="1"/>
  <c r="JN31" i="1"/>
  <c r="JM31" i="1"/>
  <c r="JL31" i="1"/>
  <c r="JK31" i="1"/>
  <c r="JJ31" i="1"/>
  <c r="JI31" i="1"/>
  <c r="JH31" i="1"/>
  <c r="JG31" i="1"/>
  <c r="JF31" i="1"/>
  <c r="JE31" i="1"/>
  <c r="JD31" i="1"/>
  <c r="JC31" i="1"/>
  <c r="JB31" i="1"/>
  <c r="JA31" i="1"/>
  <c r="IZ31" i="1"/>
  <c r="IY31" i="1"/>
  <c r="JP30" i="1"/>
  <c r="JO30" i="1"/>
  <c r="JN30" i="1"/>
  <c r="JM30" i="1"/>
  <c r="JL30" i="1"/>
  <c r="JK30" i="1"/>
  <c r="JJ30" i="1"/>
  <c r="JI30" i="1"/>
  <c r="JH30" i="1"/>
  <c r="JG30" i="1"/>
  <c r="JF30" i="1"/>
  <c r="JE30" i="1"/>
  <c r="JD30" i="1"/>
  <c r="JC30" i="1"/>
  <c r="JB30" i="1"/>
  <c r="JA30" i="1"/>
  <c r="IZ30" i="1"/>
  <c r="IY30" i="1"/>
  <c r="JP29" i="1"/>
  <c r="JO29" i="1"/>
  <c r="JN29" i="1"/>
  <c r="JM29" i="1"/>
  <c r="JL29" i="1"/>
  <c r="JK29" i="1"/>
  <c r="JJ29" i="1"/>
  <c r="JI29" i="1"/>
  <c r="JH29" i="1"/>
  <c r="JG29" i="1"/>
  <c r="JF29" i="1"/>
  <c r="JE29" i="1"/>
  <c r="JD29" i="1"/>
  <c r="JC29" i="1"/>
  <c r="JB29" i="1"/>
  <c r="JA29" i="1"/>
  <c r="IZ29" i="1"/>
  <c r="IY29" i="1"/>
  <c r="JP28" i="1"/>
  <c r="JO28" i="1"/>
  <c r="JN28" i="1"/>
  <c r="JM28" i="1"/>
  <c r="JL28" i="1"/>
  <c r="JK28" i="1"/>
  <c r="JJ28" i="1"/>
  <c r="JI28" i="1"/>
  <c r="JH28" i="1"/>
  <c r="JG28" i="1"/>
  <c r="JF28" i="1"/>
  <c r="JE28" i="1"/>
  <c r="JD28" i="1"/>
  <c r="JC28" i="1"/>
  <c r="JB28" i="1"/>
  <c r="JA28" i="1"/>
  <c r="IZ28" i="1"/>
  <c r="IY28" i="1"/>
  <c r="JP27" i="1"/>
  <c r="JO27" i="1"/>
  <c r="JN27" i="1"/>
  <c r="JM27" i="1"/>
  <c r="JL27" i="1"/>
  <c r="JK27" i="1"/>
  <c r="JJ27" i="1"/>
  <c r="JI27" i="1"/>
  <c r="JH27" i="1"/>
  <c r="JG27" i="1"/>
  <c r="JF27" i="1"/>
  <c r="JE27" i="1"/>
  <c r="JD27" i="1"/>
  <c r="JC27" i="1"/>
  <c r="JB27" i="1"/>
  <c r="JA27" i="1"/>
  <c r="IZ27" i="1"/>
  <c r="IY27" i="1"/>
  <c r="JP26" i="1"/>
  <c r="JO26" i="1"/>
  <c r="JN26" i="1"/>
  <c r="JM26" i="1"/>
  <c r="JL26" i="1"/>
  <c r="JK26" i="1"/>
  <c r="JJ26" i="1"/>
  <c r="JI26" i="1"/>
  <c r="JH26" i="1"/>
  <c r="JG26" i="1"/>
  <c r="JF26" i="1"/>
  <c r="JE26" i="1"/>
  <c r="JD26" i="1"/>
  <c r="JC26" i="1"/>
  <c r="JB26" i="1"/>
  <c r="JA26" i="1"/>
  <c r="IZ26" i="1"/>
  <c r="IY26" i="1"/>
  <c r="JP25" i="1"/>
  <c r="JO25" i="1"/>
  <c r="JN25" i="1"/>
  <c r="JM25" i="1"/>
  <c r="JL25" i="1"/>
  <c r="JK25" i="1"/>
  <c r="JJ25" i="1"/>
  <c r="JI25" i="1"/>
  <c r="JH25" i="1"/>
  <c r="JG25" i="1"/>
  <c r="JF25" i="1"/>
  <c r="JE25" i="1"/>
  <c r="JD25" i="1"/>
  <c r="JC25" i="1"/>
  <c r="JB25" i="1"/>
  <c r="JA25" i="1"/>
  <c r="IZ25" i="1"/>
  <c r="IY25" i="1"/>
  <c r="JP24" i="1"/>
  <c r="JO24" i="1"/>
  <c r="JN24" i="1"/>
  <c r="JM24" i="1"/>
  <c r="JL24" i="1"/>
  <c r="JK24" i="1"/>
  <c r="JJ24" i="1"/>
  <c r="JI24" i="1"/>
  <c r="JH24" i="1"/>
  <c r="JG24" i="1"/>
  <c r="JF24" i="1"/>
  <c r="JE24" i="1"/>
  <c r="JD24" i="1"/>
  <c r="JC24" i="1"/>
  <c r="JB24" i="1"/>
  <c r="JA24" i="1"/>
  <c r="IZ24" i="1"/>
  <c r="IY24" i="1"/>
  <c r="JP23" i="1"/>
  <c r="JO23" i="1"/>
  <c r="JN23" i="1"/>
  <c r="JM23" i="1"/>
  <c r="JL23" i="1"/>
  <c r="JK23" i="1"/>
  <c r="JJ23" i="1"/>
  <c r="JI23" i="1"/>
  <c r="JH23" i="1"/>
  <c r="JG23" i="1"/>
  <c r="JF23" i="1"/>
  <c r="JE23" i="1"/>
  <c r="JD23" i="1"/>
  <c r="JC23" i="1"/>
  <c r="JB23" i="1"/>
  <c r="JA23" i="1"/>
  <c r="IZ23" i="1"/>
  <c r="IY23" i="1"/>
  <c r="JP22" i="1"/>
  <c r="JO22" i="1"/>
  <c r="JN22" i="1"/>
  <c r="JM22" i="1"/>
  <c r="JL22" i="1"/>
  <c r="JK22" i="1"/>
  <c r="JJ22" i="1"/>
  <c r="JI22" i="1"/>
  <c r="JH22" i="1"/>
  <c r="JG22" i="1"/>
  <c r="JF22" i="1"/>
  <c r="JE22" i="1"/>
  <c r="JD22" i="1"/>
  <c r="JC22" i="1"/>
  <c r="JB22" i="1"/>
  <c r="JA22" i="1"/>
  <c r="IZ22" i="1"/>
  <c r="IY22" i="1"/>
  <c r="JP21" i="1"/>
  <c r="JO21" i="1"/>
  <c r="JN21" i="1"/>
  <c r="JM21" i="1"/>
  <c r="JL21" i="1"/>
  <c r="JK21" i="1"/>
  <c r="JJ21" i="1"/>
  <c r="JI21" i="1"/>
  <c r="JH21" i="1"/>
  <c r="JG21" i="1"/>
  <c r="JF21" i="1"/>
  <c r="JE21" i="1"/>
  <c r="JD21" i="1"/>
  <c r="JC21" i="1"/>
  <c r="JB21" i="1"/>
  <c r="JA21" i="1"/>
  <c r="IZ21" i="1"/>
  <c r="IY21" i="1"/>
  <c r="JP18" i="1"/>
  <c r="JO18" i="1"/>
  <c r="JN18" i="1"/>
  <c r="JM18" i="1"/>
  <c r="JL18" i="1"/>
  <c r="JK18" i="1"/>
  <c r="JJ18" i="1"/>
  <c r="JI18" i="1"/>
  <c r="JH18" i="1"/>
  <c r="JG18" i="1"/>
  <c r="JF18" i="1"/>
  <c r="JE18" i="1"/>
  <c r="JD18" i="1"/>
  <c r="JC18" i="1"/>
  <c r="JB18" i="1"/>
  <c r="JA18" i="1"/>
  <c r="IZ18" i="1"/>
  <c r="IY18" i="1"/>
  <c r="JP17" i="1"/>
  <c r="JO17" i="1"/>
  <c r="JN17" i="1"/>
  <c r="JM17" i="1"/>
  <c r="JL17" i="1"/>
  <c r="JK17" i="1"/>
  <c r="JJ17" i="1"/>
  <c r="JI17" i="1"/>
  <c r="JH17" i="1"/>
  <c r="JG17" i="1"/>
  <c r="JF17" i="1"/>
  <c r="JE17" i="1"/>
  <c r="JD17" i="1"/>
  <c r="JC17" i="1"/>
  <c r="JB17" i="1"/>
  <c r="JA17" i="1"/>
  <c r="IZ17" i="1"/>
  <c r="IY17" i="1"/>
  <c r="JP16" i="1"/>
  <c r="JO16" i="1"/>
  <c r="JN16" i="1"/>
  <c r="JM16" i="1"/>
  <c r="JL16" i="1"/>
  <c r="JK16" i="1"/>
  <c r="JJ16" i="1"/>
  <c r="JI16" i="1"/>
  <c r="JH16" i="1"/>
  <c r="JG16" i="1"/>
  <c r="JF16" i="1"/>
  <c r="JE16" i="1"/>
  <c r="JD16" i="1"/>
  <c r="JC16" i="1"/>
  <c r="JB16" i="1"/>
  <c r="JA16" i="1"/>
  <c r="IZ16" i="1"/>
  <c r="IY16" i="1"/>
  <c r="JP15" i="1"/>
  <c r="JO15" i="1"/>
  <c r="JN15" i="1"/>
  <c r="JM15" i="1"/>
  <c r="JL15" i="1"/>
  <c r="JK15" i="1"/>
  <c r="JJ15" i="1"/>
  <c r="JI15" i="1"/>
  <c r="JH15" i="1"/>
  <c r="JG15" i="1"/>
  <c r="JF15" i="1"/>
  <c r="JE15" i="1"/>
  <c r="JD15" i="1"/>
  <c r="JC15" i="1"/>
  <c r="JB15" i="1"/>
  <c r="JA15" i="1"/>
  <c r="IZ15" i="1"/>
  <c r="IY15" i="1"/>
  <c r="JP14" i="1"/>
  <c r="JO14" i="1"/>
  <c r="JN14" i="1"/>
  <c r="JM14" i="1"/>
  <c r="JL14" i="1"/>
  <c r="JK14" i="1"/>
  <c r="JJ14" i="1"/>
  <c r="JI14" i="1"/>
  <c r="JH14" i="1"/>
  <c r="JG14" i="1"/>
  <c r="JF14" i="1"/>
  <c r="JE14" i="1"/>
  <c r="JD14" i="1"/>
  <c r="JC14" i="1"/>
  <c r="JB14" i="1"/>
  <c r="JA14" i="1"/>
  <c r="IZ14" i="1"/>
  <c r="IY14" i="1"/>
  <c r="JP13" i="1"/>
  <c r="JO13" i="1"/>
  <c r="JN13" i="1"/>
  <c r="JM13" i="1"/>
  <c r="JL13" i="1"/>
  <c r="JK13" i="1"/>
  <c r="JJ13" i="1"/>
  <c r="JI13" i="1"/>
  <c r="JH13" i="1"/>
  <c r="JG13" i="1"/>
  <c r="JF13" i="1"/>
  <c r="JE13" i="1"/>
  <c r="JD13" i="1"/>
  <c r="JC13" i="1"/>
  <c r="JB13" i="1"/>
  <c r="JA13" i="1"/>
  <c r="IZ13" i="1"/>
  <c r="IY13" i="1"/>
  <c r="Q12" i="31"/>
  <c r="O1" i="31" l="1"/>
  <c r="K211" i="39"/>
  <c r="K223" i="39"/>
  <c r="K230" i="39" s="1"/>
  <c r="K243" i="39"/>
  <c r="K255" i="39" s="1"/>
  <c r="K262" i="39" s="1"/>
  <c r="K418" i="39"/>
  <c r="K425" i="39" s="1"/>
  <c r="K456" i="39"/>
  <c r="K463" i="39" s="1"/>
  <c r="K293" i="39"/>
  <c r="K300" i="39" s="1"/>
  <c r="K386" i="39"/>
  <c r="K393" i="39" s="1"/>
  <c r="K444" i="39"/>
  <c r="K619" i="39"/>
  <c r="K626" i="39" s="1"/>
  <c r="K782" i="39"/>
  <c r="K789" i="39" s="1"/>
  <c r="K1396" i="39"/>
  <c r="K1403" i="39" s="1"/>
  <c r="K1559" i="39"/>
  <c r="K1566" i="39" s="1"/>
  <c r="K169" i="39" l="1"/>
  <c r="Z101" i="39"/>
  <c r="Y101" i="39"/>
  <c r="X101" i="39"/>
  <c r="W101" i="39"/>
  <c r="V101" i="39"/>
  <c r="U101" i="39"/>
  <c r="T101" i="39"/>
  <c r="S101" i="39"/>
  <c r="R101" i="39"/>
  <c r="Q101" i="39"/>
  <c r="P101" i="39"/>
  <c r="O101" i="39"/>
  <c r="N101" i="39"/>
  <c r="M101" i="39"/>
  <c r="L101" i="39"/>
  <c r="Z139" i="39"/>
  <c r="Y139" i="39"/>
  <c r="X139" i="39"/>
  <c r="W139" i="39"/>
  <c r="V139" i="39"/>
  <c r="U139" i="39"/>
  <c r="T139" i="39"/>
  <c r="S139" i="39"/>
  <c r="R139" i="39"/>
  <c r="Q139" i="39"/>
  <c r="P139" i="39"/>
  <c r="O139" i="39"/>
  <c r="N139" i="39"/>
  <c r="M139" i="39"/>
  <c r="L139" i="39"/>
  <c r="AL2" i="31" l="1"/>
  <c r="AI14" i="38" s="1"/>
  <c r="AK2" i="31"/>
  <c r="AF14" i="38" s="1"/>
  <c r="AJ2" i="31"/>
  <c r="AC14" i="38" s="1"/>
  <c r="K25" i="7"/>
  <c r="K24" i="7"/>
  <c r="K23" i="7"/>
  <c r="K22" i="7"/>
  <c r="K21" i="7"/>
  <c r="K20" i="7"/>
  <c r="K19" i="7"/>
  <c r="K18" i="7"/>
  <c r="H17" i="7"/>
  <c r="H13" i="7"/>
  <c r="Q1288" i="39" l="1"/>
  <c r="P1288" i="39"/>
  <c r="O1288" i="39"/>
  <c r="M1288" i="39"/>
  <c r="Z1288" i="39"/>
  <c r="Y1288" i="39"/>
  <c r="N1288" i="39"/>
  <c r="L1288" i="39"/>
  <c r="X1288" i="39"/>
  <c r="T1288" i="39"/>
  <c r="R1288" i="39"/>
  <c r="W1288" i="39"/>
  <c r="V1288" i="39"/>
  <c r="U1288" i="39"/>
  <c r="S1288" i="39"/>
  <c r="N1451" i="39"/>
  <c r="M1451" i="39"/>
  <c r="L1451" i="39"/>
  <c r="Z1451" i="39"/>
  <c r="W1451" i="39"/>
  <c r="V1451" i="39"/>
  <c r="Y1451" i="39"/>
  <c r="X1451" i="39"/>
  <c r="U1451" i="39"/>
  <c r="O1451" i="39"/>
  <c r="T1451" i="39"/>
  <c r="P1451" i="39"/>
  <c r="S1451" i="39"/>
  <c r="Q1451" i="39"/>
  <c r="R1451" i="39"/>
  <c r="N1614" i="39"/>
  <c r="M1614" i="39"/>
  <c r="L1614" i="39"/>
  <c r="Z1614" i="39"/>
  <c r="W1614" i="39"/>
  <c r="V1614" i="39"/>
  <c r="Y1614" i="39"/>
  <c r="X1614" i="39"/>
  <c r="U1614" i="39"/>
  <c r="T1614" i="39"/>
  <c r="S1614" i="39"/>
  <c r="Q1614" i="39"/>
  <c r="R1614" i="39"/>
  <c r="P1614" i="39"/>
  <c r="O1614" i="39"/>
  <c r="W2" i="31"/>
  <c r="U2" i="31"/>
  <c r="S2" i="31"/>
  <c r="Q2" i="31"/>
  <c r="O2" i="31"/>
  <c r="M2" i="31"/>
  <c r="K2" i="31"/>
  <c r="I2" i="31"/>
  <c r="G2" i="31"/>
  <c r="E2" i="31"/>
  <c r="V79" i="7"/>
  <c r="U79" i="7"/>
  <c r="T79" i="7"/>
  <c r="S79" i="7"/>
  <c r="V45" i="7"/>
  <c r="U45" i="7"/>
  <c r="T45" i="7"/>
  <c r="S45" i="7"/>
  <c r="V8" i="7"/>
  <c r="U8" i="7"/>
  <c r="T8" i="7"/>
  <c r="S8" i="7"/>
  <c r="E54" i="41"/>
  <c r="E49" i="41"/>
  <c r="E44" i="41"/>
  <c r="E39" i="41"/>
  <c r="E34" i="41"/>
  <c r="E29" i="41"/>
  <c r="E24" i="41"/>
  <c r="E19" i="41"/>
  <c r="E14" i="41"/>
  <c r="E9" i="41"/>
  <c r="BC6" i="1"/>
  <c r="AX6" i="1"/>
  <c r="AS6" i="1"/>
  <c r="AN6" i="1"/>
  <c r="AI23" i="38"/>
  <c r="AI22" i="38"/>
  <c r="AI12" i="38"/>
  <c r="AF23" i="38"/>
  <c r="AF22" i="38"/>
  <c r="AF12" i="38"/>
  <c r="AC23" i="38"/>
  <c r="AC22" i="38"/>
  <c r="AC12" i="38"/>
  <c r="Z23" i="38"/>
  <c r="Z22" i="38"/>
  <c r="Z12" i="38"/>
  <c r="NE35" i="1"/>
  <c r="NC12" i="1"/>
  <c r="LY35" i="1"/>
  <c r="X1616" i="39" l="1"/>
  <c r="X1613" i="39"/>
  <c r="L1287" i="39"/>
  <c r="L1290" i="39"/>
  <c r="Y1616" i="39"/>
  <c r="Y1613" i="39"/>
  <c r="M1450" i="39"/>
  <c r="M1453" i="39"/>
  <c r="P1453" i="39"/>
  <c r="P1450" i="39"/>
  <c r="V1616" i="39"/>
  <c r="V1613" i="39"/>
  <c r="O1613" i="39"/>
  <c r="O1616" i="39"/>
  <c r="W1616" i="39"/>
  <c r="W1613" i="39"/>
  <c r="T1450" i="39"/>
  <c r="T1453" i="39"/>
  <c r="N1453" i="39"/>
  <c r="N1450" i="39"/>
  <c r="N1287" i="39"/>
  <c r="N1290" i="39"/>
  <c r="L1613" i="39"/>
  <c r="L1616" i="39"/>
  <c r="S1613" i="39"/>
  <c r="S1616" i="39"/>
  <c r="M1613" i="39"/>
  <c r="M1616" i="39"/>
  <c r="U1453" i="39"/>
  <c r="U1450" i="39"/>
  <c r="V1290" i="39"/>
  <c r="V1287" i="39"/>
  <c r="O1290" i="39"/>
  <c r="O1287" i="39"/>
  <c r="X1450" i="39"/>
  <c r="X1453" i="39"/>
  <c r="Q1453" i="39"/>
  <c r="Q1450" i="39"/>
  <c r="L1450" i="39"/>
  <c r="L1453" i="39"/>
  <c r="P1613" i="39"/>
  <c r="P1616" i="39"/>
  <c r="R1616" i="39"/>
  <c r="R1613" i="39"/>
  <c r="Z1287" i="39"/>
  <c r="Z1290" i="39"/>
  <c r="N1616" i="39"/>
  <c r="N1613" i="39"/>
  <c r="Y1453" i="39"/>
  <c r="Y1450" i="39"/>
  <c r="P1290" i="39"/>
  <c r="P1287" i="39"/>
  <c r="S1453" i="39"/>
  <c r="S1450" i="39"/>
  <c r="O1453" i="39"/>
  <c r="O1450" i="39"/>
  <c r="U1290" i="39"/>
  <c r="U1287" i="39"/>
  <c r="V1453" i="39"/>
  <c r="V1450" i="39"/>
  <c r="W1287" i="39"/>
  <c r="W1290" i="39"/>
  <c r="U1616" i="39"/>
  <c r="U1613" i="39"/>
  <c r="S1290" i="39"/>
  <c r="S1287" i="39"/>
  <c r="T1616" i="39"/>
  <c r="T1613" i="39"/>
  <c r="R1453" i="39"/>
  <c r="R1450" i="39"/>
  <c r="W1453" i="39"/>
  <c r="W1450" i="39"/>
  <c r="R1290" i="39"/>
  <c r="R1287" i="39"/>
  <c r="Q1290" i="39"/>
  <c r="Q1287" i="39"/>
  <c r="X1290" i="39"/>
  <c r="X1287" i="39"/>
  <c r="Z1616" i="39"/>
  <c r="Z1613" i="39"/>
  <c r="Y1290" i="39"/>
  <c r="Y1287" i="39"/>
  <c r="Q1613" i="39"/>
  <c r="Q1616" i="39"/>
  <c r="M1290" i="39"/>
  <c r="M1287" i="39"/>
  <c r="Z1450" i="39"/>
  <c r="Z1453" i="39"/>
  <c r="T1290" i="39"/>
  <c r="T1287" i="39"/>
  <c r="NA35" i="1"/>
  <c r="MO12" i="1"/>
  <c r="NC39" i="1"/>
  <c r="MP12" i="1"/>
  <c r="JL35" i="1"/>
  <c r="JF12" i="1"/>
  <c r="JF10" i="1" s="1"/>
  <c r="LT12" i="1"/>
  <c r="LV35" i="1"/>
  <c r="JB12" i="1"/>
  <c r="JN35" i="1"/>
  <c r="JI12" i="1"/>
  <c r="JP35" i="1"/>
  <c r="JB39" i="1"/>
  <c r="KK12" i="1"/>
  <c r="KS20" i="1"/>
  <c r="KQ39" i="1"/>
  <c r="MO20" i="1"/>
  <c r="NE20" i="1"/>
  <c r="KQ12" i="1"/>
  <c r="KR12" i="1"/>
  <c r="NB12" i="1"/>
  <c r="MZ12" i="1"/>
  <c r="MN12" i="1"/>
  <c r="NB20" i="1"/>
  <c r="MX20" i="1"/>
  <c r="JH12" i="1"/>
  <c r="JL20" i="1"/>
  <c r="JB20" i="1"/>
  <c r="LX35" i="1"/>
  <c r="JM35" i="1"/>
  <c r="KQ35" i="1"/>
  <c r="LS12" i="1"/>
  <c r="JO35" i="1"/>
  <c r="KS35" i="1"/>
  <c r="MS12" i="1"/>
  <c r="NE12" i="1"/>
  <c r="LW12" i="1"/>
  <c r="LX39" i="1"/>
  <c r="ND35" i="1"/>
  <c r="MQ12" i="1"/>
  <c r="KU35" i="1"/>
  <c r="KL39" i="1"/>
  <c r="MZ20" i="1"/>
  <c r="LM12" i="1"/>
  <c r="LN12" i="1"/>
  <c r="LV12" i="1"/>
  <c r="KJ20" i="1"/>
  <c r="KD20" i="1"/>
  <c r="KT20" i="1"/>
  <c r="KM12" i="1"/>
  <c r="KI12" i="1"/>
  <c r="LU20" i="1"/>
  <c r="JG20" i="1"/>
  <c r="JD39" i="1"/>
  <c r="LU12" i="1"/>
  <c r="JD12" i="1"/>
  <c r="KR20" i="1"/>
  <c r="NC20" i="1"/>
  <c r="NC10" i="1" s="1"/>
  <c r="NA20" i="1"/>
  <c r="MV39" i="1"/>
  <c r="NB39" i="1"/>
  <c r="JA20" i="1"/>
  <c r="MN39" i="1"/>
  <c r="ND12" i="1"/>
  <c r="JL12" i="1"/>
  <c r="LY39" i="1"/>
  <c r="JC12" i="1"/>
  <c r="JN20" i="1"/>
  <c r="JJ20" i="1"/>
  <c r="JE39" i="1"/>
  <c r="KD12" i="1"/>
  <c r="KT12" i="1"/>
  <c r="KT10" i="1" s="1"/>
  <c r="KL12" i="1"/>
  <c r="KS39" i="1"/>
  <c r="KE39" i="1"/>
  <c r="LN39" i="1"/>
  <c r="LL39" i="1"/>
  <c r="MO39" i="1"/>
  <c r="NE39" i="1"/>
  <c r="MY39" i="1"/>
  <c r="JG39" i="1"/>
  <c r="MT20" i="1"/>
  <c r="AC39" i="38"/>
  <c r="JJ12" i="1"/>
  <c r="JH39" i="1"/>
  <c r="JN12" i="1"/>
  <c r="JC20" i="1"/>
  <c r="JF39" i="1"/>
  <c r="LS20" i="1"/>
  <c r="LQ39" i="1"/>
  <c r="MV12" i="1"/>
  <c r="JM12" i="1"/>
  <c r="KN12" i="1"/>
  <c r="KO39" i="1"/>
  <c r="LX20" i="1"/>
  <c r="LJ39" i="1"/>
  <c r="MS39" i="1"/>
  <c r="MQ39" i="1"/>
  <c r="AF39" i="38"/>
  <c r="JM20" i="1"/>
  <c r="KD39" i="1"/>
  <c r="LW39" i="1"/>
  <c r="ND39" i="1"/>
  <c r="MX39" i="1"/>
  <c r="KO12" i="1"/>
  <c r="LI20" i="1"/>
  <c r="LY20" i="1"/>
  <c r="LO39" i="1"/>
  <c r="MY20" i="1"/>
  <c r="MZ39" i="1"/>
  <c r="JP20" i="1"/>
  <c r="JI39" i="1"/>
  <c r="LP12" i="1"/>
  <c r="LJ20" i="1"/>
  <c r="LZ20" i="1"/>
  <c r="LR20" i="1"/>
  <c r="MW12" i="1"/>
  <c r="NC35" i="1"/>
  <c r="AI39" i="38"/>
  <c r="JE20" i="1"/>
  <c r="LK20" i="1"/>
  <c r="JD20" i="1"/>
  <c r="KR35" i="1"/>
  <c r="LR12" i="1"/>
  <c r="MU39" i="1"/>
  <c r="JE12" i="1"/>
  <c r="JF20" i="1"/>
  <c r="JC39" i="1"/>
  <c r="KM20" i="1"/>
  <c r="KU20" i="1"/>
  <c r="KT35" i="1"/>
  <c r="LJ12" i="1"/>
  <c r="LZ12" i="1"/>
  <c r="LN20" i="1"/>
  <c r="MN20" i="1"/>
  <c r="ND20" i="1"/>
  <c r="JG12" i="1"/>
  <c r="IZ20" i="1"/>
  <c r="KP12" i="1"/>
  <c r="KQ20" i="1"/>
  <c r="LL12" i="1"/>
  <c r="LV20" i="1"/>
  <c r="LV10" i="1" s="1"/>
  <c r="NA39" i="1"/>
  <c r="KF39" i="1"/>
  <c r="KP39" i="1"/>
  <c r="IY20" i="1"/>
  <c r="JA39" i="1"/>
  <c r="JO20" i="1"/>
  <c r="IY39" i="1"/>
  <c r="KS12" i="1"/>
  <c r="KG20" i="1"/>
  <c r="LP39" i="1"/>
  <c r="KF20" i="1"/>
  <c r="KH20" i="1"/>
  <c r="KR39" i="1"/>
  <c r="LM39" i="1"/>
  <c r="JN39" i="1"/>
  <c r="JO39" i="1"/>
  <c r="JK12" i="1"/>
  <c r="KE12" i="1"/>
  <c r="KI20" i="1"/>
  <c r="JP39" i="1"/>
  <c r="KF12" i="1"/>
  <c r="KT39" i="1"/>
  <c r="JK20" i="1"/>
  <c r="JL39" i="1"/>
  <c r="KG12" i="1"/>
  <c r="KK20" i="1"/>
  <c r="KK10" i="1" s="1"/>
  <c r="KU39" i="1"/>
  <c r="JM39" i="1"/>
  <c r="KH12" i="1"/>
  <c r="KL20" i="1"/>
  <c r="IY12" i="1"/>
  <c r="JO12" i="1"/>
  <c r="JH20" i="1"/>
  <c r="KJ12" i="1"/>
  <c r="KN39" i="1"/>
  <c r="IZ12" i="1"/>
  <c r="JI20" i="1"/>
  <c r="KU12" i="1"/>
  <c r="KN20" i="1"/>
  <c r="IZ39" i="1"/>
  <c r="JP12" i="1"/>
  <c r="JP10" i="1" s="1"/>
  <c r="JA12" i="1"/>
  <c r="JA10" i="1" s="1"/>
  <c r="JJ39" i="1"/>
  <c r="KO20" i="1"/>
  <c r="JK39" i="1"/>
  <c r="KP20" i="1"/>
  <c r="KE20" i="1"/>
  <c r="LK12" i="1"/>
  <c r="LK39" i="1"/>
  <c r="LO12" i="1"/>
  <c r="LR39" i="1"/>
  <c r="KG39" i="1"/>
  <c r="LM20" i="1"/>
  <c r="KH39" i="1"/>
  <c r="LW35" i="1"/>
  <c r="KI39" i="1"/>
  <c r="LW20" i="1"/>
  <c r="LW10" i="1" s="1"/>
  <c r="LW60" i="1" s="1"/>
  <c r="MQ10" i="1"/>
  <c r="MU20" i="1"/>
  <c r="KJ39" i="1"/>
  <c r="KK39" i="1"/>
  <c r="LZ35" i="1"/>
  <c r="KM39" i="1"/>
  <c r="LI39" i="1"/>
  <c r="LQ20" i="1"/>
  <c r="LX12" i="1"/>
  <c r="LI12" i="1"/>
  <c r="LY12" i="1"/>
  <c r="LL20" i="1"/>
  <c r="MT12" i="1"/>
  <c r="MT39" i="1"/>
  <c r="MU12" i="1"/>
  <c r="LV39" i="1"/>
  <c r="NA12" i="1"/>
  <c r="NB35" i="1"/>
  <c r="MX12" i="1"/>
  <c r="LO20" i="1"/>
  <c r="MY12" i="1"/>
  <c r="MP20" i="1"/>
  <c r="MV20" i="1"/>
  <c r="LP20" i="1"/>
  <c r="LU39" i="1"/>
  <c r="MQ20" i="1"/>
  <c r="MW20" i="1"/>
  <c r="MW39" i="1"/>
  <c r="LZ39" i="1"/>
  <c r="MR20" i="1"/>
  <c r="LQ12" i="1"/>
  <c r="MP39" i="1"/>
  <c r="LS39" i="1"/>
  <c r="LT20" i="1"/>
  <c r="LT39" i="1"/>
  <c r="MR12" i="1"/>
  <c r="MS20" i="1"/>
  <c r="MR39" i="1"/>
  <c r="NB10" i="1" l="1"/>
  <c r="NB60" i="1" s="1"/>
  <c r="JJ10" i="1"/>
  <c r="MP10" i="1"/>
  <c r="JH10" i="1"/>
  <c r="LT10" i="1"/>
  <c r="JB10" i="1"/>
  <c r="V1452" i="39"/>
  <c r="Z1289" i="39"/>
  <c r="X1452" i="39"/>
  <c r="M1615" i="39"/>
  <c r="P1452" i="39"/>
  <c r="Q1289" i="39"/>
  <c r="W1452" i="39"/>
  <c r="X1289" i="39"/>
  <c r="V1289" i="39"/>
  <c r="R1289" i="39"/>
  <c r="W1615" i="39"/>
  <c r="M1452" i="39"/>
  <c r="Y1289" i="39"/>
  <c r="P1289" i="39"/>
  <c r="Z1615" i="39"/>
  <c r="T1615" i="39"/>
  <c r="U1289" i="39"/>
  <c r="Y1615" i="39"/>
  <c r="S1452" i="39"/>
  <c r="Q1615" i="39"/>
  <c r="V1615" i="39"/>
  <c r="P1615" i="39"/>
  <c r="N1452" i="39"/>
  <c r="U1452" i="39"/>
  <c r="M1289" i="39"/>
  <c r="R1615" i="39"/>
  <c r="S1289" i="39"/>
  <c r="Y1452" i="39"/>
  <c r="S1615" i="39"/>
  <c r="R1452" i="39"/>
  <c r="T1289" i="39"/>
  <c r="L1452" i="39"/>
  <c r="L1289" i="39"/>
  <c r="O1452" i="39"/>
  <c r="O1615" i="39"/>
  <c r="L1615" i="39"/>
  <c r="U1615" i="39"/>
  <c r="N1615" i="39"/>
  <c r="Q1452" i="39"/>
  <c r="O1289" i="39"/>
  <c r="X1615" i="39"/>
  <c r="W1289" i="39"/>
  <c r="T1452" i="39"/>
  <c r="Z1452" i="39"/>
  <c r="N1289" i="39"/>
  <c r="MO10" i="1"/>
  <c r="ND10" i="1"/>
  <c r="LS10" i="1"/>
  <c r="LV60" i="1"/>
  <c r="LN10" i="1"/>
  <c r="KD10" i="1"/>
  <c r="KN10" i="1"/>
  <c r="KQ10" i="1"/>
  <c r="KQ60" i="1" s="1"/>
  <c r="KO10" i="1"/>
  <c r="JE10" i="1"/>
  <c r="JM10" i="1"/>
  <c r="JD10" i="1"/>
  <c r="LL10" i="1"/>
  <c r="IZ10" i="1"/>
  <c r="MN10" i="1"/>
  <c r="JI10" i="1"/>
  <c r="KS10" i="1"/>
  <c r="KS60" i="1" s="1"/>
  <c r="LM10" i="1"/>
  <c r="JN10" i="1"/>
  <c r="JN60" i="1" s="1"/>
  <c r="JC10" i="1"/>
  <c r="NE10" i="1"/>
  <c r="NE60" i="1" s="1"/>
  <c r="KH10" i="1"/>
  <c r="ND60" i="1"/>
  <c r="MZ10" i="1"/>
  <c r="JL10" i="1"/>
  <c r="JL60" i="1" s="1"/>
  <c r="JG10" i="1"/>
  <c r="LX10" i="1"/>
  <c r="LX60" i="1" s="1"/>
  <c r="MV10" i="1"/>
  <c r="KJ10" i="1"/>
  <c r="MS10" i="1"/>
  <c r="LK10" i="1"/>
  <c r="NC60" i="1"/>
  <c r="MT10" i="1"/>
  <c r="MX10" i="1"/>
  <c r="KR10" i="1"/>
  <c r="KR60" i="1" s="1"/>
  <c r="MY10" i="1"/>
  <c r="KL10" i="1"/>
  <c r="LJ10" i="1"/>
  <c r="MR10" i="1"/>
  <c r="KF10" i="1"/>
  <c r="NA10" i="1"/>
  <c r="NA60" i="1" s="1"/>
  <c r="KI10" i="1"/>
  <c r="LU10" i="1"/>
  <c r="KP10" i="1"/>
  <c r="IY10" i="1"/>
  <c r="KE10" i="1"/>
  <c r="JK10" i="1"/>
  <c r="LR10" i="1"/>
  <c r="MW10" i="1"/>
  <c r="JP60" i="1"/>
  <c r="KM10" i="1"/>
  <c r="LY10" i="1"/>
  <c r="LY60" i="1" s="1"/>
  <c r="LP10" i="1"/>
  <c r="LI10" i="1"/>
  <c r="KU10" i="1"/>
  <c r="KU60" i="1" s="1"/>
  <c r="KG10" i="1"/>
  <c r="KT60" i="1"/>
  <c r="LZ10" i="1"/>
  <c r="LZ60" i="1" s="1"/>
  <c r="JM60" i="1"/>
  <c r="LO10" i="1"/>
  <c r="LQ10" i="1"/>
  <c r="MU10" i="1"/>
  <c r="JO10" i="1"/>
  <c r="JO60" i="1" s="1"/>
  <c r="A5" i="63" l="1"/>
  <c r="A6" i="63" s="1"/>
  <c r="A7" i="63" s="1"/>
  <c r="A8" i="63" s="1"/>
  <c r="A9" i="63" s="1"/>
  <c r="A10" i="63" s="1"/>
  <c r="A11" i="63" s="1"/>
  <c r="A12" i="63" s="1"/>
  <c r="A13" i="63" s="1"/>
  <c r="A14" i="63" s="1"/>
  <c r="A15" i="63" s="1"/>
  <c r="A16" i="63" s="1"/>
  <c r="A17" i="63" s="1"/>
  <c r="A18" i="63" s="1"/>
  <c r="A19" i="63" s="1"/>
  <c r="B50" i="62"/>
  <c r="B49" i="62"/>
  <c r="B48" i="62"/>
  <c r="B47" i="62"/>
  <c r="B46" i="62"/>
  <c r="B45" i="62"/>
  <c r="B44" i="62"/>
  <c r="B43" i="62"/>
  <c r="B42" i="62"/>
  <c r="B41" i="62"/>
  <c r="B40" i="62"/>
  <c r="B39" i="62"/>
  <c r="B38" i="62"/>
  <c r="B37" i="62"/>
  <c r="B36" i="62"/>
  <c r="B35" i="62"/>
  <c r="B34" i="62"/>
  <c r="B33" i="62"/>
  <c r="B32" i="62"/>
  <c r="B31" i="62"/>
  <c r="B30" i="62"/>
  <c r="B29" i="62"/>
  <c r="B28" i="62"/>
  <c r="B27" i="62"/>
  <c r="B26" i="62"/>
  <c r="B25" i="62"/>
  <c r="B24" i="62"/>
  <c r="B23" i="62"/>
  <c r="B22" i="62"/>
  <c r="B21" i="62"/>
  <c r="B20" i="62"/>
  <c r="B19" i="62"/>
  <c r="B18" i="62"/>
  <c r="B17" i="62"/>
  <c r="B16" i="62"/>
  <c r="B15" i="62"/>
  <c r="B14" i="62"/>
  <c r="B13" i="62"/>
  <c r="B12" i="62"/>
  <c r="B11" i="62"/>
  <c r="B10" i="62"/>
  <c r="B9" i="62"/>
  <c r="B8" i="62"/>
  <c r="B7" i="62"/>
  <c r="B6" i="62"/>
  <c r="B5" i="62"/>
  <c r="B4" i="62"/>
  <c r="M13" i="54"/>
  <c r="M12" i="54" s="1"/>
  <c r="C20" i="56" l="1"/>
  <c r="C33" i="56"/>
  <c r="C11" i="56"/>
  <c r="C12" i="56" l="1"/>
  <c r="C10" i="56"/>
  <c r="E1" i="31"/>
  <c r="G1" i="31" s="1"/>
  <c r="C26" i="56"/>
  <c r="H5" i="56"/>
  <c r="H25" i="56" l="1"/>
  <c r="H24" i="56"/>
  <c r="H22" i="56"/>
  <c r="H23" i="56" s="1"/>
  <c r="C19" i="56"/>
  <c r="G55" i="55" l="1"/>
  <c r="G53" i="55"/>
  <c r="G52" i="55"/>
  <c r="G51" i="55"/>
  <c r="G50" i="55"/>
  <c r="G49" i="55"/>
  <c r="G48" i="55"/>
  <c r="G47" i="55"/>
  <c r="G46" i="55"/>
  <c r="G45" i="55"/>
  <c r="G44" i="55"/>
  <c r="G43" i="55"/>
  <c r="G42" i="55"/>
  <c r="G41" i="55"/>
  <c r="G40" i="55"/>
  <c r="G39" i="55"/>
  <c r="G38" i="55"/>
  <c r="G37" i="55"/>
  <c r="G36" i="55"/>
  <c r="G35" i="55"/>
  <c r="G34" i="55"/>
  <c r="G28" i="55"/>
  <c r="G27" i="55"/>
  <c r="G26" i="55"/>
  <c r="G25" i="55"/>
  <c r="G24" i="55"/>
  <c r="G23" i="55"/>
  <c r="G22" i="55"/>
  <c r="G21" i="55"/>
  <c r="G20" i="55"/>
  <c r="G19" i="55"/>
  <c r="G18" i="55"/>
  <c r="G17" i="55"/>
  <c r="G16" i="55"/>
  <c r="G15" i="55"/>
  <c r="G13" i="55"/>
  <c r="G12" i="55"/>
  <c r="G11" i="55"/>
  <c r="G10" i="55"/>
  <c r="G9" i="55"/>
  <c r="G8" i="55"/>
  <c r="G7" i="55"/>
  <c r="G5" i="55"/>
  <c r="L13" i="54" l="1"/>
  <c r="L12" i="54" s="1"/>
  <c r="Z14" i="38" l="1"/>
  <c r="Q1125" i="39" l="1"/>
  <c r="P1125" i="39"/>
  <c r="O1125" i="39"/>
  <c r="M1125" i="39"/>
  <c r="N1125" i="39"/>
  <c r="Z1125" i="39"/>
  <c r="Y1125" i="39"/>
  <c r="L1125" i="39"/>
  <c r="X1125" i="39"/>
  <c r="R1125" i="39"/>
  <c r="W1125" i="39"/>
  <c r="V1125" i="39"/>
  <c r="T1125" i="39"/>
  <c r="U1125" i="39"/>
  <c r="S1125" i="39"/>
  <c r="Z39" i="38"/>
  <c r="N11" i="39"/>
  <c r="M11" i="31"/>
  <c r="K11" i="31"/>
  <c r="I11" i="31"/>
  <c r="L1127" i="39" l="1"/>
  <c r="L1124" i="39"/>
  <c r="Y1124" i="39"/>
  <c r="Y1127" i="39"/>
  <c r="Z1127" i="39"/>
  <c r="Z1124" i="39"/>
  <c r="N1127" i="39"/>
  <c r="N1124" i="39"/>
  <c r="U1127" i="39"/>
  <c r="U1124" i="39"/>
  <c r="P1127" i="39"/>
  <c r="P1124" i="39"/>
  <c r="S1124" i="39"/>
  <c r="S1127" i="39"/>
  <c r="T1127" i="39"/>
  <c r="T1124" i="39"/>
  <c r="W1124" i="39"/>
  <c r="W1127" i="39"/>
  <c r="O1127" i="39"/>
  <c r="O1124" i="39"/>
  <c r="R1127" i="39"/>
  <c r="R1124" i="39"/>
  <c r="Q1124" i="39"/>
  <c r="Q1127" i="39"/>
  <c r="X1124" i="39"/>
  <c r="X1127" i="39"/>
  <c r="M1127" i="39"/>
  <c r="M1124" i="39"/>
  <c r="V1124" i="39"/>
  <c r="V1127" i="39"/>
  <c r="AI6" i="1"/>
  <c r="Z1126" i="39" l="1"/>
  <c r="W1126" i="39"/>
  <c r="M1126" i="39"/>
  <c r="Q1126" i="39"/>
  <c r="V1126" i="39"/>
  <c r="X1126" i="39"/>
  <c r="T1126" i="39"/>
  <c r="Y1126" i="39"/>
  <c r="O1126" i="39"/>
  <c r="N1126" i="39"/>
  <c r="R1126" i="39"/>
  <c r="S1126" i="39"/>
  <c r="P1126" i="39"/>
  <c r="U1126" i="39"/>
  <c r="L1126" i="39"/>
  <c r="G30" i="48" l="1"/>
  <c r="L16" i="39" l="1"/>
  <c r="M16" i="39" s="1"/>
  <c r="N16" i="39" s="1"/>
  <c r="O16" i="39" s="1"/>
  <c r="P16" i="39" s="1"/>
  <c r="Q16" i="39" s="1"/>
  <c r="R16" i="39" s="1"/>
  <c r="S16" i="39" s="1"/>
  <c r="T16" i="39" s="1"/>
  <c r="U16" i="39" s="1"/>
  <c r="V16" i="39" s="1"/>
  <c r="W16" i="39" s="1"/>
  <c r="X16" i="39" s="1"/>
  <c r="Y16" i="39" s="1"/>
  <c r="Z16" i="39" s="1"/>
  <c r="G27" i="48" l="1"/>
  <c r="G25" i="48"/>
  <c r="AF2" i="31"/>
  <c r="AL72" i="38" a="1"/>
  <c r="AL72" i="38" s="1"/>
  <c r="G18" i="48"/>
  <c r="G17" i="48"/>
  <c r="G16" i="48"/>
  <c r="G15" i="48"/>
  <c r="G14" i="48"/>
  <c r="G13" i="48"/>
  <c r="G12" i="48"/>
  <c r="G11" i="48"/>
  <c r="G10" i="48"/>
  <c r="G9" i="48"/>
  <c r="G8" i="48"/>
  <c r="G7" i="48"/>
  <c r="G6" i="48"/>
  <c r="G5" i="48"/>
  <c r="G4" i="48"/>
  <c r="M12" i="31" l="1"/>
  <c r="K12" i="31"/>
  <c r="I12" i="31"/>
  <c r="Q79" i="7" l="1"/>
  <c r="P79" i="7"/>
  <c r="O79" i="7"/>
  <c r="Q45" i="7"/>
  <c r="P45" i="7"/>
  <c r="O45" i="7"/>
  <c r="R8" i="7"/>
  <c r="Q8" i="7"/>
  <c r="P8" i="7"/>
  <c r="O8" i="7"/>
  <c r="W12" i="38"/>
  <c r="T12" i="38"/>
  <c r="Q12" i="38"/>
  <c r="N12" i="38"/>
  <c r="AD6" i="1"/>
  <c r="Y6" i="1"/>
  <c r="G11" i="31"/>
  <c r="G12" i="31"/>
  <c r="T22" i="38"/>
  <c r="T23" i="38" s="1"/>
  <c r="Q22" i="38"/>
  <c r="Q23" i="38" s="1"/>
  <c r="N22" i="38"/>
  <c r="N23" i="38" s="1"/>
  <c r="GA58" i="1"/>
  <c r="FZ58" i="1"/>
  <c r="FY58" i="1"/>
  <c r="FX58" i="1"/>
  <c r="FW58" i="1"/>
  <c r="FV58" i="1"/>
  <c r="FU58" i="1"/>
  <c r="FT58" i="1"/>
  <c r="FS58" i="1"/>
  <c r="FR58" i="1"/>
  <c r="FQ58" i="1"/>
  <c r="FP58" i="1"/>
  <c r="FO58" i="1"/>
  <c r="FN58" i="1"/>
  <c r="FM58" i="1"/>
  <c r="GA57" i="1"/>
  <c r="FZ57" i="1"/>
  <c r="FY57" i="1"/>
  <c r="FX57" i="1"/>
  <c r="FW57" i="1"/>
  <c r="FV57" i="1"/>
  <c r="FU57" i="1"/>
  <c r="FT57" i="1"/>
  <c r="FS57" i="1"/>
  <c r="FR57" i="1"/>
  <c r="FQ57" i="1"/>
  <c r="FP57" i="1"/>
  <c r="FO57" i="1"/>
  <c r="FN57" i="1"/>
  <c r="FM57" i="1"/>
  <c r="GA56" i="1"/>
  <c r="FZ56" i="1"/>
  <c r="FY56" i="1"/>
  <c r="FX56" i="1"/>
  <c r="FW56" i="1"/>
  <c r="FV56" i="1"/>
  <c r="FU56" i="1"/>
  <c r="FT56" i="1"/>
  <c r="FS56" i="1"/>
  <c r="FR56" i="1"/>
  <c r="FQ56" i="1"/>
  <c r="FP56" i="1"/>
  <c r="FO56" i="1"/>
  <c r="FN56" i="1"/>
  <c r="FM56" i="1"/>
  <c r="GA55" i="1"/>
  <c r="FZ55" i="1"/>
  <c r="FY55" i="1"/>
  <c r="FX55" i="1"/>
  <c r="FW55" i="1"/>
  <c r="FV55" i="1"/>
  <c r="FU55" i="1"/>
  <c r="FT55" i="1"/>
  <c r="FS55" i="1"/>
  <c r="FR55" i="1"/>
  <c r="FQ55" i="1"/>
  <c r="FP55" i="1"/>
  <c r="FO55" i="1"/>
  <c r="FN55" i="1"/>
  <c r="FM55" i="1"/>
  <c r="GA54" i="1"/>
  <c r="FZ54" i="1"/>
  <c r="FY54" i="1"/>
  <c r="FX54" i="1"/>
  <c r="FW54" i="1"/>
  <c r="FV54" i="1"/>
  <c r="FU54" i="1"/>
  <c r="FT54" i="1"/>
  <c r="FS54" i="1"/>
  <c r="FR54" i="1"/>
  <c r="FQ54" i="1"/>
  <c r="FP54" i="1"/>
  <c r="FO54" i="1"/>
  <c r="FN54" i="1"/>
  <c r="FM54" i="1"/>
  <c r="GA53" i="1"/>
  <c r="FZ53" i="1"/>
  <c r="FY53" i="1"/>
  <c r="FX53" i="1"/>
  <c r="FW53" i="1"/>
  <c r="FV53" i="1"/>
  <c r="FU53" i="1"/>
  <c r="FT53" i="1"/>
  <c r="FS53" i="1"/>
  <c r="FR53" i="1"/>
  <c r="FQ53" i="1"/>
  <c r="FP53" i="1"/>
  <c r="FO53" i="1"/>
  <c r="FN53" i="1"/>
  <c r="FM53" i="1"/>
  <c r="GA52" i="1"/>
  <c r="FZ52" i="1"/>
  <c r="FY52" i="1"/>
  <c r="FX52" i="1"/>
  <c r="FW52" i="1"/>
  <c r="FV52" i="1"/>
  <c r="FU52" i="1"/>
  <c r="FT52" i="1"/>
  <c r="FS52" i="1"/>
  <c r="FR52" i="1"/>
  <c r="FQ52" i="1"/>
  <c r="FP52" i="1"/>
  <c r="FO52" i="1"/>
  <c r="FN52" i="1"/>
  <c r="FM52" i="1"/>
  <c r="GA51" i="1"/>
  <c r="FZ51" i="1"/>
  <c r="FY51" i="1"/>
  <c r="FX51" i="1"/>
  <c r="FW51" i="1"/>
  <c r="FV51" i="1"/>
  <c r="FU51" i="1"/>
  <c r="FT51" i="1"/>
  <c r="FS51" i="1"/>
  <c r="FR51" i="1"/>
  <c r="FQ51" i="1"/>
  <c r="FP51" i="1"/>
  <c r="FO51" i="1"/>
  <c r="FN51" i="1"/>
  <c r="FM51" i="1"/>
  <c r="GA50" i="1"/>
  <c r="FZ50" i="1"/>
  <c r="FY50" i="1"/>
  <c r="FX50" i="1"/>
  <c r="FW50" i="1"/>
  <c r="FV50" i="1"/>
  <c r="FU50" i="1"/>
  <c r="FT50" i="1"/>
  <c r="FS50" i="1"/>
  <c r="FR50" i="1"/>
  <c r="FQ50" i="1"/>
  <c r="FP50" i="1"/>
  <c r="FO50" i="1"/>
  <c r="FN50" i="1"/>
  <c r="FM50" i="1"/>
  <c r="GA49" i="1"/>
  <c r="FZ49" i="1"/>
  <c r="FY49" i="1"/>
  <c r="FX49" i="1"/>
  <c r="FW49" i="1"/>
  <c r="FV49" i="1"/>
  <c r="FU49" i="1"/>
  <c r="FT49" i="1"/>
  <c r="FS49" i="1"/>
  <c r="FR49" i="1"/>
  <c r="FQ49" i="1"/>
  <c r="FP49" i="1"/>
  <c r="FO49" i="1"/>
  <c r="FN49" i="1"/>
  <c r="FM49" i="1"/>
  <c r="GA48" i="1"/>
  <c r="FZ48" i="1"/>
  <c r="FY48" i="1"/>
  <c r="FX48" i="1"/>
  <c r="FW48" i="1"/>
  <c r="FV48" i="1"/>
  <c r="FU48" i="1"/>
  <c r="FT48" i="1"/>
  <c r="FS48" i="1"/>
  <c r="FR48" i="1"/>
  <c r="FQ48" i="1"/>
  <c r="FP48" i="1"/>
  <c r="FO48" i="1"/>
  <c r="FN48" i="1"/>
  <c r="FM48" i="1"/>
  <c r="GA47" i="1"/>
  <c r="FZ47" i="1"/>
  <c r="FY47" i="1"/>
  <c r="FX47" i="1"/>
  <c r="FW47" i="1"/>
  <c r="FV47" i="1"/>
  <c r="FU47" i="1"/>
  <c r="FT47" i="1"/>
  <c r="FS47" i="1"/>
  <c r="FR47" i="1"/>
  <c r="FQ47" i="1"/>
  <c r="FP47" i="1"/>
  <c r="FO47" i="1"/>
  <c r="FN47" i="1"/>
  <c r="FM47" i="1"/>
  <c r="GA46" i="1"/>
  <c r="FZ46" i="1"/>
  <c r="FY46" i="1"/>
  <c r="FX46" i="1"/>
  <c r="FW46" i="1"/>
  <c r="FV46" i="1"/>
  <c r="FU46" i="1"/>
  <c r="FT46" i="1"/>
  <c r="FS46" i="1"/>
  <c r="FR46" i="1"/>
  <c r="FQ46" i="1"/>
  <c r="FP46" i="1"/>
  <c r="FO46" i="1"/>
  <c r="FN46" i="1"/>
  <c r="FM46" i="1"/>
  <c r="GA45" i="1"/>
  <c r="FZ45" i="1"/>
  <c r="FY45" i="1"/>
  <c r="FX45" i="1"/>
  <c r="FW45" i="1"/>
  <c r="FV45" i="1"/>
  <c r="FU45" i="1"/>
  <c r="FT45" i="1"/>
  <c r="FS45" i="1"/>
  <c r="FR45" i="1"/>
  <c r="FQ45" i="1"/>
  <c r="FP45" i="1"/>
  <c r="FO45" i="1"/>
  <c r="FN45" i="1"/>
  <c r="FM45" i="1"/>
  <c r="GA44" i="1"/>
  <c r="FZ44" i="1"/>
  <c r="FY44" i="1"/>
  <c r="FX44" i="1"/>
  <c r="FW44" i="1"/>
  <c r="FV44" i="1"/>
  <c r="FU44" i="1"/>
  <c r="FT44" i="1"/>
  <c r="FS44" i="1"/>
  <c r="FR44" i="1"/>
  <c r="FQ44" i="1"/>
  <c r="FP44" i="1"/>
  <c r="FO44" i="1"/>
  <c r="FN44" i="1"/>
  <c r="FM44" i="1"/>
  <c r="GA43" i="1"/>
  <c r="FZ43" i="1"/>
  <c r="FY43" i="1"/>
  <c r="FX43" i="1"/>
  <c r="FW43" i="1"/>
  <c r="FV43" i="1"/>
  <c r="FU43" i="1"/>
  <c r="FT43" i="1"/>
  <c r="FS43" i="1"/>
  <c r="FR43" i="1"/>
  <c r="FQ43" i="1"/>
  <c r="FP43" i="1"/>
  <c r="FO43" i="1"/>
  <c r="FN43" i="1"/>
  <c r="FM43" i="1"/>
  <c r="GA42" i="1"/>
  <c r="FZ42" i="1"/>
  <c r="FY42" i="1"/>
  <c r="FX42" i="1"/>
  <c r="FW42" i="1"/>
  <c r="FV42" i="1"/>
  <c r="FU42" i="1"/>
  <c r="FT42" i="1"/>
  <c r="FS42" i="1"/>
  <c r="FR42" i="1"/>
  <c r="FQ42" i="1"/>
  <c r="FP42" i="1"/>
  <c r="FO42" i="1"/>
  <c r="FN42" i="1"/>
  <c r="FM42" i="1"/>
  <c r="GA41" i="1"/>
  <c r="FZ41" i="1"/>
  <c r="FY41" i="1"/>
  <c r="FX41" i="1"/>
  <c r="FW41" i="1"/>
  <c r="FV41" i="1"/>
  <c r="FU41" i="1"/>
  <c r="FT41" i="1"/>
  <c r="FS41" i="1"/>
  <c r="FR41" i="1"/>
  <c r="FQ41" i="1"/>
  <c r="FP41" i="1"/>
  <c r="FO41" i="1"/>
  <c r="FN41" i="1"/>
  <c r="FM41" i="1"/>
  <c r="GA40" i="1"/>
  <c r="FZ40" i="1"/>
  <c r="FY40" i="1"/>
  <c r="FX40" i="1"/>
  <c r="FW40" i="1"/>
  <c r="FV40" i="1"/>
  <c r="FU40" i="1"/>
  <c r="FT40" i="1"/>
  <c r="FS40" i="1"/>
  <c r="FR40" i="1"/>
  <c r="FQ40" i="1"/>
  <c r="FP40" i="1"/>
  <c r="FO40" i="1"/>
  <c r="FN40" i="1"/>
  <c r="FM40" i="1"/>
  <c r="GA37" i="1"/>
  <c r="FZ37" i="1"/>
  <c r="FY37" i="1"/>
  <c r="FX37" i="1"/>
  <c r="FW37" i="1"/>
  <c r="GA36" i="1"/>
  <c r="FZ36" i="1"/>
  <c r="FY36" i="1"/>
  <c r="FX36" i="1"/>
  <c r="FW36" i="1"/>
  <c r="GA33" i="1"/>
  <c r="FZ33" i="1"/>
  <c r="FY33" i="1"/>
  <c r="FX33" i="1"/>
  <c r="FW33" i="1"/>
  <c r="FV33" i="1"/>
  <c r="FU33" i="1"/>
  <c r="FT33" i="1"/>
  <c r="FS33" i="1"/>
  <c r="FR33" i="1"/>
  <c r="FQ33" i="1"/>
  <c r="FP33" i="1"/>
  <c r="FO33" i="1"/>
  <c r="FN33" i="1"/>
  <c r="FM33" i="1"/>
  <c r="GA32" i="1"/>
  <c r="FZ32" i="1"/>
  <c r="FY32" i="1"/>
  <c r="FX32" i="1"/>
  <c r="FW32" i="1"/>
  <c r="FV32" i="1"/>
  <c r="FU32" i="1"/>
  <c r="FT32" i="1"/>
  <c r="FS32" i="1"/>
  <c r="FR32" i="1"/>
  <c r="FQ32" i="1"/>
  <c r="FP32" i="1"/>
  <c r="FO32" i="1"/>
  <c r="FN32" i="1"/>
  <c r="FM32" i="1"/>
  <c r="GA31" i="1"/>
  <c r="FZ31" i="1"/>
  <c r="FY31" i="1"/>
  <c r="FX31" i="1"/>
  <c r="FW31" i="1"/>
  <c r="FV31" i="1"/>
  <c r="FU31" i="1"/>
  <c r="FT31" i="1"/>
  <c r="FS31" i="1"/>
  <c r="FR31" i="1"/>
  <c r="FQ31" i="1"/>
  <c r="FP31" i="1"/>
  <c r="FO31" i="1"/>
  <c r="FN31" i="1"/>
  <c r="FM31" i="1"/>
  <c r="GA30" i="1"/>
  <c r="FZ30" i="1"/>
  <c r="FY30" i="1"/>
  <c r="FX30" i="1"/>
  <c r="FW30" i="1"/>
  <c r="FV30" i="1"/>
  <c r="FU30" i="1"/>
  <c r="FT30" i="1"/>
  <c r="FS30" i="1"/>
  <c r="FR30" i="1"/>
  <c r="FQ30" i="1"/>
  <c r="FP30" i="1"/>
  <c r="FO30" i="1"/>
  <c r="FN30" i="1"/>
  <c r="FM30" i="1"/>
  <c r="GA29" i="1"/>
  <c r="FZ29" i="1"/>
  <c r="FY29" i="1"/>
  <c r="FX29" i="1"/>
  <c r="FW29" i="1"/>
  <c r="FV29" i="1"/>
  <c r="FU29" i="1"/>
  <c r="FT29" i="1"/>
  <c r="FS29" i="1"/>
  <c r="FR29" i="1"/>
  <c r="FQ29" i="1"/>
  <c r="FP29" i="1"/>
  <c r="FO29" i="1"/>
  <c r="FN29" i="1"/>
  <c r="FM29" i="1"/>
  <c r="GA28" i="1"/>
  <c r="FZ28" i="1"/>
  <c r="FY28" i="1"/>
  <c r="FX28" i="1"/>
  <c r="FW28" i="1"/>
  <c r="FV28" i="1"/>
  <c r="FU28" i="1"/>
  <c r="FT28" i="1"/>
  <c r="FS28" i="1"/>
  <c r="FR28" i="1"/>
  <c r="FQ28" i="1"/>
  <c r="FP28" i="1"/>
  <c r="FO28" i="1"/>
  <c r="FN28" i="1"/>
  <c r="FM28" i="1"/>
  <c r="GA27" i="1"/>
  <c r="FZ27" i="1"/>
  <c r="FY27" i="1"/>
  <c r="FX27" i="1"/>
  <c r="FW27" i="1"/>
  <c r="FV27" i="1"/>
  <c r="FU27" i="1"/>
  <c r="FT27" i="1"/>
  <c r="FS27" i="1"/>
  <c r="FR27" i="1"/>
  <c r="FQ27" i="1"/>
  <c r="FP27" i="1"/>
  <c r="FO27" i="1"/>
  <c r="FN27" i="1"/>
  <c r="FM27" i="1"/>
  <c r="GA26" i="1"/>
  <c r="FZ26" i="1"/>
  <c r="FY26" i="1"/>
  <c r="FX26" i="1"/>
  <c r="FW26" i="1"/>
  <c r="FV26" i="1"/>
  <c r="FU26" i="1"/>
  <c r="FT26" i="1"/>
  <c r="FS26" i="1"/>
  <c r="FR26" i="1"/>
  <c r="FQ26" i="1"/>
  <c r="FP26" i="1"/>
  <c r="FO26" i="1"/>
  <c r="FN26" i="1"/>
  <c r="FM26" i="1"/>
  <c r="GA25" i="1"/>
  <c r="FZ25" i="1"/>
  <c r="FY25" i="1"/>
  <c r="FX25" i="1"/>
  <c r="FW25" i="1"/>
  <c r="FV25" i="1"/>
  <c r="FU25" i="1"/>
  <c r="FT25" i="1"/>
  <c r="FS25" i="1"/>
  <c r="FR25" i="1"/>
  <c r="FQ25" i="1"/>
  <c r="FP25" i="1"/>
  <c r="FO25" i="1"/>
  <c r="FN25" i="1"/>
  <c r="FM25" i="1"/>
  <c r="GA24" i="1"/>
  <c r="FZ24" i="1"/>
  <c r="FY24" i="1"/>
  <c r="FX24" i="1"/>
  <c r="FW24" i="1"/>
  <c r="FV24" i="1"/>
  <c r="FU24" i="1"/>
  <c r="FT24" i="1"/>
  <c r="FS24" i="1"/>
  <c r="FR24" i="1"/>
  <c r="FQ24" i="1"/>
  <c r="FP24" i="1"/>
  <c r="FO24" i="1"/>
  <c r="FN24" i="1"/>
  <c r="FM24" i="1"/>
  <c r="GA23" i="1"/>
  <c r="FZ23" i="1"/>
  <c r="FY23" i="1"/>
  <c r="FX23" i="1"/>
  <c r="FW23" i="1"/>
  <c r="FV23" i="1"/>
  <c r="FU23" i="1"/>
  <c r="FT23" i="1"/>
  <c r="FS23" i="1"/>
  <c r="FR23" i="1"/>
  <c r="FQ23" i="1"/>
  <c r="FP23" i="1"/>
  <c r="FO23" i="1"/>
  <c r="FN23" i="1"/>
  <c r="FM23" i="1"/>
  <c r="GA22" i="1"/>
  <c r="FZ22" i="1"/>
  <c r="FY22" i="1"/>
  <c r="FX22" i="1"/>
  <c r="FW22" i="1"/>
  <c r="FV22" i="1"/>
  <c r="FU22" i="1"/>
  <c r="FT22" i="1"/>
  <c r="FS22" i="1"/>
  <c r="FR22" i="1"/>
  <c r="FQ22" i="1"/>
  <c r="FP22" i="1"/>
  <c r="FO22" i="1"/>
  <c r="FN22" i="1"/>
  <c r="FM22" i="1"/>
  <c r="GA21" i="1"/>
  <c r="FZ21" i="1"/>
  <c r="FY21" i="1"/>
  <c r="FX21" i="1"/>
  <c r="FW21" i="1"/>
  <c r="FV21" i="1"/>
  <c r="FU21" i="1"/>
  <c r="FT21" i="1"/>
  <c r="FS21" i="1"/>
  <c r="FR21" i="1"/>
  <c r="FQ21" i="1"/>
  <c r="FP21" i="1"/>
  <c r="FO21" i="1"/>
  <c r="FN21" i="1"/>
  <c r="FM21" i="1"/>
  <c r="GA18" i="1"/>
  <c r="FZ18" i="1"/>
  <c r="FY18" i="1"/>
  <c r="FX18" i="1"/>
  <c r="FW18" i="1"/>
  <c r="FV18" i="1"/>
  <c r="FU18" i="1"/>
  <c r="FT18" i="1"/>
  <c r="FS18" i="1"/>
  <c r="FR18" i="1"/>
  <c r="FQ18" i="1"/>
  <c r="FP18" i="1"/>
  <c r="FO18" i="1"/>
  <c r="FN18" i="1"/>
  <c r="FM18" i="1"/>
  <c r="GA17" i="1"/>
  <c r="FZ17" i="1"/>
  <c r="FY17" i="1"/>
  <c r="FX17" i="1"/>
  <c r="FW17" i="1"/>
  <c r="FV17" i="1"/>
  <c r="FU17" i="1"/>
  <c r="FT17" i="1"/>
  <c r="FS17" i="1"/>
  <c r="FR17" i="1"/>
  <c r="FQ17" i="1"/>
  <c r="FP17" i="1"/>
  <c r="FO17" i="1"/>
  <c r="FN17" i="1"/>
  <c r="FM17" i="1"/>
  <c r="GA16" i="1"/>
  <c r="FZ16" i="1"/>
  <c r="FY16" i="1"/>
  <c r="FX16" i="1"/>
  <c r="FW16" i="1"/>
  <c r="FV16" i="1"/>
  <c r="FU16" i="1"/>
  <c r="FT16" i="1"/>
  <c r="FS16" i="1"/>
  <c r="FR16" i="1"/>
  <c r="FQ16" i="1"/>
  <c r="FP16" i="1"/>
  <c r="FO16" i="1"/>
  <c r="FN16" i="1"/>
  <c r="FM16" i="1"/>
  <c r="GA15" i="1"/>
  <c r="FZ15" i="1"/>
  <c r="FY15" i="1"/>
  <c r="FX15" i="1"/>
  <c r="FW15" i="1"/>
  <c r="FV15" i="1"/>
  <c r="FU15" i="1"/>
  <c r="FT15" i="1"/>
  <c r="FS15" i="1"/>
  <c r="FR15" i="1"/>
  <c r="FQ15" i="1"/>
  <c r="FP15" i="1"/>
  <c r="FO15" i="1"/>
  <c r="FN15" i="1"/>
  <c r="FM15" i="1"/>
  <c r="GA14" i="1"/>
  <c r="FZ14" i="1"/>
  <c r="FY14" i="1"/>
  <c r="FX14" i="1"/>
  <c r="FW14" i="1"/>
  <c r="FV14" i="1"/>
  <c r="FU14" i="1"/>
  <c r="FT14" i="1"/>
  <c r="FS14" i="1"/>
  <c r="FR14" i="1"/>
  <c r="FQ14" i="1"/>
  <c r="FP14" i="1"/>
  <c r="FO14" i="1"/>
  <c r="FN14" i="1"/>
  <c r="FM14" i="1"/>
  <c r="HF58" i="1"/>
  <c r="HE58" i="1"/>
  <c r="HD58" i="1"/>
  <c r="HC58" i="1"/>
  <c r="HB58" i="1"/>
  <c r="HA58" i="1"/>
  <c r="GZ58" i="1"/>
  <c r="GY58" i="1"/>
  <c r="GX58" i="1"/>
  <c r="GW58" i="1"/>
  <c r="GV58" i="1"/>
  <c r="GU58" i="1"/>
  <c r="GT58" i="1"/>
  <c r="GS58" i="1"/>
  <c r="GR58" i="1"/>
  <c r="HF57" i="1"/>
  <c r="HE57" i="1"/>
  <c r="HD57" i="1"/>
  <c r="HC57" i="1"/>
  <c r="HB57" i="1"/>
  <c r="HA57" i="1"/>
  <c r="GZ57" i="1"/>
  <c r="GY57" i="1"/>
  <c r="GX57" i="1"/>
  <c r="GW57" i="1"/>
  <c r="GV57" i="1"/>
  <c r="GU57" i="1"/>
  <c r="GT57" i="1"/>
  <c r="GS57" i="1"/>
  <c r="GR57" i="1"/>
  <c r="HF56" i="1"/>
  <c r="HE56" i="1"/>
  <c r="HD56" i="1"/>
  <c r="HC56" i="1"/>
  <c r="HB56" i="1"/>
  <c r="HA56" i="1"/>
  <c r="GZ56" i="1"/>
  <c r="GY56" i="1"/>
  <c r="GX56" i="1"/>
  <c r="GW56" i="1"/>
  <c r="GV56" i="1"/>
  <c r="GU56" i="1"/>
  <c r="GT56" i="1"/>
  <c r="GS56" i="1"/>
  <c r="GR56" i="1"/>
  <c r="HF55" i="1"/>
  <c r="HE55" i="1"/>
  <c r="HD55" i="1"/>
  <c r="HC55" i="1"/>
  <c r="HB55" i="1"/>
  <c r="HA55" i="1"/>
  <c r="GZ55" i="1"/>
  <c r="GY55" i="1"/>
  <c r="GX55" i="1"/>
  <c r="GW55" i="1"/>
  <c r="GV55" i="1"/>
  <c r="GU55" i="1"/>
  <c r="GT55" i="1"/>
  <c r="GS55" i="1"/>
  <c r="GR55" i="1"/>
  <c r="HF54" i="1"/>
  <c r="HE54" i="1"/>
  <c r="HD54" i="1"/>
  <c r="HC54" i="1"/>
  <c r="HB54" i="1"/>
  <c r="HA54" i="1"/>
  <c r="GZ54" i="1"/>
  <c r="GY54" i="1"/>
  <c r="GX54" i="1"/>
  <c r="GW54" i="1"/>
  <c r="GV54" i="1"/>
  <c r="GU54" i="1"/>
  <c r="GT54" i="1"/>
  <c r="GS54" i="1"/>
  <c r="GR54" i="1"/>
  <c r="HF53" i="1"/>
  <c r="HE53" i="1"/>
  <c r="HD53" i="1"/>
  <c r="HC53" i="1"/>
  <c r="HB53" i="1"/>
  <c r="HA53" i="1"/>
  <c r="GZ53" i="1"/>
  <c r="GY53" i="1"/>
  <c r="GX53" i="1"/>
  <c r="GW53" i="1"/>
  <c r="GV53" i="1"/>
  <c r="GU53" i="1"/>
  <c r="GT53" i="1"/>
  <c r="GS53" i="1"/>
  <c r="GR53" i="1"/>
  <c r="HF52" i="1"/>
  <c r="HE52" i="1"/>
  <c r="HD52" i="1"/>
  <c r="HC52" i="1"/>
  <c r="HB52" i="1"/>
  <c r="HA52" i="1"/>
  <c r="GZ52" i="1"/>
  <c r="GY52" i="1"/>
  <c r="GX52" i="1"/>
  <c r="GW52" i="1"/>
  <c r="GV52" i="1"/>
  <c r="GU52" i="1"/>
  <c r="GT52" i="1"/>
  <c r="GS52" i="1"/>
  <c r="GR52" i="1"/>
  <c r="HF51" i="1"/>
  <c r="HE51" i="1"/>
  <c r="HD51" i="1"/>
  <c r="HC51" i="1"/>
  <c r="HB51" i="1"/>
  <c r="HA51" i="1"/>
  <c r="GZ51" i="1"/>
  <c r="GY51" i="1"/>
  <c r="GX51" i="1"/>
  <c r="GW51" i="1"/>
  <c r="GV51" i="1"/>
  <c r="GU51" i="1"/>
  <c r="GT51" i="1"/>
  <c r="GS51" i="1"/>
  <c r="GR51" i="1"/>
  <c r="HF50" i="1"/>
  <c r="HE50" i="1"/>
  <c r="HD50" i="1"/>
  <c r="HC50" i="1"/>
  <c r="HB50" i="1"/>
  <c r="HA50" i="1"/>
  <c r="GZ50" i="1"/>
  <c r="GY50" i="1"/>
  <c r="GX50" i="1"/>
  <c r="GW50" i="1"/>
  <c r="GV50" i="1"/>
  <c r="GU50" i="1"/>
  <c r="GT50" i="1"/>
  <c r="GS50" i="1"/>
  <c r="GR50" i="1"/>
  <c r="HF49" i="1"/>
  <c r="HE49" i="1"/>
  <c r="HD49" i="1"/>
  <c r="HC49" i="1"/>
  <c r="HB49" i="1"/>
  <c r="HA49" i="1"/>
  <c r="GZ49" i="1"/>
  <c r="GY49" i="1"/>
  <c r="GX49" i="1"/>
  <c r="GW49" i="1"/>
  <c r="GV49" i="1"/>
  <c r="GU49" i="1"/>
  <c r="GT49" i="1"/>
  <c r="GS49" i="1"/>
  <c r="GR49" i="1"/>
  <c r="HF48" i="1"/>
  <c r="HE48" i="1"/>
  <c r="HD48" i="1"/>
  <c r="HC48" i="1"/>
  <c r="HB48" i="1"/>
  <c r="HA48" i="1"/>
  <c r="GZ48" i="1"/>
  <c r="GY48" i="1"/>
  <c r="GX48" i="1"/>
  <c r="GW48" i="1"/>
  <c r="GV48" i="1"/>
  <c r="GU48" i="1"/>
  <c r="GT48" i="1"/>
  <c r="GS48" i="1"/>
  <c r="GR48" i="1"/>
  <c r="HF47" i="1"/>
  <c r="HE47" i="1"/>
  <c r="HD47" i="1"/>
  <c r="HC47" i="1"/>
  <c r="HB47" i="1"/>
  <c r="HA47" i="1"/>
  <c r="GZ47" i="1"/>
  <c r="GY47" i="1"/>
  <c r="GX47" i="1"/>
  <c r="GW47" i="1"/>
  <c r="GV47" i="1"/>
  <c r="GU47" i="1"/>
  <c r="GT47" i="1"/>
  <c r="GS47" i="1"/>
  <c r="GR47" i="1"/>
  <c r="HF46" i="1"/>
  <c r="HE46" i="1"/>
  <c r="HD46" i="1"/>
  <c r="HC46" i="1"/>
  <c r="HB46" i="1"/>
  <c r="HA46" i="1"/>
  <c r="GZ46" i="1"/>
  <c r="GY46" i="1"/>
  <c r="GX46" i="1"/>
  <c r="GW46" i="1"/>
  <c r="GV46" i="1"/>
  <c r="GU46" i="1"/>
  <c r="GT46" i="1"/>
  <c r="GS46" i="1"/>
  <c r="GR46" i="1"/>
  <c r="HF45" i="1"/>
  <c r="HE45" i="1"/>
  <c r="HD45" i="1"/>
  <c r="HC45" i="1"/>
  <c r="HB45" i="1"/>
  <c r="HA45" i="1"/>
  <c r="GZ45" i="1"/>
  <c r="GY45" i="1"/>
  <c r="GX45" i="1"/>
  <c r="GW45" i="1"/>
  <c r="GV45" i="1"/>
  <c r="GU45" i="1"/>
  <c r="GT45" i="1"/>
  <c r="GS45" i="1"/>
  <c r="GR45" i="1"/>
  <c r="HF44" i="1"/>
  <c r="HE44" i="1"/>
  <c r="HD44" i="1"/>
  <c r="HC44" i="1"/>
  <c r="HB44" i="1"/>
  <c r="HA44" i="1"/>
  <c r="GZ44" i="1"/>
  <c r="GY44" i="1"/>
  <c r="GX44" i="1"/>
  <c r="GW44" i="1"/>
  <c r="GV44" i="1"/>
  <c r="GU44" i="1"/>
  <c r="GT44" i="1"/>
  <c r="GS44" i="1"/>
  <c r="GR44" i="1"/>
  <c r="HF43" i="1"/>
  <c r="HE43" i="1"/>
  <c r="HD43" i="1"/>
  <c r="HC43" i="1"/>
  <c r="HB43" i="1"/>
  <c r="HA43" i="1"/>
  <c r="GZ43" i="1"/>
  <c r="GY43" i="1"/>
  <c r="GX43" i="1"/>
  <c r="GW43" i="1"/>
  <c r="GV43" i="1"/>
  <c r="GU43" i="1"/>
  <c r="GT43" i="1"/>
  <c r="GS43" i="1"/>
  <c r="GR43" i="1"/>
  <c r="HF42" i="1"/>
  <c r="HE42" i="1"/>
  <c r="HD42" i="1"/>
  <c r="HC42" i="1"/>
  <c r="HB42" i="1"/>
  <c r="HA42" i="1"/>
  <c r="GZ42" i="1"/>
  <c r="GY42" i="1"/>
  <c r="GX42" i="1"/>
  <c r="GW42" i="1"/>
  <c r="GV42" i="1"/>
  <c r="GU42" i="1"/>
  <c r="GT42" i="1"/>
  <c r="GS42" i="1"/>
  <c r="GR42" i="1"/>
  <c r="HF41" i="1"/>
  <c r="HE41" i="1"/>
  <c r="HD41" i="1"/>
  <c r="HC41" i="1"/>
  <c r="HB41" i="1"/>
  <c r="HA41" i="1"/>
  <c r="GZ41" i="1"/>
  <c r="GY41" i="1"/>
  <c r="GX41" i="1"/>
  <c r="GW41" i="1"/>
  <c r="GV41" i="1"/>
  <c r="GU41" i="1"/>
  <c r="GT41" i="1"/>
  <c r="GS41" i="1"/>
  <c r="GR41" i="1"/>
  <c r="HF40" i="1"/>
  <c r="HE40" i="1"/>
  <c r="HD40" i="1"/>
  <c r="HC40" i="1"/>
  <c r="HB40" i="1"/>
  <c r="HA40" i="1"/>
  <c r="GZ40" i="1"/>
  <c r="GY40" i="1"/>
  <c r="GX40" i="1"/>
  <c r="GW40" i="1"/>
  <c r="GV40" i="1"/>
  <c r="GU40" i="1"/>
  <c r="GT40" i="1"/>
  <c r="GS40" i="1"/>
  <c r="GR40" i="1"/>
  <c r="HF37" i="1"/>
  <c r="HE37" i="1"/>
  <c r="HD37" i="1"/>
  <c r="HC37" i="1"/>
  <c r="HB37" i="1"/>
  <c r="HF36" i="1"/>
  <c r="HE36" i="1"/>
  <c r="HD36" i="1"/>
  <c r="HC36" i="1"/>
  <c r="HB36" i="1"/>
  <c r="HF33" i="1"/>
  <c r="HE33" i="1"/>
  <c r="HD33" i="1"/>
  <c r="HC33" i="1"/>
  <c r="HB33" i="1"/>
  <c r="HA33" i="1"/>
  <c r="GZ33" i="1"/>
  <c r="GY33" i="1"/>
  <c r="GX33" i="1"/>
  <c r="GW33" i="1"/>
  <c r="GV33" i="1"/>
  <c r="GU33" i="1"/>
  <c r="GT33" i="1"/>
  <c r="GS33" i="1"/>
  <c r="GR33" i="1"/>
  <c r="HF32" i="1"/>
  <c r="HE32" i="1"/>
  <c r="HD32" i="1"/>
  <c r="HC32" i="1"/>
  <c r="HB32" i="1"/>
  <c r="HA32" i="1"/>
  <c r="GZ32" i="1"/>
  <c r="GY32" i="1"/>
  <c r="GX32" i="1"/>
  <c r="GW32" i="1"/>
  <c r="GV32" i="1"/>
  <c r="GU32" i="1"/>
  <c r="GT32" i="1"/>
  <c r="GS32" i="1"/>
  <c r="GR32" i="1"/>
  <c r="HF31" i="1"/>
  <c r="HE31" i="1"/>
  <c r="HD31" i="1"/>
  <c r="HC31" i="1"/>
  <c r="HB31" i="1"/>
  <c r="HA31" i="1"/>
  <c r="GZ31" i="1"/>
  <c r="GY31" i="1"/>
  <c r="GX31" i="1"/>
  <c r="GW31" i="1"/>
  <c r="GV31" i="1"/>
  <c r="GU31" i="1"/>
  <c r="GT31" i="1"/>
  <c r="GS31" i="1"/>
  <c r="GR31" i="1"/>
  <c r="HF30" i="1"/>
  <c r="HE30" i="1"/>
  <c r="HD30" i="1"/>
  <c r="HC30" i="1"/>
  <c r="HB30" i="1"/>
  <c r="HA30" i="1"/>
  <c r="GZ30" i="1"/>
  <c r="GY30" i="1"/>
  <c r="GX30" i="1"/>
  <c r="GW30" i="1"/>
  <c r="GV30" i="1"/>
  <c r="GU30" i="1"/>
  <c r="GT30" i="1"/>
  <c r="GS30" i="1"/>
  <c r="GR30" i="1"/>
  <c r="HF29" i="1"/>
  <c r="HE29" i="1"/>
  <c r="HD29" i="1"/>
  <c r="HC29" i="1"/>
  <c r="HB29" i="1"/>
  <c r="HA29" i="1"/>
  <c r="GZ29" i="1"/>
  <c r="GY29" i="1"/>
  <c r="GX29" i="1"/>
  <c r="GW29" i="1"/>
  <c r="GV29" i="1"/>
  <c r="GU29" i="1"/>
  <c r="GT29" i="1"/>
  <c r="GS29" i="1"/>
  <c r="GR29" i="1"/>
  <c r="HF28" i="1"/>
  <c r="HE28" i="1"/>
  <c r="HD28" i="1"/>
  <c r="HC28" i="1"/>
  <c r="HB28" i="1"/>
  <c r="HA28" i="1"/>
  <c r="GZ28" i="1"/>
  <c r="GY28" i="1"/>
  <c r="GX28" i="1"/>
  <c r="GW28" i="1"/>
  <c r="GV28" i="1"/>
  <c r="GU28" i="1"/>
  <c r="GT28" i="1"/>
  <c r="GS28" i="1"/>
  <c r="GR28" i="1"/>
  <c r="HF27" i="1"/>
  <c r="HE27" i="1"/>
  <c r="HD27" i="1"/>
  <c r="HC27" i="1"/>
  <c r="HB27" i="1"/>
  <c r="HA27" i="1"/>
  <c r="GZ27" i="1"/>
  <c r="GY27" i="1"/>
  <c r="GX27" i="1"/>
  <c r="GW27" i="1"/>
  <c r="GV27" i="1"/>
  <c r="GU27" i="1"/>
  <c r="GT27" i="1"/>
  <c r="GS27" i="1"/>
  <c r="GR27" i="1"/>
  <c r="HF26" i="1"/>
  <c r="HE26" i="1"/>
  <c r="HD26" i="1"/>
  <c r="HC26" i="1"/>
  <c r="HB26" i="1"/>
  <c r="HA26" i="1"/>
  <c r="GZ26" i="1"/>
  <c r="GY26" i="1"/>
  <c r="GX26" i="1"/>
  <c r="GW26" i="1"/>
  <c r="GV26" i="1"/>
  <c r="GU26" i="1"/>
  <c r="GT26" i="1"/>
  <c r="GS26" i="1"/>
  <c r="GR26" i="1"/>
  <c r="HF25" i="1"/>
  <c r="HE25" i="1"/>
  <c r="HD25" i="1"/>
  <c r="HC25" i="1"/>
  <c r="HB25" i="1"/>
  <c r="HA25" i="1"/>
  <c r="GZ25" i="1"/>
  <c r="GY25" i="1"/>
  <c r="GX25" i="1"/>
  <c r="GW25" i="1"/>
  <c r="GV25" i="1"/>
  <c r="GU25" i="1"/>
  <c r="GT25" i="1"/>
  <c r="GS25" i="1"/>
  <c r="GR25" i="1"/>
  <c r="HF24" i="1"/>
  <c r="HE24" i="1"/>
  <c r="HD24" i="1"/>
  <c r="HC24" i="1"/>
  <c r="HB24" i="1"/>
  <c r="HA24" i="1"/>
  <c r="GZ24" i="1"/>
  <c r="GY24" i="1"/>
  <c r="GX24" i="1"/>
  <c r="GW24" i="1"/>
  <c r="GV24" i="1"/>
  <c r="GU24" i="1"/>
  <c r="GT24" i="1"/>
  <c r="GS24" i="1"/>
  <c r="GR24" i="1"/>
  <c r="HF23" i="1"/>
  <c r="HE23" i="1"/>
  <c r="HD23" i="1"/>
  <c r="HC23" i="1"/>
  <c r="HB23" i="1"/>
  <c r="HA23" i="1"/>
  <c r="GZ23" i="1"/>
  <c r="GY23" i="1"/>
  <c r="GX23" i="1"/>
  <c r="GW23" i="1"/>
  <c r="GV23" i="1"/>
  <c r="GU23" i="1"/>
  <c r="GT23" i="1"/>
  <c r="GS23" i="1"/>
  <c r="GR23" i="1"/>
  <c r="HF22" i="1"/>
  <c r="HE22" i="1"/>
  <c r="HD22" i="1"/>
  <c r="HC22" i="1"/>
  <c r="HB22" i="1"/>
  <c r="HA22" i="1"/>
  <c r="GZ22" i="1"/>
  <c r="GY22" i="1"/>
  <c r="GX22" i="1"/>
  <c r="GW22" i="1"/>
  <c r="GV22" i="1"/>
  <c r="GU22" i="1"/>
  <c r="GT22" i="1"/>
  <c r="GS22" i="1"/>
  <c r="GR22" i="1"/>
  <c r="HF21" i="1"/>
  <c r="HE21" i="1"/>
  <c r="HD21" i="1"/>
  <c r="HC21" i="1"/>
  <c r="HB21" i="1"/>
  <c r="HA21" i="1"/>
  <c r="GZ21" i="1"/>
  <c r="GY21" i="1"/>
  <c r="GX21" i="1"/>
  <c r="GW21" i="1"/>
  <c r="GV21" i="1"/>
  <c r="GU21" i="1"/>
  <c r="GT21" i="1"/>
  <c r="GS21" i="1"/>
  <c r="GR21" i="1"/>
  <c r="HF18" i="1"/>
  <c r="HE18" i="1"/>
  <c r="HD18" i="1"/>
  <c r="HC18" i="1"/>
  <c r="HB18" i="1"/>
  <c r="HA18" i="1"/>
  <c r="GZ18" i="1"/>
  <c r="GY18" i="1"/>
  <c r="GX18" i="1"/>
  <c r="GW18" i="1"/>
  <c r="GV18" i="1"/>
  <c r="GU18" i="1"/>
  <c r="GT18" i="1"/>
  <c r="GS18" i="1"/>
  <c r="GR18" i="1"/>
  <c r="HF17" i="1"/>
  <c r="HE17" i="1"/>
  <c r="HD17" i="1"/>
  <c r="HC17" i="1"/>
  <c r="HB17" i="1"/>
  <c r="HA17" i="1"/>
  <c r="GZ17" i="1"/>
  <c r="GY17" i="1"/>
  <c r="GX17" i="1"/>
  <c r="GW17" i="1"/>
  <c r="GV17" i="1"/>
  <c r="GU17" i="1"/>
  <c r="GT17" i="1"/>
  <c r="GS17" i="1"/>
  <c r="GR17" i="1"/>
  <c r="HF16" i="1"/>
  <c r="HE16" i="1"/>
  <c r="HD16" i="1"/>
  <c r="HC16" i="1"/>
  <c r="HB16" i="1"/>
  <c r="HA16" i="1"/>
  <c r="GZ16" i="1"/>
  <c r="GY16" i="1"/>
  <c r="GX16" i="1"/>
  <c r="GW16" i="1"/>
  <c r="GV16" i="1"/>
  <c r="GU16" i="1"/>
  <c r="GT16" i="1"/>
  <c r="GS16" i="1"/>
  <c r="GR16" i="1"/>
  <c r="HF15" i="1"/>
  <c r="HE15" i="1"/>
  <c r="HD15" i="1"/>
  <c r="HC15" i="1"/>
  <c r="HB15" i="1"/>
  <c r="HA15" i="1"/>
  <c r="GZ15" i="1"/>
  <c r="GY15" i="1"/>
  <c r="GX15" i="1"/>
  <c r="GW15" i="1"/>
  <c r="GV15" i="1"/>
  <c r="GU15" i="1"/>
  <c r="GT15" i="1"/>
  <c r="GS15" i="1"/>
  <c r="GR15" i="1"/>
  <c r="HF14" i="1"/>
  <c r="HE14" i="1"/>
  <c r="HD14" i="1"/>
  <c r="HC14" i="1"/>
  <c r="HB14" i="1"/>
  <c r="HA14" i="1"/>
  <c r="GZ14" i="1"/>
  <c r="GY14" i="1"/>
  <c r="GX14" i="1"/>
  <c r="GW14" i="1"/>
  <c r="GV14" i="1"/>
  <c r="GU14" i="1"/>
  <c r="GT14" i="1"/>
  <c r="GS14" i="1"/>
  <c r="GR14" i="1"/>
  <c r="HF13" i="1"/>
  <c r="HE13" i="1"/>
  <c r="HD13" i="1"/>
  <c r="HC13" i="1"/>
  <c r="HB13" i="1"/>
  <c r="HA13" i="1"/>
  <c r="GZ13" i="1"/>
  <c r="GY13" i="1"/>
  <c r="GX13" i="1"/>
  <c r="GW13" i="1"/>
  <c r="GV13" i="1"/>
  <c r="GU13" i="1"/>
  <c r="GT13" i="1"/>
  <c r="GS13" i="1"/>
  <c r="GR13" i="1"/>
  <c r="EH13" i="1"/>
  <c r="EI13" i="1"/>
  <c r="EJ13" i="1"/>
  <c r="EK13" i="1"/>
  <c r="EL13" i="1"/>
  <c r="EM13" i="1"/>
  <c r="EN13" i="1"/>
  <c r="EO13" i="1"/>
  <c r="EP13" i="1"/>
  <c r="EQ13" i="1"/>
  <c r="ER13" i="1"/>
  <c r="ES13" i="1"/>
  <c r="ET13" i="1"/>
  <c r="EU13" i="1"/>
  <c r="EV13" i="1"/>
  <c r="GA13" i="1"/>
  <c r="FZ13" i="1"/>
  <c r="FY13" i="1"/>
  <c r="FX13" i="1"/>
  <c r="FW13" i="1"/>
  <c r="FV13" i="1"/>
  <c r="FU13" i="1"/>
  <c r="FT13" i="1"/>
  <c r="FS13" i="1"/>
  <c r="FR13" i="1"/>
  <c r="FQ13" i="1"/>
  <c r="FP13" i="1"/>
  <c r="FO13" i="1"/>
  <c r="FN13" i="1"/>
  <c r="FM13" i="1"/>
  <c r="EV58" i="1"/>
  <c r="EU58" i="1"/>
  <c r="ET58" i="1"/>
  <c r="ES58" i="1"/>
  <c r="ER58" i="1"/>
  <c r="EQ58" i="1"/>
  <c r="EP58" i="1"/>
  <c r="EO58" i="1"/>
  <c r="EN58" i="1"/>
  <c r="EM58" i="1"/>
  <c r="EL58" i="1"/>
  <c r="EK58" i="1"/>
  <c r="EJ58" i="1"/>
  <c r="EI58" i="1"/>
  <c r="EH58" i="1"/>
  <c r="EV57" i="1"/>
  <c r="EU57" i="1"/>
  <c r="ET57" i="1"/>
  <c r="ES57" i="1"/>
  <c r="ER57" i="1"/>
  <c r="EQ57" i="1"/>
  <c r="EP57" i="1"/>
  <c r="EO57" i="1"/>
  <c r="EN57" i="1"/>
  <c r="EM57" i="1"/>
  <c r="EL57" i="1"/>
  <c r="EK57" i="1"/>
  <c r="EJ57" i="1"/>
  <c r="EI57" i="1"/>
  <c r="EH57" i="1"/>
  <c r="EV56" i="1"/>
  <c r="EU56" i="1"/>
  <c r="ET56" i="1"/>
  <c r="ES56" i="1"/>
  <c r="ER56" i="1"/>
  <c r="EQ56" i="1"/>
  <c r="EP56" i="1"/>
  <c r="EO56" i="1"/>
  <c r="EN56" i="1"/>
  <c r="EM56" i="1"/>
  <c r="EL56" i="1"/>
  <c r="EK56" i="1"/>
  <c r="EJ56" i="1"/>
  <c r="EI56" i="1"/>
  <c r="EH56" i="1"/>
  <c r="EV55" i="1"/>
  <c r="EU55" i="1"/>
  <c r="ET55" i="1"/>
  <c r="ES55" i="1"/>
  <c r="ER55" i="1"/>
  <c r="EQ55" i="1"/>
  <c r="EP55" i="1"/>
  <c r="EO55" i="1"/>
  <c r="EN55" i="1"/>
  <c r="EM55" i="1"/>
  <c r="EL55" i="1"/>
  <c r="EK55" i="1"/>
  <c r="EJ55" i="1"/>
  <c r="EI55" i="1"/>
  <c r="EH55" i="1"/>
  <c r="EV54" i="1"/>
  <c r="EU54" i="1"/>
  <c r="ET54" i="1"/>
  <c r="ES54" i="1"/>
  <c r="ER54" i="1"/>
  <c r="EQ54" i="1"/>
  <c r="EP54" i="1"/>
  <c r="EO54" i="1"/>
  <c r="EN54" i="1"/>
  <c r="EM54" i="1"/>
  <c r="EL54" i="1"/>
  <c r="EK54" i="1"/>
  <c r="EJ54" i="1"/>
  <c r="EI54" i="1"/>
  <c r="EH54" i="1"/>
  <c r="EV53" i="1"/>
  <c r="EU53" i="1"/>
  <c r="ET53" i="1"/>
  <c r="ES53" i="1"/>
  <c r="ER53" i="1"/>
  <c r="EQ53" i="1"/>
  <c r="EP53" i="1"/>
  <c r="EO53" i="1"/>
  <c r="EN53" i="1"/>
  <c r="EM53" i="1"/>
  <c r="EL53" i="1"/>
  <c r="EK53" i="1"/>
  <c r="EJ53" i="1"/>
  <c r="EI53" i="1"/>
  <c r="EH53" i="1"/>
  <c r="EV52" i="1"/>
  <c r="EU52" i="1"/>
  <c r="ET52" i="1"/>
  <c r="ES52" i="1"/>
  <c r="ER52" i="1"/>
  <c r="EQ52" i="1"/>
  <c r="EP52" i="1"/>
  <c r="EO52" i="1"/>
  <c r="EN52" i="1"/>
  <c r="EM52" i="1"/>
  <c r="EL52" i="1"/>
  <c r="EK52" i="1"/>
  <c r="EJ52" i="1"/>
  <c r="EI52" i="1"/>
  <c r="EH52" i="1"/>
  <c r="EV51" i="1"/>
  <c r="EU51" i="1"/>
  <c r="ET51" i="1"/>
  <c r="ES51" i="1"/>
  <c r="ER51" i="1"/>
  <c r="EQ51" i="1"/>
  <c r="EP51" i="1"/>
  <c r="EO51" i="1"/>
  <c r="EN51" i="1"/>
  <c r="EM51" i="1"/>
  <c r="EL51" i="1"/>
  <c r="EK51" i="1"/>
  <c r="EJ51" i="1"/>
  <c r="EI51" i="1"/>
  <c r="EH51" i="1"/>
  <c r="EV50" i="1"/>
  <c r="EU50" i="1"/>
  <c r="ET50" i="1"/>
  <c r="ES50" i="1"/>
  <c r="ER50" i="1"/>
  <c r="EQ50" i="1"/>
  <c r="EP50" i="1"/>
  <c r="EO50" i="1"/>
  <c r="EN50" i="1"/>
  <c r="EM50" i="1"/>
  <c r="EL50" i="1"/>
  <c r="EK50" i="1"/>
  <c r="EJ50" i="1"/>
  <c r="EI50" i="1"/>
  <c r="EH50" i="1"/>
  <c r="EV49" i="1"/>
  <c r="EU49" i="1"/>
  <c r="ET49" i="1"/>
  <c r="ES49" i="1"/>
  <c r="ER49" i="1"/>
  <c r="EQ49" i="1"/>
  <c r="EP49" i="1"/>
  <c r="EO49" i="1"/>
  <c r="EN49" i="1"/>
  <c r="EM49" i="1"/>
  <c r="EL49" i="1"/>
  <c r="EK49" i="1"/>
  <c r="EJ49" i="1"/>
  <c r="EI49" i="1"/>
  <c r="EH49" i="1"/>
  <c r="EV48" i="1"/>
  <c r="EU48" i="1"/>
  <c r="ET48" i="1"/>
  <c r="ES48" i="1"/>
  <c r="ER48" i="1"/>
  <c r="EQ48" i="1"/>
  <c r="EP48" i="1"/>
  <c r="EO48" i="1"/>
  <c r="EN48" i="1"/>
  <c r="EM48" i="1"/>
  <c r="EL48" i="1"/>
  <c r="EK48" i="1"/>
  <c r="EJ48" i="1"/>
  <c r="EI48" i="1"/>
  <c r="EH48" i="1"/>
  <c r="EV47" i="1"/>
  <c r="EU47" i="1"/>
  <c r="ET47" i="1"/>
  <c r="ES47" i="1"/>
  <c r="ER47" i="1"/>
  <c r="EQ47" i="1"/>
  <c r="EP47" i="1"/>
  <c r="EO47" i="1"/>
  <c r="EN47" i="1"/>
  <c r="EM47" i="1"/>
  <c r="EL47" i="1"/>
  <c r="EK47" i="1"/>
  <c r="EJ47" i="1"/>
  <c r="EI47" i="1"/>
  <c r="EH47" i="1"/>
  <c r="EV46" i="1"/>
  <c r="EU46" i="1"/>
  <c r="ET46" i="1"/>
  <c r="ES46" i="1"/>
  <c r="ER46" i="1"/>
  <c r="EQ46" i="1"/>
  <c r="EP46" i="1"/>
  <c r="EO46" i="1"/>
  <c r="EN46" i="1"/>
  <c r="EM46" i="1"/>
  <c r="EL46" i="1"/>
  <c r="EK46" i="1"/>
  <c r="EJ46" i="1"/>
  <c r="EI46" i="1"/>
  <c r="EH46" i="1"/>
  <c r="EV45" i="1"/>
  <c r="EU45" i="1"/>
  <c r="ET45" i="1"/>
  <c r="ES45" i="1"/>
  <c r="ER45" i="1"/>
  <c r="EQ45" i="1"/>
  <c r="EP45" i="1"/>
  <c r="EO45" i="1"/>
  <c r="EN45" i="1"/>
  <c r="EM45" i="1"/>
  <c r="EL45" i="1"/>
  <c r="EK45" i="1"/>
  <c r="EJ45" i="1"/>
  <c r="EI45" i="1"/>
  <c r="EH45" i="1"/>
  <c r="EV44" i="1"/>
  <c r="EU44" i="1"/>
  <c r="ET44" i="1"/>
  <c r="ES44" i="1"/>
  <c r="ER44" i="1"/>
  <c r="EQ44" i="1"/>
  <c r="EP44" i="1"/>
  <c r="EO44" i="1"/>
  <c r="EN44" i="1"/>
  <c r="EM44" i="1"/>
  <c r="EL44" i="1"/>
  <c r="EK44" i="1"/>
  <c r="EJ44" i="1"/>
  <c r="EI44" i="1"/>
  <c r="EH44" i="1"/>
  <c r="EV43" i="1"/>
  <c r="EU43" i="1"/>
  <c r="ET43" i="1"/>
  <c r="ES43" i="1"/>
  <c r="ER43" i="1"/>
  <c r="EQ43" i="1"/>
  <c r="EP43" i="1"/>
  <c r="EO43" i="1"/>
  <c r="EN43" i="1"/>
  <c r="EM43" i="1"/>
  <c r="EL43" i="1"/>
  <c r="EK43" i="1"/>
  <c r="EJ43" i="1"/>
  <c r="EI43" i="1"/>
  <c r="EH43" i="1"/>
  <c r="EV42" i="1"/>
  <c r="EU42" i="1"/>
  <c r="ET42" i="1"/>
  <c r="ES42" i="1"/>
  <c r="ER42" i="1"/>
  <c r="EQ42" i="1"/>
  <c r="EP42" i="1"/>
  <c r="EO42" i="1"/>
  <c r="EN42" i="1"/>
  <c r="EM42" i="1"/>
  <c r="EL42" i="1"/>
  <c r="EK42" i="1"/>
  <c r="EJ42" i="1"/>
  <c r="EI42" i="1"/>
  <c r="EH42" i="1"/>
  <c r="EV41" i="1"/>
  <c r="EU41" i="1"/>
  <c r="ET41" i="1"/>
  <c r="ES41" i="1"/>
  <c r="ER41" i="1"/>
  <c r="EQ41" i="1"/>
  <c r="EP41" i="1"/>
  <c r="EO41" i="1"/>
  <c r="EN41" i="1"/>
  <c r="EM41" i="1"/>
  <c r="EL41" i="1"/>
  <c r="EK41" i="1"/>
  <c r="EJ41" i="1"/>
  <c r="EI41" i="1"/>
  <c r="EH41" i="1"/>
  <c r="EV40" i="1"/>
  <c r="EU40" i="1"/>
  <c r="ET40" i="1"/>
  <c r="ES40" i="1"/>
  <c r="ER40" i="1"/>
  <c r="EQ40" i="1"/>
  <c r="EP40" i="1"/>
  <c r="EO40" i="1"/>
  <c r="EN40" i="1"/>
  <c r="EM40" i="1"/>
  <c r="EL40" i="1"/>
  <c r="EK40" i="1"/>
  <c r="EJ40" i="1"/>
  <c r="EI40" i="1"/>
  <c r="EH40" i="1"/>
  <c r="EV37" i="1"/>
  <c r="EU37" i="1"/>
  <c r="ET37" i="1"/>
  <c r="ES37" i="1"/>
  <c r="ER37" i="1"/>
  <c r="EV36" i="1"/>
  <c r="EU36" i="1"/>
  <c r="ET36" i="1"/>
  <c r="ES36" i="1"/>
  <c r="ER36" i="1"/>
  <c r="EV33" i="1"/>
  <c r="EU33" i="1"/>
  <c r="ET33" i="1"/>
  <c r="ES33" i="1"/>
  <c r="ER33" i="1"/>
  <c r="EQ33" i="1"/>
  <c r="EP33" i="1"/>
  <c r="EO33" i="1"/>
  <c r="EN33" i="1"/>
  <c r="EM33" i="1"/>
  <c r="EL33" i="1"/>
  <c r="EK33" i="1"/>
  <c r="EJ33" i="1"/>
  <c r="EI33" i="1"/>
  <c r="EH33" i="1"/>
  <c r="EV32" i="1"/>
  <c r="EU32" i="1"/>
  <c r="ET32" i="1"/>
  <c r="ES32" i="1"/>
  <c r="ER32" i="1"/>
  <c r="EQ32" i="1"/>
  <c r="EP32" i="1"/>
  <c r="EO32" i="1"/>
  <c r="EN32" i="1"/>
  <c r="EM32" i="1"/>
  <c r="EL32" i="1"/>
  <c r="EK32" i="1"/>
  <c r="EJ32" i="1"/>
  <c r="EI32" i="1"/>
  <c r="EH32" i="1"/>
  <c r="EV31" i="1"/>
  <c r="EU31" i="1"/>
  <c r="ET31" i="1"/>
  <c r="ES31" i="1"/>
  <c r="ER31" i="1"/>
  <c r="EQ31" i="1"/>
  <c r="EP31" i="1"/>
  <c r="EO31" i="1"/>
  <c r="EN31" i="1"/>
  <c r="EM31" i="1"/>
  <c r="EL31" i="1"/>
  <c r="EK31" i="1"/>
  <c r="EJ31" i="1"/>
  <c r="EI31" i="1"/>
  <c r="EH31" i="1"/>
  <c r="EV30" i="1"/>
  <c r="EU30" i="1"/>
  <c r="ET30" i="1"/>
  <c r="ES30" i="1"/>
  <c r="ER30" i="1"/>
  <c r="EQ30" i="1"/>
  <c r="EP30" i="1"/>
  <c r="EO30" i="1"/>
  <c r="EN30" i="1"/>
  <c r="EM30" i="1"/>
  <c r="EL30" i="1"/>
  <c r="EK30" i="1"/>
  <c r="EJ30" i="1"/>
  <c r="EI30" i="1"/>
  <c r="EH30" i="1"/>
  <c r="EV29" i="1"/>
  <c r="EU29" i="1"/>
  <c r="ET29" i="1"/>
  <c r="ES29" i="1"/>
  <c r="ER29" i="1"/>
  <c r="EQ29" i="1"/>
  <c r="EP29" i="1"/>
  <c r="EO29" i="1"/>
  <c r="EN29" i="1"/>
  <c r="EM29" i="1"/>
  <c r="EL29" i="1"/>
  <c r="EK29" i="1"/>
  <c r="EJ29" i="1"/>
  <c r="EI29" i="1"/>
  <c r="EH29" i="1"/>
  <c r="EV28" i="1"/>
  <c r="EU28" i="1"/>
  <c r="ET28" i="1"/>
  <c r="ES28" i="1"/>
  <c r="ER28" i="1"/>
  <c r="EQ28" i="1"/>
  <c r="EP28" i="1"/>
  <c r="EO28" i="1"/>
  <c r="EN28" i="1"/>
  <c r="EM28" i="1"/>
  <c r="EL28" i="1"/>
  <c r="EK28" i="1"/>
  <c r="EJ28" i="1"/>
  <c r="EI28" i="1"/>
  <c r="EH28" i="1"/>
  <c r="EV27" i="1"/>
  <c r="EU27" i="1"/>
  <c r="ET27" i="1"/>
  <c r="ES27" i="1"/>
  <c r="ER27" i="1"/>
  <c r="EQ27" i="1"/>
  <c r="EP27" i="1"/>
  <c r="EO27" i="1"/>
  <c r="EN27" i="1"/>
  <c r="EM27" i="1"/>
  <c r="EL27" i="1"/>
  <c r="EK27" i="1"/>
  <c r="EJ27" i="1"/>
  <c r="EI27" i="1"/>
  <c r="EH27" i="1"/>
  <c r="EV26" i="1"/>
  <c r="EU26" i="1"/>
  <c r="ET26" i="1"/>
  <c r="ES26" i="1"/>
  <c r="ER26" i="1"/>
  <c r="EQ26" i="1"/>
  <c r="EP26" i="1"/>
  <c r="EO26" i="1"/>
  <c r="EN26" i="1"/>
  <c r="EM26" i="1"/>
  <c r="EL26" i="1"/>
  <c r="EK26" i="1"/>
  <c r="EJ26" i="1"/>
  <c r="EI26" i="1"/>
  <c r="EH26" i="1"/>
  <c r="EV25" i="1"/>
  <c r="EU25" i="1"/>
  <c r="ET25" i="1"/>
  <c r="ES25" i="1"/>
  <c r="ER25" i="1"/>
  <c r="EQ25" i="1"/>
  <c r="EP25" i="1"/>
  <c r="EO25" i="1"/>
  <c r="EN25" i="1"/>
  <c r="EM25" i="1"/>
  <c r="EL25" i="1"/>
  <c r="EK25" i="1"/>
  <c r="EJ25" i="1"/>
  <c r="EI25" i="1"/>
  <c r="EH25" i="1"/>
  <c r="EV24" i="1"/>
  <c r="EU24" i="1"/>
  <c r="ET24" i="1"/>
  <c r="ES24" i="1"/>
  <c r="ER24" i="1"/>
  <c r="EQ24" i="1"/>
  <c r="EP24" i="1"/>
  <c r="EO24" i="1"/>
  <c r="EN24" i="1"/>
  <c r="EM24" i="1"/>
  <c r="EL24" i="1"/>
  <c r="EK24" i="1"/>
  <c r="EJ24" i="1"/>
  <c r="EI24" i="1"/>
  <c r="EH24" i="1"/>
  <c r="EV23" i="1"/>
  <c r="EU23" i="1"/>
  <c r="ET23" i="1"/>
  <c r="ES23" i="1"/>
  <c r="ER23" i="1"/>
  <c r="EQ23" i="1"/>
  <c r="EP23" i="1"/>
  <c r="EO23" i="1"/>
  <c r="EN23" i="1"/>
  <c r="EM23" i="1"/>
  <c r="EL23" i="1"/>
  <c r="EK23" i="1"/>
  <c r="EJ23" i="1"/>
  <c r="EI23" i="1"/>
  <c r="EH23" i="1"/>
  <c r="EV22" i="1"/>
  <c r="EU22" i="1"/>
  <c r="ET22" i="1"/>
  <c r="ES22" i="1"/>
  <c r="ER22" i="1"/>
  <c r="EQ22" i="1"/>
  <c r="EP22" i="1"/>
  <c r="EO22" i="1"/>
  <c r="EN22" i="1"/>
  <c r="EM22" i="1"/>
  <c r="EL22" i="1"/>
  <c r="EK22" i="1"/>
  <c r="EJ22" i="1"/>
  <c r="EI22" i="1"/>
  <c r="EH22" i="1"/>
  <c r="EV21" i="1"/>
  <c r="EU21" i="1"/>
  <c r="ET21" i="1"/>
  <c r="ES21" i="1"/>
  <c r="ER21" i="1"/>
  <c r="EQ21" i="1"/>
  <c r="EP21" i="1"/>
  <c r="EO21" i="1"/>
  <c r="EN21" i="1"/>
  <c r="EM21" i="1"/>
  <c r="EL21" i="1"/>
  <c r="EK21" i="1"/>
  <c r="EJ21" i="1"/>
  <c r="EI21" i="1"/>
  <c r="EH21" i="1"/>
  <c r="EV18" i="1"/>
  <c r="EU18" i="1"/>
  <c r="ET18" i="1"/>
  <c r="ES18" i="1"/>
  <c r="ER18" i="1"/>
  <c r="EQ18" i="1"/>
  <c r="EP18" i="1"/>
  <c r="EO18" i="1"/>
  <c r="EN18" i="1"/>
  <c r="EM18" i="1"/>
  <c r="EL18" i="1"/>
  <c r="EK18" i="1"/>
  <c r="EJ18" i="1"/>
  <c r="EI18" i="1"/>
  <c r="EH18" i="1"/>
  <c r="EV17" i="1"/>
  <c r="EU17" i="1"/>
  <c r="ET17" i="1"/>
  <c r="ES17" i="1"/>
  <c r="ER17" i="1"/>
  <c r="EQ17" i="1"/>
  <c r="EP17" i="1"/>
  <c r="EO17" i="1"/>
  <c r="EN17" i="1"/>
  <c r="EM17" i="1"/>
  <c r="EL17" i="1"/>
  <c r="EK17" i="1"/>
  <c r="EJ17" i="1"/>
  <c r="EI17" i="1"/>
  <c r="EH17" i="1"/>
  <c r="EV16" i="1"/>
  <c r="EU16" i="1"/>
  <c r="ET16" i="1"/>
  <c r="ES16" i="1"/>
  <c r="ER16" i="1"/>
  <c r="EQ16" i="1"/>
  <c r="EP16" i="1"/>
  <c r="EO16" i="1"/>
  <c r="EN16" i="1"/>
  <c r="EM16" i="1"/>
  <c r="EL16" i="1"/>
  <c r="EK16" i="1"/>
  <c r="EJ16" i="1"/>
  <c r="EI16" i="1"/>
  <c r="EH16" i="1"/>
  <c r="EV15" i="1"/>
  <c r="EU15" i="1"/>
  <c r="ET15" i="1"/>
  <c r="ES15" i="1"/>
  <c r="ER15" i="1"/>
  <c r="EQ15" i="1"/>
  <c r="EP15" i="1"/>
  <c r="EO15" i="1"/>
  <c r="EN15" i="1"/>
  <c r="EM15" i="1"/>
  <c r="EL15" i="1"/>
  <c r="EK15" i="1"/>
  <c r="EJ15" i="1"/>
  <c r="EI15" i="1"/>
  <c r="EH15" i="1"/>
  <c r="EV14" i="1"/>
  <c r="EU14" i="1"/>
  <c r="ET14" i="1"/>
  <c r="ES14" i="1"/>
  <c r="ER14" i="1"/>
  <c r="EQ14" i="1"/>
  <c r="EP14" i="1"/>
  <c r="EO14" i="1"/>
  <c r="EN14" i="1"/>
  <c r="EM14" i="1"/>
  <c r="EL14" i="1"/>
  <c r="EK14" i="1"/>
  <c r="EJ14" i="1"/>
  <c r="EI14" i="1"/>
  <c r="EH14" i="1"/>
  <c r="T6" i="1"/>
  <c r="O799" i="39" l="1"/>
  <c r="N799" i="39"/>
  <c r="M799" i="39"/>
  <c r="L799" i="39"/>
  <c r="X799" i="39"/>
  <c r="W799" i="39"/>
  <c r="Z799" i="39"/>
  <c r="Y799" i="39"/>
  <c r="V799" i="39"/>
  <c r="R799" i="39"/>
  <c r="Q799" i="39"/>
  <c r="U799" i="39"/>
  <c r="T799" i="39"/>
  <c r="S799" i="39"/>
  <c r="P799" i="39"/>
  <c r="AE2" i="31"/>
  <c r="N14" i="38" s="1"/>
  <c r="T39" i="38"/>
  <c r="HF35" i="1"/>
  <c r="HE35" i="1"/>
  <c r="EO12" i="1"/>
  <c r="ES35" i="1"/>
  <c r="EU35" i="1"/>
  <c r="EV35" i="1"/>
  <c r="GZ12" i="1"/>
  <c r="HB12" i="1"/>
  <c r="HB20" i="1"/>
  <c r="EM20" i="1"/>
  <c r="EP39" i="1"/>
  <c r="EQ39" i="1"/>
  <c r="GX39" i="1"/>
  <c r="EO20" i="1"/>
  <c r="FT20" i="1"/>
  <c r="EQ12" i="1"/>
  <c r="EN20" i="1"/>
  <c r="EN12" i="1"/>
  <c r="HF12" i="1"/>
  <c r="HA12" i="1"/>
  <c r="GW39" i="1"/>
  <c r="HC12" i="1"/>
  <c r="EK39" i="1"/>
  <c r="EJ39" i="1"/>
  <c r="GR12" i="1"/>
  <c r="EI20" i="1"/>
  <c r="EK20" i="1"/>
  <c r="EO39" i="1"/>
  <c r="EL20" i="1"/>
  <c r="ES39" i="1"/>
  <c r="EU39" i="1"/>
  <c r="ET39" i="1"/>
  <c r="HA20" i="1"/>
  <c r="FV39" i="1"/>
  <c r="EP20" i="1"/>
  <c r="FZ20" i="1"/>
  <c r="FZ39" i="1"/>
  <c r="GA39" i="1"/>
  <c r="EH39" i="1"/>
  <c r="HA39" i="1"/>
  <c r="EI39" i="1"/>
  <c r="HD35" i="1"/>
  <c r="FU20" i="1"/>
  <c r="EH20" i="1"/>
  <c r="GU12" i="1"/>
  <c r="HE20" i="1"/>
  <c r="EL39" i="1"/>
  <c r="GW12" i="1"/>
  <c r="GT39" i="1"/>
  <c r="GX12" i="1"/>
  <c r="FS20" i="1"/>
  <c r="EV39" i="1"/>
  <c r="GS20" i="1"/>
  <c r="GZ39" i="1"/>
  <c r="GV39" i="1"/>
  <c r="GA35" i="1"/>
  <c r="ER20" i="1"/>
  <c r="EN39" i="1"/>
  <c r="GX20" i="1"/>
  <c r="HC20" i="1"/>
  <c r="GA20" i="1"/>
  <c r="GY20" i="1"/>
  <c r="HC39" i="1"/>
  <c r="FY12" i="1"/>
  <c r="GA12" i="1"/>
  <c r="FX39" i="1"/>
  <c r="EV20" i="1"/>
  <c r="ER12" i="1"/>
  <c r="GT12" i="1"/>
  <c r="HF39" i="1"/>
  <c r="FY39" i="1"/>
  <c r="HD39" i="1"/>
  <c r="GY39" i="1"/>
  <c r="FX20" i="1"/>
  <c r="HB39" i="1"/>
  <c r="FW20" i="1"/>
  <c r="EJ20" i="1"/>
  <c r="EM39" i="1"/>
  <c r="GV20" i="1"/>
  <c r="FW12" i="1"/>
  <c r="FV20" i="1"/>
  <c r="FW39" i="1"/>
  <c r="ET35" i="1"/>
  <c r="HD12" i="1"/>
  <c r="GT20" i="1"/>
  <c r="HD20" i="1"/>
  <c r="EP12" i="1"/>
  <c r="ER35" i="1"/>
  <c r="ER39" i="1"/>
  <c r="GS12" i="1"/>
  <c r="HF20" i="1"/>
  <c r="GZ20" i="1"/>
  <c r="GS39" i="1"/>
  <c r="GY12" i="1"/>
  <c r="GU20" i="1"/>
  <c r="HE12" i="1"/>
  <c r="GR20" i="1"/>
  <c r="HB35" i="1"/>
  <c r="HE39" i="1"/>
  <c r="GR39" i="1"/>
  <c r="GU39" i="1"/>
  <c r="GV12" i="1"/>
  <c r="GW20" i="1"/>
  <c r="HC35" i="1"/>
  <c r="FX12" i="1"/>
  <c r="FY20" i="1"/>
  <c r="FU39" i="1"/>
  <c r="FO12" i="1"/>
  <c r="FZ12" i="1"/>
  <c r="FM12" i="1"/>
  <c r="FU12" i="1"/>
  <c r="FT12" i="1"/>
  <c r="FV12" i="1"/>
  <c r="ET12" i="1"/>
  <c r="EV12" i="1"/>
  <c r="ES12" i="1"/>
  <c r="EU12" i="1"/>
  <c r="EH12" i="1"/>
  <c r="EJ12" i="1"/>
  <c r="EI12" i="1"/>
  <c r="EK12" i="1"/>
  <c r="EQ20" i="1"/>
  <c r="EU20" i="1"/>
  <c r="EL12" i="1"/>
  <c r="ET20" i="1"/>
  <c r="EM12" i="1"/>
  <c r="ES20" i="1"/>
  <c r="FN12" i="1"/>
  <c r="FP12" i="1"/>
  <c r="FQ12" i="1"/>
  <c r="FM20" i="1"/>
  <c r="FW35" i="1"/>
  <c r="FR12" i="1"/>
  <c r="FN20" i="1"/>
  <c r="FX35" i="1"/>
  <c r="FM39" i="1"/>
  <c r="FS12" i="1"/>
  <c r="FO20" i="1"/>
  <c r="FY35" i="1"/>
  <c r="FN39" i="1"/>
  <c r="FP20" i="1"/>
  <c r="FR20" i="1"/>
  <c r="FZ35" i="1"/>
  <c r="FO39" i="1"/>
  <c r="FQ20" i="1"/>
  <c r="FP39" i="1"/>
  <c r="FQ39" i="1"/>
  <c r="FR39" i="1"/>
  <c r="FT39" i="1"/>
  <c r="FS39" i="1"/>
  <c r="AH3" i="31"/>
  <c r="D18" i="48"/>
  <c r="D17" i="48"/>
  <c r="D16" i="48"/>
  <c r="D15" i="48"/>
  <c r="D14" i="48"/>
  <c r="D13" i="48"/>
  <c r="D12" i="48"/>
  <c r="D11" i="48"/>
  <c r="D10" i="48"/>
  <c r="D9" i="48"/>
  <c r="D8" i="48"/>
  <c r="D7" i="48"/>
  <c r="D6" i="48"/>
  <c r="D5" i="48"/>
  <c r="D4" i="48"/>
  <c r="AH2" i="31"/>
  <c r="W14" i="38" s="1"/>
  <c r="Z801" i="39" l="1"/>
  <c r="Z798" i="39"/>
  <c r="W801" i="39"/>
  <c r="W798" i="39"/>
  <c r="R801" i="39"/>
  <c r="R798" i="39"/>
  <c r="P801" i="39"/>
  <c r="P798" i="39"/>
  <c r="M798" i="39"/>
  <c r="M801" i="39"/>
  <c r="V798" i="39"/>
  <c r="V801" i="39"/>
  <c r="O473" i="39"/>
  <c r="N473" i="39"/>
  <c r="M473" i="39"/>
  <c r="W473" i="39"/>
  <c r="L473" i="39"/>
  <c r="X473" i="39"/>
  <c r="Z473" i="39"/>
  <c r="Y473" i="39"/>
  <c r="V473" i="39"/>
  <c r="R473" i="39"/>
  <c r="U473" i="39"/>
  <c r="T473" i="39"/>
  <c r="S473" i="39"/>
  <c r="Q473" i="39"/>
  <c r="P473" i="39"/>
  <c r="T798" i="39"/>
  <c r="T801" i="39"/>
  <c r="Y801" i="39"/>
  <c r="Y798" i="39"/>
  <c r="X798" i="39"/>
  <c r="X801" i="39"/>
  <c r="S801" i="39"/>
  <c r="S798" i="39"/>
  <c r="N798" i="39"/>
  <c r="N801" i="39"/>
  <c r="T962" i="39"/>
  <c r="S962" i="39"/>
  <c r="R962" i="39"/>
  <c r="P962" i="39"/>
  <c r="Q962" i="39"/>
  <c r="M962" i="39"/>
  <c r="L962" i="39"/>
  <c r="O962" i="39"/>
  <c r="N962" i="39"/>
  <c r="Z962" i="39"/>
  <c r="W962" i="39"/>
  <c r="U962" i="39"/>
  <c r="Y962" i="39"/>
  <c r="X962" i="39"/>
  <c r="V962" i="39"/>
  <c r="U798" i="39"/>
  <c r="U801" i="39"/>
  <c r="O801" i="39"/>
  <c r="O798" i="39"/>
  <c r="Q801" i="39"/>
  <c r="Q798" i="39"/>
  <c r="L798" i="39"/>
  <c r="L801" i="39"/>
  <c r="N39" i="38"/>
  <c r="W39" i="38"/>
  <c r="FV10" i="1"/>
  <c r="GY10" i="1"/>
  <c r="GR10" i="1"/>
  <c r="FQ10" i="1"/>
  <c r="EN10" i="1"/>
  <c r="HA10" i="1"/>
  <c r="HE10" i="1"/>
  <c r="HE60" i="1" s="1"/>
  <c r="FT10" i="1"/>
  <c r="ET10" i="1"/>
  <c r="ET60" i="1" s="1"/>
  <c r="FX10" i="1"/>
  <c r="FX60" i="1" s="1"/>
  <c r="EO10" i="1"/>
  <c r="FO10" i="1"/>
  <c r="GX10" i="1"/>
  <c r="GA10" i="1"/>
  <c r="GA60" i="1" s="1"/>
  <c r="GS10" i="1"/>
  <c r="ER10" i="1"/>
  <c r="ER60" i="1" s="1"/>
  <c r="FU10" i="1"/>
  <c r="FW10" i="1"/>
  <c r="FW60" i="1" s="1"/>
  <c r="FY10" i="1"/>
  <c r="FY60" i="1" s="1"/>
  <c r="HB10" i="1"/>
  <c r="HB60" i="1" s="1"/>
  <c r="EM10" i="1"/>
  <c r="HF10" i="1"/>
  <c r="HF60" i="1" s="1"/>
  <c r="GZ10" i="1"/>
  <c r="EI10" i="1"/>
  <c r="HC10" i="1"/>
  <c r="HC60" i="1" s="1"/>
  <c r="GW10" i="1"/>
  <c r="EQ10" i="1"/>
  <c r="FZ10" i="1"/>
  <c r="FZ60" i="1" s="1"/>
  <c r="EJ10" i="1"/>
  <c r="HD10" i="1"/>
  <c r="HD60" i="1" s="1"/>
  <c r="EH10" i="1"/>
  <c r="FS10" i="1"/>
  <c r="EL10" i="1"/>
  <c r="GU10" i="1"/>
  <c r="EP10" i="1"/>
  <c r="EK10" i="1"/>
  <c r="ES10" i="1"/>
  <c r="ES60" i="1" s="1"/>
  <c r="GV10" i="1"/>
  <c r="EV10" i="1"/>
  <c r="EV60" i="1" s="1"/>
  <c r="GT10" i="1"/>
  <c r="FM10" i="1"/>
  <c r="FP10" i="1"/>
  <c r="EU10" i="1"/>
  <c r="EU60" i="1" s="1"/>
  <c r="FN10" i="1"/>
  <c r="FR10" i="1"/>
  <c r="IK58" i="1"/>
  <c r="IJ58" i="1"/>
  <c r="II58" i="1"/>
  <c r="IH58" i="1"/>
  <c r="IG58" i="1"/>
  <c r="IF58" i="1"/>
  <c r="IE58" i="1"/>
  <c r="ID58" i="1"/>
  <c r="IC58" i="1"/>
  <c r="IB58" i="1"/>
  <c r="IA58" i="1"/>
  <c r="HZ58" i="1"/>
  <c r="HY58" i="1"/>
  <c r="HX58" i="1"/>
  <c r="HW58" i="1"/>
  <c r="IK57" i="1"/>
  <c r="IJ57" i="1"/>
  <c r="II57" i="1"/>
  <c r="IH57" i="1"/>
  <c r="IG57" i="1"/>
  <c r="IF57" i="1"/>
  <c r="IE57" i="1"/>
  <c r="ID57" i="1"/>
  <c r="IC57" i="1"/>
  <c r="IB57" i="1"/>
  <c r="IA57" i="1"/>
  <c r="HZ57" i="1"/>
  <c r="HY57" i="1"/>
  <c r="HX57" i="1"/>
  <c r="HW57" i="1"/>
  <c r="IK56" i="1"/>
  <c r="IJ56" i="1"/>
  <c r="II56" i="1"/>
  <c r="IH56" i="1"/>
  <c r="IG56" i="1"/>
  <c r="IF56" i="1"/>
  <c r="IE56" i="1"/>
  <c r="ID56" i="1"/>
  <c r="IC56" i="1"/>
  <c r="IB56" i="1"/>
  <c r="IA56" i="1"/>
  <c r="HZ56" i="1"/>
  <c r="HY56" i="1"/>
  <c r="HX56" i="1"/>
  <c r="HW56" i="1"/>
  <c r="IK55" i="1"/>
  <c r="IJ55" i="1"/>
  <c r="II55" i="1"/>
  <c r="IH55" i="1"/>
  <c r="IG55" i="1"/>
  <c r="IF55" i="1"/>
  <c r="IE55" i="1"/>
  <c r="ID55" i="1"/>
  <c r="IC55" i="1"/>
  <c r="IB55" i="1"/>
  <c r="IA55" i="1"/>
  <c r="HZ55" i="1"/>
  <c r="HY55" i="1"/>
  <c r="HX55" i="1"/>
  <c r="HW55" i="1"/>
  <c r="IK54" i="1"/>
  <c r="IJ54" i="1"/>
  <c r="II54" i="1"/>
  <c r="IH54" i="1"/>
  <c r="IG54" i="1"/>
  <c r="IF54" i="1"/>
  <c r="IE54" i="1"/>
  <c r="ID54" i="1"/>
  <c r="IC54" i="1"/>
  <c r="IB54" i="1"/>
  <c r="IA54" i="1"/>
  <c r="HZ54" i="1"/>
  <c r="HY54" i="1"/>
  <c r="HX54" i="1"/>
  <c r="HW54" i="1"/>
  <c r="IK53" i="1"/>
  <c r="IJ53" i="1"/>
  <c r="II53" i="1"/>
  <c r="IH53" i="1"/>
  <c r="IG53" i="1"/>
  <c r="IF53" i="1"/>
  <c r="IE53" i="1"/>
  <c r="ID53" i="1"/>
  <c r="IC53" i="1"/>
  <c r="IB53" i="1"/>
  <c r="IA53" i="1"/>
  <c r="HZ53" i="1"/>
  <c r="HY53" i="1"/>
  <c r="HX53" i="1"/>
  <c r="HW53" i="1"/>
  <c r="IK52" i="1"/>
  <c r="IJ52" i="1"/>
  <c r="II52" i="1"/>
  <c r="IH52" i="1"/>
  <c r="IG52" i="1"/>
  <c r="IF52" i="1"/>
  <c r="IE52" i="1"/>
  <c r="ID52" i="1"/>
  <c r="IC52" i="1"/>
  <c r="IB52" i="1"/>
  <c r="IA52" i="1"/>
  <c r="HZ52" i="1"/>
  <c r="HY52" i="1"/>
  <c r="HX52" i="1"/>
  <c r="HW52" i="1"/>
  <c r="IK51" i="1"/>
  <c r="IJ51" i="1"/>
  <c r="II51" i="1"/>
  <c r="IH51" i="1"/>
  <c r="IG51" i="1"/>
  <c r="IF51" i="1"/>
  <c r="IE51" i="1"/>
  <c r="ID51" i="1"/>
  <c r="IC51" i="1"/>
  <c r="IB51" i="1"/>
  <c r="IA51" i="1"/>
  <c r="HZ51" i="1"/>
  <c r="HY51" i="1"/>
  <c r="HX51" i="1"/>
  <c r="HW51" i="1"/>
  <c r="IK50" i="1"/>
  <c r="IJ50" i="1"/>
  <c r="II50" i="1"/>
  <c r="IH50" i="1"/>
  <c r="IG50" i="1"/>
  <c r="IF50" i="1"/>
  <c r="IE50" i="1"/>
  <c r="ID50" i="1"/>
  <c r="IC50" i="1"/>
  <c r="IB50" i="1"/>
  <c r="IA50" i="1"/>
  <c r="HZ50" i="1"/>
  <c r="HY50" i="1"/>
  <c r="HX50" i="1"/>
  <c r="HW50" i="1"/>
  <c r="IK49" i="1"/>
  <c r="IJ49" i="1"/>
  <c r="II49" i="1"/>
  <c r="IH49" i="1"/>
  <c r="IG49" i="1"/>
  <c r="IF49" i="1"/>
  <c r="IE49" i="1"/>
  <c r="ID49" i="1"/>
  <c r="IC49" i="1"/>
  <c r="IB49" i="1"/>
  <c r="IA49" i="1"/>
  <c r="HZ49" i="1"/>
  <c r="HY49" i="1"/>
  <c r="HX49" i="1"/>
  <c r="HW49" i="1"/>
  <c r="IK48" i="1"/>
  <c r="IJ48" i="1"/>
  <c r="II48" i="1"/>
  <c r="IH48" i="1"/>
  <c r="IG48" i="1"/>
  <c r="IF48" i="1"/>
  <c r="IE48" i="1"/>
  <c r="ID48" i="1"/>
  <c r="IC48" i="1"/>
  <c r="IB48" i="1"/>
  <c r="IA48" i="1"/>
  <c r="HZ48" i="1"/>
  <c r="HY48" i="1"/>
  <c r="HX48" i="1"/>
  <c r="HW48" i="1"/>
  <c r="IK47" i="1"/>
  <c r="IJ47" i="1"/>
  <c r="II47" i="1"/>
  <c r="IH47" i="1"/>
  <c r="IG47" i="1"/>
  <c r="IF47" i="1"/>
  <c r="IE47" i="1"/>
  <c r="ID47" i="1"/>
  <c r="IC47" i="1"/>
  <c r="IB47" i="1"/>
  <c r="IA47" i="1"/>
  <c r="HZ47" i="1"/>
  <c r="HY47" i="1"/>
  <c r="HX47" i="1"/>
  <c r="HW47" i="1"/>
  <c r="IK46" i="1"/>
  <c r="IJ46" i="1"/>
  <c r="II46" i="1"/>
  <c r="IH46" i="1"/>
  <c r="IG46" i="1"/>
  <c r="IF46" i="1"/>
  <c r="IE46" i="1"/>
  <c r="ID46" i="1"/>
  <c r="IC46" i="1"/>
  <c r="IB46" i="1"/>
  <c r="IA46" i="1"/>
  <c r="HZ46" i="1"/>
  <c r="HY46" i="1"/>
  <c r="HX46" i="1"/>
  <c r="HW46" i="1"/>
  <c r="IK45" i="1"/>
  <c r="IJ45" i="1"/>
  <c r="II45" i="1"/>
  <c r="IH45" i="1"/>
  <c r="IG45" i="1"/>
  <c r="IF45" i="1"/>
  <c r="IE45" i="1"/>
  <c r="ID45" i="1"/>
  <c r="IC45" i="1"/>
  <c r="IB45" i="1"/>
  <c r="IA45" i="1"/>
  <c r="HZ45" i="1"/>
  <c r="HY45" i="1"/>
  <c r="HX45" i="1"/>
  <c r="HW45" i="1"/>
  <c r="IK44" i="1"/>
  <c r="IJ44" i="1"/>
  <c r="II44" i="1"/>
  <c r="IH44" i="1"/>
  <c r="IG44" i="1"/>
  <c r="IF44" i="1"/>
  <c r="IE44" i="1"/>
  <c r="ID44" i="1"/>
  <c r="IC44" i="1"/>
  <c r="IB44" i="1"/>
  <c r="IA44" i="1"/>
  <c r="HZ44" i="1"/>
  <c r="HY44" i="1"/>
  <c r="HX44" i="1"/>
  <c r="HW44" i="1"/>
  <c r="IK43" i="1"/>
  <c r="IJ43" i="1"/>
  <c r="II43" i="1"/>
  <c r="IH43" i="1"/>
  <c r="IG43" i="1"/>
  <c r="IF43" i="1"/>
  <c r="IE43" i="1"/>
  <c r="ID43" i="1"/>
  <c r="IC43" i="1"/>
  <c r="IB43" i="1"/>
  <c r="IA43" i="1"/>
  <c r="HZ43" i="1"/>
  <c r="HY43" i="1"/>
  <c r="HX43" i="1"/>
  <c r="HW43" i="1"/>
  <c r="IK42" i="1"/>
  <c r="IJ42" i="1"/>
  <c r="II42" i="1"/>
  <c r="IH42" i="1"/>
  <c r="IG42" i="1"/>
  <c r="IF42" i="1"/>
  <c r="IE42" i="1"/>
  <c r="ID42" i="1"/>
  <c r="IC42" i="1"/>
  <c r="IB42" i="1"/>
  <c r="IA42" i="1"/>
  <c r="HZ42" i="1"/>
  <c r="HY42" i="1"/>
  <c r="HX42" i="1"/>
  <c r="HW42" i="1"/>
  <c r="IK41" i="1"/>
  <c r="IJ41" i="1"/>
  <c r="II41" i="1"/>
  <c r="IH41" i="1"/>
  <c r="IG41" i="1"/>
  <c r="IF41" i="1"/>
  <c r="IE41" i="1"/>
  <c r="ID41" i="1"/>
  <c r="IC41" i="1"/>
  <c r="IB41" i="1"/>
  <c r="IA41" i="1"/>
  <c r="HZ41" i="1"/>
  <c r="HY41" i="1"/>
  <c r="HX41" i="1"/>
  <c r="HW41" i="1"/>
  <c r="IK40" i="1"/>
  <c r="IJ40" i="1"/>
  <c r="II40" i="1"/>
  <c r="IH40" i="1"/>
  <c r="IG40" i="1"/>
  <c r="IF40" i="1"/>
  <c r="IE40" i="1"/>
  <c r="ID40" i="1"/>
  <c r="IC40" i="1"/>
  <c r="IB40" i="1"/>
  <c r="IA40" i="1"/>
  <c r="HZ40" i="1"/>
  <c r="HY40" i="1"/>
  <c r="HX40" i="1"/>
  <c r="HW40" i="1"/>
  <c r="IK37" i="1"/>
  <c r="IJ37" i="1"/>
  <c r="II37" i="1"/>
  <c r="IH37" i="1"/>
  <c r="IG37" i="1"/>
  <c r="IK36" i="1"/>
  <c r="IJ36" i="1"/>
  <c r="II36" i="1"/>
  <c r="IH36" i="1"/>
  <c r="IG36" i="1"/>
  <c r="IK33" i="1"/>
  <c r="IJ33" i="1"/>
  <c r="II33" i="1"/>
  <c r="IH33" i="1"/>
  <c r="IG33" i="1"/>
  <c r="IF33" i="1"/>
  <c r="IE33" i="1"/>
  <c r="ID33" i="1"/>
  <c r="IC33" i="1"/>
  <c r="IB33" i="1"/>
  <c r="IA33" i="1"/>
  <c r="HZ33" i="1"/>
  <c r="HY33" i="1"/>
  <c r="HX33" i="1"/>
  <c r="HW33" i="1"/>
  <c r="IK32" i="1"/>
  <c r="IJ32" i="1"/>
  <c r="II32" i="1"/>
  <c r="IH32" i="1"/>
  <c r="IG32" i="1"/>
  <c r="IF32" i="1"/>
  <c r="IE32" i="1"/>
  <c r="ID32" i="1"/>
  <c r="IC32" i="1"/>
  <c r="IB32" i="1"/>
  <c r="IA32" i="1"/>
  <c r="HZ32" i="1"/>
  <c r="HY32" i="1"/>
  <c r="HX32" i="1"/>
  <c r="HW32" i="1"/>
  <c r="IK31" i="1"/>
  <c r="IJ31" i="1"/>
  <c r="II31" i="1"/>
  <c r="IH31" i="1"/>
  <c r="IG31" i="1"/>
  <c r="IF31" i="1"/>
  <c r="IE31" i="1"/>
  <c r="ID31" i="1"/>
  <c r="IC31" i="1"/>
  <c r="IB31" i="1"/>
  <c r="IA31" i="1"/>
  <c r="HZ31" i="1"/>
  <c r="HY31" i="1"/>
  <c r="HX31" i="1"/>
  <c r="HW31" i="1"/>
  <c r="IK30" i="1"/>
  <c r="IJ30" i="1"/>
  <c r="II30" i="1"/>
  <c r="IH30" i="1"/>
  <c r="IG30" i="1"/>
  <c r="IF30" i="1"/>
  <c r="IE30" i="1"/>
  <c r="ID30" i="1"/>
  <c r="IC30" i="1"/>
  <c r="IB30" i="1"/>
  <c r="IA30" i="1"/>
  <c r="HZ30" i="1"/>
  <c r="HY30" i="1"/>
  <c r="HX30" i="1"/>
  <c r="HW30" i="1"/>
  <c r="IK29" i="1"/>
  <c r="IJ29" i="1"/>
  <c r="II29" i="1"/>
  <c r="IH29" i="1"/>
  <c r="IG29" i="1"/>
  <c r="IF29" i="1"/>
  <c r="IE29" i="1"/>
  <c r="ID29" i="1"/>
  <c r="IC29" i="1"/>
  <c r="IB29" i="1"/>
  <c r="IA29" i="1"/>
  <c r="HZ29" i="1"/>
  <c r="HY29" i="1"/>
  <c r="HX29" i="1"/>
  <c r="HW29" i="1"/>
  <c r="IK28" i="1"/>
  <c r="IJ28" i="1"/>
  <c r="II28" i="1"/>
  <c r="IH28" i="1"/>
  <c r="IG28" i="1"/>
  <c r="IF28" i="1"/>
  <c r="IE28" i="1"/>
  <c r="ID28" i="1"/>
  <c r="IC28" i="1"/>
  <c r="IB28" i="1"/>
  <c r="IA28" i="1"/>
  <c r="HZ28" i="1"/>
  <c r="HY28" i="1"/>
  <c r="HX28" i="1"/>
  <c r="HW28" i="1"/>
  <c r="IK27" i="1"/>
  <c r="IJ27" i="1"/>
  <c r="II27" i="1"/>
  <c r="IH27" i="1"/>
  <c r="IG27" i="1"/>
  <c r="IF27" i="1"/>
  <c r="IE27" i="1"/>
  <c r="ID27" i="1"/>
  <c r="IC27" i="1"/>
  <c r="IB27" i="1"/>
  <c r="IA27" i="1"/>
  <c r="HZ27" i="1"/>
  <c r="HY27" i="1"/>
  <c r="HX27" i="1"/>
  <c r="HW27" i="1"/>
  <c r="IK26" i="1"/>
  <c r="IJ26" i="1"/>
  <c r="II26" i="1"/>
  <c r="IH26" i="1"/>
  <c r="IG26" i="1"/>
  <c r="IF26" i="1"/>
  <c r="IE26" i="1"/>
  <c r="ID26" i="1"/>
  <c r="IC26" i="1"/>
  <c r="IB26" i="1"/>
  <c r="IA26" i="1"/>
  <c r="HZ26" i="1"/>
  <c r="HY26" i="1"/>
  <c r="HX26" i="1"/>
  <c r="HW26" i="1"/>
  <c r="IK25" i="1"/>
  <c r="IJ25" i="1"/>
  <c r="II25" i="1"/>
  <c r="IH25" i="1"/>
  <c r="IG25" i="1"/>
  <c r="IF25" i="1"/>
  <c r="IE25" i="1"/>
  <c r="ID25" i="1"/>
  <c r="IC25" i="1"/>
  <c r="IB25" i="1"/>
  <c r="IA25" i="1"/>
  <c r="HZ25" i="1"/>
  <c r="HY25" i="1"/>
  <c r="HX25" i="1"/>
  <c r="HW25" i="1"/>
  <c r="IK24" i="1"/>
  <c r="IJ24" i="1"/>
  <c r="II24" i="1"/>
  <c r="IH24" i="1"/>
  <c r="IG24" i="1"/>
  <c r="IF24" i="1"/>
  <c r="IE24" i="1"/>
  <c r="ID24" i="1"/>
  <c r="IC24" i="1"/>
  <c r="IB24" i="1"/>
  <c r="IA24" i="1"/>
  <c r="HZ24" i="1"/>
  <c r="HY24" i="1"/>
  <c r="HX24" i="1"/>
  <c r="HW24" i="1"/>
  <c r="IK23" i="1"/>
  <c r="IJ23" i="1"/>
  <c r="II23" i="1"/>
  <c r="IH23" i="1"/>
  <c r="IG23" i="1"/>
  <c r="IF23" i="1"/>
  <c r="IE23" i="1"/>
  <c r="ID23" i="1"/>
  <c r="IC23" i="1"/>
  <c r="IB23" i="1"/>
  <c r="IA23" i="1"/>
  <c r="HZ23" i="1"/>
  <c r="HY23" i="1"/>
  <c r="HX23" i="1"/>
  <c r="HW23" i="1"/>
  <c r="IK22" i="1"/>
  <c r="IJ22" i="1"/>
  <c r="II22" i="1"/>
  <c r="IH22" i="1"/>
  <c r="IG22" i="1"/>
  <c r="IF22" i="1"/>
  <c r="IE22" i="1"/>
  <c r="ID22" i="1"/>
  <c r="IC22" i="1"/>
  <c r="IB22" i="1"/>
  <c r="IA22" i="1"/>
  <c r="HZ22" i="1"/>
  <c r="HY22" i="1"/>
  <c r="HX22" i="1"/>
  <c r="HW22" i="1"/>
  <c r="IK21" i="1"/>
  <c r="IJ21" i="1"/>
  <c r="II21" i="1"/>
  <c r="IH21" i="1"/>
  <c r="IG21" i="1"/>
  <c r="IF21" i="1"/>
  <c r="IE21" i="1"/>
  <c r="ID21" i="1"/>
  <c r="IC21" i="1"/>
  <c r="IB21" i="1"/>
  <c r="IA21" i="1"/>
  <c r="HZ21" i="1"/>
  <c r="HY21" i="1"/>
  <c r="HX21" i="1"/>
  <c r="HW21" i="1"/>
  <c r="IK18" i="1"/>
  <c r="IJ18" i="1"/>
  <c r="II18" i="1"/>
  <c r="IH18" i="1"/>
  <c r="IG18" i="1"/>
  <c r="IF18" i="1"/>
  <c r="IE18" i="1"/>
  <c r="ID18" i="1"/>
  <c r="IC18" i="1"/>
  <c r="IB18" i="1"/>
  <c r="IA18" i="1"/>
  <c r="HZ18" i="1"/>
  <c r="HY18" i="1"/>
  <c r="HX18" i="1"/>
  <c r="HW18" i="1"/>
  <c r="IK17" i="1"/>
  <c r="IJ17" i="1"/>
  <c r="II17" i="1"/>
  <c r="IH17" i="1"/>
  <c r="IG17" i="1"/>
  <c r="IF17" i="1"/>
  <c r="IE17" i="1"/>
  <c r="ID17" i="1"/>
  <c r="IC17" i="1"/>
  <c r="IB17" i="1"/>
  <c r="IA17" i="1"/>
  <c r="HZ17" i="1"/>
  <c r="HY17" i="1"/>
  <c r="HX17" i="1"/>
  <c r="HW17" i="1"/>
  <c r="IK16" i="1"/>
  <c r="IJ16" i="1"/>
  <c r="II16" i="1"/>
  <c r="IH16" i="1"/>
  <c r="IG16" i="1"/>
  <c r="IF16" i="1"/>
  <c r="IE16" i="1"/>
  <c r="ID16" i="1"/>
  <c r="IC16" i="1"/>
  <c r="IB16" i="1"/>
  <c r="IA16" i="1"/>
  <c r="HZ16" i="1"/>
  <c r="HY16" i="1"/>
  <c r="HX16" i="1"/>
  <c r="HW16" i="1"/>
  <c r="IK15" i="1"/>
  <c r="IJ15" i="1"/>
  <c r="II15" i="1"/>
  <c r="IH15" i="1"/>
  <c r="IG15" i="1"/>
  <c r="IF15" i="1"/>
  <c r="IE15" i="1"/>
  <c r="ID15" i="1"/>
  <c r="IC15" i="1"/>
  <c r="IB15" i="1"/>
  <c r="IA15" i="1"/>
  <c r="HZ15" i="1"/>
  <c r="HY15" i="1"/>
  <c r="HX15" i="1"/>
  <c r="HW15" i="1"/>
  <c r="IK14" i="1"/>
  <c r="IJ14" i="1"/>
  <c r="II14" i="1"/>
  <c r="IH14" i="1"/>
  <c r="IG14" i="1"/>
  <c r="IF14" i="1"/>
  <c r="IE14" i="1"/>
  <c r="ID14" i="1"/>
  <c r="IC14" i="1"/>
  <c r="IB14" i="1"/>
  <c r="IA14" i="1"/>
  <c r="HZ14" i="1"/>
  <c r="HY14" i="1"/>
  <c r="HX14" i="1"/>
  <c r="HW14" i="1"/>
  <c r="IK13" i="1"/>
  <c r="IJ13" i="1"/>
  <c r="II13" i="1"/>
  <c r="IH13" i="1"/>
  <c r="IG13" i="1"/>
  <c r="IF13" i="1"/>
  <c r="IE13" i="1"/>
  <c r="ID13" i="1"/>
  <c r="IC13" i="1"/>
  <c r="IB13" i="1"/>
  <c r="IA13" i="1"/>
  <c r="HZ13" i="1"/>
  <c r="HY13" i="1"/>
  <c r="HX13" i="1"/>
  <c r="HW13" i="1"/>
  <c r="DQ58" i="1"/>
  <c r="DP58" i="1"/>
  <c r="DO58" i="1"/>
  <c r="DN58" i="1"/>
  <c r="DM58" i="1"/>
  <c r="DL58" i="1"/>
  <c r="DK58" i="1"/>
  <c r="DJ58" i="1"/>
  <c r="DI58" i="1"/>
  <c r="DH58" i="1"/>
  <c r="DG58" i="1"/>
  <c r="DF58" i="1"/>
  <c r="DE58" i="1"/>
  <c r="DD58" i="1"/>
  <c r="DC58" i="1"/>
  <c r="DB58" i="1"/>
  <c r="DA58" i="1"/>
  <c r="CZ58" i="1"/>
  <c r="DQ57" i="1"/>
  <c r="DP57" i="1"/>
  <c r="DO57" i="1"/>
  <c r="DN57" i="1"/>
  <c r="DM57" i="1"/>
  <c r="DL57" i="1"/>
  <c r="DK57" i="1"/>
  <c r="DJ57" i="1"/>
  <c r="DI57" i="1"/>
  <c r="DH57" i="1"/>
  <c r="DG57" i="1"/>
  <c r="DF57" i="1"/>
  <c r="DE57" i="1"/>
  <c r="DD57" i="1"/>
  <c r="DC57" i="1"/>
  <c r="DB57" i="1"/>
  <c r="DA57" i="1"/>
  <c r="CZ57" i="1"/>
  <c r="DQ56" i="1"/>
  <c r="DP56" i="1"/>
  <c r="DO56" i="1"/>
  <c r="DN56" i="1"/>
  <c r="DM56" i="1"/>
  <c r="DL56" i="1"/>
  <c r="DK56" i="1"/>
  <c r="DJ56" i="1"/>
  <c r="DI56" i="1"/>
  <c r="DH56" i="1"/>
  <c r="DG56" i="1"/>
  <c r="DF56" i="1"/>
  <c r="DE56" i="1"/>
  <c r="DD56" i="1"/>
  <c r="DC56" i="1"/>
  <c r="DB56" i="1"/>
  <c r="DA56" i="1"/>
  <c r="CZ56" i="1"/>
  <c r="DQ55" i="1"/>
  <c r="DP55" i="1"/>
  <c r="DO55" i="1"/>
  <c r="DN55" i="1"/>
  <c r="DM55" i="1"/>
  <c r="DL55" i="1"/>
  <c r="DK55" i="1"/>
  <c r="DJ55" i="1"/>
  <c r="DI55" i="1"/>
  <c r="DH55" i="1"/>
  <c r="DG55" i="1"/>
  <c r="DF55" i="1"/>
  <c r="DE55" i="1"/>
  <c r="DD55" i="1"/>
  <c r="DC55" i="1"/>
  <c r="DB55" i="1"/>
  <c r="DA55" i="1"/>
  <c r="CZ55" i="1"/>
  <c r="DQ54" i="1"/>
  <c r="DP54" i="1"/>
  <c r="DO54" i="1"/>
  <c r="DN54" i="1"/>
  <c r="DM54" i="1"/>
  <c r="DL54" i="1"/>
  <c r="DK54" i="1"/>
  <c r="DJ54" i="1"/>
  <c r="DI54" i="1"/>
  <c r="DH54" i="1"/>
  <c r="DG54" i="1"/>
  <c r="DF54" i="1"/>
  <c r="DE54" i="1"/>
  <c r="DD54" i="1"/>
  <c r="DC54" i="1"/>
  <c r="DB54" i="1"/>
  <c r="DA54" i="1"/>
  <c r="CZ54" i="1"/>
  <c r="DQ53" i="1"/>
  <c r="DP53" i="1"/>
  <c r="DO53" i="1"/>
  <c r="DN53" i="1"/>
  <c r="DM53" i="1"/>
  <c r="DL53" i="1"/>
  <c r="DK53" i="1"/>
  <c r="DJ53" i="1"/>
  <c r="DI53" i="1"/>
  <c r="DH53" i="1"/>
  <c r="DG53" i="1"/>
  <c r="DF53" i="1"/>
  <c r="DE53" i="1"/>
  <c r="DD53" i="1"/>
  <c r="DC53" i="1"/>
  <c r="DB53" i="1"/>
  <c r="DA53" i="1"/>
  <c r="CZ53" i="1"/>
  <c r="DQ52" i="1"/>
  <c r="DP52" i="1"/>
  <c r="DO52" i="1"/>
  <c r="DN52" i="1"/>
  <c r="DM52" i="1"/>
  <c r="DL52" i="1"/>
  <c r="DK52" i="1"/>
  <c r="DJ52" i="1"/>
  <c r="DI52" i="1"/>
  <c r="DH52" i="1"/>
  <c r="DG52" i="1"/>
  <c r="DF52" i="1"/>
  <c r="DE52" i="1"/>
  <c r="DD52" i="1"/>
  <c r="DC52" i="1"/>
  <c r="DB52" i="1"/>
  <c r="DA52" i="1"/>
  <c r="CZ52" i="1"/>
  <c r="DQ51" i="1"/>
  <c r="DP51" i="1"/>
  <c r="DO51" i="1"/>
  <c r="DN51" i="1"/>
  <c r="DM51" i="1"/>
  <c r="DL51" i="1"/>
  <c r="DK51" i="1"/>
  <c r="DJ51" i="1"/>
  <c r="DI51" i="1"/>
  <c r="DH51" i="1"/>
  <c r="DG51" i="1"/>
  <c r="DF51" i="1"/>
  <c r="DE51" i="1"/>
  <c r="DD51" i="1"/>
  <c r="DC51" i="1"/>
  <c r="DB51" i="1"/>
  <c r="DA51" i="1"/>
  <c r="CZ51" i="1"/>
  <c r="DQ50" i="1"/>
  <c r="DP50" i="1"/>
  <c r="DO50" i="1"/>
  <c r="DN50" i="1"/>
  <c r="DM50" i="1"/>
  <c r="DL50" i="1"/>
  <c r="DK50" i="1"/>
  <c r="DJ50" i="1"/>
  <c r="DI50" i="1"/>
  <c r="DH50" i="1"/>
  <c r="DG50" i="1"/>
  <c r="DF50" i="1"/>
  <c r="DE50" i="1"/>
  <c r="DD50" i="1"/>
  <c r="DC50" i="1"/>
  <c r="DB50" i="1"/>
  <c r="DA50" i="1"/>
  <c r="CZ50" i="1"/>
  <c r="DQ49" i="1"/>
  <c r="DP49" i="1"/>
  <c r="DO49" i="1"/>
  <c r="DN49" i="1"/>
  <c r="DM49" i="1"/>
  <c r="DL49" i="1"/>
  <c r="DK49" i="1"/>
  <c r="DJ49" i="1"/>
  <c r="DI49" i="1"/>
  <c r="DH49" i="1"/>
  <c r="DG49" i="1"/>
  <c r="DF49" i="1"/>
  <c r="DE49" i="1"/>
  <c r="DD49" i="1"/>
  <c r="DC49" i="1"/>
  <c r="DB49" i="1"/>
  <c r="DA49" i="1"/>
  <c r="CZ49" i="1"/>
  <c r="DQ48" i="1"/>
  <c r="DP48" i="1"/>
  <c r="DO48" i="1"/>
  <c r="DN48" i="1"/>
  <c r="DM48" i="1"/>
  <c r="DL48" i="1"/>
  <c r="DK48" i="1"/>
  <c r="DJ48" i="1"/>
  <c r="DI48" i="1"/>
  <c r="DH48" i="1"/>
  <c r="DG48" i="1"/>
  <c r="DF48" i="1"/>
  <c r="DE48" i="1"/>
  <c r="DD48" i="1"/>
  <c r="DC48" i="1"/>
  <c r="DB48" i="1"/>
  <c r="DA48" i="1"/>
  <c r="CZ48" i="1"/>
  <c r="DQ47" i="1"/>
  <c r="DP47" i="1"/>
  <c r="DO47" i="1"/>
  <c r="DN47" i="1"/>
  <c r="DM47" i="1"/>
  <c r="DL47" i="1"/>
  <c r="DK47" i="1"/>
  <c r="DJ47" i="1"/>
  <c r="DI47" i="1"/>
  <c r="DH47" i="1"/>
  <c r="DG47" i="1"/>
  <c r="DF47" i="1"/>
  <c r="DE47" i="1"/>
  <c r="DD47" i="1"/>
  <c r="DC47" i="1"/>
  <c r="DB47" i="1"/>
  <c r="DA47" i="1"/>
  <c r="CZ47" i="1"/>
  <c r="DQ46" i="1"/>
  <c r="DP46" i="1"/>
  <c r="DO46" i="1"/>
  <c r="DN46" i="1"/>
  <c r="DM46" i="1"/>
  <c r="DL46" i="1"/>
  <c r="DK46" i="1"/>
  <c r="DJ46" i="1"/>
  <c r="DI46" i="1"/>
  <c r="DH46" i="1"/>
  <c r="DG46" i="1"/>
  <c r="DF46" i="1"/>
  <c r="DE46" i="1"/>
  <c r="DD46" i="1"/>
  <c r="DC46" i="1"/>
  <c r="DB46" i="1"/>
  <c r="DA46" i="1"/>
  <c r="CZ46" i="1"/>
  <c r="DQ45" i="1"/>
  <c r="DP45" i="1"/>
  <c r="DO45" i="1"/>
  <c r="DN45" i="1"/>
  <c r="DM45" i="1"/>
  <c r="DL45" i="1"/>
  <c r="DK45" i="1"/>
  <c r="DJ45" i="1"/>
  <c r="DI45" i="1"/>
  <c r="DH45" i="1"/>
  <c r="DG45" i="1"/>
  <c r="DF45" i="1"/>
  <c r="DE45" i="1"/>
  <c r="DD45" i="1"/>
  <c r="DC45" i="1"/>
  <c r="DB45" i="1"/>
  <c r="DA45" i="1"/>
  <c r="CZ45" i="1"/>
  <c r="DQ44" i="1"/>
  <c r="DP44" i="1"/>
  <c r="DO44" i="1"/>
  <c r="DN44" i="1"/>
  <c r="DM44" i="1"/>
  <c r="DL44" i="1"/>
  <c r="DK44" i="1"/>
  <c r="DJ44" i="1"/>
  <c r="DI44" i="1"/>
  <c r="DH44" i="1"/>
  <c r="DG44" i="1"/>
  <c r="DF44" i="1"/>
  <c r="DE44" i="1"/>
  <c r="DD44" i="1"/>
  <c r="DC44" i="1"/>
  <c r="DB44" i="1"/>
  <c r="DA44" i="1"/>
  <c r="CZ44" i="1"/>
  <c r="DQ43" i="1"/>
  <c r="DP43" i="1"/>
  <c r="DO43" i="1"/>
  <c r="DN43" i="1"/>
  <c r="DM43" i="1"/>
  <c r="DL43" i="1"/>
  <c r="DK43" i="1"/>
  <c r="DJ43" i="1"/>
  <c r="DI43" i="1"/>
  <c r="DH43" i="1"/>
  <c r="DG43" i="1"/>
  <c r="DF43" i="1"/>
  <c r="DE43" i="1"/>
  <c r="DD43" i="1"/>
  <c r="DC43" i="1"/>
  <c r="DB43" i="1"/>
  <c r="DA43" i="1"/>
  <c r="CZ43" i="1"/>
  <c r="DQ42" i="1"/>
  <c r="DP42" i="1"/>
  <c r="DO42" i="1"/>
  <c r="DN42" i="1"/>
  <c r="DM42" i="1"/>
  <c r="DL42" i="1"/>
  <c r="DK42" i="1"/>
  <c r="DJ42" i="1"/>
  <c r="DI42" i="1"/>
  <c r="DH42" i="1"/>
  <c r="DG42" i="1"/>
  <c r="DF42" i="1"/>
  <c r="DE42" i="1"/>
  <c r="DD42" i="1"/>
  <c r="DC42" i="1"/>
  <c r="DB42" i="1"/>
  <c r="DA42" i="1"/>
  <c r="CZ42" i="1"/>
  <c r="DQ41" i="1"/>
  <c r="DP41" i="1"/>
  <c r="DO41" i="1"/>
  <c r="DN41" i="1"/>
  <c r="DM41" i="1"/>
  <c r="DL41" i="1"/>
  <c r="DK41" i="1"/>
  <c r="DJ41" i="1"/>
  <c r="DI41" i="1"/>
  <c r="DH41" i="1"/>
  <c r="DG41" i="1"/>
  <c r="DF41" i="1"/>
  <c r="DE41" i="1"/>
  <c r="DD41" i="1"/>
  <c r="DC41" i="1"/>
  <c r="DB41" i="1"/>
  <c r="DA41" i="1"/>
  <c r="CZ41" i="1"/>
  <c r="DQ40" i="1"/>
  <c r="DP40" i="1"/>
  <c r="DO40" i="1"/>
  <c r="DN40" i="1"/>
  <c r="DM40" i="1"/>
  <c r="DL40" i="1"/>
  <c r="DK40" i="1"/>
  <c r="DJ40" i="1"/>
  <c r="DI40" i="1"/>
  <c r="DH40" i="1"/>
  <c r="DG40" i="1"/>
  <c r="DF40" i="1"/>
  <c r="DE40" i="1"/>
  <c r="DD40" i="1"/>
  <c r="DC40" i="1"/>
  <c r="DB40" i="1"/>
  <c r="DA40" i="1"/>
  <c r="CZ40" i="1"/>
  <c r="DQ37" i="1"/>
  <c r="DP37" i="1"/>
  <c r="DO37" i="1"/>
  <c r="DN37" i="1"/>
  <c r="DM37" i="1"/>
  <c r="DQ36" i="1"/>
  <c r="DP36" i="1"/>
  <c r="DO36" i="1"/>
  <c r="DN36" i="1"/>
  <c r="DM36" i="1"/>
  <c r="DQ33" i="1"/>
  <c r="DP33" i="1"/>
  <c r="DO33" i="1"/>
  <c r="DN33" i="1"/>
  <c r="DM33" i="1"/>
  <c r="DL33" i="1"/>
  <c r="DK33" i="1"/>
  <c r="DJ33" i="1"/>
  <c r="DI33" i="1"/>
  <c r="DH33" i="1"/>
  <c r="DG33" i="1"/>
  <c r="DF33" i="1"/>
  <c r="DE33" i="1"/>
  <c r="DD33" i="1"/>
  <c r="DC33" i="1"/>
  <c r="DB33" i="1"/>
  <c r="DA33" i="1"/>
  <c r="CZ33" i="1"/>
  <c r="DQ32" i="1"/>
  <c r="DP32" i="1"/>
  <c r="DO32" i="1"/>
  <c r="DN32" i="1"/>
  <c r="DM32" i="1"/>
  <c r="DL32" i="1"/>
  <c r="DK32" i="1"/>
  <c r="DJ32" i="1"/>
  <c r="DI32" i="1"/>
  <c r="DH32" i="1"/>
  <c r="DG32" i="1"/>
  <c r="DF32" i="1"/>
  <c r="DE32" i="1"/>
  <c r="DD32" i="1"/>
  <c r="DC32" i="1"/>
  <c r="DB32" i="1"/>
  <c r="DA32" i="1"/>
  <c r="CZ32" i="1"/>
  <c r="DQ31" i="1"/>
  <c r="DP31" i="1"/>
  <c r="DO31" i="1"/>
  <c r="DN31" i="1"/>
  <c r="DM31" i="1"/>
  <c r="DL31" i="1"/>
  <c r="DK31" i="1"/>
  <c r="DJ31" i="1"/>
  <c r="DI31" i="1"/>
  <c r="DH31" i="1"/>
  <c r="DG31" i="1"/>
  <c r="DF31" i="1"/>
  <c r="DE31" i="1"/>
  <c r="DD31" i="1"/>
  <c r="DC31" i="1"/>
  <c r="DB31" i="1"/>
  <c r="DA31" i="1"/>
  <c r="CZ31" i="1"/>
  <c r="DQ30" i="1"/>
  <c r="DP30" i="1"/>
  <c r="DO30" i="1"/>
  <c r="DN30" i="1"/>
  <c r="DM30" i="1"/>
  <c r="DL30" i="1"/>
  <c r="DK30" i="1"/>
  <c r="DJ30" i="1"/>
  <c r="DI30" i="1"/>
  <c r="DH30" i="1"/>
  <c r="DG30" i="1"/>
  <c r="DF30" i="1"/>
  <c r="DE30" i="1"/>
  <c r="DD30" i="1"/>
  <c r="DC30" i="1"/>
  <c r="DB30" i="1"/>
  <c r="DA30" i="1"/>
  <c r="CZ30" i="1"/>
  <c r="DQ29" i="1"/>
  <c r="DP29" i="1"/>
  <c r="DO29" i="1"/>
  <c r="DN29" i="1"/>
  <c r="DM29" i="1"/>
  <c r="DL29" i="1"/>
  <c r="DK29" i="1"/>
  <c r="DJ29" i="1"/>
  <c r="DI29" i="1"/>
  <c r="DH29" i="1"/>
  <c r="DG29" i="1"/>
  <c r="DF29" i="1"/>
  <c r="DE29" i="1"/>
  <c r="DD29" i="1"/>
  <c r="DC29" i="1"/>
  <c r="DB29" i="1"/>
  <c r="DA29" i="1"/>
  <c r="CZ29" i="1"/>
  <c r="DQ28" i="1"/>
  <c r="DP28" i="1"/>
  <c r="DO28" i="1"/>
  <c r="DN28" i="1"/>
  <c r="DM28" i="1"/>
  <c r="DL28" i="1"/>
  <c r="DK28" i="1"/>
  <c r="DJ28" i="1"/>
  <c r="DI28" i="1"/>
  <c r="DH28" i="1"/>
  <c r="DG28" i="1"/>
  <c r="DF28" i="1"/>
  <c r="DE28" i="1"/>
  <c r="DD28" i="1"/>
  <c r="DC28" i="1"/>
  <c r="DB28" i="1"/>
  <c r="DA28" i="1"/>
  <c r="CZ28" i="1"/>
  <c r="DQ27" i="1"/>
  <c r="DP27" i="1"/>
  <c r="DO27" i="1"/>
  <c r="DN27" i="1"/>
  <c r="DM27" i="1"/>
  <c r="DL27" i="1"/>
  <c r="DK27" i="1"/>
  <c r="DJ27" i="1"/>
  <c r="DI27" i="1"/>
  <c r="DH27" i="1"/>
  <c r="DG27" i="1"/>
  <c r="DF27" i="1"/>
  <c r="DE27" i="1"/>
  <c r="DD27" i="1"/>
  <c r="DC27" i="1"/>
  <c r="DB27" i="1"/>
  <c r="DA27" i="1"/>
  <c r="CZ27" i="1"/>
  <c r="DQ26" i="1"/>
  <c r="DP26" i="1"/>
  <c r="DO26" i="1"/>
  <c r="DN26" i="1"/>
  <c r="DM26" i="1"/>
  <c r="DL26" i="1"/>
  <c r="DK26" i="1"/>
  <c r="DJ26" i="1"/>
  <c r="DI26" i="1"/>
  <c r="DH26" i="1"/>
  <c r="DG26" i="1"/>
  <c r="DF26" i="1"/>
  <c r="DE26" i="1"/>
  <c r="DD26" i="1"/>
  <c r="DC26" i="1"/>
  <c r="DB26" i="1"/>
  <c r="DA26" i="1"/>
  <c r="CZ26" i="1"/>
  <c r="DQ25" i="1"/>
  <c r="DP25" i="1"/>
  <c r="DO25" i="1"/>
  <c r="DN25" i="1"/>
  <c r="DM25" i="1"/>
  <c r="DL25" i="1"/>
  <c r="DK25" i="1"/>
  <c r="DJ25" i="1"/>
  <c r="DI25" i="1"/>
  <c r="DH25" i="1"/>
  <c r="DG25" i="1"/>
  <c r="DF25" i="1"/>
  <c r="DE25" i="1"/>
  <c r="DD25" i="1"/>
  <c r="DC25" i="1"/>
  <c r="DB25" i="1"/>
  <c r="DA25" i="1"/>
  <c r="CZ25" i="1"/>
  <c r="DQ24" i="1"/>
  <c r="DP24" i="1"/>
  <c r="DO24" i="1"/>
  <c r="DN24" i="1"/>
  <c r="DM24" i="1"/>
  <c r="DL24" i="1"/>
  <c r="DK24" i="1"/>
  <c r="DJ24" i="1"/>
  <c r="DI24" i="1"/>
  <c r="DH24" i="1"/>
  <c r="DG24" i="1"/>
  <c r="DF24" i="1"/>
  <c r="DE24" i="1"/>
  <c r="DD24" i="1"/>
  <c r="DC24" i="1"/>
  <c r="DB24" i="1"/>
  <c r="DA24" i="1"/>
  <c r="CZ24" i="1"/>
  <c r="DQ23" i="1"/>
  <c r="DP23" i="1"/>
  <c r="DO23" i="1"/>
  <c r="DN23" i="1"/>
  <c r="DM23" i="1"/>
  <c r="DL23" i="1"/>
  <c r="DK23" i="1"/>
  <c r="DJ23" i="1"/>
  <c r="DI23" i="1"/>
  <c r="DH23" i="1"/>
  <c r="DG23" i="1"/>
  <c r="DF23" i="1"/>
  <c r="DE23" i="1"/>
  <c r="DD23" i="1"/>
  <c r="DC23" i="1"/>
  <c r="DB23" i="1"/>
  <c r="DA23" i="1"/>
  <c r="CZ23" i="1"/>
  <c r="DQ22" i="1"/>
  <c r="DP22" i="1"/>
  <c r="DO22" i="1"/>
  <c r="DN22" i="1"/>
  <c r="DM22" i="1"/>
  <c r="DL22" i="1"/>
  <c r="DK22" i="1"/>
  <c r="DJ22" i="1"/>
  <c r="DI22" i="1"/>
  <c r="DH22" i="1"/>
  <c r="DG22" i="1"/>
  <c r="DF22" i="1"/>
  <c r="DE22" i="1"/>
  <c r="DD22" i="1"/>
  <c r="DC22" i="1"/>
  <c r="DB22" i="1"/>
  <c r="DA22" i="1"/>
  <c r="CZ22" i="1"/>
  <c r="DQ21" i="1"/>
  <c r="DP21" i="1"/>
  <c r="DO21" i="1"/>
  <c r="DN21" i="1"/>
  <c r="DM21" i="1"/>
  <c r="DL21" i="1"/>
  <c r="DK21" i="1"/>
  <c r="DJ21" i="1"/>
  <c r="DI21" i="1"/>
  <c r="DH21" i="1"/>
  <c r="DG21" i="1"/>
  <c r="DF21" i="1"/>
  <c r="DE21" i="1"/>
  <c r="DD21" i="1"/>
  <c r="DC21" i="1"/>
  <c r="DB21" i="1"/>
  <c r="DA21" i="1"/>
  <c r="CZ21" i="1"/>
  <c r="DQ18" i="1"/>
  <c r="DP18" i="1"/>
  <c r="DO18" i="1"/>
  <c r="DN18" i="1"/>
  <c r="DM18" i="1"/>
  <c r="DL18" i="1"/>
  <c r="DK18" i="1"/>
  <c r="DJ18" i="1"/>
  <c r="DI18" i="1"/>
  <c r="DH18" i="1"/>
  <c r="DG18" i="1"/>
  <c r="DF18" i="1"/>
  <c r="DE18" i="1"/>
  <c r="DD18" i="1"/>
  <c r="DC18" i="1"/>
  <c r="DB18" i="1"/>
  <c r="DA18" i="1"/>
  <c r="CZ18" i="1"/>
  <c r="DQ17" i="1"/>
  <c r="DP17" i="1"/>
  <c r="DO17" i="1"/>
  <c r="DN17" i="1"/>
  <c r="DM17" i="1"/>
  <c r="DL17" i="1"/>
  <c r="DK17" i="1"/>
  <c r="DJ17" i="1"/>
  <c r="DI17" i="1"/>
  <c r="DH17" i="1"/>
  <c r="DG17" i="1"/>
  <c r="DF17" i="1"/>
  <c r="DE17" i="1"/>
  <c r="DD17" i="1"/>
  <c r="DC17" i="1"/>
  <c r="DB17" i="1"/>
  <c r="DA17" i="1"/>
  <c r="CZ17" i="1"/>
  <c r="DQ16" i="1"/>
  <c r="DP16" i="1"/>
  <c r="DO16" i="1"/>
  <c r="DN16" i="1"/>
  <c r="DM16" i="1"/>
  <c r="DL16" i="1"/>
  <c r="DK16" i="1"/>
  <c r="DJ16" i="1"/>
  <c r="DI16" i="1"/>
  <c r="DH16" i="1"/>
  <c r="DG16" i="1"/>
  <c r="DF16" i="1"/>
  <c r="DE16" i="1"/>
  <c r="DD16" i="1"/>
  <c r="DC16" i="1"/>
  <c r="DB16" i="1"/>
  <c r="DA16" i="1"/>
  <c r="CZ16" i="1"/>
  <c r="DQ15" i="1"/>
  <c r="DP15" i="1"/>
  <c r="DO15" i="1"/>
  <c r="DN15" i="1"/>
  <c r="DM15" i="1"/>
  <c r="DL15" i="1"/>
  <c r="DK15" i="1"/>
  <c r="DJ15" i="1"/>
  <c r="DI15" i="1"/>
  <c r="DH15" i="1"/>
  <c r="DG15" i="1"/>
  <c r="DF15" i="1"/>
  <c r="DE15" i="1"/>
  <c r="DD15" i="1"/>
  <c r="DC15" i="1"/>
  <c r="DB15" i="1"/>
  <c r="DA15" i="1"/>
  <c r="CZ15" i="1"/>
  <c r="DQ14" i="1"/>
  <c r="DP14" i="1"/>
  <c r="DO14" i="1"/>
  <c r="DN14" i="1"/>
  <c r="DM14" i="1"/>
  <c r="DL14" i="1"/>
  <c r="DK14" i="1"/>
  <c r="DJ14" i="1"/>
  <c r="DI14" i="1"/>
  <c r="DH14" i="1"/>
  <c r="DG14" i="1"/>
  <c r="DF14" i="1"/>
  <c r="DE14" i="1"/>
  <c r="DD14" i="1"/>
  <c r="DC14" i="1"/>
  <c r="DB14" i="1"/>
  <c r="DA14" i="1"/>
  <c r="CZ14" i="1"/>
  <c r="DQ13" i="1"/>
  <c r="DP13" i="1"/>
  <c r="DO13" i="1"/>
  <c r="DN13" i="1"/>
  <c r="DM13" i="1"/>
  <c r="DL13" i="1"/>
  <c r="DK13" i="1"/>
  <c r="DJ13" i="1"/>
  <c r="DI13" i="1"/>
  <c r="DH13" i="1"/>
  <c r="DG13" i="1"/>
  <c r="DF13" i="1"/>
  <c r="DE13" i="1"/>
  <c r="DD13" i="1"/>
  <c r="DC13" i="1"/>
  <c r="DB13" i="1"/>
  <c r="DA13" i="1"/>
  <c r="CZ13" i="1"/>
  <c r="CL58" i="1"/>
  <c r="CK58" i="1"/>
  <c r="CJ58" i="1"/>
  <c r="CI58" i="1"/>
  <c r="CH58" i="1"/>
  <c r="CG58" i="1"/>
  <c r="CF58" i="1"/>
  <c r="CE58" i="1"/>
  <c r="CD58" i="1"/>
  <c r="CC58" i="1"/>
  <c r="CB58" i="1"/>
  <c r="CA58" i="1"/>
  <c r="BZ58" i="1"/>
  <c r="BY58" i="1"/>
  <c r="BX58" i="1"/>
  <c r="BW58" i="1"/>
  <c r="BV58" i="1"/>
  <c r="BU58" i="1"/>
  <c r="CL57" i="1"/>
  <c r="CK57" i="1"/>
  <c r="CJ57" i="1"/>
  <c r="CI57" i="1"/>
  <c r="CH57" i="1"/>
  <c r="CG57" i="1"/>
  <c r="CF57" i="1"/>
  <c r="CE57" i="1"/>
  <c r="CD57" i="1"/>
  <c r="CC57" i="1"/>
  <c r="CB57" i="1"/>
  <c r="CA57" i="1"/>
  <c r="BZ57" i="1"/>
  <c r="BY57" i="1"/>
  <c r="BX57" i="1"/>
  <c r="BW57" i="1"/>
  <c r="BV57" i="1"/>
  <c r="BU57" i="1"/>
  <c r="CL56" i="1"/>
  <c r="CK56" i="1"/>
  <c r="CJ56" i="1"/>
  <c r="CI56" i="1"/>
  <c r="CH56" i="1"/>
  <c r="CG56" i="1"/>
  <c r="CF56" i="1"/>
  <c r="CE56" i="1"/>
  <c r="CD56" i="1"/>
  <c r="CC56" i="1"/>
  <c r="CB56" i="1"/>
  <c r="CA56" i="1"/>
  <c r="BZ56" i="1"/>
  <c r="BY56" i="1"/>
  <c r="BX56" i="1"/>
  <c r="BW56" i="1"/>
  <c r="BV56" i="1"/>
  <c r="BU56" i="1"/>
  <c r="CL55" i="1"/>
  <c r="CK55" i="1"/>
  <c r="CJ55" i="1"/>
  <c r="CI55" i="1"/>
  <c r="CH55" i="1"/>
  <c r="CG55" i="1"/>
  <c r="CF55" i="1"/>
  <c r="CE55" i="1"/>
  <c r="CD55" i="1"/>
  <c r="CC55" i="1"/>
  <c r="CB55" i="1"/>
  <c r="CA55" i="1"/>
  <c r="BZ55" i="1"/>
  <c r="BY55" i="1"/>
  <c r="BX55" i="1"/>
  <c r="BW55" i="1"/>
  <c r="BV55" i="1"/>
  <c r="BU55" i="1"/>
  <c r="CL54" i="1"/>
  <c r="CK54" i="1"/>
  <c r="CJ54" i="1"/>
  <c r="CI54" i="1"/>
  <c r="CH54" i="1"/>
  <c r="CG54" i="1"/>
  <c r="CF54" i="1"/>
  <c r="CE54" i="1"/>
  <c r="CD54" i="1"/>
  <c r="CC54" i="1"/>
  <c r="CB54" i="1"/>
  <c r="CA54" i="1"/>
  <c r="BZ54" i="1"/>
  <c r="BY54" i="1"/>
  <c r="BX54" i="1"/>
  <c r="BW54" i="1"/>
  <c r="BV54" i="1"/>
  <c r="BU54" i="1"/>
  <c r="CL53" i="1"/>
  <c r="CK53" i="1"/>
  <c r="CJ53" i="1"/>
  <c r="CI53" i="1"/>
  <c r="CH53" i="1"/>
  <c r="CG53" i="1"/>
  <c r="CF53" i="1"/>
  <c r="CE53" i="1"/>
  <c r="CD53" i="1"/>
  <c r="CC53" i="1"/>
  <c r="CB53" i="1"/>
  <c r="CA53" i="1"/>
  <c r="BZ53" i="1"/>
  <c r="BY53" i="1"/>
  <c r="BX53" i="1"/>
  <c r="BW53" i="1"/>
  <c r="BV53" i="1"/>
  <c r="BU53" i="1"/>
  <c r="CL52" i="1"/>
  <c r="CK52" i="1"/>
  <c r="CJ52" i="1"/>
  <c r="CI52" i="1"/>
  <c r="CH52" i="1"/>
  <c r="CG52" i="1"/>
  <c r="CF52" i="1"/>
  <c r="CE52" i="1"/>
  <c r="CD52" i="1"/>
  <c r="CC52" i="1"/>
  <c r="CB52" i="1"/>
  <c r="CA52" i="1"/>
  <c r="BZ52" i="1"/>
  <c r="BY52" i="1"/>
  <c r="BX52" i="1"/>
  <c r="BW52" i="1"/>
  <c r="BV52" i="1"/>
  <c r="BU52" i="1"/>
  <c r="CL51" i="1"/>
  <c r="CK51" i="1"/>
  <c r="CJ51" i="1"/>
  <c r="CI51" i="1"/>
  <c r="CH51" i="1"/>
  <c r="CG51" i="1"/>
  <c r="CF51" i="1"/>
  <c r="CE51" i="1"/>
  <c r="CD51" i="1"/>
  <c r="CC51" i="1"/>
  <c r="CB51" i="1"/>
  <c r="CA51" i="1"/>
  <c r="BZ51" i="1"/>
  <c r="BY51" i="1"/>
  <c r="BX51" i="1"/>
  <c r="BW51" i="1"/>
  <c r="BV51" i="1"/>
  <c r="BU51" i="1"/>
  <c r="CL50" i="1"/>
  <c r="CK50" i="1"/>
  <c r="CJ50" i="1"/>
  <c r="CI50" i="1"/>
  <c r="CH50" i="1"/>
  <c r="CG50" i="1"/>
  <c r="CF50" i="1"/>
  <c r="CE50" i="1"/>
  <c r="CD50" i="1"/>
  <c r="CC50" i="1"/>
  <c r="CB50" i="1"/>
  <c r="CA50" i="1"/>
  <c r="BZ50" i="1"/>
  <c r="BY50" i="1"/>
  <c r="BX50" i="1"/>
  <c r="BW50" i="1"/>
  <c r="BV50" i="1"/>
  <c r="BU50" i="1"/>
  <c r="CL49" i="1"/>
  <c r="CK49" i="1"/>
  <c r="CJ49" i="1"/>
  <c r="CI49" i="1"/>
  <c r="CH49" i="1"/>
  <c r="CG49" i="1"/>
  <c r="CF49" i="1"/>
  <c r="CE49" i="1"/>
  <c r="CD49" i="1"/>
  <c r="CC49" i="1"/>
  <c r="CB49" i="1"/>
  <c r="CA49" i="1"/>
  <c r="BZ49" i="1"/>
  <c r="BY49" i="1"/>
  <c r="BX49" i="1"/>
  <c r="BW49" i="1"/>
  <c r="BV49" i="1"/>
  <c r="BU49" i="1"/>
  <c r="CL48" i="1"/>
  <c r="CK48" i="1"/>
  <c r="CJ48" i="1"/>
  <c r="CI48" i="1"/>
  <c r="CH48" i="1"/>
  <c r="CG48" i="1"/>
  <c r="CF48" i="1"/>
  <c r="CE48" i="1"/>
  <c r="CD48" i="1"/>
  <c r="CC48" i="1"/>
  <c r="CB48" i="1"/>
  <c r="CA48" i="1"/>
  <c r="BZ48" i="1"/>
  <c r="BY48" i="1"/>
  <c r="BX48" i="1"/>
  <c r="BW48" i="1"/>
  <c r="BV48" i="1"/>
  <c r="BU48" i="1"/>
  <c r="CL47" i="1"/>
  <c r="CK47" i="1"/>
  <c r="CJ47" i="1"/>
  <c r="CI47" i="1"/>
  <c r="CH47" i="1"/>
  <c r="CG47" i="1"/>
  <c r="CF47" i="1"/>
  <c r="CE47" i="1"/>
  <c r="CD47" i="1"/>
  <c r="CC47" i="1"/>
  <c r="CB47" i="1"/>
  <c r="CA47" i="1"/>
  <c r="BZ47" i="1"/>
  <c r="BY47" i="1"/>
  <c r="BX47" i="1"/>
  <c r="BW47" i="1"/>
  <c r="BV47" i="1"/>
  <c r="BU47" i="1"/>
  <c r="CL46" i="1"/>
  <c r="CK46" i="1"/>
  <c r="CJ46" i="1"/>
  <c r="CI46" i="1"/>
  <c r="CH46" i="1"/>
  <c r="CG46" i="1"/>
  <c r="CF46" i="1"/>
  <c r="CE46" i="1"/>
  <c r="CD46" i="1"/>
  <c r="CC46" i="1"/>
  <c r="CB46" i="1"/>
  <c r="CA46" i="1"/>
  <c r="BZ46" i="1"/>
  <c r="BY46" i="1"/>
  <c r="BX46" i="1"/>
  <c r="BW46" i="1"/>
  <c r="BV46" i="1"/>
  <c r="BU46" i="1"/>
  <c r="CL45" i="1"/>
  <c r="CK45" i="1"/>
  <c r="CJ45" i="1"/>
  <c r="CI45" i="1"/>
  <c r="CH45" i="1"/>
  <c r="CG45" i="1"/>
  <c r="CF45" i="1"/>
  <c r="CE45" i="1"/>
  <c r="CD45" i="1"/>
  <c r="CC45" i="1"/>
  <c r="CB45" i="1"/>
  <c r="CA45" i="1"/>
  <c r="BZ45" i="1"/>
  <c r="BY45" i="1"/>
  <c r="BX45" i="1"/>
  <c r="BW45" i="1"/>
  <c r="BV45" i="1"/>
  <c r="BU45" i="1"/>
  <c r="CL44" i="1"/>
  <c r="CK44" i="1"/>
  <c r="CJ44" i="1"/>
  <c r="CI44" i="1"/>
  <c r="CH44" i="1"/>
  <c r="CG44" i="1"/>
  <c r="CF44" i="1"/>
  <c r="CE44" i="1"/>
  <c r="CD44" i="1"/>
  <c r="CC44" i="1"/>
  <c r="CB44" i="1"/>
  <c r="CA44" i="1"/>
  <c r="BZ44" i="1"/>
  <c r="BY44" i="1"/>
  <c r="BX44" i="1"/>
  <c r="BW44" i="1"/>
  <c r="BV44" i="1"/>
  <c r="BU44" i="1"/>
  <c r="CL43" i="1"/>
  <c r="CK43" i="1"/>
  <c r="CJ43" i="1"/>
  <c r="CI43" i="1"/>
  <c r="CH43" i="1"/>
  <c r="CG43" i="1"/>
  <c r="CF43" i="1"/>
  <c r="CE43" i="1"/>
  <c r="CD43" i="1"/>
  <c r="CC43" i="1"/>
  <c r="CB43" i="1"/>
  <c r="CA43" i="1"/>
  <c r="BZ43" i="1"/>
  <c r="BY43" i="1"/>
  <c r="BX43" i="1"/>
  <c r="BW43" i="1"/>
  <c r="BV43" i="1"/>
  <c r="BU43" i="1"/>
  <c r="CL42" i="1"/>
  <c r="CK42" i="1"/>
  <c r="CJ42" i="1"/>
  <c r="CI42" i="1"/>
  <c r="CH42" i="1"/>
  <c r="CG42" i="1"/>
  <c r="CF42" i="1"/>
  <c r="CE42" i="1"/>
  <c r="CD42" i="1"/>
  <c r="CC42" i="1"/>
  <c r="CB42" i="1"/>
  <c r="CA42" i="1"/>
  <c r="BZ42" i="1"/>
  <c r="BY42" i="1"/>
  <c r="BX42" i="1"/>
  <c r="BW42" i="1"/>
  <c r="BV42" i="1"/>
  <c r="BU42" i="1"/>
  <c r="CL41" i="1"/>
  <c r="CK41" i="1"/>
  <c r="CJ41" i="1"/>
  <c r="CI41" i="1"/>
  <c r="CH41" i="1"/>
  <c r="CG41" i="1"/>
  <c r="CF41" i="1"/>
  <c r="CE41" i="1"/>
  <c r="CD41" i="1"/>
  <c r="CC41" i="1"/>
  <c r="CB41" i="1"/>
  <c r="CA41" i="1"/>
  <c r="BZ41" i="1"/>
  <c r="BY41" i="1"/>
  <c r="BX41" i="1"/>
  <c r="BW41" i="1"/>
  <c r="BV41" i="1"/>
  <c r="BU41" i="1"/>
  <c r="CL40" i="1"/>
  <c r="CK40" i="1"/>
  <c r="CJ40" i="1"/>
  <c r="CI40" i="1"/>
  <c r="CH40" i="1"/>
  <c r="CG40" i="1"/>
  <c r="CF40" i="1"/>
  <c r="CE40" i="1"/>
  <c r="CD40" i="1"/>
  <c r="CC40" i="1"/>
  <c r="CB40" i="1"/>
  <c r="CA40" i="1"/>
  <c r="BZ40" i="1"/>
  <c r="BY40" i="1"/>
  <c r="BX40" i="1"/>
  <c r="BW40" i="1"/>
  <c r="BV40" i="1"/>
  <c r="BU40" i="1"/>
  <c r="CL37" i="1"/>
  <c r="CK37" i="1"/>
  <c r="CJ37" i="1"/>
  <c r="CI37" i="1"/>
  <c r="CH37" i="1"/>
  <c r="CL36" i="1"/>
  <c r="CK36" i="1"/>
  <c r="CJ36" i="1"/>
  <c r="CI36" i="1"/>
  <c r="CH36" i="1"/>
  <c r="CL33" i="1"/>
  <c r="CK33" i="1"/>
  <c r="CJ33" i="1"/>
  <c r="CI33" i="1"/>
  <c r="CH33" i="1"/>
  <c r="CG33" i="1"/>
  <c r="CF33" i="1"/>
  <c r="CE33" i="1"/>
  <c r="CD33" i="1"/>
  <c r="CC33" i="1"/>
  <c r="CB33" i="1"/>
  <c r="CA33" i="1"/>
  <c r="BZ33" i="1"/>
  <c r="BY33" i="1"/>
  <c r="BX33" i="1"/>
  <c r="BW33" i="1"/>
  <c r="BV33" i="1"/>
  <c r="BU33" i="1"/>
  <c r="CL32" i="1"/>
  <c r="CK32" i="1"/>
  <c r="CJ32" i="1"/>
  <c r="CI32" i="1"/>
  <c r="CH32" i="1"/>
  <c r="CG32" i="1"/>
  <c r="CF32" i="1"/>
  <c r="CE32" i="1"/>
  <c r="CD32" i="1"/>
  <c r="CC32" i="1"/>
  <c r="CB32" i="1"/>
  <c r="CA32" i="1"/>
  <c r="BZ32" i="1"/>
  <c r="BY32" i="1"/>
  <c r="BX32" i="1"/>
  <c r="BW32" i="1"/>
  <c r="BV32" i="1"/>
  <c r="BU32" i="1"/>
  <c r="CL31" i="1"/>
  <c r="CK31" i="1"/>
  <c r="CJ31" i="1"/>
  <c r="CI31" i="1"/>
  <c r="CH31" i="1"/>
  <c r="CG31" i="1"/>
  <c r="CF31" i="1"/>
  <c r="CE31" i="1"/>
  <c r="CD31" i="1"/>
  <c r="CC31" i="1"/>
  <c r="CB31" i="1"/>
  <c r="CA31" i="1"/>
  <c r="BZ31" i="1"/>
  <c r="BY31" i="1"/>
  <c r="BX31" i="1"/>
  <c r="BW31" i="1"/>
  <c r="BV31" i="1"/>
  <c r="BU31" i="1"/>
  <c r="CL30" i="1"/>
  <c r="CK30" i="1"/>
  <c r="CJ30" i="1"/>
  <c r="CI30" i="1"/>
  <c r="CH30" i="1"/>
  <c r="CG30" i="1"/>
  <c r="CF30" i="1"/>
  <c r="CE30" i="1"/>
  <c r="CD30" i="1"/>
  <c r="CC30" i="1"/>
  <c r="CB30" i="1"/>
  <c r="CA30" i="1"/>
  <c r="BZ30" i="1"/>
  <c r="BY30" i="1"/>
  <c r="BX30" i="1"/>
  <c r="BW30" i="1"/>
  <c r="BV30" i="1"/>
  <c r="BU30" i="1"/>
  <c r="CL29" i="1"/>
  <c r="CK29" i="1"/>
  <c r="CJ29" i="1"/>
  <c r="CI29" i="1"/>
  <c r="CH29" i="1"/>
  <c r="CG29" i="1"/>
  <c r="CF29" i="1"/>
  <c r="CE29" i="1"/>
  <c r="CD29" i="1"/>
  <c r="CC29" i="1"/>
  <c r="CB29" i="1"/>
  <c r="CA29" i="1"/>
  <c r="BZ29" i="1"/>
  <c r="BY29" i="1"/>
  <c r="BX29" i="1"/>
  <c r="BW29" i="1"/>
  <c r="BV29" i="1"/>
  <c r="BU29" i="1"/>
  <c r="CL28" i="1"/>
  <c r="CK28" i="1"/>
  <c r="CJ28" i="1"/>
  <c r="CI28" i="1"/>
  <c r="CH28" i="1"/>
  <c r="CG28" i="1"/>
  <c r="CF28" i="1"/>
  <c r="CE28" i="1"/>
  <c r="CD28" i="1"/>
  <c r="CC28" i="1"/>
  <c r="CB28" i="1"/>
  <c r="CA28" i="1"/>
  <c r="BZ28" i="1"/>
  <c r="BY28" i="1"/>
  <c r="BX28" i="1"/>
  <c r="BW28" i="1"/>
  <c r="BV28" i="1"/>
  <c r="BU28" i="1"/>
  <c r="CL27" i="1"/>
  <c r="CK27" i="1"/>
  <c r="CJ27" i="1"/>
  <c r="CI27" i="1"/>
  <c r="CH27" i="1"/>
  <c r="CG27" i="1"/>
  <c r="CF27" i="1"/>
  <c r="CE27" i="1"/>
  <c r="CD27" i="1"/>
  <c r="CC27" i="1"/>
  <c r="CB27" i="1"/>
  <c r="CA27" i="1"/>
  <c r="BZ27" i="1"/>
  <c r="BY27" i="1"/>
  <c r="BX27" i="1"/>
  <c r="BW27" i="1"/>
  <c r="BV27" i="1"/>
  <c r="BU27" i="1"/>
  <c r="CL26" i="1"/>
  <c r="CK26" i="1"/>
  <c r="CJ26" i="1"/>
  <c r="CI26" i="1"/>
  <c r="CH26" i="1"/>
  <c r="CG26" i="1"/>
  <c r="CF26" i="1"/>
  <c r="CE26" i="1"/>
  <c r="CD26" i="1"/>
  <c r="CC26" i="1"/>
  <c r="CB26" i="1"/>
  <c r="CA26" i="1"/>
  <c r="BZ26" i="1"/>
  <c r="BY26" i="1"/>
  <c r="BX26" i="1"/>
  <c r="BW26" i="1"/>
  <c r="BV26" i="1"/>
  <c r="BU26" i="1"/>
  <c r="CL25" i="1"/>
  <c r="CK25" i="1"/>
  <c r="CJ25" i="1"/>
  <c r="CI25" i="1"/>
  <c r="CH25" i="1"/>
  <c r="CG25" i="1"/>
  <c r="CF25" i="1"/>
  <c r="CE25" i="1"/>
  <c r="CD25" i="1"/>
  <c r="CC25" i="1"/>
  <c r="CB25" i="1"/>
  <c r="CA25" i="1"/>
  <c r="BZ25" i="1"/>
  <c r="BY25" i="1"/>
  <c r="BX25" i="1"/>
  <c r="BW25" i="1"/>
  <c r="BV25" i="1"/>
  <c r="BU25" i="1"/>
  <c r="CL24" i="1"/>
  <c r="CK24" i="1"/>
  <c r="CJ24" i="1"/>
  <c r="CI24" i="1"/>
  <c r="CH24" i="1"/>
  <c r="CG24" i="1"/>
  <c r="CF24" i="1"/>
  <c r="CE24" i="1"/>
  <c r="CD24" i="1"/>
  <c r="CC24" i="1"/>
  <c r="CB24" i="1"/>
  <c r="CA24" i="1"/>
  <c r="BZ24" i="1"/>
  <c r="BY24" i="1"/>
  <c r="BX24" i="1"/>
  <c r="BW24" i="1"/>
  <c r="BV24" i="1"/>
  <c r="BU24" i="1"/>
  <c r="CL23" i="1"/>
  <c r="CK23" i="1"/>
  <c r="CJ23" i="1"/>
  <c r="CI23" i="1"/>
  <c r="CH23" i="1"/>
  <c r="CG23" i="1"/>
  <c r="CF23" i="1"/>
  <c r="CE23" i="1"/>
  <c r="CD23" i="1"/>
  <c r="CC23" i="1"/>
  <c r="CB23" i="1"/>
  <c r="CA23" i="1"/>
  <c r="BZ23" i="1"/>
  <c r="BY23" i="1"/>
  <c r="BX23" i="1"/>
  <c r="BW23" i="1"/>
  <c r="BV23" i="1"/>
  <c r="BU23" i="1"/>
  <c r="CL22" i="1"/>
  <c r="CK22" i="1"/>
  <c r="CJ22" i="1"/>
  <c r="CI22" i="1"/>
  <c r="CH22" i="1"/>
  <c r="CG22" i="1"/>
  <c r="CF22" i="1"/>
  <c r="CE22" i="1"/>
  <c r="CD22" i="1"/>
  <c r="CC22" i="1"/>
  <c r="CB22" i="1"/>
  <c r="CA22" i="1"/>
  <c r="BZ22" i="1"/>
  <c r="BY22" i="1"/>
  <c r="BX22" i="1"/>
  <c r="BW22" i="1"/>
  <c r="BV22" i="1"/>
  <c r="BU22" i="1"/>
  <c r="CL21" i="1"/>
  <c r="CK21" i="1"/>
  <c r="CJ21" i="1"/>
  <c r="CI21" i="1"/>
  <c r="CH21" i="1"/>
  <c r="CG21" i="1"/>
  <c r="CF21" i="1"/>
  <c r="CE21" i="1"/>
  <c r="CD21" i="1"/>
  <c r="CC21" i="1"/>
  <c r="CB21" i="1"/>
  <c r="CA21" i="1"/>
  <c r="BZ21" i="1"/>
  <c r="BY21" i="1"/>
  <c r="BX21" i="1"/>
  <c r="BW21" i="1"/>
  <c r="BV21" i="1"/>
  <c r="BU21" i="1"/>
  <c r="CL18" i="1"/>
  <c r="CK18" i="1"/>
  <c r="CJ18" i="1"/>
  <c r="CI18" i="1"/>
  <c r="CH18" i="1"/>
  <c r="CG18" i="1"/>
  <c r="CF18" i="1"/>
  <c r="CE18" i="1"/>
  <c r="CD18" i="1"/>
  <c r="CC18" i="1"/>
  <c r="CB18" i="1"/>
  <c r="CA18" i="1"/>
  <c r="BZ18" i="1"/>
  <c r="BY18" i="1"/>
  <c r="BX18" i="1"/>
  <c r="BW18" i="1"/>
  <c r="BV18" i="1"/>
  <c r="BU18" i="1"/>
  <c r="CL17" i="1"/>
  <c r="CK17" i="1"/>
  <c r="CJ17" i="1"/>
  <c r="CI17" i="1"/>
  <c r="CH17" i="1"/>
  <c r="CG17" i="1"/>
  <c r="CF17" i="1"/>
  <c r="CE17" i="1"/>
  <c r="CD17" i="1"/>
  <c r="CC17" i="1"/>
  <c r="CB17" i="1"/>
  <c r="CA17" i="1"/>
  <c r="BZ17" i="1"/>
  <c r="BY17" i="1"/>
  <c r="BX17" i="1"/>
  <c r="BW17" i="1"/>
  <c r="BV17" i="1"/>
  <c r="BU17" i="1"/>
  <c r="CL16" i="1"/>
  <c r="CK16" i="1"/>
  <c r="CJ16" i="1"/>
  <c r="CI16" i="1"/>
  <c r="CH16" i="1"/>
  <c r="CG16" i="1"/>
  <c r="CF16" i="1"/>
  <c r="CE16" i="1"/>
  <c r="CD16" i="1"/>
  <c r="CC16" i="1"/>
  <c r="CB16" i="1"/>
  <c r="CA16" i="1"/>
  <c r="BZ16" i="1"/>
  <c r="BY16" i="1"/>
  <c r="BX16" i="1"/>
  <c r="BW16" i="1"/>
  <c r="BV16" i="1"/>
  <c r="BU16" i="1"/>
  <c r="CL15" i="1"/>
  <c r="CK15" i="1"/>
  <c r="CJ15" i="1"/>
  <c r="CI15" i="1"/>
  <c r="CH15" i="1"/>
  <c r="CG15" i="1"/>
  <c r="CF15" i="1"/>
  <c r="CE15" i="1"/>
  <c r="CD15" i="1"/>
  <c r="CC15" i="1"/>
  <c r="CB15" i="1"/>
  <c r="CA15" i="1"/>
  <c r="BZ15" i="1"/>
  <c r="BY15" i="1"/>
  <c r="BX15" i="1"/>
  <c r="BW15" i="1"/>
  <c r="BV15" i="1"/>
  <c r="BU15" i="1"/>
  <c r="CL14" i="1"/>
  <c r="CK14" i="1"/>
  <c r="CJ14" i="1"/>
  <c r="CI14" i="1"/>
  <c r="CH14" i="1"/>
  <c r="CG14" i="1"/>
  <c r="CF14" i="1"/>
  <c r="CE14" i="1"/>
  <c r="CD14" i="1"/>
  <c r="CC14" i="1"/>
  <c r="CB14" i="1"/>
  <c r="CA14" i="1"/>
  <c r="BZ14" i="1"/>
  <c r="BY14" i="1"/>
  <c r="BX14" i="1"/>
  <c r="BW14" i="1"/>
  <c r="BV14" i="1"/>
  <c r="BU14" i="1"/>
  <c r="CL13" i="1"/>
  <c r="CK13" i="1"/>
  <c r="CJ13" i="1"/>
  <c r="CI13" i="1"/>
  <c r="CH13" i="1"/>
  <c r="CG13" i="1"/>
  <c r="CF13" i="1"/>
  <c r="CE13" i="1"/>
  <c r="CD13" i="1"/>
  <c r="CC13" i="1"/>
  <c r="CB13" i="1"/>
  <c r="CA13" i="1"/>
  <c r="BZ13" i="1"/>
  <c r="BY13" i="1"/>
  <c r="BX13" i="1"/>
  <c r="BW13" i="1"/>
  <c r="BV13" i="1"/>
  <c r="BU13" i="1"/>
  <c r="M800" i="39" l="1"/>
  <c r="L964" i="39"/>
  <c r="L961" i="39"/>
  <c r="X472" i="39"/>
  <c r="X475" i="39"/>
  <c r="O964" i="39"/>
  <c r="O961" i="39"/>
  <c r="O800" i="39"/>
  <c r="M964" i="39"/>
  <c r="M961" i="39"/>
  <c r="T800" i="39"/>
  <c r="L800" i="39"/>
  <c r="Z475" i="39"/>
  <c r="Z472" i="39"/>
  <c r="L472" i="39"/>
  <c r="L475" i="39"/>
  <c r="U800" i="39"/>
  <c r="Q475" i="39"/>
  <c r="Q472" i="39"/>
  <c r="W475" i="39"/>
  <c r="W472" i="39"/>
  <c r="Q961" i="39"/>
  <c r="Q964" i="39"/>
  <c r="V961" i="39"/>
  <c r="V964" i="39"/>
  <c r="S475" i="39"/>
  <c r="S472" i="39"/>
  <c r="M472" i="39"/>
  <c r="M475" i="39"/>
  <c r="P800" i="39"/>
  <c r="P475" i="39"/>
  <c r="P472" i="39"/>
  <c r="X964" i="39"/>
  <c r="X961" i="39"/>
  <c r="Q800" i="39"/>
  <c r="N475" i="39"/>
  <c r="N472" i="39"/>
  <c r="U964" i="39"/>
  <c r="U961" i="39"/>
  <c r="S800" i="39"/>
  <c r="Y475" i="39"/>
  <c r="Y472" i="39"/>
  <c r="N800" i="39"/>
  <c r="W961" i="39"/>
  <c r="W964" i="39"/>
  <c r="O472" i="39"/>
  <c r="O475" i="39"/>
  <c r="W800" i="39"/>
  <c r="V472" i="39"/>
  <c r="V475" i="39"/>
  <c r="P961" i="39"/>
  <c r="P964" i="39"/>
  <c r="R800" i="39"/>
  <c r="T472" i="39"/>
  <c r="T475" i="39"/>
  <c r="Z961" i="39"/>
  <c r="Z964" i="39"/>
  <c r="S964" i="39"/>
  <c r="S961" i="39"/>
  <c r="U475" i="39"/>
  <c r="U472" i="39"/>
  <c r="Y964" i="39"/>
  <c r="Y961" i="39"/>
  <c r="X800" i="39"/>
  <c r="Z800" i="39"/>
  <c r="R961" i="39"/>
  <c r="R964" i="39"/>
  <c r="N961" i="39"/>
  <c r="N964" i="39"/>
  <c r="T964" i="39"/>
  <c r="T961" i="39"/>
  <c r="Y800" i="39"/>
  <c r="R475" i="39"/>
  <c r="R472" i="39"/>
  <c r="V800" i="39"/>
  <c r="J12" i="48"/>
  <c r="K12" i="48" s="1"/>
  <c r="E33" i="46"/>
  <c r="K33" i="46"/>
  <c r="Q33" i="46"/>
  <c r="T963" i="39" l="1"/>
  <c r="N963" i="39"/>
  <c r="X474" i="39"/>
  <c r="S474" i="39"/>
  <c r="W963" i="39"/>
  <c r="P963" i="39"/>
  <c r="O963" i="39"/>
  <c r="O474" i="39"/>
  <c r="Z474" i="39"/>
  <c r="U474" i="39"/>
  <c r="X963" i="39"/>
  <c r="M963" i="39"/>
  <c r="U963" i="39"/>
  <c r="W474" i="39"/>
  <c r="Q474" i="39"/>
  <c r="L963" i="39"/>
  <c r="Y474" i="39"/>
  <c r="R474" i="39"/>
  <c r="V474" i="39"/>
  <c r="M474" i="39"/>
  <c r="T474" i="39"/>
  <c r="Y963" i="39"/>
  <c r="S963" i="39"/>
  <c r="P474" i="39"/>
  <c r="Z963" i="39"/>
  <c r="N474" i="39"/>
  <c r="R963" i="39"/>
  <c r="V963" i="39"/>
  <c r="Q963" i="39"/>
  <c r="L474" i="39"/>
  <c r="D19" i="48"/>
  <c r="E18" i="48" l="1"/>
  <c r="E7" i="48"/>
  <c r="E17" i="48"/>
  <c r="E8" i="48"/>
  <c r="E4" i="48"/>
  <c r="E16" i="48"/>
  <c r="E15" i="48"/>
  <c r="E14" i="48"/>
  <c r="E13" i="48"/>
  <c r="E12" i="48"/>
  <c r="E11" i="48"/>
  <c r="E10" i="48"/>
  <c r="E9" i="48"/>
  <c r="E6" i="48"/>
  <c r="E5" i="48"/>
  <c r="E19" i="48"/>
  <c r="AC32" i="46"/>
  <c r="W32" i="46"/>
  <c r="Q32" i="46"/>
  <c r="K32" i="46"/>
  <c r="E32" i="46" l="1"/>
  <c r="H12" i="19"/>
  <c r="G12" i="19"/>
  <c r="D3" i="19"/>
  <c r="K39" i="7"/>
  <c r="D34" i="10"/>
  <c r="E56" i="10"/>
  <c r="K122" i="39"/>
  <c r="K84" i="39"/>
  <c r="K52" i="39"/>
  <c r="M54" i="47" l="1"/>
  <c r="M53" i="47"/>
  <c r="M52" i="47"/>
  <c r="M51" i="47"/>
  <c r="M50" i="47"/>
  <c r="M49" i="47"/>
  <c r="M48" i="47"/>
  <c r="M47" i="47"/>
  <c r="M46" i="47"/>
  <c r="M45" i="47"/>
  <c r="M44" i="47"/>
  <c r="M43" i="47"/>
  <c r="M42" i="47"/>
  <c r="M41" i="47"/>
  <c r="M40" i="47"/>
  <c r="M39" i="47"/>
  <c r="M38" i="47"/>
  <c r="M37" i="47"/>
  <c r="M36" i="47"/>
  <c r="M33" i="47"/>
  <c r="M32" i="47"/>
  <c r="M31" i="47"/>
  <c r="M29" i="47"/>
  <c r="M28" i="47"/>
  <c r="M27" i="47"/>
  <c r="M26" i="47"/>
  <c r="M25" i="47"/>
  <c r="M24" i="47"/>
  <c r="M23" i="47"/>
  <c r="M22" i="47"/>
  <c r="M16" i="47" s="1"/>
  <c r="M21" i="47"/>
  <c r="M20" i="47"/>
  <c r="M19" i="47"/>
  <c r="M18" i="47"/>
  <c r="M17" i="47"/>
  <c r="M14" i="47"/>
  <c r="M13" i="47"/>
  <c r="M12" i="47"/>
  <c r="M11" i="47"/>
  <c r="M10" i="47"/>
  <c r="M9" i="47"/>
  <c r="J54" i="47"/>
  <c r="J53" i="47"/>
  <c r="J52" i="47"/>
  <c r="J51" i="47"/>
  <c r="J50" i="47"/>
  <c r="J49" i="47"/>
  <c r="J48" i="47"/>
  <c r="J47" i="47"/>
  <c r="J46" i="47"/>
  <c r="J45" i="47"/>
  <c r="J44" i="47"/>
  <c r="J43" i="47"/>
  <c r="J42" i="47"/>
  <c r="J41" i="47"/>
  <c r="J40" i="47"/>
  <c r="J39" i="47"/>
  <c r="J38" i="47"/>
  <c r="J37" i="47"/>
  <c r="J36" i="47"/>
  <c r="J33" i="47"/>
  <c r="J32" i="47"/>
  <c r="J31" i="47"/>
  <c r="J29" i="47"/>
  <c r="J28" i="47"/>
  <c r="J27" i="47"/>
  <c r="J26" i="47"/>
  <c r="J25" i="47"/>
  <c r="J24" i="47"/>
  <c r="J23" i="47"/>
  <c r="J22" i="47"/>
  <c r="J21" i="47"/>
  <c r="J20" i="47"/>
  <c r="J19" i="47"/>
  <c r="J18" i="47"/>
  <c r="J17" i="47"/>
  <c r="J14" i="47"/>
  <c r="J13" i="47"/>
  <c r="J12" i="47"/>
  <c r="J11" i="47"/>
  <c r="J8" i="47" s="1"/>
  <c r="J10" i="47"/>
  <c r="J9" i="47"/>
  <c r="G54" i="47"/>
  <c r="G53" i="47"/>
  <c r="G52" i="47"/>
  <c r="G51" i="47"/>
  <c r="G50" i="47"/>
  <c r="G49" i="47"/>
  <c r="G48" i="47"/>
  <c r="G47" i="47"/>
  <c r="G46" i="47"/>
  <c r="G45" i="47"/>
  <c r="G44" i="47"/>
  <c r="G43" i="47"/>
  <c r="G42" i="47"/>
  <c r="G41" i="47"/>
  <c r="G40" i="47"/>
  <c r="G39" i="47"/>
  <c r="G38" i="47"/>
  <c r="G37" i="47"/>
  <c r="G36" i="47"/>
  <c r="G35" i="47" s="1"/>
  <c r="G33" i="47"/>
  <c r="G31" i="47" s="1"/>
  <c r="G32" i="47"/>
  <c r="G29" i="47"/>
  <c r="G28" i="47"/>
  <c r="G27" i="47"/>
  <c r="G26" i="47"/>
  <c r="G25" i="47"/>
  <c r="G24" i="47"/>
  <c r="G23" i="47"/>
  <c r="G22" i="47"/>
  <c r="G21" i="47"/>
  <c r="G20" i="47"/>
  <c r="G19" i="47"/>
  <c r="G18" i="47"/>
  <c r="G17" i="47"/>
  <c r="G16" i="47" s="1"/>
  <c r="G14" i="47"/>
  <c r="G13" i="47"/>
  <c r="G12" i="47"/>
  <c r="G11" i="47"/>
  <c r="G10" i="47"/>
  <c r="G9" i="47"/>
  <c r="F11" i="47"/>
  <c r="M35" i="47" l="1"/>
  <c r="M8" i="47"/>
  <c r="M6" i="47" s="1"/>
  <c r="J16" i="47"/>
  <c r="J35" i="47"/>
  <c r="M56" i="47"/>
  <c r="J6" i="47"/>
  <c r="J56" i="47" s="1"/>
  <c r="G8" i="47"/>
  <c r="G6" i="47" s="1"/>
  <c r="G56" i="47" s="1"/>
  <c r="E31" i="46"/>
  <c r="BG31" i="46"/>
  <c r="BA31" i="46"/>
  <c r="AU31" i="46"/>
  <c r="AO31" i="46"/>
  <c r="AI31" i="46"/>
  <c r="AC31" i="46"/>
  <c r="W31" i="46"/>
  <c r="Q31" i="46"/>
  <c r="K31" i="46"/>
  <c r="N79" i="7" l="1"/>
  <c r="I25" i="7"/>
  <c r="I24" i="7"/>
  <c r="I23" i="7"/>
  <c r="I22" i="7"/>
  <c r="I21" i="7"/>
  <c r="I20" i="7"/>
  <c r="I19" i="7"/>
  <c r="I18" i="7"/>
  <c r="I16" i="7"/>
  <c r="I15" i="7"/>
  <c r="I14" i="7"/>
  <c r="Z17" i="7" l="1"/>
  <c r="Z13" i="7"/>
  <c r="Z12" i="7" s="1"/>
  <c r="H12" i="7" l="1"/>
  <c r="I17" i="7"/>
  <c r="I13" i="7"/>
  <c r="K16" i="7"/>
  <c r="K15" i="7"/>
  <c r="K14" i="7"/>
  <c r="I12" i="7" l="1"/>
  <c r="AC2" i="31"/>
  <c r="AD2" i="31" l="1"/>
  <c r="K14" i="38" s="1"/>
  <c r="R79" i="7"/>
  <c r="M79" i="7"/>
  <c r="M310" i="39" l="1"/>
  <c r="L310" i="39"/>
  <c r="V310" i="39"/>
  <c r="U310" i="39"/>
  <c r="Z310" i="39"/>
  <c r="Y310" i="39"/>
  <c r="X310" i="39"/>
  <c r="W310" i="39"/>
  <c r="T310" i="39"/>
  <c r="N310" i="39"/>
  <c r="S310" i="39"/>
  <c r="P310" i="39"/>
  <c r="O310" i="39"/>
  <c r="R310" i="39"/>
  <c r="Q310" i="39"/>
  <c r="K39" i="38"/>
  <c r="ER33" i="10"/>
  <c r="EL33" i="10"/>
  <c r="EF33" i="10"/>
  <c r="DZ33" i="10"/>
  <c r="DT33" i="10"/>
  <c r="DN33" i="10"/>
  <c r="DH33" i="10"/>
  <c r="DB33" i="10"/>
  <c r="CV33" i="10"/>
  <c r="CP33" i="10"/>
  <c r="CJ33" i="10"/>
  <c r="CD33" i="10"/>
  <c r="BX33" i="10"/>
  <c r="BR33" i="10"/>
  <c r="BL33" i="10"/>
  <c r="BF33" i="10"/>
  <c r="AZ33" i="10"/>
  <c r="AT33" i="10"/>
  <c r="AN33" i="10"/>
  <c r="AH33" i="10"/>
  <c r="AB33" i="10"/>
  <c r="ER32" i="10"/>
  <c r="EL32" i="10"/>
  <c r="EF32" i="10"/>
  <c r="DZ32" i="10"/>
  <c r="DT32" i="10"/>
  <c r="DN32" i="10"/>
  <c r="DH32" i="10"/>
  <c r="DB32" i="10"/>
  <c r="CV32" i="10"/>
  <c r="CP32" i="10"/>
  <c r="CJ32" i="10"/>
  <c r="CD32" i="10"/>
  <c r="BX32" i="10"/>
  <c r="BR32" i="10"/>
  <c r="BL32" i="10"/>
  <c r="BF32" i="10"/>
  <c r="AZ32" i="10"/>
  <c r="AT32" i="10"/>
  <c r="AN32" i="10"/>
  <c r="AH32" i="10"/>
  <c r="AB32" i="10"/>
  <c r="ER28" i="10"/>
  <c r="ER21" i="10" s="1"/>
  <c r="EL28" i="10"/>
  <c r="EL21" i="10" s="1"/>
  <c r="EF28" i="10"/>
  <c r="EF21" i="10" s="1"/>
  <c r="DZ28" i="10"/>
  <c r="DZ21" i="10" s="1"/>
  <c r="DT28" i="10"/>
  <c r="DT21" i="10" s="1"/>
  <c r="DN28" i="10"/>
  <c r="DN21" i="10" s="1"/>
  <c r="DH28" i="10"/>
  <c r="DH21" i="10" s="1"/>
  <c r="DB28" i="10"/>
  <c r="DB21" i="10" s="1"/>
  <c r="CV28" i="10"/>
  <c r="CV21" i="10" s="1"/>
  <c r="CP28" i="10"/>
  <c r="CP21" i="10" s="1"/>
  <c r="CJ28" i="10"/>
  <c r="CJ21" i="10" s="1"/>
  <c r="CD28" i="10"/>
  <c r="CD21" i="10" s="1"/>
  <c r="BX28" i="10"/>
  <c r="BX21" i="10" s="1"/>
  <c r="BR28" i="10"/>
  <c r="BR21" i="10" s="1"/>
  <c r="BL28" i="10"/>
  <c r="BL21" i="10" s="1"/>
  <c r="BF28" i="10"/>
  <c r="BF21" i="10" s="1"/>
  <c r="AZ28" i="10"/>
  <c r="AZ21" i="10" s="1"/>
  <c r="AT28" i="10"/>
  <c r="AT21" i="10" s="1"/>
  <c r="AN28" i="10"/>
  <c r="AN21" i="10" s="1"/>
  <c r="AH28" i="10"/>
  <c r="AH21" i="10" s="1"/>
  <c r="AB28" i="10"/>
  <c r="AB21" i="10" s="1"/>
  <c r="ER27" i="10"/>
  <c r="EL27" i="10"/>
  <c r="EF27" i="10"/>
  <c r="DZ27" i="10"/>
  <c r="DT27" i="10"/>
  <c r="DN27" i="10"/>
  <c r="DH27" i="10"/>
  <c r="DB27" i="10"/>
  <c r="CV27" i="10"/>
  <c r="CP27" i="10"/>
  <c r="CJ27" i="10"/>
  <c r="CD27" i="10"/>
  <c r="BX27" i="10"/>
  <c r="BR27" i="10"/>
  <c r="BL27" i="10"/>
  <c r="BF27" i="10"/>
  <c r="AZ27" i="10"/>
  <c r="AT27" i="10"/>
  <c r="AN27" i="10"/>
  <c r="AH27" i="10"/>
  <c r="AB27" i="10"/>
  <c r="ER26" i="10"/>
  <c r="EL26" i="10"/>
  <c r="EF26" i="10"/>
  <c r="DZ26" i="10"/>
  <c r="DT26" i="10"/>
  <c r="DN26" i="10"/>
  <c r="DH26" i="10"/>
  <c r="DB26" i="10"/>
  <c r="CV26" i="10"/>
  <c r="CP26" i="10"/>
  <c r="CJ26" i="10"/>
  <c r="CD26" i="10"/>
  <c r="BX26" i="10"/>
  <c r="BR26" i="10"/>
  <c r="BL26" i="10"/>
  <c r="BF26" i="10"/>
  <c r="AZ26" i="10"/>
  <c r="AT26" i="10"/>
  <c r="AN26" i="10"/>
  <c r="AH26" i="10"/>
  <c r="AB26" i="10"/>
  <c r="ER25" i="10"/>
  <c r="EL25" i="10"/>
  <c r="EF25" i="10"/>
  <c r="DZ25" i="10"/>
  <c r="DT25" i="10"/>
  <c r="DN25" i="10"/>
  <c r="DH25" i="10"/>
  <c r="DB25" i="10"/>
  <c r="CV25" i="10"/>
  <c r="CP25" i="10"/>
  <c r="CJ25" i="10"/>
  <c r="CD25" i="10"/>
  <c r="BX25" i="10"/>
  <c r="BR25" i="10"/>
  <c r="BL25" i="10"/>
  <c r="BF25" i="10"/>
  <c r="AZ25" i="10"/>
  <c r="AT25" i="10"/>
  <c r="AN25" i="10"/>
  <c r="AH25" i="10"/>
  <c r="AB25" i="10"/>
  <c r="ER14" i="10"/>
  <c r="EL14" i="10"/>
  <c r="EF14" i="10"/>
  <c r="DZ14" i="10"/>
  <c r="DT14" i="10"/>
  <c r="DN14" i="10"/>
  <c r="DH14" i="10"/>
  <c r="DB14" i="10"/>
  <c r="CV14" i="10"/>
  <c r="CP14" i="10"/>
  <c r="CJ14" i="10"/>
  <c r="CD14" i="10"/>
  <c r="BX14" i="10"/>
  <c r="BR14" i="10"/>
  <c r="BL14" i="10"/>
  <c r="BF14" i="10"/>
  <c r="AZ14" i="10"/>
  <c r="AT14" i="10"/>
  <c r="AN14" i="10"/>
  <c r="AH14" i="10"/>
  <c r="AB14" i="10"/>
  <c r="ER13" i="10"/>
  <c r="EL13" i="10"/>
  <c r="EF13" i="10"/>
  <c r="DZ13" i="10"/>
  <c r="DT13" i="10"/>
  <c r="DN13" i="10"/>
  <c r="DH13" i="10"/>
  <c r="DB13" i="10"/>
  <c r="CV13" i="10"/>
  <c r="CP13" i="10"/>
  <c r="CJ13" i="10"/>
  <c r="CD13" i="10"/>
  <c r="BX13" i="10"/>
  <c r="BR13" i="10"/>
  <c r="BL13" i="10"/>
  <c r="BF13" i="10"/>
  <c r="AZ13" i="10"/>
  <c r="AT13" i="10"/>
  <c r="AN13" i="10"/>
  <c r="AH13" i="10"/>
  <c r="AB13" i="10"/>
  <c r="ER12" i="10"/>
  <c r="EL12" i="10"/>
  <c r="EF12" i="10"/>
  <c r="DZ12" i="10"/>
  <c r="DT12" i="10"/>
  <c r="DN12" i="10"/>
  <c r="DH12" i="10"/>
  <c r="DB12" i="10"/>
  <c r="CV12" i="10"/>
  <c r="CP12" i="10"/>
  <c r="CJ12" i="10"/>
  <c r="CD12" i="10"/>
  <c r="BX12" i="10"/>
  <c r="BR12" i="10"/>
  <c r="BL12" i="10"/>
  <c r="BF12" i="10"/>
  <c r="AZ12" i="10"/>
  <c r="AT12" i="10"/>
  <c r="AN12" i="10"/>
  <c r="AH12" i="10"/>
  <c r="AB12" i="10"/>
  <c r="ER11" i="10"/>
  <c r="EL11" i="10"/>
  <c r="EF11" i="10"/>
  <c r="DZ11" i="10"/>
  <c r="DT11" i="10"/>
  <c r="DN11" i="10"/>
  <c r="DH11" i="10"/>
  <c r="DB11" i="10"/>
  <c r="CV11" i="10"/>
  <c r="CP11" i="10"/>
  <c r="CJ11" i="10"/>
  <c r="CD11" i="10"/>
  <c r="BX11" i="10"/>
  <c r="BR11" i="10"/>
  <c r="BL11" i="10"/>
  <c r="BF11" i="10"/>
  <c r="AZ11" i="10"/>
  <c r="AT11" i="10"/>
  <c r="AN11" i="10"/>
  <c r="AH11" i="10"/>
  <c r="AB11" i="10"/>
  <c r="ER10" i="10"/>
  <c r="EL10" i="10"/>
  <c r="EF10" i="10"/>
  <c r="DZ10" i="10"/>
  <c r="DT10" i="10"/>
  <c r="DN10" i="10"/>
  <c r="DH10" i="10"/>
  <c r="DB10" i="10"/>
  <c r="CV10" i="10"/>
  <c r="CP10" i="10"/>
  <c r="CJ10" i="10"/>
  <c r="CD10" i="10"/>
  <c r="BX10" i="10"/>
  <c r="BR10" i="10"/>
  <c r="BL10" i="10"/>
  <c r="BF10" i="10"/>
  <c r="AZ10" i="10"/>
  <c r="AT10" i="10"/>
  <c r="AN10" i="10"/>
  <c r="AH10" i="10"/>
  <c r="AB10" i="10"/>
  <c r="ER9" i="10"/>
  <c r="EL9" i="10"/>
  <c r="EF9" i="10"/>
  <c r="DZ9" i="10"/>
  <c r="DT9" i="10"/>
  <c r="DN9" i="10"/>
  <c r="DH9" i="10"/>
  <c r="DB9" i="10"/>
  <c r="CV9" i="10"/>
  <c r="CP9" i="10"/>
  <c r="CJ9" i="10"/>
  <c r="CD9" i="10"/>
  <c r="BX9" i="10"/>
  <c r="BR9" i="10"/>
  <c r="BL9" i="10"/>
  <c r="BF9" i="10"/>
  <c r="AZ9" i="10"/>
  <c r="AT9" i="10"/>
  <c r="AN9" i="10"/>
  <c r="AH9" i="10"/>
  <c r="AB9" i="10"/>
  <c r="ER8" i="10"/>
  <c r="EL8" i="10"/>
  <c r="EF8" i="10"/>
  <c r="DZ8" i="10"/>
  <c r="DT8" i="10"/>
  <c r="DN8" i="10"/>
  <c r="DH8" i="10"/>
  <c r="DB8" i="10"/>
  <c r="CV8" i="10"/>
  <c r="CP8" i="10"/>
  <c r="CJ8" i="10"/>
  <c r="CD8" i="10"/>
  <c r="BX8" i="10"/>
  <c r="BR8" i="10"/>
  <c r="BL8" i="10"/>
  <c r="BF8" i="10"/>
  <c r="AZ8" i="10"/>
  <c r="AT8" i="10"/>
  <c r="AN8" i="10"/>
  <c r="AH8" i="10"/>
  <c r="AB8" i="10"/>
  <c r="ER7" i="10"/>
  <c r="EL7" i="10"/>
  <c r="EF7" i="10"/>
  <c r="DZ7" i="10"/>
  <c r="DT7" i="10"/>
  <c r="DN7" i="10"/>
  <c r="DH7" i="10"/>
  <c r="DB7" i="10"/>
  <c r="CV7" i="10"/>
  <c r="CP7" i="10"/>
  <c r="CJ7" i="10"/>
  <c r="CD7" i="10"/>
  <c r="BX7" i="10"/>
  <c r="BR7" i="10"/>
  <c r="BL7" i="10"/>
  <c r="BF7" i="10"/>
  <c r="AZ7" i="10"/>
  <c r="AT7" i="10"/>
  <c r="AN7" i="10"/>
  <c r="AH7" i="10"/>
  <c r="AB7" i="10"/>
  <c r="ER6" i="10"/>
  <c r="EL6" i="10"/>
  <c r="EF6" i="10"/>
  <c r="DZ6" i="10"/>
  <c r="DT6" i="10"/>
  <c r="DN6" i="10"/>
  <c r="DH6" i="10"/>
  <c r="DB6" i="10"/>
  <c r="CV6" i="10"/>
  <c r="CP6" i="10"/>
  <c r="CJ6" i="10"/>
  <c r="CD6" i="10"/>
  <c r="BX6" i="10"/>
  <c r="BR6" i="10"/>
  <c r="BL6" i="10"/>
  <c r="BF6" i="10"/>
  <c r="AZ6" i="10"/>
  <c r="AT6" i="10"/>
  <c r="AN6" i="10"/>
  <c r="AH6" i="10"/>
  <c r="AB6" i="10"/>
  <c r="ER5" i="10"/>
  <c r="EL5" i="10"/>
  <c r="EF5" i="10"/>
  <c r="DZ5" i="10"/>
  <c r="DT5" i="10"/>
  <c r="DN5" i="10"/>
  <c r="DH5" i="10"/>
  <c r="DB5" i="10"/>
  <c r="CV5" i="10"/>
  <c r="CP5" i="10"/>
  <c r="CJ5" i="10"/>
  <c r="CD5" i="10"/>
  <c r="BX5" i="10"/>
  <c r="BR5" i="10"/>
  <c r="BL5" i="10"/>
  <c r="BF5" i="10"/>
  <c r="AZ5" i="10"/>
  <c r="AT5" i="10"/>
  <c r="AN5" i="10"/>
  <c r="AH5" i="10"/>
  <c r="AB5" i="10"/>
  <c r="V33" i="10"/>
  <c r="V32" i="10"/>
  <c r="V28" i="10"/>
  <c r="V21" i="10" s="1"/>
  <c r="V27" i="10"/>
  <c r="V26" i="10"/>
  <c r="V25" i="10"/>
  <c r="V14" i="10"/>
  <c r="V13" i="10"/>
  <c r="V12" i="10"/>
  <c r="V11" i="10"/>
  <c r="V10" i="10"/>
  <c r="V9" i="10"/>
  <c r="V8" i="10"/>
  <c r="V7" i="10"/>
  <c r="V6" i="10"/>
  <c r="V5" i="10"/>
  <c r="P33" i="10"/>
  <c r="P32" i="10"/>
  <c r="P28" i="10"/>
  <c r="P21" i="10" s="1"/>
  <c r="P27" i="10"/>
  <c r="P26" i="10"/>
  <c r="P25" i="10"/>
  <c r="P14" i="10"/>
  <c r="P13" i="10"/>
  <c r="P12" i="10"/>
  <c r="P11" i="10"/>
  <c r="P10" i="10"/>
  <c r="P9" i="10"/>
  <c r="P8" i="10"/>
  <c r="P7" i="10"/>
  <c r="P6" i="10"/>
  <c r="P5" i="10"/>
  <c r="J33" i="10"/>
  <c r="J32" i="10"/>
  <c r="J28" i="10"/>
  <c r="J21" i="10" s="1"/>
  <c r="J27" i="10"/>
  <c r="J26" i="10"/>
  <c r="J25" i="10"/>
  <c r="J14" i="10"/>
  <c r="J13" i="10"/>
  <c r="J12" i="10"/>
  <c r="J11" i="10"/>
  <c r="J10" i="10"/>
  <c r="J9" i="10"/>
  <c r="J8" i="10"/>
  <c r="J7" i="10"/>
  <c r="J6" i="10"/>
  <c r="J5" i="10"/>
  <c r="N13" i="39"/>
  <c r="O13" i="39" s="1"/>
  <c r="P13" i="39" s="1"/>
  <c r="Q13" i="39" s="1"/>
  <c r="R13" i="39" s="1"/>
  <c r="S13" i="39" s="1"/>
  <c r="T13" i="39" s="1"/>
  <c r="U13" i="39" s="1"/>
  <c r="V13" i="39" s="1"/>
  <c r="W13" i="39" s="1"/>
  <c r="X13" i="39" s="1"/>
  <c r="Y13" i="39" s="1"/>
  <c r="Z13" i="39" s="1"/>
  <c r="D25" i="10"/>
  <c r="O6" i="1"/>
  <c r="N309" i="39" l="1"/>
  <c r="N312" i="39"/>
  <c r="W312" i="39"/>
  <c r="W309" i="39"/>
  <c r="U312" i="39"/>
  <c r="U309" i="39"/>
  <c r="Q312" i="39"/>
  <c r="Q309" i="39"/>
  <c r="S312" i="39"/>
  <c r="S309" i="39"/>
  <c r="T309" i="39"/>
  <c r="T312" i="39"/>
  <c r="Y309" i="39"/>
  <c r="Y312" i="39"/>
  <c r="R312" i="39"/>
  <c r="R309" i="39"/>
  <c r="L309" i="39"/>
  <c r="L312" i="39"/>
  <c r="X312" i="39"/>
  <c r="X309" i="39"/>
  <c r="Z309" i="39"/>
  <c r="Z312" i="39"/>
  <c r="V312" i="39"/>
  <c r="V309" i="39"/>
  <c r="O312" i="39"/>
  <c r="O309" i="39"/>
  <c r="M312" i="39"/>
  <c r="M309" i="39"/>
  <c r="P309" i="39"/>
  <c r="P312" i="39"/>
  <c r="BX29" i="10"/>
  <c r="CD29" i="10"/>
  <c r="CJ29" i="10"/>
  <c r="CP29" i="10"/>
  <c r="BF29" i="10"/>
  <c r="BR29" i="10"/>
  <c r="AN29" i="10"/>
  <c r="EF29" i="10"/>
  <c r="BL29" i="10"/>
  <c r="J29" i="10"/>
  <c r="DB29" i="10"/>
  <c r="DN29" i="10"/>
  <c r="DH29" i="10"/>
  <c r="AB29" i="10"/>
  <c r="DT29" i="10"/>
  <c r="V29" i="10"/>
  <c r="CV29" i="10"/>
  <c r="AH29" i="10"/>
  <c r="DZ29" i="10"/>
  <c r="P29" i="10"/>
  <c r="AT29" i="10"/>
  <c r="EL29" i="10"/>
  <c r="AZ29" i="10"/>
  <c r="ER29" i="10"/>
  <c r="CV4" i="10"/>
  <c r="BX4" i="10"/>
  <c r="CD4" i="10"/>
  <c r="V4" i="10"/>
  <c r="BR4" i="10"/>
  <c r="AN4" i="10"/>
  <c r="EF4" i="10"/>
  <c r="J4" i="10"/>
  <c r="CP4" i="10"/>
  <c r="AZ4" i="10"/>
  <c r="ER4" i="10"/>
  <c r="CJ4" i="10"/>
  <c r="DZ4" i="10"/>
  <c r="AH4" i="10"/>
  <c r="EL4" i="10"/>
  <c r="DB4" i="10"/>
  <c r="DN4" i="10"/>
  <c r="AT4" i="10"/>
  <c r="BF4" i="10"/>
  <c r="BL4" i="10"/>
  <c r="DH4" i="10"/>
  <c r="AB4" i="10"/>
  <c r="DT4" i="10"/>
  <c r="P4" i="10"/>
  <c r="L311" i="39" l="1"/>
  <c r="P311" i="39"/>
  <c r="M311" i="39"/>
  <c r="Y311" i="39"/>
  <c r="U311" i="39"/>
  <c r="T311" i="39"/>
  <c r="V311" i="39"/>
  <c r="W311" i="39"/>
  <c r="S311" i="39"/>
  <c r="R311" i="39"/>
  <c r="Q311" i="39"/>
  <c r="Z311" i="39"/>
  <c r="O311" i="39"/>
  <c r="X311" i="39"/>
  <c r="N311" i="39"/>
  <c r="D24" i="19"/>
  <c r="C25" i="19"/>
  <c r="D25" i="19" s="1"/>
  <c r="C26" i="19" l="1"/>
  <c r="H14" i="38"/>
  <c r="H16" i="56" s="1"/>
  <c r="M147" i="39" l="1"/>
  <c r="L147" i="39"/>
  <c r="H39" i="38"/>
  <c r="C27" i="19"/>
  <c r="D26" i="19"/>
  <c r="D2" i="42"/>
  <c r="C8" i="42"/>
  <c r="B8" i="42"/>
  <c r="C28" i="19" l="1"/>
  <c r="D27" i="19"/>
  <c r="O68" i="31"/>
  <c r="G68" i="31"/>
  <c r="E68" i="31"/>
  <c r="C29" i="19" l="1"/>
  <c r="D29" i="19" s="1"/>
  <c r="D28" i="19"/>
  <c r="AI15" i="34" l="1"/>
  <c r="AI12" i="34" l="1"/>
  <c r="AH12" i="34"/>
  <c r="AJ9" i="34"/>
  <c r="AH6" i="34"/>
  <c r="AH3" i="34"/>
  <c r="AH4" i="34" s="1"/>
  <c r="AJ1" i="34"/>
  <c r="AD3" i="34"/>
  <c r="Z3" i="34"/>
  <c r="V3" i="34"/>
  <c r="R18" i="34"/>
  <c r="N18" i="34"/>
  <c r="J17" i="34"/>
  <c r="R17" i="34" s="1"/>
  <c r="F17" i="34"/>
  <c r="N17" i="34" s="1"/>
  <c r="R16" i="34"/>
  <c r="N16" i="34"/>
  <c r="J15" i="34"/>
  <c r="R15" i="34" s="1"/>
  <c r="F15" i="34"/>
  <c r="F14" i="34"/>
  <c r="R11" i="34"/>
  <c r="N11" i="34"/>
  <c r="J11" i="34"/>
  <c r="F11" i="34"/>
  <c r="F12" i="34" s="1"/>
  <c r="N12" i="39"/>
  <c r="ES67" i="10"/>
  <c r="ES64" i="10"/>
  <c r="ES65" i="10" s="1"/>
  <c r="ES62" i="10"/>
  <c r="ES56" i="10"/>
  <c r="EM67" i="10"/>
  <c r="EM64" i="10"/>
  <c r="EM65" i="10" s="1"/>
  <c r="EM62" i="10"/>
  <c r="EM56" i="10"/>
  <c r="EG67" i="10"/>
  <c r="EG64" i="10"/>
  <c r="EG65" i="10" s="1"/>
  <c r="EG62" i="10"/>
  <c r="EG56" i="10"/>
  <c r="EA67" i="10"/>
  <c r="EA64" i="10"/>
  <c r="EA65" i="10" s="1"/>
  <c r="EA62" i="10"/>
  <c r="EA56" i="10"/>
  <c r="DU67" i="10"/>
  <c r="DU64" i="10"/>
  <c r="DU65" i="10" s="1"/>
  <c r="DU62" i="10"/>
  <c r="DU56" i="10"/>
  <c r="DO67" i="10"/>
  <c r="DO64" i="10"/>
  <c r="DO65" i="10" s="1"/>
  <c r="DO62" i="10"/>
  <c r="DO56" i="10"/>
  <c r="DI67" i="10"/>
  <c r="DI64" i="10"/>
  <c r="DI65" i="10" s="1"/>
  <c r="DI62" i="10"/>
  <c r="DI56" i="10"/>
  <c r="DC67" i="10"/>
  <c r="DC64" i="10"/>
  <c r="DC65" i="10" s="1"/>
  <c r="DC62" i="10"/>
  <c r="DC56" i="10"/>
  <c r="CW67" i="10"/>
  <c r="CW64" i="10"/>
  <c r="CW65" i="10" s="1"/>
  <c r="CW62" i="10"/>
  <c r="CW56" i="10"/>
  <c r="CQ67" i="10"/>
  <c r="CQ64" i="10"/>
  <c r="CQ65" i="10" s="1"/>
  <c r="CQ62" i="10"/>
  <c r="CQ56" i="10"/>
  <c r="CK67" i="10"/>
  <c r="CK64" i="10"/>
  <c r="CK65" i="10" s="1"/>
  <c r="CK62" i="10"/>
  <c r="CK56" i="10"/>
  <c r="CE67" i="10"/>
  <c r="CE64" i="10"/>
  <c r="CE65" i="10" s="1"/>
  <c r="CE62" i="10"/>
  <c r="CE56" i="10"/>
  <c r="BY67" i="10"/>
  <c r="BY64" i="10"/>
  <c r="BY65" i="10" s="1"/>
  <c r="BY62" i="10"/>
  <c r="BY56" i="10"/>
  <c r="BS67" i="10"/>
  <c r="BS64" i="10"/>
  <c r="BS65" i="10" s="1"/>
  <c r="BS62" i="10"/>
  <c r="BS56" i="10"/>
  <c r="BM67" i="10"/>
  <c r="BM64" i="10"/>
  <c r="BM65" i="10" s="1"/>
  <c r="BM62" i="10"/>
  <c r="BM56" i="10"/>
  <c r="BG67" i="10"/>
  <c r="BG64" i="10"/>
  <c r="BG65" i="10" s="1"/>
  <c r="BG62" i="10"/>
  <c r="BG56" i="10"/>
  <c r="BA67" i="10"/>
  <c r="BA64" i="10"/>
  <c r="BA65" i="10" s="1"/>
  <c r="BA62" i="10"/>
  <c r="BA56" i="10"/>
  <c r="AU67" i="10"/>
  <c r="AU64" i="10"/>
  <c r="AU65" i="10" s="1"/>
  <c r="AU62" i="10"/>
  <c r="AU56" i="10"/>
  <c r="AO67" i="10"/>
  <c r="AO64" i="10"/>
  <c r="AO65" i="10" s="1"/>
  <c r="AO62" i="10"/>
  <c r="AO56" i="10"/>
  <c r="AI67" i="10"/>
  <c r="AI64" i="10"/>
  <c r="AI65" i="10" s="1"/>
  <c r="AI62" i="10"/>
  <c r="AI56" i="10"/>
  <c r="Y1" i="10"/>
  <c r="AE1" i="10" s="1"/>
  <c r="AK1" i="10" s="1"/>
  <c r="AQ1" i="10" s="1"/>
  <c r="AW1" i="10" s="1"/>
  <c r="BC1" i="10" s="1"/>
  <c r="BI1" i="10" s="1"/>
  <c r="BO1" i="10" s="1"/>
  <c r="BU1" i="10" s="1"/>
  <c r="CA1" i="10" s="1"/>
  <c r="CG1" i="10" s="1"/>
  <c r="CM1" i="10" s="1"/>
  <c r="CS1" i="10" s="1"/>
  <c r="CY1" i="10" s="1"/>
  <c r="DE1" i="10" s="1"/>
  <c r="DK1" i="10" s="1"/>
  <c r="DQ1" i="10" s="1"/>
  <c r="DW1" i="10" s="1"/>
  <c r="EC1" i="10" s="1"/>
  <c r="EI1" i="10" s="1"/>
  <c r="EO1" i="10" s="1"/>
  <c r="EU1" i="10" s="1"/>
  <c r="S1" i="10"/>
  <c r="AC67" i="10"/>
  <c r="AC64" i="10"/>
  <c r="AC65" i="10" s="1"/>
  <c r="AC62" i="10"/>
  <c r="AC56" i="10"/>
  <c r="W67" i="10"/>
  <c r="W64" i="10"/>
  <c r="W65" i="10" s="1"/>
  <c r="W62" i="10"/>
  <c r="W56" i="10"/>
  <c r="Q67" i="10"/>
  <c r="Q64" i="10"/>
  <c r="Q65" i="10" s="1"/>
  <c r="Q62" i="10"/>
  <c r="Q56" i="10"/>
  <c r="N8" i="7"/>
  <c r="N45" i="7"/>
  <c r="R45" i="7"/>
  <c r="N147" i="39" l="1"/>
  <c r="O12" i="39"/>
  <c r="BR37" i="10"/>
  <c r="CP37" i="10"/>
  <c r="BL37" i="10"/>
  <c r="BF37" i="10"/>
  <c r="EL37" i="10"/>
  <c r="DB37" i="10"/>
  <c r="ER37" i="10"/>
  <c r="AZ37" i="10"/>
  <c r="AT37" i="10"/>
  <c r="EF37" i="10"/>
  <c r="AN37" i="10"/>
  <c r="DZ37" i="10"/>
  <c r="AH37" i="10"/>
  <c r="DH37" i="10"/>
  <c r="CV37" i="10"/>
  <c r="DT37" i="10"/>
  <c r="AB37" i="10"/>
  <c r="V37" i="10"/>
  <c r="DN37" i="10"/>
  <c r="CJ37" i="10"/>
  <c r="P37" i="10"/>
  <c r="CD37" i="10"/>
  <c r="J37" i="10"/>
  <c r="BX37" i="10"/>
  <c r="D37" i="10"/>
  <c r="J12" i="34"/>
  <c r="J13" i="34" s="1"/>
  <c r="N12" i="34"/>
  <c r="N13" i="34" s="1"/>
  <c r="R12" i="34"/>
  <c r="R13" i="34" s="1"/>
  <c r="N15" i="34"/>
  <c r="N14" i="34" s="1"/>
  <c r="R14" i="34"/>
  <c r="J14" i="34"/>
  <c r="F13" i="34"/>
  <c r="O147" i="39" l="1"/>
  <c r="P12" i="39"/>
  <c r="N19" i="34"/>
  <c r="P15" i="34" s="1"/>
  <c r="P14" i="34"/>
  <c r="P17" i="34"/>
  <c r="P16" i="34"/>
  <c r="F19" i="34"/>
  <c r="R19" i="34"/>
  <c r="P19" i="34"/>
  <c r="P18" i="34"/>
  <c r="P13" i="34"/>
  <c r="J19" i="34"/>
  <c r="L14" i="34" s="1"/>
  <c r="P147" i="39" l="1"/>
  <c r="Q12" i="39"/>
  <c r="T19" i="34"/>
  <c r="T16" i="34"/>
  <c r="T18" i="34"/>
  <c r="T15" i="34"/>
  <c r="T17" i="34"/>
  <c r="T13" i="34"/>
  <c r="T14" i="34"/>
  <c r="H15" i="34"/>
  <c r="H18" i="34"/>
  <c r="H16" i="34"/>
  <c r="H19" i="34"/>
  <c r="H17" i="34"/>
  <c r="H14" i="34"/>
  <c r="H13" i="34"/>
  <c r="L18" i="34"/>
  <c r="L19" i="34"/>
  <c r="L15" i="34"/>
  <c r="L17" i="34"/>
  <c r="L13" i="34"/>
  <c r="B21" i="31"/>
  <c r="O12" i="31"/>
  <c r="E12" i="31"/>
  <c r="O11" i="39"/>
  <c r="P11" i="39" s="1"/>
  <c r="Q11" i="39" s="1"/>
  <c r="R11" i="39" s="1"/>
  <c r="S11" i="39" s="1"/>
  <c r="T11" i="39" s="1"/>
  <c r="U11" i="39" s="1"/>
  <c r="V11" i="39" s="1"/>
  <c r="W11" i="39" s="1"/>
  <c r="X11" i="39" s="1"/>
  <c r="Y11" i="39" s="1"/>
  <c r="Z11" i="39" s="1"/>
  <c r="Q147" i="39" l="1"/>
  <c r="B22" i="31"/>
  <c r="R12" i="39"/>
  <c r="O11" i="31"/>
  <c r="E11" i="31"/>
  <c r="D32" i="10"/>
  <c r="R147" i="39" l="1"/>
  <c r="B23" i="31"/>
  <c r="S12" i="39"/>
  <c r="AB1" i="34"/>
  <c r="AF1" i="34" s="1"/>
  <c r="S147" i="39" l="1"/>
  <c r="B24" i="31"/>
  <c r="T12" i="39"/>
  <c r="B1" i="41"/>
  <c r="T147" i="39" l="1"/>
  <c r="C43" i="41"/>
  <c r="C26" i="41"/>
  <c r="C36" i="41"/>
  <c r="C35" i="41"/>
  <c r="C32" i="41"/>
  <c r="C28" i="41"/>
  <c r="C25" i="41"/>
  <c r="C38" i="41"/>
  <c r="C42" i="41"/>
  <c r="C31" i="41"/>
  <c r="C30" i="41"/>
  <c r="C27" i="41"/>
  <c r="C41" i="41"/>
  <c r="C40" i="41"/>
  <c r="C37" i="41"/>
  <c r="C33" i="41"/>
  <c r="C18" i="41"/>
  <c r="C53" i="41"/>
  <c r="C50" i="41"/>
  <c r="C46" i="41"/>
  <c r="C48" i="41"/>
  <c r="C52" i="41"/>
  <c r="C51" i="41"/>
  <c r="C47" i="41"/>
  <c r="C45" i="41"/>
  <c r="C23" i="41"/>
  <c r="C22" i="41"/>
  <c r="C21" i="41"/>
  <c r="C20" i="41"/>
  <c r="B25" i="31"/>
  <c r="U12" i="39"/>
  <c r="C5" i="41"/>
  <c r="C6" i="41"/>
  <c r="C7" i="41"/>
  <c r="C8" i="41"/>
  <c r="C10" i="41"/>
  <c r="C11" i="41"/>
  <c r="C12" i="41"/>
  <c r="C13" i="41"/>
  <c r="C15" i="41"/>
  <c r="C16" i="41"/>
  <c r="C17" i="41"/>
  <c r="AR1" i="31"/>
  <c r="AS1" i="31" s="1"/>
  <c r="K67" i="10"/>
  <c r="K64" i="10"/>
  <c r="K65" i="10" s="1"/>
  <c r="K62" i="10"/>
  <c r="K56" i="10"/>
  <c r="D26" i="10"/>
  <c r="D28" i="10"/>
  <c r="D27" i="10"/>
  <c r="N2" i="10"/>
  <c r="U147" i="39" l="1"/>
  <c r="B26" i="31"/>
  <c r="V12" i="39"/>
  <c r="T2" i="10"/>
  <c r="J2" i="10"/>
  <c r="J1" i="11" s="1"/>
  <c r="D14" i="10"/>
  <c r="D13" i="10"/>
  <c r="D12" i="10"/>
  <c r="D11" i="10"/>
  <c r="D10" i="10"/>
  <c r="D9" i="10"/>
  <c r="D8" i="10"/>
  <c r="D7" i="10"/>
  <c r="D6" i="10"/>
  <c r="D5" i="10"/>
  <c r="V147" i="39" l="1"/>
  <c r="B27" i="31"/>
  <c r="W12" i="39"/>
  <c r="P2" i="10"/>
  <c r="P1" i="11" s="1"/>
  <c r="Z2" i="10"/>
  <c r="D33" i="10"/>
  <c r="E67" i="10"/>
  <c r="W147" i="39" l="1"/>
  <c r="B28" i="31"/>
  <c r="X12" i="39"/>
  <c r="AF2" i="10"/>
  <c r="V2" i="10"/>
  <c r="V1" i="11" s="1"/>
  <c r="X147" i="39" l="1"/>
  <c r="B29" i="31"/>
  <c r="Y12" i="39"/>
  <c r="AB2" i="10"/>
  <c r="AB1" i="11" s="1"/>
  <c r="AL2" i="10"/>
  <c r="C1" i="10"/>
  <c r="E62" i="10"/>
  <c r="E64" i="10"/>
  <c r="D21" i="10"/>
  <c r="Y147" i="39" l="1"/>
  <c r="DO50" i="10" a="1"/>
  <c r="DO50" i="10" s="1"/>
  <c r="DO51" i="10" s="1"/>
  <c r="AI50" i="10" a="1"/>
  <c r="AI50" i="10" s="1"/>
  <c r="AI51" i="10" s="1"/>
  <c r="CQ46" i="10" a="1"/>
  <c r="CQ46" i="10" s="1"/>
  <c r="CQ47" i="10" s="1"/>
  <c r="ES50" i="10" a="1"/>
  <c r="ES50" i="10" s="1"/>
  <c r="ES51" i="10" s="1"/>
  <c r="DU46" i="10" a="1"/>
  <c r="DU46" i="10" s="1"/>
  <c r="DU47" i="10" s="1"/>
  <c r="DO46" i="10" a="1"/>
  <c r="DO46" i="10" s="1"/>
  <c r="DO47" i="10" s="1"/>
  <c r="BA50" i="10" a="1"/>
  <c r="BA50" i="10" s="1"/>
  <c r="BA51" i="10" s="1"/>
  <c r="CW46" i="10" a="1"/>
  <c r="CW46" i="10" s="1"/>
  <c r="CW47" i="10" s="1"/>
  <c r="DI50" i="10" a="1"/>
  <c r="DI50" i="10" s="1"/>
  <c r="DI51" i="10" s="1"/>
  <c r="CK46" i="10" a="1"/>
  <c r="CK46" i="10" s="1"/>
  <c r="CK47" i="10" s="1"/>
  <c r="DC50" i="10" a="1"/>
  <c r="DC50" i="10" s="1"/>
  <c r="DC51" i="10" s="1"/>
  <c r="CE46" i="10" a="1"/>
  <c r="CE46" i="10" s="1"/>
  <c r="CE47" i="10" s="1"/>
  <c r="E50" i="10" a="1"/>
  <c r="E50" i="10" s="1"/>
  <c r="AU46" i="10" a="1"/>
  <c r="AU46" i="10" s="1"/>
  <c r="AU47" i="10" s="1"/>
  <c r="AI46" i="10" a="1"/>
  <c r="AI46" i="10" s="1"/>
  <c r="AI47" i="10" s="1"/>
  <c r="AU50" i="10" a="1"/>
  <c r="AU50" i="10" s="1"/>
  <c r="AU51" i="10" s="1"/>
  <c r="AO50" i="10" a="1"/>
  <c r="AO50" i="10" s="1"/>
  <c r="AO51" i="10" s="1"/>
  <c r="AC50" i="10" a="1"/>
  <c r="AC50" i="10" s="1"/>
  <c r="AC51" i="10" s="1"/>
  <c r="EM46" i="10" a="1"/>
  <c r="EM46" i="10" s="1"/>
  <c r="EM47" i="10" s="1"/>
  <c r="AO46" i="10" a="1"/>
  <c r="AO46" i="10" s="1"/>
  <c r="AO47" i="10" s="1"/>
  <c r="EM50" i="10" a="1"/>
  <c r="EM50" i="10" s="1"/>
  <c r="EM51" i="10" s="1"/>
  <c r="BG50" i="10" a="1"/>
  <c r="BG50" i="10" s="1"/>
  <c r="BG51" i="10" s="1"/>
  <c r="Q46" i="10" a="1"/>
  <c r="Q46" i="10" s="1"/>
  <c r="Q47" i="10" s="1"/>
  <c r="CW50" i="10" a="1"/>
  <c r="CW50" i="10" s="1"/>
  <c r="CW51" i="10" s="1"/>
  <c r="BY46" i="10" a="1"/>
  <c r="BY46" i="10" s="1"/>
  <c r="BY47" i="10" s="1"/>
  <c r="CQ50" i="10" a="1"/>
  <c r="CQ50" i="10" s="1"/>
  <c r="CQ51" i="10" s="1"/>
  <c r="W50" i="10" a="1"/>
  <c r="W50" i="10" s="1"/>
  <c r="W51" i="10" s="1"/>
  <c r="BS46" i="10" a="1"/>
  <c r="BS46" i="10" s="1"/>
  <c r="BS47" i="10" s="1"/>
  <c r="E46" i="10" a="1"/>
  <c r="E46" i="10" s="1"/>
  <c r="E47" i="10" s="1"/>
  <c r="CK50" i="10" a="1"/>
  <c r="CK50" i="10" s="1"/>
  <c r="CK51" i="10" s="1"/>
  <c r="Q50" i="10" a="1"/>
  <c r="Q50" i="10" s="1"/>
  <c r="Q51" i="10" s="1"/>
  <c r="BM46" i="10" a="1"/>
  <c r="BM46" i="10" s="1"/>
  <c r="BM47" i="10" s="1"/>
  <c r="CE50" i="10" a="1"/>
  <c r="CE50" i="10" s="1"/>
  <c r="CE51" i="10" s="1"/>
  <c r="BG46" i="10" a="1"/>
  <c r="BG46" i="10" s="1"/>
  <c r="BG47" i="10" s="1"/>
  <c r="BY50" i="10" a="1"/>
  <c r="BY50" i="10" s="1"/>
  <c r="BY51" i="10" s="1"/>
  <c r="EG46" i="10" a="1"/>
  <c r="EG46" i="10" s="1"/>
  <c r="EG47" i="10" s="1"/>
  <c r="EA46" i="10" a="1"/>
  <c r="EA46" i="10" s="1"/>
  <c r="EA47" i="10" s="1"/>
  <c r="AC46" i="10" a="1"/>
  <c r="AC46" i="10" s="1"/>
  <c r="AC47" i="10" s="1"/>
  <c r="W46" i="10" a="1"/>
  <c r="W46" i="10" s="1"/>
  <c r="W47" i="10" s="1"/>
  <c r="K50" i="10" a="1"/>
  <c r="K50" i="10" s="1"/>
  <c r="K51" i="10" s="1"/>
  <c r="ES46" i="10" a="1"/>
  <c r="ES46" i="10" s="1"/>
  <c r="ES47" i="10" s="1"/>
  <c r="BA46" i="10" a="1"/>
  <c r="BA46" i="10" s="1"/>
  <c r="BA47" i="10" s="1"/>
  <c r="BS50" i="10" a="1"/>
  <c r="BS50" i="10" s="1"/>
  <c r="BS51" i="10" s="1"/>
  <c r="EA50" i="10" a="1"/>
  <c r="EA50" i="10" s="1"/>
  <c r="EA51" i="10" s="1"/>
  <c r="K46" i="10" a="1"/>
  <c r="K46" i="10" s="1"/>
  <c r="K47" i="10" s="1"/>
  <c r="DU50" i="10" a="1"/>
  <c r="DU50" i="10" s="1"/>
  <c r="DU51" i="10" s="1"/>
  <c r="EG50" i="10" a="1"/>
  <c r="EG50" i="10" s="1"/>
  <c r="EG51" i="10" s="1"/>
  <c r="BM50" i="10" a="1"/>
  <c r="BM50" i="10" s="1"/>
  <c r="BM51" i="10" s="1"/>
  <c r="DI46" i="10" a="1"/>
  <c r="DI46" i="10" s="1"/>
  <c r="DI47" i="10" s="1"/>
  <c r="DC46" i="10" a="1"/>
  <c r="DC46" i="10" s="1"/>
  <c r="DC47" i="10" s="1"/>
  <c r="B30" i="31"/>
  <c r="Z12" i="39"/>
  <c r="AR2" i="10"/>
  <c r="AH2" i="10"/>
  <c r="AH1" i="11" s="1"/>
  <c r="AE12" i="34"/>
  <c r="AD12" i="34"/>
  <c r="AA12" i="34"/>
  <c r="Z12" i="34"/>
  <c r="Z147" i="39" l="1"/>
  <c r="B31" i="31"/>
  <c r="AN2" i="10"/>
  <c r="AN1" i="11" s="1"/>
  <c r="AX2" i="10"/>
  <c r="L14" i="39"/>
  <c r="B32" i="31" l="1"/>
  <c r="BD2" i="10"/>
  <c r="AT2" i="10"/>
  <c r="AT1" i="11" s="1"/>
  <c r="D24" i="10"/>
  <c r="M14" i="39"/>
  <c r="Z141" i="39"/>
  <c r="Y141" i="39"/>
  <c r="X141" i="39"/>
  <c r="W141" i="39"/>
  <c r="V141" i="39"/>
  <c r="U141" i="39"/>
  <c r="T141" i="39"/>
  <c r="S141" i="39"/>
  <c r="R141" i="39"/>
  <c r="Q141" i="39"/>
  <c r="P141" i="39"/>
  <c r="O141" i="39"/>
  <c r="N141" i="39"/>
  <c r="M141" i="39"/>
  <c r="L141" i="39"/>
  <c r="K12" i="38"/>
  <c r="H12" i="38"/>
  <c r="B33" i="31" l="1"/>
  <c r="AZ2" i="10"/>
  <c r="AZ1" i="11" s="1"/>
  <c r="BJ2" i="10"/>
  <c r="J24" i="10"/>
  <c r="J30" i="10" s="1"/>
  <c r="J31" i="10" s="1"/>
  <c r="J29" i="11" s="1"/>
  <c r="AJ18" i="34"/>
  <c r="X18" i="34"/>
  <c r="AB18" i="34"/>
  <c r="AF18" i="34"/>
  <c r="N14" i="39"/>
  <c r="Z103" i="39"/>
  <c r="Y103" i="39"/>
  <c r="X103" i="39"/>
  <c r="W103" i="39"/>
  <c r="V103" i="39"/>
  <c r="U103" i="39"/>
  <c r="T103" i="39"/>
  <c r="S103" i="39"/>
  <c r="R103" i="39"/>
  <c r="Q103" i="39"/>
  <c r="P103" i="39"/>
  <c r="O103" i="39"/>
  <c r="N103" i="39"/>
  <c r="M103" i="39"/>
  <c r="L103" i="39"/>
  <c r="AD6" i="34"/>
  <c r="Z6" i="34"/>
  <c r="V6" i="34"/>
  <c r="AD4" i="34"/>
  <c r="Z4" i="34"/>
  <c r="V4" i="34"/>
  <c r="Z159" i="39"/>
  <c r="Y159" i="39"/>
  <c r="X159" i="39"/>
  <c r="W159" i="39"/>
  <c r="V159" i="39"/>
  <c r="U159" i="39"/>
  <c r="T159" i="39"/>
  <c r="L159" i="39"/>
  <c r="K125" i="39"/>
  <c r="K119" i="39"/>
  <c r="K118" i="39" s="1"/>
  <c r="K110" i="39"/>
  <c r="K108" i="39" s="1"/>
  <c r="K87" i="39"/>
  <c r="K81" i="39"/>
  <c r="K72" i="39"/>
  <c r="K70" i="39" s="1"/>
  <c r="Z26" i="39"/>
  <c r="Y26" i="39"/>
  <c r="X26" i="39"/>
  <c r="W26" i="39"/>
  <c r="V26" i="39"/>
  <c r="U26" i="39"/>
  <c r="T26" i="39"/>
  <c r="S26" i="39"/>
  <c r="R26" i="39"/>
  <c r="Q26" i="39"/>
  <c r="P26" i="39"/>
  <c r="O26" i="39"/>
  <c r="N26" i="39"/>
  <c r="M26" i="39"/>
  <c r="L26" i="39"/>
  <c r="K55" i="39"/>
  <c r="K49" i="39"/>
  <c r="K48" i="39" s="1"/>
  <c r="A33" i="38"/>
  <c r="E113" i="38" l="1"/>
  <c r="E112" i="38"/>
  <c r="E111" i="38"/>
  <c r="E108" i="38"/>
  <c r="E110" i="38"/>
  <c r="E109" i="38"/>
  <c r="E122" i="38"/>
  <c r="E106" i="38"/>
  <c r="E114" i="38"/>
  <c r="E98" i="38"/>
  <c r="E123" i="38"/>
  <c r="E107" i="38"/>
  <c r="E121" i="38"/>
  <c r="E105" i="38"/>
  <c r="E120" i="38"/>
  <c r="E104" i="38"/>
  <c r="E119" i="38"/>
  <c r="E103" i="38"/>
  <c r="E116" i="38"/>
  <c r="E100" i="38"/>
  <c r="E115" i="38"/>
  <c r="E99" i="38"/>
  <c r="E118" i="38"/>
  <c r="E102" i="38"/>
  <c r="E117" i="38"/>
  <c r="E101" i="38"/>
  <c r="B34" i="31"/>
  <c r="K80" i="39"/>
  <c r="K92" i="39" s="1"/>
  <c r="K99" i="39" s="1"/>
  <c r="BF2" i="10"/>
  <c r="BF1" i="11" s="1"/>
  <c r="BP2" i="10"/>
  <c r="P24" i="10"/>
  <c r="P30" i="10" s="1"/>
  <c r="P31" i="10" s="1"/>
  <c r="P29" i="11" s="1"/>
  <c r="E44" i="38"/>
  <c r="E54" i="38"/>
  <c r="E46" i="38"/>
  <c r="E55" i="38"/>
  <c r="E53" i="38"/>
  <c r="E45" i="38"/>
  <c r="E58" i="38"/>
  <c r="E57" i="38"/>
  <c r="E68" i="38"/>
  <c r="E52" i="38"/>
  <c r="E60" i="38"/>
  <c r="E43" i="38"/>
  <c r="E56" i="38"/>
  <c r="E67" i="38"/>
  <c r="E51" i="38"/>
  <c r="E59" i="38"/>
  <c r="E42" i="38"/>
  <c r="E66" i="38"/>
  <c r="E50" i="38"/>
  <c r="E65" i="38"/>
  <c r="E49" i="38"/>
  <c r="E64" i="38"/>
  <c r="E48" i="38"/>
  <c r="E63" i="38"/>
  <c r="E47" i="38"/>
  <c r="AN1" i="34"/>
  <c r="AO1" i="34" s="1"/>
  <c r="E62" i="38"/>
  <c r="E61" i="38"/>
  <c r="E85" i="38"/>
  <c r="E90" i="38"/>
  <c r="E74" i="38"/>
  <c r="E84" i="38"/>
  <c r="E83" i="38"/>
  <c r="E82" i="38"/>
  <c r="E81" i="38"/>
  <c r="E96" i="38"/>
  <c r="E80" i="38"/>
  <c r="E95" i="38"/>
  <c r="E79" i="38"/>
  <c r="E92" i="38"/>
  <c r="E76" i="38"/>
  <c r="E91" i="38"/>
  <c r="E75" i="38"/>
  <c r="E94" i="38"/>
  <c r="E78" i="38"/>
  <c r="E89" i="38"/>
  <c r="E73" i="38"/>
  <c r="E93" i="38"/>
  <c r="E77" i="38"/>
  <c r="E86" i="38"/>
  <c r="E88" i="38"/>
  <c r="E72" i="38"/>
  <c r="E87" i="38"/>
  <c r="D1" i="10"/>
  <c r="E71" i="38"/>
  <c r="O14" i="39"/>
  <c r="H9" i="39"/>
  <c r="M159" i="39"/>
  <c r="N159" i="39"/>
  <c r="O159" i="39"/>
  <c r="P159" i="39"/>
  <c r="Q159" i="39"/>
  <c r="R159" i="39"/>
  <c r="S159" i="39"/>
  <c r="K130" i="39"/>
  <c r="K137" i="39" s="1"/>
  <c r="E34" i="38"/>
  <c r="A34" i="38"/>
  <c r="I1602" i="39" l="1"/>
  <c r="I1552" i="39"/>
  <c r="I1538" i="39"/>
  <c r="I1518" i="39"/>
  <c r="I1505" i="39"/>
  <c r="I1460" i="39"/>
  <c r="I1431" i="39"/>
  <c r="I1417" i="39"/>
  <c r="I1399" i="39"/>
  <c r="I1369" i="39"/>
  <c r="I1348" i="39"/>
  <c r="I1635" i="39"/>
  <c r="I1601" i="39"/>
  <c r="I1586" i="39"/>
  <c r="I1537" i="39"/>
  <c r="I1517" i="39"/>
  <c r="I1634" i="39"/>
  <c r="I1600" i="39"/>
  <c r="I1585" i="39"/>
  <c r="I1551" i="39"/>
  <c r="I1534" i="39"/>
  <c r="I1508" i="39"/>
  <c r="I1478" i="39"/>
  <c r="I1466" i="39"/>
  <c r="I1455" i="39"/>
  <c r="I1415" i="39"/>
  <c r="I1406" i="39"/>
  <c r="I1396" i="39"/>
  <c r="I1382" i="39"/>
  <c r="I1367" i="39"/>
  <c r="I1350" i="39"/>
  <c r="I1308" i="39"/>
  <c r="I1276" i="39"/>
  <c r="I1211" i="39"/>
  <c r="I1205" i="39"/>
  <c r="I1185" i="39"/>
  <c r="I1183" i="39"/>
  <c r="I1146" i="39"/>
  <c r="I1113" i="39"/>
  <c r="I1027" i="39"/>
  <c r="I1633" i="39"/>
  <c r="I1608" i="39"/>
  <c r="I1599" i="39"/>
  <c r="I1583" i="39"/>
  <c r="I1568" i="39"/>
  <c r="I1550" i="39"/>
  <c r="I1532" i="39"/>
  <c r="I1516" i="39"/>
  <c r="I1475" i="39"/>
  <c r="I1446" i="39"/>
  <c r="I1429" i="39"/>
  <c r="I1394" i="39"/>
  <c r="I1381" i="39"/>
  <c r="I1366" i="39"/>
  <c r="I1607" i="39"/>
  <c r="I1597" i="39"/>
  <c r="I1582" i="39"/>
  <c r="I1566" i="39"/>
  <c r="I1549" i="39"/>
  <c r="I1531" i="39"/>
  <c r="I1515" i="39"/>
  <c r="I1428" i="39"/>
  <c r="I1414" i="39"/>
  <c r="I1393" i="39"/>
  <c r="I1380" i="39"/>
  <c r="I1364" i="39"/>
  <c r="I1631" i="39"/>
  <c r="I1626" i="39"/>
  <c r="I1595" i="39"/>
  <c r="I1581" i="39"/>
  <c r="I1564" i="39"/>
  <c r="I1530" i="39"/>
  <c r="I1474" i="39"/>
  <c r="I1465" i="39"/>
  <c r="I1427" i="39"/>
  <c r="I1413" i="39"/>
  <c r="I1392" i="39"/>
  <c r="I1379" i="39"/>
  <c r="I1591" i="39"/>
  <c r="I1577" i="39"/>
  <c r="I1557" i="39"/>
  <c r="I1543" i="39"/>
  <c r="I1509" i="39"/>
  <c r="I1628" i="39"/>
  <c r="I1590" i="39"/>
  <c r="I1576" i="39"/>
  <c r="I1556" i="39"/>
  <c r="I1542" i="39"/>
  <c r="I1511" i="39"/>
  <c r="I1641" i="39"/>
  <c r="I1589" i="39"/>
  <c r="I1575" i="39"/>
  <c r="I1540" i="39"/>
  <c r="I1512" i="39"/>
  <c r="I1510" i="39"/>
  <c r="I1445" i="39"/>
  <c r="I1436" i="39"/>
  <c r="I1420" i="39"/>
  <c r="I1403" i="39"/>
  <c r="I1386" i="39"/>
  <c r="I1371" i="39"/>
  <c r="I1609" i="39"/>
  <c r="I1513" i="39"/>
  <c r="I1470" i="39"/>
  <c r="I1457" i="39"/>
  <c r="I1424" i="39"/>
  <c r="I1398" i="39"/>
  <c r="I1375" i="39"/>
  <c r="I1346" i="39"/>
  <c r="I1315" i="39"/>
  <c r="I1263" i="39"/>
  <c r="I1245" i="39"/>
  <c r="I1228" i="39"/>
  <c r="I1206" i="39"/>
  <c r="I1119" i="39"/>
  <c r="I1108" i="39"/>
  <c r="I1093" i="39"/>
  <c r="I1075" i="39"/>
  <c r="I1038" i="39"/>
  <c r="I1022" i="39"/>
  <c r="I989" i="39"/>
  <c r="I976" i="39"/>
  <c r="I938" i="39"/>
  <c r="I924" i="39"/>
  <c r="I904" i="39"/>
  <c r="I1630" i="39"/>
  <c r="I1548" i="39"/>
  <c r="I1355" i="39"/>
  <c r="I1344" i="39"/>
  <c r="I1312" i="39"/>
  <c r="I1262" i="39"/>
  <c r="I1227" i="39"/>
  <c r="I1213" i="39"/>
  <c r="I1204" i="39"/>
  <c r="I1142" i="39"/>
  <c r="I1118" i="39"/>
  <c r="I1106" i="39"/>
  <c r="I1092" i="39"/>
  <c r="I1074" i="39"/>
  <c r="I1059" i="39"/>
  <c r="I1036" i="39"/>
  <c r="I1571" i="39"/>
  <c r="I1547" i="39"/>
  <c r="I1423" i="39"/>
  <c r="I1391" i="39"/>
  <c r="I1374" i="39"/>
  <c r="I1354" i="39"/>
  <c r="I1311" i="39"/>
  <c r="I1280" i="39"/>
  <c r="I1261" i="39"/>
  <c r="I1226" i="39"/>
  <c r="I1212" i="39"/>
  <c r="I1203" i="39"/>
  <c r="I1184" i="39"/>
  <c r="I1137" i="39"/>
  <c r="I1105" i="39"/>
  <c r="I1091" i="39"/>
  <c r="I1073" i="39"/>
  <c r="I1058" i="39"/>
  <c r="I1035" i="39"/>
  <c r="I1594" i="39"/>
  <c r="I1541" i="39"/>
  <c r="I1467" i="39"/>
  <c r="I1441" i="39"/>
  <c r="I1418" i="39"/>
  <c r="I1352" i="39"/>
  <c r="I1307" i="39"/>
  <c r="I1274" i="39"/>
  <c r="I1259" i="39"/>
  <c r="I1242" i="39"/>
  <c r="I1224" i="39"/>
  <c r="I1198" i="39"/>
  <c r="I1187" i="39"/>
  <c r="I1592" i="39"/>
  <c r="I1562" i="39"/>
  <c r="I1525" i="39"/>
  <c r="I1437" i="39"/>
  <c r="I1412" i="39"/>
  <c r="I1343" i="39"/>
  <c r="I1281" i="39"/>
  <c r="I1269" i="39"/>
  <c r="I1255" i="39"/>
  <c r="I1237" i="39"/>
  <c r="I1222" i="39"/>
  <c r="I1561" i="39"/>
  <c r="I1524" i="39"/>
  <c r="I1434" i="39"/>
  <c r="I1408" i="39"/>
  <c r="I1385" i="39"/>
  <c r="I1347" i="39"/>
  <c r="I1304" i="39"/>
  <c r="I1300" i="39"/>
  <c r="I1268" i="39"/>
  <c r="I1254" i="39"/>
  <c r="I1236" i="39"/>
  <c r="I1221" i="39"/>
  <c r="I1588" i="39"/>
  <c r="I1559" i="39"/>
  <c r="I1523" i="39"/>
  <c r="I1507" i="39"/>
  <c r="I1444" i="39"/>
  <c r="I1432" i="39"/>
  <c r="I1368" i="39"/>
  <c r="I1297" i="39"/>
  <c r="I1267" i="39"/>
  <c r="I1253" i="39"/>
  <c r="I1244" i="39"/>
  <c r="I1235" i="39"/>
  <c r="I1219" i="39"/>
  <c r="I1192" i="39"/>
  <c r="I1587" i="39"/>
  <c r="I1555" i="39"/>
  <c r="I1506" i="39"/>
  <c r="I1430" i="39"/>
  <c r="I1384" i="39"/>
  <c r="I1362" i="39"/>
  <c r="I1570" i="39"/>
  <c r="I1522" i="39"/>
  <c r="I1378" i="39"/>
  <c r="I1361" i="39"/>
  <c r="I1303" i="39"/>
  <c r="I1292" i="39"/>
  <c r="I1266" i="39"/>
  <c r="I1231" i="39"/>
  <c r="I1217" i="39"/>
  <c r="I1638" i="39"/>
  <c r="I1623" i="39"/>
  <c r="I1580" i="39"/>
  <c r="I1569" i="39"/>
  <c r="I1554" i="39"/>
  <c r="I1405" i="39"/>
  <c r="I1377" i="39"/>
  <c r="I1360" i="39"/>
  <c r="I1283" i="39"/>
  <c r="I1265" i="39"/>
  <c r="I1251" i="39"/>
  <c r="I1230" i="39"/>
  <c r="I1216" i="39"/>
  <c r="I1190" i="39"/>
  <c r="I1637" i="39"/>
  <c r="I1620" i="39"/>
  <c r="I1579" i="39"/>
  <c r="I1553" i="39"/>
  <c r="I1472" i="39"/>
  <c r="I1426" i="39"/>
  <c r="I1401" i="39"/>
  <c r="I1349" i="39"/>
  <c r="I1345" i="39"/>
  <c r="I1342" i="39"/>
  <c r="I1264" i="39"/>
  <c r="I1250" i="39"/>
  <c r="I1229" i="39"/>
  <c r="I1215" i="39"/>
  <c r="I1468" i="39"/>
  <c r="I1438" i="39"/>
  <c r="I1257" i="39"/>
  <c r="I1218" i="39"/>
  <c r="I1115" i="39"/>
  <c r="I1094" i="39"/>
  <c r="I1068" i="39"/>
  <c r="I1052" i="39"/>
  <c r="I1042" i="39"/>
  <c r="I937" i="39"/>
  <c r="I919" i="39"/>
  <c r="I901" i="39"/>
  <c r="I887" i="39"/>
  <c r="I855" i="39"/>
  <c r="I822" i="39"/>
  <c r="I774" i="39"/>
  <c r="I756" i="39"/>
  <c r="I739" i="39"/>
  <c r="I707" i="39"/>
  <c r="I1578" i="39"/>
  <c r="I1529" i="39"/>
  <c r="I1388" i="39"/>
  <c r="I1256" i="39"/>
  <c r="I1214" i="39"/>
  <c r="I1201" i="39"/>
  <c r="I1112" i="39"/>
  <c r="I1090" i="39"/>
  <c r="I1081" i="39"/>
  <c r="I1067" i="39"/>
  <c r="I1051" i="39"/>
  <c r="I1041" i="39"/>
  <c r="I1018" i="39"/>
  <c r="I986" i="39"/>
  <c r="I936" i="39"/>
  <c r="I900" i="39"/>
  <c r="I886" i="39"/>
  <c r="I866" i="39"/>
  <c r="I791" i="39"/>
  <c r="I773" i="39"/>
  <c r="I738" i="39"/>
  <c r="I724" i="39"/>
  <c r="I1527" i="39"/>
  <c r="I1407" i="39"/>
  <c r="I1387" i="39"/>
  <c r="I1359" i="39"/>
  <c r="I1252" i="39"/>
  <c r="I1199" i="39"/>
  <c r="I1186" i="39"/>
  <c r="I1179" i="39"/>
  <c r="I1111" i="39"/>
  <c r="I1089" i="39"/>
  <c r="I1080" i="39"/>
  <c r="I1066" i="39"/>
  <c r="I1040" i="39"/>
  <c r="I1020" i="39"/>
  <c r="I985" i="39"/>
  <c r="I954" i="39"/>
  <c r="I935" i="39"/>
  <c r="I865" i="39"/>
  <c r="I1425" i="39"/>
  <c r="I1208" i="39"/>
  <c r="I1197" i="39"/>
  <c r="I1110" i="39"/>
  <c r="I1050" i="39"/>
  <c r="I1034" i="39"/>
  <c r="I952" i="39"/>
  <c r="I899" i="39"/>
  <c r="I885" i="39"/>
  <c r="I1294" i="39"/>
  <c r="I1249" i="39"/>
  <c r="I1152" i="39"/>
  <c r="I1104" i="39"/>
  <c r="I1088" i="39"/>
  <c r="I1065" i="39"/>
  <c r="I1049" i="39"/>
  <c r="I1422" i="39"/>
  <c r="I1353" i="39"/>
  <c r="I1196" i="39"/>
  <c r="I1182" i="39"/>
  <c r="I1149" i="39"/>
  <c r="I1087" i="39"/>
  <c r="I1064" i="39"/>
  <c r="I1033" i="39"/>
  <c r="I1021" i="39"/>
  <c r="I982" i="39"/>
  <c r="I949" i="39"/>
  <c r="I933" i="39"/>
  <c r="I916" i="39"/>
  <c r="I897" i="39"/>
  <c r="I863" i="39"/>
  <c r="I861" i="39"/>
  <c r="I1563" i="39"/>
  <c r="I1419" i="39"/>
  <c r="I1376" i="39"/>
  <c r="I1148" i="39"/>
  <c r="I1103" i="39"/>
  <c r="I1086" i="39"/>
  <c r="I1063" i="39"/>
  <c r="I1048" i="39"/>
  <c r="I981" i="39"/>
  <c r="I948" i="39"/>
  <c r="I931" i="39"/>
  <c r="I914" i="39"/>
  <c r="I880" i="39"/>
  <c r="I1416" i="39"/>
  <c r="I1309" i="39"/>
  <c r="I1191" i="39"/>
  <c r="I1102" i="39"/>
  <c r="I1082" i="39"/>
  <c r="I1045" i="39"/>
  <c r="I1029" i="39"/>
  <c r="I1023" i="39"/>
  <c r="I956" i="39"/>
  <c r="I947" i="39"/>
  <c r="I930" i="39"/>
  <c r="I912" i="39"/>
  <c r="I896" i="39"/>
  <c r="I879" i="39"/>
  <c r="I792" i="39"/>
  <c r="I782" i="39"/>
  <c r="I767" i="39"/>
  <c r="I749" i="39"/>
  <c r="I717" i="39"/>
  <c r="I1618" i="39"/>
  <c r="I1278" i="39"/>
  <c r="I1240" i="39"/>
  <c r="I1145" i="39"/>
  <c r="I1101" i="39"/>
  <c r="I1062" i="39"/>
  <c r="I1028" i="39"/>
  <c r="I955" i="39"/>
  <c r="I945" i="39"/>
  <c r="I929" i="39"/>
  <c r="I911" i="39"/>
  <c r="I895" i="39"/>
  <c r="I878" i="39"/>
  <c r="I1305" i="39"/>
  <c r="I1275" i="39"/>
  <c r="I1238" i="39"/>
  <c r="I1181" i="39"/>
  <c r="I1144" i="39"/>
  <c r="I1134" i="39"/>
  <c r="I1061" i="39"/>
  <c r="I979" i="39"/>
  <c r="I974" i="39"/>
  <c r="I943" i="39"/>
  <c r="I928" i="39"/>
  <c r="I910" i="39"/>
  <c r="I893" i="39"/>
  <c r="I877" i="39"/>
  <c r="I1545" i="39"/>
  <c r="I1302" i="39"/>
  <c r="I1273" i="39"/>
  <c r="I1233" i="39"/>
  <c r="I1189" i="39"/>
  <c r="I1141" i="39"/>
  <c r="I1131" i="39"/>
  <c r="I1100" i="39"/>
  <c r="I1060" i="39"/>
  <c r="I1024" i="39"/>
  <c r="I1606" i="39"/>
  <c r="I1544" i="39"/>
  <c r="I1463" i="39"/>
  <c r="I1271" i="39"/>
  <c r="I1129" i="39"/>
  <c r="I1099" i="39"/>
  <c r="I1026" i="39"/>
  <c r="I978" i="39"/>
  <c r="I968" i="39"/>
  <c r="I941" i="39"/>
  <c r="I926" i="39"/>
  <c r="I917" i="39"/>
  <c r="I907" i="39"/>
  <c r="I891" i="39"/>
  <c r="I873" i="39"/>
  <c r="I856" i="39"/>
  <c r="I1604" i="39"/>
  <c r="I1400" i="39"/>
  <c r="I1593" i="39"/>
  <c r="I1539" i="39"/>
  <c r="I1225" i="39"/>
  <c r="I1140" i="39"/>
  <c r="I1077" i="39"/>
  <c r="I1055" i="39"/>
  <c r="I957" i="39"/>
  <c r="I940" i="39"/>
  <c r="I925" i="39"/>
  <c r="I903" i="39"/>
  <c r="I889" i="39"/>
  <c r="I1629" i="39"/>
  <c r="I1443" i="39"/>
  <c r="I1390" i="39"/>
  <c r="I1282" i="39"/>
  <c r="I1243" i="39"/>
  <c r="I1223" i="39"/>
  <c r="I1053" i="39"/>
  <c r="I918" i="39"/>
  <c r="I771" i="39"/>
  <c r="I751" i="39"/>
  <c r="I732" i="39"/>
  <c r="I703" i="39"/>
  <c r="I653" i="39"/>
  <c r="I630" i="39"/>
  <c r="I621" i="39"/>
  <c r="I605" i="39"/>
  <c r="I590" i="39"/>
  <c r="I572" i="39"/>
  <c r="I556" i="39"/>
  <c r="I552" i="39"/>
  <c r="I532" i="39"/>
  <c r="I479" i="39"/>
  <c r="I452" i="39"/>
  <c r="I438" i="39"/>
  <c r="I429" i="39"/>
  <c r="I420" i="39"/>
  <c r="I404" i="39"/>
  <c r="I381" i="39"/>
  <c r="I1139" i="39"/>
  <c r="I1098" i="39"/>
  <c r="I892" i="39"/>
  <c r="I853" i="39"/>
  <c r="I826" i="39"/>
  <c r="I789" i="39"/>
  <c r="I770" i="39"/>
  <c r="I748" i="39"/>
  <c r="I730" i="39"/>
  <c r="I702" i="39"/>
  <c r="I629" i="39"/>
  <c r="I619" i="39"/>
  <c r="I604" i="39"/>
  <c r="I588" i="39"/>
  <c r="I571" i="39"/>
  <c r="I551" i="39"/>
  <c r="I535" i="39"/>
  <c r="I934" i="39"/>
  <c r="I890" i="39"/>
  <c r="I875" i="39"/>
  <c r="I823" i="39"/>
  <c r="I787" i="39"/>
  <c r="I768" i="39"/>
  <c r="I747" i="39"/>
  <c r="I729" i="39"/>
  <c r="I648" i="39"/>
  <c r="I617" i="39"/>
  <c r="I603" i="39"/>
  <c r="I586" i="39"/>
  <c r="I549" i="39"/>
  <c r="I529" i="39"/>
  <c r="I468" i="39"/>
  <c r="I451" i="39"/>
  <c r="I416" i="39"/>
  <c r="I402" i="39"/>
  <c r="I391" i="39"/>
  <c r="I377" i="39"/>
  <c r="I1097" i="39"/>
  <c r="I927" i="39"/>
  <c r="I888" i="39"/>
  <c r="I872" i="39"/>
  <c r="I858" i="39"/>
  <c r="I786" i="39"/>
  <c r="I766" i="39"/>
  <c r="I746" i="39"/>
  <c r="I728" i="39"/>
  <c r="I701" i="39"/>
  <c r="I693" i="39"/>
  <c r="I1096" i="39"/>
  <c r="I871" i="39"/>
  <c r="I857" i="39"/>
  <c r="I820" i="39"/>
  <c r="I785" i="39"/>
  <c r="I765" i="39"/>
  <c r="I755" i="39"/>
  <c r="I744" i="39"/>
  <c r="I727" i="39"/>
  <c r="I700" i="39"/>
  <c r="I859" i="39"/>
  <c r="I819" i="39"/>
  <c r="I784" i="39"/>
  <c r="I764" i="39"/>
  <c r="I754" i="39"/>
  <c r="I742" i="39"/>
  <c r="I726" i="39"/>
  <c r="I1017" i="39"/>
  <c r="I923" i="39"/>
  <c r="I882" i="39"/>
  <c r="I870" i="39"/>
  <c r="I860" i="39"/>
  <c r="I818" i="39"/>
  <c r="I780" i="39"/>
  <c r="I763" i="39"/>
  <c r="I741" i="39"/>
  <c r="I725" i="39"/>
  <c r="I697" i="39"/>
  <c r="I692" i="39"/>
  <c r="I631" i="39"/>
  <c r="I614" i="39"/>
  <c r="I591" i="39"/>
  <c r="I581" i="39"/>
  <c r="I567" i="39"/>
  <c r="I545" i="39"/>
  <c r="I534" i="39"/>
  <c r="I496" i="39"/>
  <c r="I448" i="39"/>
  <c r="I430" i="39"/>
  <c r="I413" i="39"/>
  <c r="I1439" i="39"/>
  <c r="I793" i="39"/>
  <c r="I779" i="39"/>
  <c r="I740" i="39"/>
  <c r="I716" i="39"/>
  <c r="I698" i="39"/>
  <c r="I613" i="39"/>
  <c r="I599" i="39"/>
  <c r="I579" i="39"/>
  <c r="I566" i="39"/>
  <c r="I1079" i="39"/>
  <c r="I1043" i="39"/>
  <c r="I1016" i="39"/>
  <c r="I971" i="39"/>
  <c r="I816" i="39"/>
  <c r="I778" i="39"/>
  <c r="I762" i="39"/>
  <c r="I723" i="39"/>
  <c r="I715" i="39"/>
  <c r="I690" i="39"/>
  <c r="I663" i="39"/>
  <c r="I650" i="39"/>
  <c r="I612" i="39"/>
  <c r="I598" i="39"/>
  <c r="I578" i="39"/>
  <c r="I565" i="39"/>
  <c r="I544" i="39"/>
  <c r="I1072" i="39"/>
  <c r="I966" i="39"/>
  <c r="I864" i="39"/>
  <c r="I811" i="39"/>
  <c r="I761" i="39"/>
  <c r="I737" i="39"/>
  <c r="I722" i="39"/>
  <c r="I714" i="39"/>
  <c r="I1070" i="39"/>
  <c r="I983" i="39"/>
  <c r="I909" i="39"/>
  <c r="I815" i="39"/>
  <c r="I808" i="39"/>
  <c r="I777" i="39"/>
  <c r="I760" i="39"/>
  <c r="I719" i="39"/>
  <c r="I712" i="39"/>
  <c r="I659" i="39"/>
  <c r="I611" i="39"/>
  <c r="I597" i="39"/>
  <c r="I563" i="39"/>
  <c r="I1471" i="39"/>
  <c r="I1120" i="39"/>
  <c r="I905" i="39"/>
  <c r="I805" i="39"/>
  <c r="I776" i="39"/>
  <c r="I736" i="39"/>
  <c r="I710" i="39"/>
  <c r="I696" i="39"/>
  <c r="I950" i="39"/>
  <c r="I803" i="39"/>
  <c r="I775" i="39"/>
  <c r="I735" i="39"/>
  <c r="I709" i="39"/>
  <c r="I695" i="39"/>
  <c r="I1180" i="39"/>
  <c r="I977" i="39"/>
  <c r="I942" i="39"/>
  <c r="I902" i="39"/>
  <c r="I854" i="39"/>
  <c r="I814" i="39"/>
  <c r="I794" i="39"/>
  <c r="I734" i="39"/>
  <c r="I708" i="39"/>
  <c r="I656" i="39"/>
  <c r="I624" i="39"/>
  <c r="I574" i="39"/>
  <c r="I561" i="39"/>
  <c r="I538" i="39"/>
  <c r="I1260" i="39"/>
  <c r="I1117" i="39"/>
  <c r="I1056" i="39"/>
  <c r="I772" i="39"/>
  <c r="I655" i="39"/>
  <c r="I623" i="39"/>
  <c r="I608" i="39"/>
  <c r="I560" i="39"/>
  <c r="I554" i="39"/>
  <c r="I537" i="39"/>
  <c r="I485" i="39"/>
  <c r="I454" i="39"/>
  <c r="I440" i="39"/>
  <c r="I422" i="39"/>
  <c r="I407" i="39"/>
  <c r="I382" i="39"/>
  <c r="I694" i="39"/>
  <c r="I615" i="39"/>
  <c r="I585" i="39"/>
  <c r="I559" i="39"/>
  <c r="I547" i="39"/>
  <c r="I489" i="39"/>
  <c r="I446" i="39"/>
  <c r="I425" i="39"/>
  <c r="I401" i="39"/>
  <c r="I302" i="39"/>
  <c r="I284" i="39"/>
  <c r="I249" i="39"/>
  <c r="I235" i="39"/>
  <c r="I225" i="39"/>
  <c r="I207" i="39"/>
  <c r="I584" i="39"/>
  <c r="I546" i="39"/>
  <c r="I488" i="39"/>
  <c r="I423" i="39"/>
  <c r="I400" i="39"/>
  <c r="I371" i="39"/>
  <c r="I331" i="39"/>
  <c r="I300" i="39"/>
  <c r="I283" i="39"/>
  <c r="I248" i="39"/>
  <c r="I234" i="39"/>
  <c r="I223" i="39"/>
  <c r="I583" i="39"/>
  <c r="I528" i="39"/>
  <c r="I445" i="39"/>
  <c r="I421" i="39"/>
  <c r="I399" i="39"/>
  <c r="I376" i="39"/>
  <c r="I330" i="39"/>
  <c r="I298" i="39"/>
  <c r="I233" i="39"/>
  <c r="I221" i="39"/>
  <c r="I610" i="39"/>
  <c r="I577" i="39"/>
  <c r="I487" i="39"/>
  <c r="I465" i="39"/>
  <c r="I444" i="39"/>
  <c r="I418" i="39"/>
  <c r="I329" i="39"/>
  <c r="I297" i="39"/>
  <c r="I282" i="39"/>
  <c r="I247" i="39"/>
  <c r="I230" i="39"/>
  <c r="I220" i="39"/>
  <c r="I206" i="39"/>
  <c r="I202" i="39"/>
  <c r="I327" i="39"/>
  <c r="I304" i="39"/>
  <c r="I295" i="39"/>
  <c r="I279" i="39"/>
  <c r="I262" i="39"/>
  <c r="I245" i="39"/>
  <c r="I609" i="39"/>
  <c r="I463" i="39"/>
  <c r="I442" i="39"/>
  <c r="I415" i="39"/>
  <c r="I398" i="39"/>
  <c r="I375" i="39"/>
  <c r="I296" i="39"/>
  <c r="I281" i="39"/>
  <c r="I264" i="39"/>
  <c r="I246" i="39"/>
  <c r="I219" i="39"/>
  <c r="I576" i="39"/>
  <c r="I540" i="39"/>
  <c r="I461" i="39"/>
  <c r="I441" i="39"/>
  <c r="I428" i="39"/>
  <c r="I414" i="39"/>
  <c r="I397" i="39"/>
  <c r="I390" i="39"/>
  <c r="I374" i="39"/>
  <c r="I372" i="39"/>
  <c r="I1054" i="39"/>
  <c r="I607" i="39"/>
  <c r="I592" i="39"/>
  <c r="I575" i="39"/>
  <c r="I539" i="39"/>
  <c r="I527" i="39"/>
  <c r="I460" i="39"/>
  <c r="I439" i="39"/>
  <c r="I396" i="39"/>
  <c r="I389" i="39"/>
  <c r="I303" i="39"/>
  <c r="I293" i="39"/>
  <c r="I278" i="39"/>
  <c r="I260" i="39"/>
  <c r="I218" i="39"/>
  <c r="I691" i="39"/>
  <c r="I645" i="39"/>
  <c r="I602" i="39"/>
  <c r="I531" i="39"/>
  <c r="I500" i="39"/>
  <c r="I459" i="39"/>
  <c r="I437" i="39"/>
  <c r="I412" i="39"/>
  <c r="I393" i="39"/>
  <c r="I388" i="39"/>
  <c r="I326" i="39"/>
  <c r="I322" i="39"/>
  <c r="I291" i="39"/>
  <c r="I277" i="39"/>
  <c r="I259" i="39"/>
  <c r="I244" i="39"/>
  <c r="I319" i="39"/>
  <c r="I290" i="39"/>
  <c r="I276" i="39"/>
  <c r="I258" i="39"/>
  <c r="I243" i="39"/>
  <c r="I898" i="39"/>
  <c r="I660" i="39"/>
  <c r="I642" i="39"/>
  <c r="I601" i="39"/>
  <c r="I573" i="39"/>
  <c r="I497" i="39"/>
  <c r="I467" i="39"/>
  <c r="I458" i="39"/>
  <c r="I411" i="39"/>
  <c r="I386" i="39"/>
  <c r="I214" i="39"/>
  <c r="I204" i="39"/>
  <c r="I334" i="39"/>
  <c r="I271" i="39"/>
  <c r="I236" i="39"/>
  <c r="I813" i="39"/>
  <c r="I640" i="39"/>
  <c r="I600" i="39"/>
  <c r="I466" i="39"/>
  <c r="I456" i="39"/>
  <c r="I436" i="39"/>
  <c r="I384" i="39"/>
  <c r="I365" i="39"/>
  <c r="I325" i="39"/>
  <c r="I316" i="39"/>
  <c r="I289" i="39"/>
  <c r="I275" i="39"/>
  <c r="I266" i="39"/>
  <c r="I257" i="39"/>
  <c r="I241" i="39"/>
  <c r="I213" i="39"/>
  <c r="I622" i="39"/>
  <c r="I562" i="39"/>
  <c r="I477" i="39"/>
  <c r="I406" i="39"/>
  <c r="I1389" i="39"/>
  <c r="I657" i="39"/>
  <c r="I570" i="39"/>
  <c r="I494" i="39"/>
  <c r="I453" i="39"/>
  <c r="I435" i="39"/>
  <c r="I410" i="39"/>
  <c r="I383" i="39"/>
  <c r="I367" i="39"/>
  <c r="I314" i="39"/>
  <c r="I274" i="39"/>
  <c r="I265" i="39"/>
  <c r="I255" i="39"/>
  <c r="I240" i="39"/>
  <c r="I203" i="39"/>
  <c r="I753" i="39"/>
  <c r="I493" i="39"/>
  <c r="I434" i="39"/>
  <c r="I409" i="39"/>
  <c r="I305" i="39"/>
  <c r="I288" i="39"/>
  <c r="I253" i="39"/>
  <c r="I239" i="39"/>
  <c r="I212" i="39"/>
  <c r="I205" i="39"/>
  <c r="I652" i="39"/>
  <c r="I628" i="39"/>
  <c r="I593" i="39"/>
  <c r="I569" i="39"/>
  <c r="I530" i="39"/>
  <c r="I492" i="39"/>
  <c r="I450" i="39"/>
  <c r="I408" i="39"/>
  <c r="I369" i="39"/>
  <c r="I368" i="39"/>
  <c r="I364" i="39"/>
  <c r="I324" i="39"/>
  <c r="I287" i="39"/>
  <c r="I273" i="39"/>
  <c r="I252" i="39"/>
  <c r="I238" i="39"/>
  <c r="I211" i="39"/>
  <c r="I209" i="39"/>
  <c r="I208" i="39"/>
  <c r="I227" i="39"/>
  <c r="I651" i="39"/>
  <c r="I626" i="39"/>
  <c r="I564" i="39"/>
  <c r="I482" i="39"/>
  <c r="I449" i="39"/>
  <c r="I337" i="39"/>
  <c r="I286" i="39"/>
  <c r="I272" i="39"/>
  <c r="I251" i="39"/>
  <c r="I237" i="39"/>
  <c r="I228" i="39"/>
  <c r="I533" i="39"/>
  <c r="I1019" i="39"/>
  <c r="I939" i="39"/>
  <c r="I733" i="39"/>
  <c r="I616" i="39"/>
  <c r="I553" i="39"/>
  <c r="I250" i="39"/>
  <c r="I427" i="39"/>
  <c r="I370" i="39"/>
  <c r="I403" i="39"/>
  <c r="I226" i="39"/>
  <c r="I333" i="39"/>
  <c r="I490" i="39"/>
  <c r="I366" i="39"/>
  <c r="I285" i="39"/>
  <c r="I201" i="39"/>
  <c r="I447" i="39"/>
  <c r="I267" i="39"/>
  <c r="B35" i="31"/>
  <c r="I124" i="39"/>
  <c r="I123" i="39"/>
  <c r="I122" i="39"/>
  <c r="I84" i="39"/>
  <c r="I85" i="39"/>
  <c r="I86" i="39"/>
  <c r="I132" i="39"/>
  <c r="I62" i="39"/>
  <c r="I94" i="39"/>
  <c r="BL2" i="10"/>
  <c r="BL1" i="11" s="1"/>
  <c r="BV2" i="10"/>
  <c r="V24" i="10"/>
  <c r="V30" i="10" s="1"/>
  <c r="V31" i="10" s="1"/>
  <c r="V29" i="11" s="1"/>
  <c r="E1" i="10"/>
  <c r="I116" i="39"/>
  <c r="I78" i="39"/>
  <c r="I115" i="39"/>
  <c r="I46" i="39"/>
  <c r="P14" i="39"/>
  <c r="I57" i="39"/>
  <c r="I87" i="39"/>
  <c r="I83" i="39"/>
  <c r="I126" i="39"/>
  <c r="I170" i="39"/>
  <c r="I127" i="39"/>
  <c r="I58" i="39"/>
  <c r="I80" i="39"/>
  <c r="I55" i="39"/>
  <c r="I112" i="39"/>
  <c r="I140" i="39"/>
  <c r="I50" i="39"/>
  <c r="I137" i="39"/>
  <c r="I141" i="39"/>
  <c r="I139" i="39"/>
  <c r="I109" i="39"/>
  <c r="I72" i="39"/>
  <c r="I104" i="39"/>
  <c r="I142" i="39"/>
  <c r="I67" i="39"/>
  <c r="I118" i="39"/>
  <c r="I95" i="39"/>
  <c r="I99" i="39"/>
  <c r="I40" i="39"/>
  <c r="I92" i="39"/>
  <c r="I113" i="39"/>
  <c r="I73" i="39"/>
  <c r="I111" i="39"/>
  <c r="I163" i="39"/>
  <c r="I56" i="39"/>
  <c r="I162" i="39"/>
  <c r="I74" i="39"/>
  <c r="H10" i="39"/>
  <c r="I71" i="39"/>
  <c r="I110" i="39"/>
  <c r="I43" i="39"/>
  <c r="I70" i="39"/>
  <c r="I134" i="39"/>
  <c r="I51" i="39"/>
  <c r="I75" i="39"/>
  <c r="I128" i="39"/>
  <c r="I164" i="39"/>
  <c r="I48" i="39"/>
  <c r="I174" i="39"/>
  <c r="I135" i="39"/>
  <c r="I39" i="39"/>
  <c r="I90" i="39"/>
  <c r="I121" i="39"/>
  <c r="I151" i="39"/>
  <c r="I38" i="39"/>
  <c r="I89" i="39"/>
  <c r="I125" i="39"/>
  <c r="I153" i="39"/>
  <c r="I49" i="39"/>
  <c r="I82" i="39"/>
  <c r="I114" i="39"/>
  <c r="I161" i="39"/>
  <c r="I156" i="39"/>
  <c r="I45" i="39"/>
  <c r="I60" i="39"/>
  <c r="I81" i="39"/>
  <c r="I119" i="39"/>
  <c r="I108" i="39"/>
  <c r="I168" i="39"/>
  <c r="I44" i="39"/>
  <c r="I63" i="39"/>
  <c r="I88" i="39"/>
  <c r="I120" i="39"/>
  <c r="I159" i="39"/>
  <c r="I102" i="39"/>
  <c r="I167" i="39"/>
  <c r="I42" i="39"/>
  <c r="I65" i="39"/>
  <c r="I77" i="39"/>
  <c r="I130" i="39"/>
  <c r="I97" i="39"/>
  <c r="I103" i="39"/>
  <c r="I166" i="39"/>
  <c r="I41" i="39"/>
  <c r="I64" i="39"/>
  <c r="I76" i="39"/>
  <c r="I133" i="39"/>
  <c r="I96" i="39"/>
  <c r="I101" i="39"/>
  <c r="I171" i="39"/>
  <c r="B36" i="31" l="1"/>
  <c r="BR2" i="10"/>
  <c r="BR1" i="11" s="1"/>
  <c r="CB2" i="10"/>
  <c r="AB24" i="10"/>
  <c r="AB30" i="10" s="1"/>
  <c r="AB31" i="10" s="1"/>
  <c r="Q14" i="39"/>
  <c r="B37" i="31" l="1"/>
  <c r="CH2" i="10"/>
  <c r="BX2" i="10"/>
  <c r="BX1" i="11" s="1"/>
  <c r="AB29" i="11"/>
  <c r="R14" i="39"/>
  <c r="B38" i="31" l="1"/>
  <c r="CD2" i="10"/>
  <c r="CD1" i="11" s="1"/>
  <c r="CN2" i="10"/>
  <c r="S14" i="39"/>
  <c r="B39" i="31" l="1"/>
  <c r="CT2" i="10"/>
  <c r="CJ2" i="10"/>
  <c r="CJ1" i="11" s="1"/>
  <c r="T14" i="39"/>
  <c r="B40" i="31" l="1"/>
  <c r="CP2" i="10"/>
  <c r="CP1" i="11" s="1"/>
  <c r="CZ2" i="10"/>
  <c r="CR41" i="10"/>
  <c r="CS41" i="10" s="1"/>
  <c r="CR43" i="10"/>
  <c r="CS43" i="10" s="1"/>
  <c r="CR45" i="10"/>
  <c r="CS45" i="10" s="1"/>
  <c r="CR42" i="10"/>
  <c r="CS42" i="10" s="1"/>
  <c r="CR44" i="10"/>
  <c r="CS44" i="10" s="1"/>
  <c r="U14" i="39"/>
  <c r="B41" i="31" l="1"/>
  <c r="CX45" i="10"/>
  <c r="CY45" i="10" s="1"/>
  <c r="DF2" i="10"/>
  <c r="CV2" i="10"/>
  <c r="CV1" i="11" s="1"/>
  <c r="CX44" i="10"/>
  <c r="CY44" i="10" s="1"/>
  <c r="CX41" i="10"/>
  <c r="CY41" i="10" s="1"/>
  <c r="CX43" i="10"/>
  <c r="CY43" i="10" s="1"/>
  <c r="CX42" i="10"/>
  <c r="CY42" i="10" s="1"/>
  <c r="V14" i="39"/>
  <c r="B42" i="31" l="1"/>
  <c r="DD45" i="10"/>
  <c r="DE45" i="10" s="1"/>
  <c r="DL2" i="10"/>
  <c r="DB2" i="10"/>
  <c r="DB1" i="11" s="1"/>
  <c r="DD43" i="10"/>
  <c r="DE43" i="10" s="1"/>
  <c r="DD42" i="10"/>
  <c r="DE42" i="10" s="1"/>
  <c r="DD41" i="10"/>
  <c r="DE41" i="10" s="1"/>
  <c r="DD44" i="10"/>
  <c r="DE44" i="10" s="1"/>
  <c r="W14" i="39"/>
  <c r="B43" i="31" l="1"/>
  <c r="U149" i="39"/>
  <c r="X149" i="39"/>
  <c r="N149" i="39"/>
  <c r="V149" i="39"/>
  <c r="T149" i="39"/>
  <c r="S149" i="39"/>
  <c r="O149" i="39"/>
  <c r="P149" i="39"/>
  <c r="L149" i="39"/>
  <c r="R149" i="39"/>
  <c r="W149" i="39"/>
  <c r="Q149" i="39"/>
  <c r="M149" i="39"/>
  <c r="DJ45" i="10"/>
  <c r="DK45" i="10" s="1"/>
  <c r="DH2" i="10"/>
  <c r="DH1" i="11" s="1"/>
  <c r="DJ43" i="10"/>
  <c r="DK43" i="10" s="1"/>
  <c r="DR2" i="10"/>
  <c r="DJ41" i="10"/>
  <c r="DK41" i="10" s="1"/>
  <c r="DJ42" i="10"/>
  <c r="DK42" i="10" s="1"/>
  <c r="DJ44" i="10"/>
  <c r="DK44" i="10" s="1"/>
  <c r="X14" i="39"/>
  <c r="Y149" i="39"/>
  <c r="DX2" i="10" l="1"/>
  <c r="DN2" i="10"/>
  <c r="DN1" i="11" s="1"/>
  <c r="DP41" i="10"/>
  <c r="DQ41" i="10" s="1"/>
  <c r="DP42" i="10"/>
  <c r="DQ42" i="10" s="1"/>
  <c r="DP43" i="10"/>
  <c r="DQ43" i="10" s="1"/>
  <c r="DP44" i="10"/>
  <c r="DQ44" i="10" s="1"/>
  <c r="DP45" i="10"/>
  <c r="DQ45" i="10" s="1"/>
  <c r="Y14" i="39"/>
  <c r="DT2" i="10" l="1"/>
  <c r="DT1" i="11" s="1"/>
  <c r="ED2" i="10"/>
  <c r="DV43" i="10"/>
  <c r="DW43" i="10" s="1"/>
  <c r="DV41" i="10"/>
  <c r="DW41" i="10" s="1"/>
  <c r="DV42" i="10"/>
  <c r="DW42" i="10" s="1"/>
  <c r="DV45" i="10"/>
  <c r="DW45" i="10" s="1"/>
  <c r="DV44" i="10"/>
  <c r="DW44" i="10" s="1"/>
  <c r="Z14" i="39"/>
  <c r="Z149" i="39"/>
  <c r="EJ2" i="10" l="1"/>
  <c r="DZ2" i="10"/>
  <c r="DZ1" i="11" s="1"/>
  <c r="EB45" i="10"/>
  <c r="EC45" i="10" s="1"/>
  <c r="EB43" i="10"/>
  <c r="EC43" i="10" s="1"/>
  <c r="EB44" i="10"/>
  <c r="EC44" i="10" s="1"/>
  <c r="EB42" i="10"/>
  <c r="EC42" i="10" s="1"/>
  <c r="EB41" i="10"/>
  <c r="EC41" i="10" s="1"/>
  <c r="EF2" i="10" l="1"/>
  <c r="EF1" i="11" s="1"/>
  <c r="EP2" i="10"/>
  <c r="EH42" i="10"/>
  <c r="EI42" i="10" s="1"/>
  <c r="EH45" i="10"/>
  <c r="EI45" i="10" s="1"/>
  <c r="EH43" i="10"/>
  <c r="EI43" i="10" s="1"/>
  <c r="EH41" i="10"/>
  <c r="EI41" i="10" s="1"/>
  <c r="EH44" i="10"/>
  <c r="EI44" i="10" s="1"/>
  <c r="EV2" i="10" l="1"/>
  <c r="EL2" i="10"/>
  <c r="EL1" i="11" s="1"/>
  <c r="EN41" i="10"/>
  <c r="EO41" i="10" s="1"/>
  <c r="EN44" i="10"/>
  <c r="EO44" i="10" s="1"/>
  <c r="EN42" i="10"/>
  <c r="EO42" i="10" s="1"/>
  <c r="EN43" i="10"/>
  <c r="EO43" i="10" s="1"/>
  <c r="EN45" i="10"/>
  <c r="EO45" i="10" s="1"/>
  <c r="ER2" i="10" l="1"/>
  <c r="ER1" i="11" s="1"/>
  <c r="ET45" i="10"/>
  <c r="EU45" i="10" s="1"/>
  <c r="ET41" i="10"/>
  <c r="EU41" i="10" s="1"/>
  <c r="ET43" i="10"/>
  <c r="EU43" i="10" s="1"/>
  <c r="ET42" i="10"/>
  <c r="EU42" i="10" s="1"/>
  <c r="ET44" i="10"/>
  <c r="EU44" i="10" s="1"/>
  <c r="DB24" i="10" l="1"/>
  <c r="DB30" i="10" s="1"/>
  <c r="DB31" i="10" s="1"/>
  <c r="EL24" i="10"/>
  <c r="EL30" i="10" s="1"/>
  <c r="EL31" i="10" s="1"/>
  <c r="BX24" i="10"/>
  <c r="BX30" i="10" s="1"/>
  <c r="BX31" i="10" s="1"/>
  <c r="AN24" i="10"/>
  <c r="AN30" i="10" s="1"/>
  <c r="AN31" i="10" s="1"/>
  <c r="DN24" i="10"/>
  <c r="DN30" i="10" s="1"/>
  <c r="DN31" i="10" s="1"/>
  <c r="EF24" i="10"/>
  <c r="EF30" i="10" s="1"/>
  <c r="EF31" i="10" s="1"/>
  <c r="AT24" i="10"/>
  <c r="AT30" i="10" s="1"/>
  <c r="AT31" i="10" s="1"/>
  <c r="AH24" i="10"/>
  <c r="AH30" i="10" s="1"/>
  <c r="AH31" i="10" s="1"/>
  <c r="AH29" i="11" s="1"/>
  <c r="BF24" i="10"/>
  <c r="BF30" i="10" s="1"/>
  <c r="BF31" i="10" s="1"/>
  <c r="CJ24" i="10"/>
  <c r="CJ30" i="10" s="1"/>
  <c r="CJ31" i="10" s="1"/>
  <c r="BL24" i="10"/>
  <c r="BL30" i="10" s="1"/>
  <c r="BL31" i="10" s="1"/>
  <c r="DT24" i="10"/>
  <c r="DT30" i="10" s="1"/>
  <c r="DT31" i="10" s="1"/>
  <c r="DH24" i="10"/>
  <c r="DH30" i="10" s="1"/>
  <c r="DH31" i="10" s="1"/>
  <c r="CV24" i="10"/>
  <c r="CV30" i="10" s="1"/>
  <c r="CV31" i="10" s="1"/>
  <c r="ER24" i="10"/>
  <c r="ER30" i="10" s="1"/>
  <c r="ER31" i="10" s="1"/>
  <c r="DZ24" i="10"/>
  <c r="DZ30" i="10" s="1"/>
  <c r="DZ31" i="10" s="1"/>
  <c r="CD24" i="10"/>
  <c r="CD30" i="10" s="1"/>
  <c r="CD31" i="10" s="1"/>
  <c r="BR24" i="10"/>
  <c r="BR30" i="10" s="1"/>
  <c r="BR31" i="10" s="1"/>
  <c r="CP24" i="10"/>
  <c r="CP30" i="10" s="1"/>
  <c r="CP31" i="10" s="1"/>
  <c r="AZ24" i="10"/>
  <c r="AZ30" i="10" s="1"/>
  <c r="AZ31" i="10" s="1"/>
  <c r="BJ7" i="1"/>
  <c r="BK7" i="1" s="1"/>
  <c r="BL7" i="1" s="1"/>
  <c r="BM7" i="1" s="1"/>
  <c r="BN7" i="1" s="1"/>
  <c r="BO7" i="1" s="1"/>
  <c r="BP7" i="1" s="1"/>
  <c r="BQ7" i="1" s="1"/>
  <c r="BR7" i="1" s="1"/>
  <c r="BS7" i="1" s="1"/>
  <c r="BT7" i="1" s="1"/>
  <c r="BU7" i="1" s="1"/>
  <c r="BV7" i="1" s="1"/>
  <c r="BW7" i="1" s="1"/>
  <c r="BX7" i="1" s="1"/>
  <c r="BY7" i="1" s="1"/>
  <c r="BZ7" i="1" s="1"/>
  <c r="CA7" i="1" s="1"/>
  <c r="CB7" i="1" s="1"/>
  <c r="CC7" i="1" s="1"/>
  <c r="CD7" i="1" s="1"/>
  <c r="CE7" i="1" s="1"/>
  <c r="CF7" i="1" s="1"/>
  <c r="CG7" i="1" s="1"/>
  <c r="CH7" i="1" s="1"/>
  <c r="CI7" i="1" s="1"/>
  <c r="CJ7" i="1" s="1"/>
  <c r="CK7" i="1" s="1"/>
  <c r="CL7" i="1" s="1"/>
  <c r="CO7" i="1"/>
  <c r="CP7" i="1" s="1"/>
  <c r="CQ7" i="1" s="1"/>
  <c r="CR7" i="1" s="1"/>
  <c r="CS7" i="1" s="1"/>
  <c r="CT7" i="1" s="1"/>
  <c r="CU7" i="1" s="1"/>
  <c r="CV7" i="1" s="1"/>
  <c r="CW7" i="1" s="1"/>
  <c r="CX7" i="1" s="1"/>
  <c r="CY7" i="1" s="1"/>
  <c r="CZ7" i="1" s="1"/>
  <c r="DA7" i="1" s="1"/>
  <c r="DB7" i="1" s="1"/>
  <c r="DC7" i="1" s="1"/>
  <c r="DD7" i="1" s="1"/>
  <c r="DE7" i="1" s="1"/>
  <c r="DF7" i="1" s="1"/>
  <c r="DG7" i="1" s="1"/>
  <c r="DH7" i="1" s="1"/>
  <c r="DI7" i="1" s="1"/>
  <c r="DJ7" i="1" s="1"/>
  <c r="DK7" i="1" s="1"/>
  <c r="DL7" i="1" s="1"/>
  <c r="DM7" i="1" s="1"/>
  <c r="DN7" i="1" s="1"/>
  <c r="DO7" i="1" s="1"/>
  <c r="DP7" i="1" s="1"/>
  <c r="DQ7" i="1" s="1"/>
  <c r="K40" i="39"/>
  <c r="K38" i="39" s="1"/>
  <c r="F30" i="38"/>
  <c r="AC13" i="38" l="1"/>
  <c r="AC15" i="38" s="1"/>
  <c r="Z13" i="38"/>
  <c r="Z15" i="38" s="1"/>
  <c r="AF13" i="38"/>
  <c r="AF15" i="38" s="1"/>
  <c r="AI13" i="38"/>
  <c r="AI15" i="38" s="1"/>
  <c r="T13" i="38"/>
  <c r="T15" i="38" s="1"/>
  <c r="T40" i="38" s="1"/>
  <c r="W13" i="38"/>
  <c r="W15" i="38" s="1"/>
  <c r="N13" i="38"/>
  <c r="N15" i="38" s="1"/>
  <c r="N40" i="38" s="1"/>
  <c r="DT29" i="11"/>
  <c r="DU4" i="11" s="1"/>
  <c r="EF29" i="11"/>
  <c r="EG4" i="11" s="1"/>
  <c r="CP29" i="11"/>
  <c r="CQ4" i="11" s="1"/>
  <c r="CD29" i="11"/>
  <c r="EL29" i="11"/>
  <c r="EM4" i="11" s="1"/>
  <c r="CV29" i="11"/>
  <c r="CW4" i="11" s="1"/>
  <c r="CJ29" i="11"/>
  <c r="DB29" i="11"/>
  <c r="DC4" i="11" s="1"/>
  <c r="DZ29" i="11"/>
  <c r="EA4" i="11" s="1"/>
  <c r="DN29" i="11"/>
  <c r="DO4" i="11" s="1"/>
  <c r="BX29" i="11"/>
  <c r="ER29" i="11"/>
  <c r="ES4" i="11" s="1"/>
  <c r="DH29" i="11"/>
  <c r="DI4" i="11" s="1"/>
  <c r="H13" i="38"/>
  <c r="K60" i="39"/>
  <c r="K67" i="39" s="1"/>
  <c r="L146" i="39"/>
  <c r="M146" i="39"/>
  <c r="M148" i="39" s="1"/>
  <c r="N146" i="39"/>
  <c r="N148" i="39" s="1"/>
  <c r="O146" i="39"/>
  <c r="O148" i="39" s="1"/>
  <c r="P146" i="39"/>
  <c r="P148" i="39" s="1"/>
  <c r="Q146" i="39"/>
  <c r="Q148" i="39" s="1"/>
  <c r="R146" i="39"/>
  <c r="R148" i="39" s="1"/>
  <c r="S146" i="39"/>
  <c r="S148" i="39" s="1"/>
  <c r="T146" i="39"/>
  <c r="T148" i="39" s="1"/>
  <c r="U146" i="39"/>
  <c r="U148" i="39" s="1"/>
  <c r="V146" i="39"/>
  <c r="V148" i="39" s="1"/>
  <c r="W146" i="39"/>
  <c r="W148" i="39" s="1"/>
  <c r="X146" i="39"/>
  <c r="X148" i="39" s="1"/>
  <c r="Y146" i="39"/>
  <c r="Y148" i="39" s="1"/>
  <c r="Z146" i="39"/>
  <c r="Z148" i="39" s="1"/>
  <c r="DG39" i="1"/>
  <c r="IE12" i="1"/>
  <c r="DQ12" i="1"/>
  <c r="IF12" i="1"/>
  <c r="IB20" i="1"/>
  <c r="HY39" i="1"/>
  <c r="IC39" i="1"/>
  <c r="CJ39" i="1"/>
  <c r="HW12" i="1"/>
  <c r="HW39" i="1"/>
  <c r="IE39" i="1"/>
  <c r="HX39" i="1"/>
  <c r="ID39" i="1"/>
  <c r="IE20" i="1"/>
  <c r="IF20" i="1"/>
  <c r="IG20" i="1"/>
  <c r="IH20" i="1"/>
  <c r="HZ20" i="1"/>
  <c r="DA20" i="1"/>
  <c r="HY20" i="1"/>
  <c r="DO39" i="1"/>
  <c r="II20" i="1"/>
  <c r="CZ39" i="1"/>
  <c r="DH39" i="1"/>
  <c r="IJ20" i="1"/>
  <c r="IH39" i="1"/>
  <c r="HZ39" i="1"/>
  <c r="ID20" i="1"/>
  <c r="IC20" i="1"/>
  <c r="CI20" i="1"/>
  <c r="CA39" i="1"/>
  <c r="CB39" i="1"/>
  <c r="DI20" i="1"/>
  <c r="DQ39" i="1"/>
  <c r="IK20" i="1"/>
  <c r="IA20" i="1"/>
  <c r="II39" i="1"/>
  <c r="IA39" i="1"/>
  <c r="IJ39" i="1"/>
  <c r="IB39" i="1"/>
  <c r="IF39" i="1"/>
  <c r="HW20" i="1"/>
  <c r="HX20" i="1"/>
  <c r="CH20" i="1"/>
  <c r="DK20" i="1"/>
  <c r="IK39" i="1"/>
  <c r="IG39" i="1"/>
  <c r="DK39" i="1"/>
  <c r="BX39" i="1"/>
  <c r="IK12" i="1"/>
  <c r="DO12" i="1"/>
  <c r="IH12" i="1"/>
  <c r="IG12" i="1"/>
  <c r="HY12" i="1"/>
  <c r="II12" i="1"/>
  <c r="ID12" i="1"/>
  <c r="IJ12" i="1"/>
  <c r="DH12" i="1"/>
  <c r="DF12" i="1"/>
  <c r="IA12" i="1"/>
  <c r="IB12" i="1"/>
  <c r="IC12" i="1"/>
  <c r="HZ12" i="1"/>
  <c r="HX12" i="1"/>
  <c r="DN12" i="1"/>
  <c r="BY39" i="1"/>
  <c r="CE39" i="1"/>
  <c r="BZ39" i="1"/>
  <c r="CF39" i="1"/>
  <c r="DI39" i="1"/>
  <c r="CC39" i="1"/>
  <c r="CF12" i="1"/>
  <c r="CJ20" i="1"/>
  <c r="BV20" i="1"/>
  <c r="BU20" i="1"/>
  <c r="CK20" i="1"/>
  <c r="BX20" i="1"/>
  <c r="DD20" i="1"/>
  <c r="BY20" i="1"/>
  <c r="DA39" i="1"/>
  <c r="DB39" i="1"/>
  <c r="DD12" i="1"/>
  <c r="DC39" i="1"/>
  <c r="DD39" i="1"/>
  <c r="CL20" i="1"/>
  <c r="DP12" i="1"/>
  <c r="DJ39" i="1"/>
  <c r="CG39" i="1"/>
  <c r="CI39" i="1"/>
  <c r="DB20" i="1"/>
  <c r="DE39" i="1"/>
  <c r="CD39" i="1"/>
  <c r="DC20" i="1"/>
  <c r="DF39" i="1"/>
  <c r="BZ20" i="1"/>
  <c r="BW20" i="1"/>
  <c r="CB20" i="1"/>
  <c r="CB12" i="1"/>
  <c r="BZ12" i="1"/>
  <c r="CC12" i="1"/>
  <c r="BU39" i="1"/>
  <c r="CK39" i="1"/>
  <c r="DN20" i="1"/>
  <c r="DE20" i="1"/>
  <c r="DH20" i="1"/>
  <c r="CD12" i="1"/>
  <c r="BV39" i="1"/>
  <c r="CL39" i="1"/>
  <c r="DL20" i="1"/>
  <c r="DO20" i="1"/>
  <c r="CE12" i="1"/>
  <c r="CF20" i="1"/>
  <c r="BW39" i="1"/>
  <c r="DC12" i="1"/>
  <c r="DP20" i="1"/>
  <c r="DN39" i="1"/>
  <c r="DJ12" i="1"/>
  <c r="CE20" i="1"/>
  <c r="CH39" i="1"/>
  <c r="DK12" i="1"/>
  <c r="DJ20" i="1"/>
  <c r="DP39" i="1"/>
  <c r="DL12" i="1"/>
  <c r="DF20" i="1"/>
  <c r="CG20" i="1"/>
  <c r="CD20" i="1"/>
  <c r="DM12" i="1"/>
  <c r="CZ20" i="1"/>
  <c r="DG20" i="1"/>
  <c r="DL39" i="1"/>
  <c r="BY12" i="1"/>
  <c r="CA12" i="1"/>
  <c r="CA20" i="1"/>
  <c r="CC20" i="1"/>
  <c r="DE12" i="1"/>
  <c r="DM20" i="1"/>
  <c r="DQ20" i="1"/>
  <c r="DM39" i="1"/>
  <c r="DG12" i="1"/>
  <c r="DI12" i="1"/>
  <c r="CL12" i="1"/>
  <c r="CG12" i="1"/>
  <c r="CH12" i="1"/>
  <c r="CI12" i="1"/>
  <c r="CJ12" i="1"/>
  <c r="CK12" i="1"/>
  <c r="BX12" i="1"/>
  <c r="AI40" i="38" l="1"/>
  <c r="AI16" i="38"/>
  <c r="AF40" i="38"/>
  <c r="AF16" i="38"/>
  <c r="Z40" i="38"/>
  <c r="Z16" i="38"/>
  <c r="AC16" i="38"/>
  <c r="AC40" i="38"/>
  <c r="H15" i="38"/>
  <c r="H17" i="56" s="1"/>
  <c r="W16" i="38"/>
  <c r="W40" i="38"/>
  <c r="H16" i="38"/>
  <c r="L148" i="39"/>
  <c r="BR29" i="11"/>
  <c r="AT29" i="11"/>
  <c r="BF29" i="11"/>
  <c r="AZ29" i="11"/>
  <c r="AN29" i="11"/>
  <c r="BL29" i="11"/>
  <c r="DQ10" i="1"/>
  <c r="IG10" i="1"/>
  <c r="DO10" i="1"/>
  <c r="ID10" i="1"/>
  <c r="IB10" i="1"/>
  <c r="IK10" i="1"/>
  <c r="IF10" i="1"/>
  <c r="CF10" i="1"/>
  <c r="CB10" i="1"/>
  <c r="IA10" i="1"/>
  <c r="DL10" i="1"/>
  <c r="DK10" i="1"/>
  <c r="IH10" i="1"/>
  <c r="IE10" i="1"/>
  <c r="II10" i="1"/>
  <c r="CH10" i="1"/>
  <c r="HW10" i="1"/>
  <c r="IJ10" i="1"/>
  <c r="CD10" i="1"/>
  <c r="CG10" i="1"/>
  <c r="CL10" i="1"/>
  <c r="DJ10" i="1"/>
  <c r="BY10" i="1"/>
  <c r="DC10" i="1"/>
  <c r="DN10" i="1"/>
  <c r="CA10" i="1"/>
  <c r="HY10" i="1"/>
  <c r="HZ10" i="1"/>
  <c r="CE10" i="1"/>
  <c r="IC10" i="1"/>
  <c r="DF10" i="1"/>
  <c r="DI10" i="1"/>
  <c r="HX10" i="1"/>
  <c r="CI10" i="1"/>
  <c r="DE10" i="1"/>
  <c r="DH10" i="1"/>
  <c r="CK10" i="1"/>
  <c r="BX10" i="1"/>
  <c r="BZ10" i="1"/>
  <c r="DD10" i="1"/>
  <c r="DM10" i="1"/>
  <c r="CC10" i="1"/>
  <c r="DG10" i="1"/>
  <c r="DP10" i="1"/>
  <c r="CJ10" i="1"/>
  <c r="H40" i="38" l="1"/>
  <c r="F28" i="38"/>
  <c r="E5" i="7"/>
  <c r="F77" i="7" l="1"/>
  <c r="V10" i="7"/>
  <c r="U10" i="7"/>
  <c r="T10" i="7"/>
  <c r="S10" i="7"/>
  <c r="F37" i="7"/>
  <c r="Q10" i="7"/>
  <c r="P10" i="7"/>
  <c r="O10" i="7"/>
  <c r="M21" i="39"/>
  <c r="F81" i="7"/>
  <c r="F51" i="7"/>
  <c r="F50" i="7"/>
  <c r="F46" i="7"/>
  <c r="F65" i="7"/>
  <c r="F64" i="7"/>
  <c r="F39" i="7"/>
  <c r="F38" i="7"/>
  <c r="F31" i="7"/>
  <c r="F30" i="7"/>
  <c r="F29" i="7"/>
  <c r="F56" i="7"/>
  <c r="F75" i="7"/>
  <c r="E6" i="7"/>
  <c r="F69" i="7"/>
  <c r="F71" i="7"/>
  <c r="R10" i="7"/>
  <c r="F49" i="7"/>
  <c r="F44" i="7"/>
  <c r="F48" i="7"/>
  <c r="F29" i="38"/>
  <c r="Z21" i="39"/>
  <c r="W22" i="39"/>
  <c r="U21" i="39"/>
  <c r="R21" i="39"/>
  <c r="O21" i="39"/>
  <c r="X21" i="39"/>
  <c r="Y22" i="39"/>
  <c r="V22" i="39"/>
  <c r="T21" i="39"/>
  <c r="S21" i="39"/>
  <c r="T22" i="39"/>
  <c r="S22" i="39"/>
  <c r="R22" i="39"/>
  <c r="Q22" i="39"/>
  <c r="N21" i="39"/>
  <c r="O22" i="39"/>
  <c r="L22" i="39"/>
  <c r="L21" i="39"/>
  <c r="W21" i="39"/>
  <c r="X22" i="39"/>
  <c r="U22" i="39"/>
  <c r="Q21" i="39"/>
  <c r="P21" i="39"/>
  <c r="P22" i="39"/>
  <c r="N22" i="39"/>
  <c r="M22" i="39"/>
  <c r="Y21" i="39"/>
  <c r="Z22" i="39"/>
  <c r="V21" i="39"/>
  <c r="L10" i="7"/>
  <c r="M10" i="7"/>
  <c r="N10" i="7"/>
  <c r="W71" i="7" l="1"/>
  <c r="P56" i="7"/>
  <c r="W69" i="7"/>
  <c r="O56" i="7"/>
  <c r="V65" i="7"/>
  <c r="N56" i="7"/>
  <c r="U65" i="7"/>
  <c r="T65" i="7"/>
  <c r="S65" i="7"/>
  <c r="V64" i="7"/>
  <c r="R56" i="7"/>
  <c r="Q56" i="7"/>
  <c r="U64" i="7"/>
  <c r="T64" i="7"/>
  <c r="S64" i="7"/>
  <c r="V56" i="7"/>
  <c r="U56" i="7"/>
  <c r="T56" i="7"/>
  <c r="S56" i="7"/>
  <c r="R64" i="7"/>
  <c r="Q64" i="7"/>
  <c r="O64" i="7"/>
  <c r="N64" i="7"/>
  <c r="P64" i="7"/>
  <c r="M56" i="7"/>
  <c r="C16" i="56" s="1"/>
  <c r="C17" i="56" s="1"/>
  <c r="M77" i="7"/>
  <c r="M46" i="7"/>
  <c r="L39" i="7"/>
  <c r="L38" i="7"/>
  <c r="M64" i="7"/>
  <c r="C21" i="56" s="1"/>
  <c r="L24" i="7"/>
  <c r="L23" i="7"/>
  <c r="L22" i="7"/>
  <c r="L21" i="7"/>
  <c r="L20" i="7"/>
  <c r="L19" i="7"/>
  <c r="L18" i="7"/>
  <c r="L16" i="7"/>
  <c r="L15" i="7"/>
  <c r="L14" i="7"/>
  <c r="L25" i="7"/>
  <c r="Q65" i="7"/>
  <c r="M65" i="7"/>
  <c r="R65" i="7"/>
  <c r="P65" i="7"/>
  <c r="O65" i="7"/>
  <c r="N65" i="7"/>
  <c r="D5" i="1"/>
  <c r="W22" i="38"/>
  <c r="W23" i="38" s="1"/>
  <c r="K22" i="38"/>
  <c r="K23" i="38" s="1"/>
  <c r="H22" i="38"/>
  <c r="H23" i="38" s="1"/>
  <c r="C27" i="56" l="1"/>
  <c r="V46" i="7"/>
  <c r="V44" i="7" s="1"/>
  <c r="R46" i="7"/>
  <c r="R44" i="7" s="1"/>
  <c r="U46" i="7"/>
  <c r="U44" i="7" s="1"/>
  <c r="S46" i="7"/>
  <c r="S44" i="7" s="1"/>
  <c r="T46" i="7"/>
  <c r="T44" i="7" s="1"/>
  <c r="Q46" i="7"/>
  <c r="Q44" i="7" s="1"/>
  <c r="P46" i="7"/>
  <c r="P44" i="7" s="1"/>
  <c r="N46" i="7"/>
  <c r="O46" i="7"/>
  <c r="O44" i="7" s="1"/>
  <c r="V77" i="7"/>
  <c r="V75" i="7" s="1"/>
  <c r="V81" i="7" s="1"/>
  <c r="U77" i="7"/>
  <c r="U75" i="7" s="1"/>
  <c r="U81" i="7" s="1"/>
  <c r="T77" i="7"/>
  <c r="T75" i="7" s="1"/>
  <c r="T81" i="7" s="1"/>
  <c r="S77" i="7"/>
  <c r="S75" i="7" s="1"/>
  <c r="S81" i="7" s="1"/>
  <c r="U24" i="7"/>
  <c r="S24" i="7"/>
  <c r="V24" i="7"/>
  <c r="T24" i="7"/>
  <c r="S25" i="7"/>
  <c r="V25" i="7"/>
  <c r="U25" i="7"/>
  <c r="T25" i="7"/>
  <c r="U16" i="7"/>
  <c r="V16" i="7"/>
  <c r="T16" i="7"/>
  <c r="S16" i="7"/>
  <c r="V22" i="7"/>
  <c r="T22" i="7"/>
  <c r="S22" i="7"/>
  <c r="U22" i="7"/>
  <c r="T14" i="7"/>
  <c r="U14" i="7"/>
  <c r="V14" i="7"/>
  <c r="S14" i="7"/>
  <c r="T15" i="7"/>
  <c r="S15" i="7"/>
  <c r="V15" i="7"/>
  <c r="U15" i="7"/>
  <c r="V18" i="7"/>
  <c r="U18" i="7"/>
  <c r="S18" i="7"/>
  <c r="T18" i="7"/>
  <c r="U19" i="7"/>
  <c r="S19" i="7"/>
  <c r="V19" i="7"/>
  <c r="T19" i="7"/>
  <c r="V20" i="7"/>
  <c r="S20" i="7"/>
  <c r="T20" i="7"/>
  <c r="U20" i="7"/>
  <c r="S21" i="7"/>
  <c r="T21" i="7"/>
  <c r="U21" i="7"/>
  <c r="V21" i="7"/>
  <c r="T23" i="7"/>
  <c r="S23" i="7"/>
  <c r="U23" i="7"/>
  <c r="V23" i="7"/>
  <c r="AR8" i="1"/>
  <c r="BC8" i="1"/>
  <c r="AQ8" i="1"/>
  <c r="BB8" i="1"/>
  <c r="BA8" i="1"/>
  <c r="AS8" i="1"/>
  <c r="AV8" i="1"/>
  <c r="AX8" i="1"/>
  <c r="AW8" i="1"/>
  <c r="AL8" i="1"/>
  <c r="AN8" i="1"/>
  <c r="AM8" i="1"/>
  <c r="N77" i="7"/>
  <c r="R77" i="7"/>
  <c r="Q77" i="7"/>
  <c r="EA54" i="10" s="1"/>
  <c r="P77" i="7"/>
  <c r="O77" i="7"/>
  <c r="H26" i="56"/>
  <c r="C34" i="56"/>
  <c r="M75" i="7"/>
  <c r="M81" i="7" s="1"/>
  <c r="EF15" i="10" a="1"/>
  <c r="EF15" i="10" s="1"/>
  <c r="EG5" i="10" s="1"/>
  <c r="EH5" i="10" s="1"/>
  <c r="AZ15" i="10" a="1"/>
  <c r="AZ15" i="10" s="1"/>
  <c r="BA5" i="10" s="1"/>
  <c r="BB5" i="10" s="1"/>
  <c r="CD15" i="10" a="1"/>
  <c r="CD15" i="10" s="1"/>
  <c r="CE5" i="10" s="1"/>
  <c r="CF5" i="10" s="1"/>
  <c r="AT15" i="10" a="1"/>
  <c r="AT15" i="10" s="1"/>
  <c r="AU5" i="10" s="1"/>
  <c r="AV5" i="10" s="1"/>
  <c r="DZ15" i="10" a="1"/>
  <c r="DZ15" i="10" s="1"/>
  <c r="EA5" i="10" s="1"/>
  <c r="EB5" i="10" s="1"/>
  <c r="P15" i="10" a="1"/>
  <c r="P15" i="10" s="1"/>
  <c r="Q5" i="10" s="1"/>
  <c r="R5" i="10" s="1"/>
  <c r="DT15" i="10" a="1"/>
  <c r="DT15" i="10" s="1"/>
  <c r="DU5" i="10" s="1"/>
  <c r="DV5" i="10" s="1"/>
  <c r="DN15" i="10" a="1"/>
  <c r="DN15" i="10" s="1"/>
  <c r="DO5" i="10" s="1"/>
  <c r="DP5" i="10" s="1"/>
  <c r="DB15" i="10" a="1"/>
  <c r="DB15" i="10" s="1"/>
  <c r="DC5" i="10" s="1"/>
  <c r="DD5" i="10" s="1"/>
  <c r="BR15" i="10" a="1"/>
  <c r="BR15" i="10" s="1"/>
  <c r="BS5" i="10" s="1"/>
  <c r="BT5" i="10" s="1"/>
  <c r="AB15" i="10" a="1"/>
  <c r="AB15" i="10" s="1"/>
  <c r="AC5" i="10" s="1"/>
  <c r="AD5" i="10" s="1"/>
  <c r="CV15" i="10" a="1"/>
  <c r="CV15" i="10" s="1"/>
  <c r="CW5" i="10" s="1"/>
  <c r="CX5" i="10" s="1"/>
  <c r="ER15" i="10" a="1"/>
  <c r="ER15" i="10" s="1"/>
  <c r="ES5" i="10" s="1"/>
  <c r="AH15" i="10" a="1"/>
  <c r="AH15" i="10" s="1"/>
  <c r="AI5" i="10" s="1"/>
  <c r="AJ5" i="10" s="1"/>
  <c r="DH15" i="10" a="1"/>
  <c r="DH15" i="10" s="1"/>
  <c r="DI5" i="10" s="1"/>
  <c r="DJ5" i="10" s="1"/>
  <c r="V15" i="10" a="1"/>
  <c r="V15" i="10" s="1"/>
  <c r="W5" i="10" s="1"/>
  <c r="X5" i="10" s="1"/>
  <c r="AN15" i="10" a="1"/>
  <c r="AN15" i="10" s="1"/>
  <c r="AO5" i="10" s="1"/>
  <c r="AP5" i="10" s="1"/>
  <c r="CP15" i="10" a="1"/>
  <c r="CP15" i="10" s="1"/>
  <c r="CQ5" i="10" s="1"/>
  <c r="CR5" i="10" s="1"/>
  <c r="BX15" i="10" a="1"/>
  <c r="BX15" i="10" s="1"/>
  <c r="BY5" i="10" s="1"/>
  <c r="BZ5" i="10" s="1"/>
  <c r="CJ15" i="10" a="1"/>
  <c r="CJ15" i="10" s="1"/>
  <c r="CK5" i="10" s="1"/>
  <c r="CL5" i="10" s="1"/>
  <c r="J15" i="10" a="1"/>
  <c r="J15" i="10" s="1"/>
  <c r="K5" i="10" s="1"/>
  <c r="L5" i="10" s="1"/>
  <c r="EL15" i="10" a="1"/>
  <c r="EL15" i="10" s="1"/>
  <c r="EM5" i="10" s="1"/>
  <c r="EN5" i="10" s="1"/>
  <c r="D15" i="10" a="1"/>
  <c r="D15" i="10" s="1"/>
  <c r="BL15" i="10" a="1"/>
  <c r="BL15" i="10" s="1"/>
  <c r="BM5" i="10" s="1"/>
  <c r="BN5" i="10" s="1"/>
  <c r="BF15" i="10" a="1"/>
  <c r="BF15" i="10" s="1"/>
  <c r="BG5" i="10" s="1"/>
  <c r="BH5" i="10" s="1"/>
  <c r="Q19" i="7"/>
  <c r="O19" i="7"/>
  <c r="P19" i="7"/>
  <c r="P21" i="7"/>
  <c r="Q21" i="7"/>
  <c r="O21" i="7"/>
  <c r="Y56" i="7"/>
  <c r="Q23" i="7"/>
  <c r="P23" i="7"/>
  <c r="O23" i="7"/>
  <c r="Q24" i="7"/>
  <c r="P24" i="7"/>
  <c r="O24" i="7"/>
  <c r="Q22" i="7"/>
  <c r="P22" i="7"/>
  <c r="O22" i="7"/>
  <c r="Q20" i="7"/>
  <c r="P20" i="7"/>
  <c r="O20" i="7"/>
  <c r="Q25" i="7"/>
  <c r="P25" i="7"/>
  <c r="O25" i="7"/>
  <c r="P18" i="7"/>
  <c r="Q18" i="7"/>
  <c r="O18" i="7"/>
  <c r="P14" i="7"/>
  <c r="O14" i="7"/>
  <c r="Q14" i="7"/>
  <c r="Q15" i="7"/>
  <c r="P15" i="7"/>
  <c r="O15" i="7"/>
  <c r="O16" i="7"/>
  <c r="Q16" i="7"/>
  <c r="P16" i="7"/>
  <c r="T8" i="1"/>
  <c r="S8" i="1"/>
  <c r="R8" i="1"/>
  <c r="X8" i="1"/>
  <c r="W8" i="1"/>
  <c r="AD8" i="1"/>
  <c r="Y8" i="1"/>
  <c r="AC8" i="1"/>
  <c r="AB8" i="1"/>
  <c r="M8" i="1"/>
  <c r="AG8" i="1"/>
  <c r="J38" i="10"/>
  <c r="ER38" i="10"/>
  <c r="AZ38" i="10"/>
  <c r="EL38" i="10"/>
  <c r="AT38" i="10"/>
  <c r="AB38" i="10"/>
  <c r="DN38" i="10"/>
  <c r="BR38" i="10"/>
  <c r="EF38" i="10"/>
  <c r="AN38" i="10"/>
  <c r="DZ38" i="10"/>
  <c r="AH38" i="10"/>
  <c r="DT38" i="10"/>
  <c r="DH38" i="10"/>
  <c r="DB38" i="10"/>
  <c r="CD38" i="10"/>
  <c r="CV38" i="10"/>
  <c r="P38" i="10"/>
  <c r="BX38" i="10"/>
  <c r="CP38" i="10"/>
  <c r="V38" i="10"/>
  <c r="CJ38" i="10"/>
  <c r="BL38" i="10"/>
  <c r="BF38" i="10"/>
  <c r="N44" i="7"/>
  <c r="D38" i="10"/>
  <c r="M24" i="7"/>
  <c r="N24" i="7"/>
  <c r="R24" i="7"/>
  <c r="N25" i="7"/>
  <c r="M25" i="7"/>
  <c r="R25" i="7"/>
  <c r="M18" i="7"/>
  <c r="N18" i="7"/>
  <c r="R18" i="7"/>
  <c r="N14" i="7"/>
  <c r="M14" i="7"/>
  <c r="R14" i="7"/>
  <c r="N15" i="7"/>
  <c r="M15" i="7"/>
  <c r="R15" i="7"/>
  <c r="N23" i="7"/>
  <c r="M23" i="7"/>
  <c r="R23" i="7"/>
  <c r="M22" i="7"/>
  <c r="N22" i="7"/>
  <c r="R22" i="7"/>
  <c r="M20" i="7"/>
  <c r="N20" i="7"/>
  <c r="R20" i="7"/>
  <c r="M16" i="7"/>
  <c r="N16" i="7"/>
  <c r="R16" i="7"/>
  <c r="M19" i="7"/>
  <c r="N19" i="7"/>
  <c r="R19" i="7"/>
  <c r="M21" i="7"/>
  <c r="N21" i="7"/>
  <c r="R21" i="7"/>
  <c r="M44" i="7"/>
  <c r="AI8" i="1"/>
  <c r="AH8" i="1"/>
  <c r="O8" i="1"/>
  <c r="N8" i="1"/>
  <c r="H8" i="1"/>
  <c r="D6" i="1"/>
  <c r="E35" i="1"/>
  <c r="J8" i="1"/>
  <c r="BA37" i="1" l="1"/>
  <c r="BB37" i="1" s="1"/>
  <c r="AQ37" i="1"/>
  <c r="AR37" i="1" s="1"/>
  <c r="AG37" i="1"/>
  <c r="AH37" i="1" s="1"/>
  <c r="W37" i="1"/>
  <c r="BA36" i="1"/>
  <c r="BB36" i="1" s="1"/>
  <c r="AQ36" i="1"/>
  <c r="AR36" i="1" s="1"/>
  <c r="AG36" i="1"/>
  <c r="AH36" i="1" s="1"/>
  <c r="W36" i="1"/>
  <c r="AV37" i="1"/>
  <c r="AW37" i="1" s="1"/>
  <c r="AX37" i="1" s="1"/>
  <c r="AL36" i="1"/>
  <c r="AM36" i="1" s="1"/>
  <c r="AB37" i="1"/>
  <c r="AC37" i="1" s="1"/>
  <c r="R37" i="1"/>
  <c r="S37" i="1" s="1"/>
  <c r="T37" i="1" s="1"/>
  <c r="AV36" i="1"/>
  <c r="AW36" i="1" s="1"/>
  <c r="AL37" i="1"/>
  <c r="AM37" i="1" s="1"/>
  <c r="AN37" i="1" s="1"/>
  <c r="AB36" i="1"/>
  <c r="AC36" i="1" s="1"/>
  <c r="AD36" i="1" s="1"/>
  <c r="R36" i="1"/>
  <c r="S36" i="1" s="1"/>
  <c r="S17" i="7"/>
  <c r="U17" i="7"/>
  <c r="V17" i="7"/>
  <c r="S13" i="7"/>
  <c r="V13" i="7"/>
  <c r="T17" i="7"/>
  <c r="U13" i="7"/>
  <c r="U12" i="7" s="1"/>
  <c r="T13" i="7"/>
  <c r="T12" i="7" s="1"/>
  <c r="DI54" i="10"/>
  <c r="DI10" i="11" s="1"/>
  <c r="W54" i="10"/>
  <c r="W10" i="11" s="1"/>
  <c r="EG54" i="10"/>
  <c r="EG10" i="11" s="1"/>
  <c r="AO54" i="10"/>
  <c r="AU54" i="10"/>
  <c r="AU10" i="11" s="1"/>
  <c r="BY54" i="10"/>
  <c r="BY10" i="11" s="1"/>
  <c r="CE54" i="10"/>
  <c r="CE10" i="11" s="1"/>
  <c r="CK54" i="10"/>
  <c r="CK10" i="11" s="1"/>
  <c r="EM54" i="10"/>
  <c r="EM10" i="11" s="1"/>
  <c r="E54" i="10"/>
  <c r="BA54" i="10"/>
  <c r="BA10" i="11" s="1"/>
  <c r="CW54" i="10"/>
  <c r="CW10" i="11" s="1"/>
  <c r="ES54" i="10"/>
  <c r="ES10" i="11" s="1"/>
  <c r="CQ54" i="10"/>
  <c r="CQ10" i="11" s="1"/>
  <c r="K54" i="10"/>
  <c r="K10" i="11" s="1"/>
  <c r="DC54" i="10"/>
  <c r="DC10" i="11" s="1"/>
  <c r="Q54" i="10"/>
  <c r="Q10" i="11" s="1"/>
  <c r="J10" i="48" s="1"/>
  <c r="K10" i="48" s="1"/>
  <c r="DO54" i="10"/>
  <c r="DO10" i="11" s="1"/>
  <c r="AC54" i="10"/>
  <c r="AC10" i="11" s="1"/>
  <c r="BG54" i="10"/>
  <c r="BG10" i="11" s="1"/>
  <c r="DU54" i="10"/>
  <c r="DU10" i="11" s="1"/>
  <c r="BM54" i="10"/>
  <c r="BM10" i="11" s="1"/>
  <c r="AI54" i="10"/>
  <c r="AI10" i="11" s="1"/>
  <c r="BS54" i="10"/>
  <c r="BS10" i="11" s="1"/>
  <c r="AS37" i="1"/>
  <c r="BC37" i="1"/>
  <c r="H15" i="1"/>
  <c r="N75" i="7"/>
  <c r="N81" i="7" s="1"/>
  <c r="P75" i="7"/>
  <c r="P81" i="7" s="1"/>
  <c r="R75" i="7"/>
  <c r="R81" i="7" s="1"/>
  <c r="O75" i="7"/>
  <c r="O81" i="7" s="1"/>
  <c r="Q75" i="7"/>
  <c r="Q81" i="7" s="1"/>
  <c r="ET5" i="10"/>
  <c r="EU5" i="10" s="1"/>
  <c r="H13" i="1"/>
  <c r="H37" i="1"/>
  <c r="X37" i="1" s="1"/>
  <c r="Y37" i="1" s="1"/>
  <c r="H36" i="1"/>
  <c r="AA56" i="7"/>
  <c r="Z56" i="7"/>
  <c r="H58" i="1"/>
  <c r="H57" i="1"/>
  <c r="H41" i="1"/>
  <c r="H21" i="1"/>
  <c r="H56" i="1"/>
  <c r="H40" i="1"/>
  <c r="H18" i="1"/>
  <c r="H55" i="1"/>
  <c r="H17" i="1"/>
  <c r="H22" i="1"/>
  <c r="H54" i="1"/>
  <c r="H16" i="1"/>
  <c r="H53" i="1"/>
  <c r="H33" i="1"/>
  <c r="H52" i="1"/>
  <c r="H32" i="1"/>
  <c r="H14" i="1"/>
  <c r="H51" i="1"/>
  <c r="H31" i="1"/>
  <c r="H50" i="1"/>
  <c r="H30" i="1"/>
  <c r="H49" i="1"/>
  <c r="H29" i="1"/>
  <c r="H48" i="1"/>
  <c r="H28" i="1"/>
  <c r="H47" i="1"/>
  <c r="H27" i="1"/>
  <c r="H46" i="1"/>
  <c r="H26" i="1"/>
  <c r="H45" i="1"/>
  <c r="H25" i="1"/>
  <c r="H44" i="1"/>
  <c r="H24" i="1"/>
  <c r="H43" i="1"/>
  <c r="H23" i="1"/>
  <c r="H42" i="1"/>
  <c r="S5" i="10"/>
  <c r="BI5" i="10"/>
  <c r="CY5" i="10"/>
  <c r="CA5" i="10"/>
  <c r="EI5" i="10"/>
  <c r="AW5" i="10"/>
  <c r="EA10" i="11"/>
  <c r="AE5" i="10"/>
  <c r="DK5" i="10"/>
  <c r="AO10" i="11"/>
  <c r="DQ5" i="10"/>
  <c r="EC5" i="10"/>
  <c r="EO5" i="10"/>
  <c r="BU5" i="10"/>
  <c r="CG5" i="10"/>
  <c r="CM5" i="10"/>
  <c r="M5" i="10"/>
  <c r="Y5" i="10"/>
  <c r="DW5" i="10"/>
  <c r="AK5" i="10"/>
  <c r="CS5" i="10"/>
  <c r="E10" i="11"/>
  <c r="BC5" i="10"/>
  <c r="AQ5" i="10"/>
  <c r="BO5" i="10"/>
  <c r="DE5" i="10"/>
  <c r="P13" i="7"/>
  <c r="P17" i="7"/>
  <c r="O13" i="7"/>
  <c r="Q13" i="7"/>
  <c r="Q17" i="7"/>
  <c r="O17" i="7"/>
  <c r="M37" i="1"/>
  <c r="N37" i="1" s="1"/>
  <c r="O37" i="1" s="1"/>
  <c r="M36" i="1"/>
  <c r="N36" i="1" s="1"/>
  <c r="O36" i="1" s="1"/>
  <c r="R17" i="7"/>
  <c r="L51" i="7"/>
  <c r="L50" i="7"/>
  <c r="I8" i="1"/>
  <c r="L34" i="7"/>
  <c r="X36" i="1" l="1"/>
  <c r="JA37" i="1"/>
  <c r="IZ37" i="1"/>
  <c r="JG37" i="1"/>
  <c r="IO37" i="1"/>
  <c r="JF37" i="1"/>
  <c r="IN37" i="1"/>
  <c r="JC37" i="1"/>
  <c r="JI37" i="1"/>
  <c r="JB37" i="1"/>
  <c r="JH37" i="1"/>
  <c r="IY37" i="1"/>
  <c r="JE37" i="1"/>
  <c r="JD37" i="1"/>
  <c r="IT37" i="1"/>
  <c r="IR37" i="1"/>
  <c r="IS37" i="1"/>
  <c r="IQ37" i="1"/>
  <c r="IV37" i="1"/>
  <c r="IU37" i="1"/>
  <c r="IP37" i="1"/>
  <c r="IM37" i="1"/>
  <c r="JJ37" i="1"/>
  <c r="JK37" i="1"/>
  <c r="IW37" i="1"/>
  <c r="IX37" i="1"/>
  <c r="LU37" i="1"/>
  <c r="LE37" i="1"/>
  <c r="LR37" i="1"/>
  <c r="LB37" i="1"/>
  <c r="LF37" i="1"/>
  <c r="LS37" i="1"/>
  <c r="KZ37" i="1"/>
  <c r="LA37" i="1"/>
  <c r="KY37" i="1"/>
  <c r="LT37" i="1"/>
  <c r="KW37" i="1"/>
  <c r="LQ37" i="1"/>
  <c r="LH37" i="1"/>
  <c r="LM37" i="1"/>
  <c r="LL37" i="1"/>
  <c r="LI37" i="1"/>
  <c r="LG37" i="1"/>
  <c r="LP37" i="1"/>
  <c r="LO37" i="1"/>
  <c r="LD37" i="1"/>
  <c r="LC37" i="1"/>
  <c r="KX37" i="1"/>
  <c r="LN37" i="1"/>
  <c r="LK37" i="1"/>
  <c r="LJ37" i="1"/>
  <c r="R45" i="1"/>
  <c r="AV45" i="1"/>
  <c r="AL45" i="1"/>
  <c r="AB45" i="1"/>
  <c r="BA45" i="1"/>
  <c r="BB45" i="1" s="1"/>
  <c r="BC45" i="1" s="1"/>
  <c r="AQ45" i="1"/>
  <c r="AR45" i="1" s="1"/>
  <c r="AS45" i="1" s="1"/>
  <c r="AG45" i="1"/>
  <c r="W45" i="1"/>
  <c r="M45" i="1"/>
  <c r="M13" i="1"/>
  <c r="N13" i="1" s="1"/>
  <c r="O13" i="1" s="1"/>
  <c r="BA13" i="1"/>
  <c r="BB13" i="1" s="1"/>
  <c r="AQ13" i="1"/>
  <c r="AR13" i="1" s="1"/>
  <c r="AG13" i="1"/>
  <c r="AH13" i="1" s="1"/>
  <c r="W13" i="1"/>
  <c r="X13" i="1" s="1"/>
  <c r="Y13" i="1" s="1"/>
  <c r="AV13" i="1"/>
  <c r="AL13" i="1"/>
  <c r="AB13" i="1"/>
  <c r="R13" i="1"/>
  <c r="AV43" i="1"/>
  <c r="AW43" i="1" s="1"/>
  <c r="AX43" i="1" s="1"/>
  <c r="AL43" i="1"/>
  <c r="AM43" i="1" s="1"/>
  <c r="AN43" i="1" s="1"/>
  <c r="AB43" i="1"/>
  <c r="R43" i="1"/>
  <c r="W43" i="1"/>
  <c r="M43" i="1"/>
  <c r="BA43" i="1"/>
  <c r="BB43" i="1" s="1"/>
  <c r="BC43" i="1" s="1"/>
  <c r="AQ43" i="1"/>
  <c r="AR43" i="1" s="1"/>
  <c r="AS43" i="1" s="1"/>
  <c r="AG43" i="1"/>
  <c r="BA51" i="1"/>
  <c r="BB51" i="1" s="1"/>
  <c r="BC51" i="1" s="1"/>
  <c r="AQ51" i="1"/>
  <c r="AR51" i="1" s="1"/>
  <c r="AS51" i="1" s="1"/>
  <c r="AG51" i="1"/>
  <c r="W51" i="1"/>
  <c r="M51" i="1"/>
  <c r="AV51" i="1"/>
  <c r="AL51" i="1"/>
  <c r="AB51" i="1"/>
  <c r="R51" i="1"/>
  <c r="M57" i="1"/>
  <c r="BA57" i="1"/>
  <c r="BB57" i="1" s="1"/>
  <c r="BC57" i="1" s="1"/>
  <c r="AG57" i="1"/>
  <c r="R57" i="1"/>
  <c r="AV57" i="1"/>
  <c r="AW57" i="1" s="1"/>
  <c r="AX57" i="1" s="1"/>
  <c r="AL57" i="1"/>
  <c r="AM57" i="1" s="1"/>
  <c r="AN57" i="1" s="1"/>
  <c r="AB57" i="1"/>
  <c r="W57" i="1"/>
  <c r="AQ57" i="1"/>
  <c r="AR57" i="1" s="1"/>
  <c r="AS57" i="1" s="1"/>
  <c r="MZ37" i="1"/>
  <c r="MJ37" i="1"/>
  <c r="MW37" i="1"/>
  <c r="MG37" i="1"/>
  <c r="MK37" i="1"/>
  <c r="MY37" i="1"/>
  <c r="MF37" i="1"/>
  <c r="MX37" i="1"/>
  <c r="ME37" i="1"/>
  <c r="MB37" i="1"/>
  <c r="MH37" i="1"/>
  <c r="MD37" i="1"/>
  <c r="MC37" i="1"/>
  <c r="MN37" i="1"/>
  <c r="MI37" i="1"/>
  <c r="MT37" i="1"/>
  <c r="MS37" i="1"/>
  <c r="MO37" i="1"/>
  <c r="MR37" i="1"/>
  <c r="MQ37" i="1"/>
  <c r="MP37" i="1"/>
  <c r="MM37" i="1"/>
  <c r="MV37" i="1"/>
  <c r="ML37" i="1"/>
  <c r="MU37" i="1"/>
  <c r="M14" i="1"/>
  <c r="N14" i="1" s="1"/>
  <c r="O14" i="1" s="1"/>
  <c r="BA14" i="1"/>
  <c r="BB14" i="1" s="1"/>
  <c r="BC14" i="1" s="1"/>
  <c r="AQ14" i="1"/>
  <c r="AR14" i="1" s="1"/>
  <c r="AS14" i="1" s="1"/>
  <c r="AG14" i="1"/>
  <c r="AH14" i="1" s="1"/>
  <c r="AI14" i="1" s="1"/>
  <c r="W14" i="1"/>
  <c r="X14" i="1" s="1"/>
  <c r="Y14" i="1" s="1"/>
  <c r="AV14" i="1"/>
  <c r="AW14" i="1" s="1"/>
  <c r="AX14" i="1" s="1"/>
  <c r="AL14" i="1"/>
  <c r="AM14" i="1" s="1"/>
  <c r="AN14" i="1" s="1"/>
  <c r="AB14" i="1"/>
  <c r="AC14" i="1" s="1"/>
  <c r="AD14" i="1" s="1"/>
  <c r="R14" i="1"/>
  <c r="R54" i="1"/>
  <c r="BA54" i="1"/>
  <c r="AQ54" i="1"/>
  <c r="AG54" i="1"/>
  <c r="W54" i="1"/>
  <c r="M54" i="1"/>
  <c r="AB54" i="1"/>
  <c r="AV54" i="1"/>
  <c r="AW54" i="1" s="1"/>
  <c r="AX54" i="1" s="1"/>
  <c r="AL54" i="1"/>
  <c r="AM54" i="1" s="1"/>
  <c r="AN54" i="1" s="1"/>
  <c r="M53" i="1"/>
  <c r="N53" i="1" s="1"/>
  <c r="O53" i="1" s="1"/>
  <c r="BA53" i="1"/>
  <c r="BB53" i="1" s="1"/>
  <c r="BC53" i="1" s="1"/>
  <c r="AQ53" i="1"/>
  <c r="AR53" i="1" s="1"/>
  <c r="AS53" i="1" s="1"/>
  <c r="AG53" i="1"/>
  <c r="W53" i="1"/>
  <c r="X53" i="1" s="1"/>
  <c r="Y53" i="1" s="1"/>
  <c r="AV53" i="1"/>
  <c r="AW53" i="1" s="1"/>
  <c r="AX53" i="1" s="1"/>
  <c r="AL53" i="1"/>
  <c r="AB53" i="1"/>
  <c r="R53" i="1"/>
  <c r="AV27" i="1"/>
  <c r="AL27" i="1"/>
  <c r="AM27" i="1" s="1"/>
  <c r="AN27" i="1" s="1"/>
  <c r="AB27" i="1"/>
  <c r="R27" i="1"/>
  <c r="W27" i="1"/>
  <c r="AQ27" i="1"/>
  <c r="AR27" i="1" s="1"/>
  <c r="AS27" i="1" s="1"/>
  <c r="M27" i="1"/>
  <c r="BA27" i="1"/>
  <c r="BB27" i="1" s="1"/>
  <c r="BC27" i="1" s="1"/>
  <c r="AG27" i="1"/>
  <c r="AV47" i="1"/>
  <c r="AW47" i="1" s="1"/>
  <c r="AX47" i="1" s="1"/>
  <c r="AL47" i="1"/>
  <c r="AM47" i="1" s="1"/>
  <c r="AN47" i="1" s="1"/>
  <c r="AB47" i="1"/>
  <c r="R47" i="1"/>
  <c r="AG47" i="1"/>
  <c r="BA47" i="1"/>
  <c r="BB47" i="1" s="1"/>
  <c r="BC47" i="1" s="1"/>
  <c r="W47" i="1"/>
  <c r="AQ47" i="1"/>
  <c r="M47" i="1"/>
  <c r="W28" i="1"/>
  <c r="AG28" i="1"/>
  <c r="AQ28" i="1"/>
  <c r="AR28" i="1" s="1"/>
  <c r="AS28" i="1" s="1"/>
  <c r="M28" i="1"/>
  <c r="BA28" i="1"/>
  <c r="BB28" i="1" s="1"/>
  <c r="BC28" i="1" s="1"/>
  <c r="AV28" i="1"/>
  <c r="AW28" i="1" s="1"/>
  <c r="AX28" i="1" s="1"/>
  <c r="R28" i="1"/>
  <c r="AL28" i="1"/>
  <c r="AM28" i="1" s="1"/>
  <c r="AN28" i="1" s="1"/>
  <c r="AB28" i="1"/>
  <c r="BA16" i="1"/>
  <c r="BB16" i="1" s="1"/>
  <c r="BC16" i="1" s="1"/>
  <c r="AQ16" i="1"/>
  <c r="AR16" i="1" s="1"/>
  <c r="AS16" i="1" s="1"/>
  <c r="AG16" i="1"/>
  <c r="W16" i="1"/>
  <c r="X16" i="1" s="1"/>
  <c r="Y16" i="1" s="1"/>
  <c r="AV16" i="1"/>
  <c r="AB16" i="1"/>
  <c r="R16" i="1"/>
  <c r="AL16" i="1"/>
  <c r="AM16" i="1" s="1"/>
  <c r="AN16" i="1" s="1"/>
  <c r="M16" i="1"/>
  <c r="N16" i="1" s="1"/>
  <c r="O16" i="1" s="1"/>
  <c r="BA48" i="1"/>
  <c r="BB48" i="1" s="1"/>
  <c r="BC48" i="1" s="1"/>
  <c r="AQ48" i="1"/>
  <c r="AG48" i="1"/>
  <c r="AL48" i="1"/>
  <c r="AM48" i="1" s="1"/>
  <c r="AN48" i="1" s="1"/>
  <c r="M48" i="1"/>
  <c r="W48" i="1"/>
  <c r="AV48" i="1"/>
  <c r="AW48" i="1" s="1"/>
  <c r="AX48" i="1" s="1"/>
  <c r="AB48" i="1"/>
  <c r="R48" i="1"/>
  <c r="BA55" i="1"/>
  <c r="AQ55" i="1"/>
  <c r="AG55" i="1"/>
  <c r="W55" i="1"/>
  <c r="M55" i="1"/>
  <c r="R55" i="1"/>
  <c r="AL55" i="1"/>
  <c r="AM55" i="1" s="1"/>
  <c r="AN55" i="1" s="1"/>
  <c r="AB55" i="1"/>
  <c r="AV55" i="1"/>
  <c r="AW55" i="1" s="1"/>
  <c r="AX55" i="1" s="1"/>
  <c r="AV29" i="1"/>
  <c r="R29" i="1"/>
  <c r="AB29" i="1"/>
  <c r="M29" i="1"/>
  <c r="BA29" i="1"/>
  <c r="BB29" i="1" s="1"/>
  <c r="BC29" i="1" s="1"/>
  <c r="AQ29" i="1"/>
  <c r="AR29" i="1" s="1"/>
  <c r="AS29" i="1" s="1"/>
  <c r="AG29" i="1"/>
  <c r="W29" i="1"/>
  <c r="AL29" i="1"/>
  <c r="AL18" i="1"/>
  <c r="AM18" i="1" s="1"/>
  <c r="AN18" i="1" s="1"/>
  <c r="R18" i="1"/>
  <c r="S18" i="1" s="1"/>
  <c r="T18" i="1" s="1"/>
  <c r="AV18" i="1"/>
  <c r="AB18" i="1"/>
  <c r="M18" i="1"/>
  <c r="N18" i="1" s="1"/>
  <c r="O18" i="1" s="1"/>
  <c r="W18" i="1"/>
  <c r="X18" i="1" s="1"/>
  <c r="Y18" i="1" s="1"/>
  <c r="AG18" i="1"/>
  <c r="AH18" i="1" s="1"/>
  <c r="AI18" i="1" s="1"/>
  <c r="BA18" i="1"/>
  <c r="AQ18" i="1"/>
  <c r="AR18" i="1" s="1"/>
  <c r="AS18" i="1" s="1"/>
  <c r="BA17" i="1"/>
  <c r="BB17" i="1" s="1"/>
  <c r="BC17" i="1" s="1"/>
  <c r="AQ17" i="1"/>
  <c r="AR17" i="1" s="1"/>
  <c r="AS17" i="1" s="1"/>
  <c r="AG17" i="1"/>
  <c r="AH17" i="1" s="1"/>
  <c r="AI17" i="1" s="1"/>
  <c r="W17" i="1"/>
  <c r="X17" i="1" s="1"/>
  <c r="AV17" i="1"/>
  <c r="AW17" i="1" s="1"/>
  <c r="AX17" i="1" s="1"/>
  <c r="M17" i="1"/>
  <c r="AL17" i="1"/>
  <c r="R17" i="1"/>
  <c r="AB17" i="1"/>
  <c r="AB49" i="1"/>
  <c r="AQ49" i="1"/>
  <c r="AR49" i="1" s="1"/>
  <c r="AS49" i="1" s="1"/>
  <c r="W49" i="1"/>
  <c r="AG49" i="1"/>
  <c r="BA49" i="1"/>
  <c r="BB49" i="1" s="1"/>
  <c r="BC49" i="1" s="1"/>
  <c r="M49" i="1"/>
  <c r="AV49" i="1"/>
  <c r="AW49" i="1" s="1"/>
  <c r="AX49" i="1" s="1"/>
  <c r="R49" i="1"/>
  <c r="AL49" i="1"/>
  <c r="AM49" i="1" s="1"/>
  <c r="AN49" i="1" s="1"/>
  <c r="AV40" i="1"/>
  <c r="AW40" i="1" s="1"/>
  <c r="AB40" i="1"/>
  <c r="R40" i="1"/>
  <c r="AG40" i="1"/>
  <c r="W40" i="1"/>
  <c r="M40" i="1"/>
  <c r="AL40" i="1"/>
  <c r="AQ40" i="1"/>
  <c r="AR40" i="1" s="1"/>
  <c r="BA40" i="1"/>
  <c r="BB40" i="1" s="1"/>
  <c r="M25" i="1"/>
  <c r="AV25" i="1"/>
  <c r="AW25" i="1" s="1"/>
  <c r="AX25" i="1" s="1"/>
  <c r="AL25" i="1"/>
  <c r="AM25" i="1" s="1"/>
  <c r="AN25" i="1" s="1"/>
  <c r="AB25" i="1"/>
  <c r="R25" i="1"/>
  <c r="BA25" i="1"/>
  <c r="BB25" i="1" s="1"/>
  <c r="BC25" i="1" s="1"/>
  <c r="AQ25" i="1"/>
  <c r="AR25" i="1" s="1"/>
  <c r="AS25" i="1" s="1"/>
  <c r="AG25" i="1"/>
  <c r="W25" i="1"/>
  <c r="BA52" i="1"/>
  <c r="BB52" i="1" s="1"/>
  <c r="BC52" i="1" s="1"/>
  <c r="AQ52" i="1"/>
  <c r="AG52" i="1"/>
  <c r="W52" i="1"/>
  <c r="M52" i="1"/>
  <c r="AV52" i="1"/>
  <c r="AW52" i="1" s="1"/>
  <c r="AX52" i="1" s="1"/>
  <c r="AL52" i="1"/>
  <c r="AM52" i="1" s="1"/>
  <c r="AN52" i="1" s="1"/>
  <c r="AB52" i="1"/>
  <c r="R52" i="1"/>
  <c r="AV46" i="1"/>
  <c r="AW46" i="1" s="1"/>
  <c r="AX46" i="1" s="1"/>
  <c r="AL46" i="1"/>
  <c r="AM46" i="1" s="1"/>
  <c r="AN46" i="1" s="1"/>
  <c r="AB46" i="1"/>
  <c r="R46" i="1"/>
  <c r="M46" i="1"/>
  <c r="AG46" i="1"/>
  <c r="BA46" i="1"/>
  <c r="BB46" i="1" s="1"/>
  <c r="BC46" i="1" s="1"/>
  <c r="W46" i="1"/>
  <c r="AQ46" i="1"/>
  <c r="AB56" i="1"/>
  <c r="AV56" i="1"/>
  <c r="AW56" i="1" s="1"/>
  <c r="AX56" i="1" s="1"/>
  <c r="R56" i="1"/>
  <c r="BA56" i="1"/>
  <c r="BB56" i="1" s="1"/>
  <c r="BC56" i="1" s="1"/>
  <c r="AL56" i="1"/>
  <c r="AM56" i="1" s="1"/>
  <c r="AN56" i="1" s="1"/>
  <c r="AG56" i="1"/>
  <c r="W56" i="1"/>
  <c r="AQ56" i="1"/>
  <c r="AR56" i="1" s="1"/>
  <c r="AS56" i="1" s="1"/>
  <c r="M56" i="1"/>
  <c r="AL30" i="1"/>
  <c r="AM30" i="1" s="1"/>
  <c r="AN30" i="1" s="1"/>
  <c r="R30" i="1"/>
  <c r="AV30" i="1"/>
  <c r="AW30" i="1" s="1"/>
  <c r="AX30" i="1" s="1"/>
  <c r="AB30" i="1"/>
  <c r="M30" i="1"/>
  <c r="BA30" i="1"/>
  <c r="BB30" i="1" s="1"/>
  <c r="BC30" i="1" s="1"/>
  <c r="AQ30" i="1"/>
  <c r="AG30" i="1"/>
  <c r="W30" i="1"/>
  <c r="AQ21" i="1"/>
  <c r="W21" i="1"/>
  <c r="BA21" i="1"/>
  <c r="BB21" i="1" s="1"/>
  <c r="AG21" i="1"/>
  <c r="AL21" i="1"/>
  <c r="AM21" i="1" s="1"/>
  <c r="R21" i="1"/>
  <c r="AV21" i="1"/>
  <c r="AW21" i="1" s="1"/>
  <c r="AB21" i="1"/>
  <c r="M21" i="1"/>
  <c r="M24" i="1"/>
  <c r="AV24" i="1"/>
  <c r="AW24" i="1" s="1"/>
  <c r="AX24" i="1" s="1"/>
  <c r="AL24" i="1"/>
  <c r="AM24" i="1" s="1"/>
  <c r="AN24" i="1" s="1"/>
  <c r="AB24" i="1"/>
  <c r="R24" i="1"/>
  <c r="BA24" i="1"/>
  <c r="BB24" i="1" s="1"/>
  <c r="BC24" i="1" s="1"/>
  <c r="AQ24" i="1"/>
  <c r="AR24" i="1" s="1"/>
  <c r="AS24" i="1" s="1"/>
  <c r="AG24" i="1"/>
  <c r="W24" i="1"/>
  <c r="W58" i="1"/>
  <c r="M58" i="1"/>
  <c r="AQ58" i="1"/>
  <c r="AR58" i="1" s="1"/>
  <c r="AS58" i="1" s="1"/>
  <c r="AG58" i="1"/>
  <c r="AV58" i="1"/>
  <c r="AW58" i="1" s="1"/>
  <c r="AX58" i="1" s="1"/>
  <c r="AL58" i="1"/>
  <c r="AM58" i="1" s="1"/>
  <c r="AN58" i="1" s="1"/>
  <c r="AB58" i="1"/>
  <c r="R58" i="1"/>
  <c r="BA58" i="1"/>
  <c r="M33" i="1"/>
  <c r="BA33" i="1"/>
  <c r="BB33" i="1" s="1"/>
  <c r="BC33" i="1" s="1"/>
  <c r="AQ33" i="1"/>
  <c r="AR33" i="1" s="1"/>
  <c r="AS33" i="1" s="1"/>
  <c r="AG33" i="1"/>
  <c r="W33" i="1"/>
  <c r="AV33" i="1"/>
  <c r="AW33" i="1" s="1"/>
  <c r="AX33" i="1" s="1"/>
  <c r="AL33" i="1"/>
  <c r="AB33" i="1"/>
  <c r="R33" i="1"/>
  <c r="AV26" i="1"/>
  <c r="AW26" i="1" s="1"/>
  <c r="AX26" i="1" s="1"/>
  <c r="AL26" i="1"/>
  <c r="AM26" i="1" s="1"/>
  <c r="AN26" i="1" s="1"/>
  <c r="AB26" i="1"/>
  <c r="R26" i="1"/>
  <c r="W26" i="1"/>
  <c r="AQ26" i="1"/>
  <c r="AR26" i="1" s="1"/>
  <c r="AS26" i="1" s="1"/>
  <c r="AG26" i="1"/>
  <c r="M26" i="1"/>
  <c r="BA26" i="1"/>
  <c r="BB26" i="1" s="1"/>
  <c r="BC26" i="1" s="1"/>
  <c r="BA22" i="1"/>
  <c r="W22" i="1"/>
  <c r="AV22" i="1"/>
  <c r="AW22" i="1" s="1"/>
  <c r="AX22" i="1" s="1"/>
  <c r="AL22" i="1"/>
  <c r="AM22" i="1" s="1"/>
  <c r="AN22" i="1" s="1"/>
  <c r="AB22" i="1"/>
  <c r="R22" i="1"/>
  <c r="AG22" i="1"/>
  <c r="M22" i="1"/>
  <c r="AQ22" i="1"/>
  <c r="AR22" i="1" s="1"/>
  <c r="AS22" i="1" s="1"/>
  <c r="AQ42" i="1"/>
  <c r="AR42" i="1" s="1"/>
  <c r="AS42" i="1" s="1"/>
  <c r="AG42" i="1"/>
  <c r="BA42" i="1"/>
  <c r="BB42" i="1" s="1"/>
  <c r="BC42" i="1" s="1"/>
  <c r="M42" i="1"/>
  <c r="AV42" i="1"/>
  <c r="AW42" i="1" s="1"/>
  <c r="AX42" i="1" s="1"/>
  <c r="AL42" i="1"/>
  <c r="AM42" i="1" s="1"/>
  <c r="AN42" i="1" s="1"/>
  <c r="AB42" i="1"/>
  <c r="R42" i="1"/>
  <c r="W42" i="1"/>
  <c r="AL50" i="1"/>
  <c r="AM50" i="1" s="1"/>
  <c r="AN50" i="1" s="1"/>
  <c r="AB50" i="1"/>
  <c r="BA50" i="1"/>
  <c r="AQ50" i="1"/>
  <c r="AR50" i="1" s="1"/>
  <c r="AS50" i="1" s="1"/>
  <c r="AG50" i="1"/>
  <c r="W50" i="1"/>
  <c r="M50" i="1"/>
  <c r="AV50" i="1"/>
  <c r="AW50" i="1" s="1"/>
  <c r="AX50" i="1" s="1"/>
  <c r="R50" i="1"/>
  <c r="AV23" i="1"/>
  <c r="AW23" i="1" s="1"/>
  <c r="AX23" i="1" s="1"/>
  <c r="AL23" i="1"/>
  <c r="AM23" i="1" s="1"/>
  <c r="AN23" i="1" s="1"/>
  <c r="AB23" i="1"/>
  <c r="R23" i="1"/>
  <c r="M23" i="1"/>
  <c r="BA23" i="1"/>
  <c r="AQ23" i="1"/>
  <c r="AG23" i="1"/>
  <c r="W23" i="1"/>
  <c r="M31" i="1"/>
  <c r="BA31" i="1"/>
  <c r="BB31" i="1" s="1"/>
  <c r="BC31" i="1" s="1"/>
  <c r="AQ31" i="1"/>
  <c r="AR31" i="1" s="1"/>
  <c r="AS31" i="1" s="1"/>
  <c r="AG31" i="1"/>
  <c r="W31" i="1"/>
  <c r="R31" i="1"/>
  <c r="AV31" i="1"/>
  <c r="AW31" i="1" s="1"/>
  <c r="AX31" i="1" s="1"/>
  <c r="AL31" i="1"/>
  <c r="AM31" i="1" s="1"/>
  <c r="AN31" i="1" s="1"/>
  <c r="AB31" i="1"/>
  <c r="BA41" i="1"/>
  <c r="BB41" i="1" s="1"/>
  <c r="BC41" i="1" s="1"/>
  <c r="AG41" i="1"/>
  <c r="AQ41" i="1"/>
  <c r="AR41" i="1" s="1"/>
  <c r="AS41" i="1" s="1"/>
  <c r="W41" i="1"/>
  <c r="AB41" i="1"/>
  <c r="AV41" i="1"/>
  <c r="AW41" i="1" s="1"/>
  <c r="AX41" i="1" s="1"/>
  <c r="AL41" i="1"/>
  <c r="AM41" i="1" s="1"/>
  <c r="AN41" i="1" s="1"/>
  <c r="R41" i="1"/>
  <c r="M41" i="1"/>
  <c r="M15" i="1"/>
  <c r="BA15" i="1"/>
  <c r="BB15" i="1" s="1"/>
  <c r="BC15" i="1" s="1"/>
  <c r="AQ15" i="1"/>
  <c r="AR15" i="1" s="1"/>
  <c r="AS15" i="1" s="1"/>
  <c r="AG15" i="1"/>
  <c r="W15" i="1"/>
  <c r="X15" i="1" s="1"/>
  <c r="Y15" i="1" s="1"/>
  <c r="AV15" i="1"/>
  <c r="AW15" i="1" s="1"/>
  <c r="AX15" i="1" s="1"/>
  <c r="AL15" i="1"/>
  <c r="AM15" i="1" s="1"/>
  <c r="AN15" i="1" s="1"/>
  <c r="AB15" i="1"/>
  <c r="AC15" i="1" s="1"/>
  <c r="AD15" i="1" s="1"/>
  <c r="R15" i="1"/>
  <c r="S15" i="1" s="1"/>
  <c r="T15" i="1" s="1"/>
  <c r="KP37" i="1"/>
  <c r="JZ37" i="1"/>
  <c r="KA37" i="1"/>
  <c r="KK37" i="1"/>
  <c r="JS37" i="1"/>
  <c r="JY37" i="1"/>
  <c r="JW37" i="1"/>
  <c r="KO37" i="1"/>
  <c r="JV37" i="1"/>
  <c r="KF37" i="1"/>
  <c r="KE37" i="1"/>
  <c r="KB37" i="1"/>
  <c r="JX37" i="1"/>
  <c r="KI37" i="1"/>
  <c r="JT37" i="1"/>
  <c r="KH37" i="1"/>
  <c r="KG37" i="1"/>
  <c r="KD37" i="1"/>
  <c r="KC37" i="1"/>
  <c r="JU37" i="1"/>
  <c r="KN37" i="1"/>
  <c r="KM37" i="1"/>
  <c r="KL37" i="1"/>
  <c r="KJ37" i="1"/>
  <c r="JR37" i="1"/>
  <c r="AV44" i="1"/>
  <c r="AW44" i="1" s="1"/>
  <c r="AX44" i="1" s="1"/>
  <c r="AL44" i="1"/>
  <c r="AB44" i="1"/>
  <c r="R44" i="1"/>
  <c r="BA44" i="1"/>
  <c r="BB44" i="1" s="1"/>
  <c r="BC44" i="1" s="1"/>
  <c r="AQ44" i="1"/>
  <c r="AR44" i="1" s="1"/>
  <c r="AS44" i="1" s="1"/>
  <c r="AG44" i="1"/>
  <c r="W44" i="1"/>
  <c r="M44" i="1"/>
  <c r="M32" i="1"/>
  <c r="BA32" i="1"/>
  <c r="BB32" i="1" s="1"/>
  <c r="BC32" i="1" s="1"/>
  <c r="AQ32" i="1"/>
  <c r="AG32" i="1"/>
  <c r="W32" i="1"/>
  <c r="AV32" i="1"/>
  <c r="AW32" i="1" s="1"/>
  <c r="AX32" i="1" s="1"/>
  <c r="AL32" i="1"/>
  <c r="AM32" i="1" s="1"/>
  <c r="AN32" i="1" s="1"/>
  <c r="AB32" i="1"/>
  <c r="R32" i="1"/>
  <c r="V12" i="7"/>
  <c r="S12" i="7"/>
  <c r="AW51" i="1"/>
  <c r="AX51" i="1" s="1"/>
  <c r="BB58" i="1"/>
  <c r="BC58" i="1" s="1"/>
  <c r="AR52" i="1"/>
  <c r="AS52" i="1" s="1"/>
  <c r="BB50" i="1"/>
  <c r="BC50" i="1" s="1"/>
  <c r="BB18" i="1"/>
  <c r="BC18" i="1" s="1"/>
  <c r="AW18" i="1"/>
  <c r="AX18" i="1" s="1"/>
  <c r="AR30" i="1"/>
  <c r="AS30" i="1" s="1"/>
  <c r="AR46" i="1"/>
  <c r="AS46" i="1" s="1"/>
  <c r="AW16" i="1"/>
  <c r="AX16" i="1" s="1"/>
  <c r="AM13" i="1"/>
  <c r="AN13" i="1" s="1"/>
  <c r="AW13" i="1"/>
  <c r="AR35" i="1"/>
  <c r="AS36" i="1"/>
  <c r="AR48" i="1"/>
  <c r="AS48" i="1" s="1"/>
  <c r="AR21" i="1"/>
  <c r="AR32" i="1"/>
  <c r="AS32" i="1" s="1"/>
  <c r="AW27" i="1"/>
  <c r="AX27" i="1" s="1"/>
  <c r="BB54" i="1"/>
  <c r="BC54" i="1" s="1"/>
  <c r="AR54" i="1"/>
  <c r="AS54" i="1" s="1"/>
  <c r="AR55" i="1"/>
  <c r="AS55" i="1" s="1"/>
  <c r="BB55" i="1"/>
  <c r="BC55" i="1" s="1"/>
  <c r="AX36" i="1"/>
  <c r="AW35" i="1"/>
  <c r="AW29" i="1"/>
  <c r="AX29" i="1" s="1"/>
  <c r="AR23" i="1"/>
  <c r="AS23" i="1" s="1"/>
  <c r="BB23" i="1"/>
  <c r="BC23" i="1" s="1"/>
  <c r="AW45" i="1"/>
  <c r="AX45" i="1" s="1"/>
  <c r="AR47" i="1"/>
  <c r="AS47" i="1" s="1"/>
  <c r="BB22" i="1"/>
  <c r="BC22" i="1" s="1"/>
  <c r="AM17" i="1"/>
  <c r="AN17" i="1" s="1"/>
  <c r="BC36" i="1"/>
  <c r="BB35" i="1"/>
  <c r="AM53" i="1"/>
  <c r="AN53" i="1" s="1"/>
  <c r="AM45" i="1"/>
  <c r="AN45" i="1" s="1"/>
  <c r="AM40" i="1"/>
  <c r="AM33" i="1"/>
  <c r="AN33" i="1" s="1"/>
  <c r="AM29" i="1"/>
  <c r="AN29" i="1" s="1"/>
  <c r="AM44" i="1"/>
  <c r="AN44" i="1" s="1"/>
  <c r="AN36" i="1"/>
  <c r="AM35" i="1"/>
  <c r="AM51" i="1"/>
  <c r="AN51" i="1" s="1"/>
  <c r="AH16" i="1"/>
  <c r="AI16" i="1" s="1"/>
  <c r="W55" i="10" a="1"/>
  <c r="W55" i="10" s="1"/>
  <c r="ES55" i="10" a="1"/>
  <c r="ES55" i="10" s="1"/>
  <c r="E55" i="10" a="1"/>
  <c r="E55" i="10" s="1"/>
  <c r="EA55" i="10" a="1"/>
  <c r="EA55" i="10" s="1"/>
  <c r="DI55" i="10" a="1"/>
  <c r="DI55" i="10" s="1"/>
  <c r="DC55" i="10" a="1"/>
  <c r="DC55" i="10" s="1"/>
  <c r="CW55" i="10" a="1"/>
  <c r="CW55" i="10" s="1"/>
  <c r="AC55" i="10" a="1"/>
  <c r="AC55" i="10" s="1"/>
  <c r="CK55" i="10" a="1"/>
  <c r="CK55" i="10" s="1"/>
  <c r="Q55" i="10" a="1"/>
  <c r="Q55" i="10" s="1"/>
  <c r="EM55" i="10" a="1"/>
  <c r="EM55" i="10" s="1"/>
  <c r="CE55" i="10" a="1"/>
  <c r="CE55" i="10" s="1"/>
  <c r="BY55" i="10" a="1"/>
  <c r="BY55" i="10" s="1"/>
  <c r="K55" i="10" a="1"/>
  <c r="K55" i="10" s="1"/>
  <c r="EG55" i="10" a="1"/>
  <c r="EG55" i="10" s="1"/>
  <c r="BS55" i="10" a="1"/>
  <c r="BS55" i="10" s="1"/>
  <c r="BM55" i="10" a="1"/>
  <c r="BM55" i="10" s="1"/>
  <c r="DU55" i="10" a="1"/>
  <c r="DU55" i="10" s="1"/>
  <c r="BG55" i="10" a="1"/>
  <c r="BG55" i="10" s="1"/>
  <c r="DO55" i="10" a="1"/>
  <c r="DO55" i="10" s="1"/>
  <c r="BA55" i="10" a="1"/>
  <c r="BA55" i="10" s="1"/>
  <c r="AU55" i="10" a="1"/>
  <c r="AU55" i="10" s="1"/>
  <c r="AO55" i="10" a="1"/>
  <c r="AO55" i="10" s="1"/>
  <c r="AI55" i="10" a="1"/>
  <c r="AI55" i="10" s="1"/>
  <c r="CQ55" i="10" a="1"/>
  <c r="CQ55" i="10" s="1"/>
  <c r="EF35" i="10" a="1"/>
  <c r="EF35" i="10" s="1"/>
  <c r="CD35" i="10" a="1"/>
  <c r="CD35" i="10" s="1"/>
  <c r="DZ35" i="10" a="1"/>
  <c r="DZ35" i="10" s="1"/>
  <c r="BX35" i="10" a="1"/>
  <c r="BX35" i="10" s="1"/>
  <c r="BL35" i="10" a="1"/>
  <c r="BL35" i="10" s="1"/>
  <c r="DN35" i="10" a="1"/>
  <c r="DN35" i="10" s="1"/>
  <c r="J35" i="10" a="1"/>
  <c r="J35" i="10" s="1"/>
  <c r="DH35" i="10" a="1"/>
  <c r="DH35" i="10" s="1"/>
  <c r="D35" i="10" a="1"/>
  <c r="D35" i="10" s="1"/>
  <c r="CJ35" i="10" a="1"/>
  <c r="CJ35" i="10" s="1"/>
  <c r="AH35" i="10" a="1"/>
  <c r="AH35" i="10" s="1"/>
  <c r="AB35" i="10" a="1"/>
  <c r="AB35" i="10" s="1"/>
  <c r="CP35" i="10" a="1"/>
  <c r="CP35" i="10" s="1"/>
  <c r="EL35" i="10" a="1"/>
  <c r="EL35" i="10" s="1"/>
  <c r="V35" i="10" a="1"/>
  <c r="V35" i="10" s="1"/>
  <c r="DT35" i="10" a="1"/>
  <c r="DT35" i="10" s="1"/>
  <c r="BR35" i="10" a="1"/>
  <c r="BR35" i="10" s="1"/>
  <c r="P35" i="10" a="1"/>
  <c r="P35" i="10" s="1"/>
  <c r="BF35" i="10" a="1"/>
  <c r="BF35" i="10" s="1"/>
  <c r="DB35" i="10" a="1"/>
  <c r="DB35" i="10" s="1"/>
  <c r="AZ35" i="10" a="1"/>
  <c r="AZ35" i="10" s="1"/>
  <c r="CV35" i="10" a="1"/>
  <c r="CV35" i="10" s="1"/>
  <c r="AT35" i="10" a="1"/>
  <c r="AT35" i="10" s="1"/>
  <c r="ER35" i="10" a="1"/>
  <c r="ER35" i="10" s="1"/>
  <c r="AN35" i="10" a="1"/>
  <c r="AN35" i="10" s="1"/>
  <c r="DI57" i="10" a="1"/>
  <c r="DI57" i="10" s="1"/>
  <c r="AO57" i="10" a="1"/>
  <c r="AO57" i="10" s="1"/>
  <c r="CK57" i="10" a="1"/>
  <c r="CK57" i="10" s="1"/>
  <c r="ES57" i="10" a="1"/>
  <c r="ES57" i="10" s="1"/>
  <c r="EM57" i="10" a="1"/>
  <c r="EM57" i="10" s="1"/>
  <c r="Q57" i="10" a="1"/>
  <c r="Q57" i="10" s="1"/>
  <c r="BY57" i="10" a="1"/>
  <c r="BY57" i="10" s="1"/>
  <c r="EA57" i="10" a="1"/>
  <c r="EA57" i="10" s="1"/>
  <c r="BS57" i="10" a="1"/>
  <c r="BS57" i="10" s="1"/>
  <c r="E57" i="10" a="1"/>
  <c r="E57" i="10" s="1"/>
  <c r="BM57" i="10" a="1"/>
  <c r="BM57" i="10" s="1"/>
  <c r="AU57" i="10" a="1"/>
  <c r="AU57" i="10" s="1"/>
  <c r="AI57" i="10" a="1"/>
  <c r="AI57" i="10" s="1"/>
  <c r="AC57" i="10" a="1"/>
  <c r="AC57" i="10" s="1"/>
  <c r="W57" i="10" a="1"/>
  <c r="W57" i="10" s="1"/>
  <c r="K57" i="10" a="1"/>
  <c r="K57" i="10" s="1"/>
  <c r="DU57" i="10" a="1"/>
  <c r="DU57" i="10" s="1"/>
  <c r="BG57" i="10" a="1"/>
  <c r="BG57" i="10" s="1"/>
  <c r="DO57" i="10" a="1"/>
  <c r="DO57" i="10" s="1"/>
  <c r="BA57" i="10" a="1"/>
  <c r="BA57" i="10" s="1"/>
  <c r="DC57" i="10" a="1"/>
  <c r="DC57" i="10" s="1"/>
  <c r="CW57" i="10" a="1"/>
  <c r="CW57" i="10" s="1"/>
  <c r="CQ57" i="10" a="1"/>
  <c r="CQ57" i="10" s="1"/>
  <c r="CE57" i="10" a="1"/>
  <c r="CE57" i="10" s="1"/>
  <c r="EG57" i="10" a="1"/>
  <c r="EG57" i="10" s="1"/>
  <c r="DO68" i="10" a="1"/>
  <c r="DO68" i="10" s="1"/>
  <c r="DP69" i="10" s="1"/>
  <c r="DQ69" i="10" s="1"/>
  <c r="AI68" i="10" a="1"/>
  <c r="AI68" i="10" s="1"/>
  <c r="AJ69" i="10" s="1"/>
  <c r="AK69" i="10" s="1"/>
  <c r="DC68" i="10" a="1"/>
  <c r="DC68" i="10" s="1"/>
  <c r="DD69" i="10" s="1"/>
  <c r="DE69" i="10" s="1"/>
  <c r="K68" i="10" a="1"/>
  <c r="K68" i="10" s="1"/>
  <c r="L69" i="10" s="1"/>
  <c r="M69" i="10" s="1"/>
  <c r="BY68" i="10" a="1"/>
  <c r="BY68" i="10" s="1"/>
  <c r="BZ69" i="10" s="1"/>
  <c r="CA69" i="10" s="1"/>
  <c r="EM68" i="10" a="1"/>
  <c r="EM68" i="10" s="1"/>
  <c r="EN69" i="10" s="1"/>
  <c r="EO69" i="10" s="1"/>
  <c r="BA68" i="10" a="1"/>
  <c r="BA68" i="10" s="1"/>
  <c r="BB69" i="10" s="1"/>
  <c r="BC69" i="10" s="1"/>
  <c r="AU68" i="10" a="1"/>
  <c r="AU68" i="10" s="1"/>
  <c r="AV69" i="10" s="1"/>
  <c r="AW69" i="10" s="1"/>
  <c r="AO68" i="10" a="1"/>
  <c r="AO68" i="10" s="1"/>
  <c r="AP69" i="10" s="1"/>
  <c r="AQ69" i="10" s="1"/>
  <c r="DI68" i="10" a="1"/>
  <c r="DI68" i="10" s="1"/>
  <c r="DJ69" i="10" s="1"/>
  <c r="DK69" i="10" s="1"/>
  <c r="AC68" i="10" a="1"/>
  <c r="AC68" i="10" s="1"/>
  <c r="AD69" i="10" s="1"/>
  <c r="AE69" i="10" s="1"/>
  <c r="BM68" i="10" a="1"/>
  <c r="BM68" i="10" s="1"/>
  <c r="BN69" i="10" s="1"/>
  <c r="BO69" i="10" s="1"/>
  <c r="CW68" i="10" a="1"/>
  <c r="CW68" i="10" s="1"/>
  <c r="CX69" i="10" s="1"/>
  <c r="CY69" i="10" s="1"/>
  <c r="W68" i="10" a="1"/>
  <c r="W68" i="10" s="1"/>
  <c r="X69" i="10" s="1"/>
  <c r="Y69" i="10" s="1"/>
  <c r="CQ68" i="10" a="1"/>
  <c r="CQ68" i="10" s="1"/>
  <c r="CR69" i="10" s="1"/>
  <c r="CS69" i="10" s="1"/>
  <c r="Q68" i="10" a="1"/>
  <c r="Q68" i="10" s="1"/>
  <c r="R69" i="10" s="1"/>
  <c r="S69" i="10" s="1"/>
  <c r="CK68" i="10" a="1"/>
  <c r="CK68" i="10" s="1"/>
  <c r="CL69" i="10" s="1"/>
  <c r="CM69" i="10" s="1"/>
  <c r="CE68" i="10" a="1"/>
  <c r="CE68" i="10" s="1"/>
  <c r="CF69" i="10" s="1"/>
  <c r="CG69" i="10" s="1"/>
  <c r="E68" i="10" a="1"/>
  <c r="E68" i="10" s="1"/>
  <c r="BS68" i="10" a="1"/>
  <c r="BS68" i="10" s="1"/>
  <c r="BT69" i="10" s="1"/>
  <c r="BU69" i="10" s="1"/>
  <c r="ES68" i="10" a="1"/>
  <c r="ES68" i="10" s="1"/>
  <c r="ET69" i="10" s="1"/>
  <c r="EU69" i="10" s="1"/>
  <c r="BG68" i="10" a="1"/>
  <c r="BG68" i="10" s="1"/>
  <c r="BH69" i="10" s="1"/>
  <c r="BI69" i="10" s="1"/>
  <c r="EG68" i="10" a="1"/>
  <c r="EG68" i="10" s="1"/>
  <c r="EH69" i="10" s="1"/>
  <c r="EI69" i="10" s="1"/>
  <c r="EA68" i="10" a="1"/>
  <c r="EA68" i="10" s="1"/>
  <c r="EB69" i="10" s="1"/>
  <c r="EC69" i="10" s="1"/>
  <c r="DU68" i="10" a="1"/>
  <c r="DU68" i="10" s="1"/>
  <c r="DV69" i="10" s="1"/>
  <c r="DW69" i="10" s="1"/>
  <c r="DH36" i="10" a="1"/>
  <c r="DH36" i="10" s="1"/>
  <c r="BF36" i="10" a="1"/>
  <c r="BF36" i="10" s="1"/>
  <c r="DB36" i="10" a="1"/>
  <c r="DB36" i="10" s="1"/>
  <c r="CJ36" i="10" a="1"/>
  <c r="CJ36" i="10" s="1"/>
  <c r="EL36" i="10" a="1"/>
  <c r="EL36" i="10" s="1"/>
  <c r="EF36" i="10" a="1"/>
  <c r="EF36" i="10" s="1"/>
  <c r="CD36" i="10" a="1"/>
  <c r="CD36" i="10" s="1"/>
  <c r="V36" i="10" a="1"/>
  <c r="V36" i="10" s="1"/>
  <c r="DZ36" i="10" a="1"/>
  <c r="DZ36" i="10" s="1"/>
  <c r="D36" i="10" a="1"/>
  <c r="D36" i="10" s="1"/>
  <c r="BR36" i="10" a="1"/>
  <c r="BR36" i="10" s="1"/>
  <c r="BL36" i="10" a="1"/>
  <c r="BL36" i="10" s="1"/>
  <c r="AZ36" i="10" a="1"/>
  <c r="AZ36" i="10" s="1"/>
  <c r="J36" i="10" a="1"/>
  <c r="J36" i="10" s="1"/>
  <c r="AT36" i="10" a="1"/>
  <c r="AT36" i="10" s="1"/>
  <c r="CV36" i="10" a="1"/>
  <c r="CV36" i="10" s="1"/>
  <c r="AN36" i="10" a="1"/>
  <c r="AN36" i="10" s="1"/>
  <c r="CP36" i="10" a="1"/>
  <c r="CP36" i="10" s="1"/>
  <c r="ER36" i="10" a="1"/>
  <c r="ER36" i="10" s="1"/>
  <c r="AH36" i="10" a="1"/>
  <c r="AH36" i="10" s="1"/>
  <c r="AB36" i="10" a="1"/>
  <c r="AB36" i="10" s="1"/>
  <c r="P36" i="10" a="1"/>
  <c r="P36" i="10" s="1"/>
  <c r="BX36" i="10" a="1"/>
  <c r="BX36" i="10" s="1"/>
  <c r="DT36" i="10" a="1"/>
  <c r="DT36" i="10" s="1"/>
  <c r="DN36" i="10" a="1"/>
  <c r="DN36" i="10" s="1"/>
  <c r="AH35" i="1"/>
  <c r="O35" i="1"/>
  <c r="Q12" i="7"/>
  <c r="O12" i="7"/>
  <c r="P12" i="7"/>
  <c r="EN37" i="1"/>
  <c r="ED37" i="1"/>
  <c r="EC37" i="1"/>
  <c r="EP37" i="1"/>
  <c r="DY37" i="1"/>
  <c r="DW37" i="1"/>
  <c r="EM37" i="1"/>
  <c r="DT37" i="1"/>
  <c r="EL37" i="1"/>
  <c r="DS37" i="1"/>
  <c r="EG37" i="1"/>
  <c r="EF37" i="1"/>
  <c r="EE37" i="1"/>
  <c r="EA37" i="1"/>
  <c r="DZ37" i="1"/>
  <c r="DX37" i="1"/>
  <c r="EQ37" i="1"/>
  <c r="DU37" i="1"/>
  <c r="EO37" i="1"/>
  <c r="EK37" i="1"/>
  <c r="EJ37" i="1"/>
  <c r="EI37" i="1"/>
  <c r="EH37" i="1"/>
  <c r="EB37" i="1"/>
  <c r="DV37" i="1"/>
  <c r="AI36" i="1"/>
  <c r="AC35" i="1"/>
  <c r="AD37" i="1"/>
  <c r="Y36" i="1"/>
  <c r="X35" i="1"/>
  <c r="FQ37" i="1"/>
  <c r="FA37" i="1"/>
  <c r="FM37" i="1"/>
  <c r="FH37" i="1"/>
  <c r="FK37" i="1"/>
  <c r="FE37" i="1"/>
  <c r="FN37" i="1"/>
  <c r="FL37" i="1"/>
  <c r="FF37" i="1"/>
  <c r="FD37" i="1"/>
  <c r="FV37" i="1"/>
  <c r="EZ37" i="1"/>
  <c r="FJ37" i="1"/>
  <c r="FI37" i="1"/>
  <c r="FG37" i="1"/>
  <c r="FC37" i="1"/>
  <c r="FB37" i="1"/>
  <c r="FU37" i="1"/>
  <c r="FT37" i="1"/>
  <c r="FP37" i="1"/>
  <c r="FR37" i="1"/>
  <c r="FO37" i="1"/>
  <c r="FS37" i="1"/>
  <c r="EY37" i="1"/>
  <c r="EX37" i="1"/>
  <c r="GV36" i="1"/>
  <c r="GF36" i="1"/>
  <c r="GL36" i="1"/>
  <c r="GX36" i="1"/>
  <c r="GG36" i="1"/>
  <c r="GR36" i="1"/>
  <c r="GM36" i="1"/>
  <c r="GU36" i="1"/>
  <c r="GT36" i="1"/>
  <c r="GO36" i="1"/>
  <c r="GI36" i="1"/>
  <c r="GZ36" i="1"/>
  <c r="GY36" i="1"/>
  <c r="GS36" i="1"/>
  <c r="GQ36" i="1"/>
  <c r="GD36" i="1"/>
  <c r="GC36" i="1"/>
  <c r="GW36" i="1"/>
  <c r="GH36" i="1"/>
  <c r="GN36" i="1"/>
  <c r="GJ36" i="1"/>
  <c r="HA36" i="1"/>
  <c r="GP36" i="1"/>
  <c r="GE36" i="1"/>
  <c r="GK36" i="1"/>
  <c r="T36" i="1"/>
  <c r="S35" i="1"/>
  <c r="S16" i="1"/>
  <c r="T16" i="1" s="1"/>
  <c r="AC16" i="1"/>
  <c r="AD16" i="1" s="1"/>
  <c r="AC53" i="1"/>
  <c r="AD53" i="1" s="1"/>
  <c r="S53" i="1"/>
  <c r="T53" i="1" s="1"/>
  <c r="S14" i="1"/>
  <c r="T14" i="1" s="1"/>
  <c r="AC18" i="1"/>
  <c r="AD18" i="1" s="1"/>
  <c r="S17" i="1"/>
  <c r="T17" i="1" s="1"/>
  <c r="AC17" i="1"/>
  <c r="AD17" i="1" s="1"/>
  <c r="AC13" i="1"/>
  <c r="S13" i="1"/>
  <c r="I15" i="1"/>
  <c r="J15" i="1" s="1"/>
  <c r="AH15" i="1"/>
  <c r="AI15" i="1" s="1"/>
  <c r="I16" i="1"/>
  <c r="J16" i="1" s="1"/>
  <c r="I17" i="1"/>
  <c r="J17" i="1" s="1"/>
  <c r="I14" i="1"/>
  <c r="J14" i="1" s="1"/>
  <c r="I53" i="1"/>
  <c r="J53" i="1" s="1"/>
  <c r="I13" i="1"/>
  <c r="J13" i="1" s="1"/>
  <c r="I18" i="1"/>
  <c r="J18" i="1" s="1"/>
  <c r="N17" i="1"/>
  <c r="O17" i="1" s="1"/>
  <c r="N15" i="1"/>
  <c r="O15" i="1" s="1"/>
  <c r="L49" i="7"/>
  <c r="ES6" i="11"/>
  <c r="AO6" i="11"/>
  <c r="DO6" i="11"/>
  <c r="DU6" i="11"/>
  <c r="BS6" i="11"/>
  <c r="DC6" i="11"/>
  <c r="AI6" i="11"/>
  <c r="AU6" i="11"/>
  <c r="DI6" i="11"/>
  <c r="BA6" i="11"/>
  <c r="BM6" i="11"/>
  <c r="CW6" i="11"/>
  <c r="W6" i="11"/>
  <c r="CQ6" i="11"/>
  <c r="EM6" i="11"/>
  <c r="Q6" i="11"/>
  <c r="J6" i="48" s="1"/>
  <c r="K6" i="48" s="1"/>
  <c r="EA6" i="11"/>
  <c r="EG6" i="11"/>
  <c r="CK6" i="11"/>
  <c r="AC6" i="11"/>
  <c r="BG6" i="11"/>
  <c r="CE6" i="11"/>
  <c r="BY6" i="11"/>
  <c r="DO7" i="11"/>
  <c r="AI7" i="11"/>
  <c r="DC7" i="11"/>
  <c r="W7" i="11"/>
  <c r="BA7" i="11"/>
  <c r="BM7" i="11"/>
  <c r="BY7" i="11"/>
  <c r="CW7" i="11"/>
  <c r="EM7" i="11"/>
  <c r="EG7" i="11"/>
  <c r="CE7" i="11"/>
  <c r="Q7" i="11"/>
  <c r="J7" i="48" s="1"/>
  <c r="K7" i="48" s="1"/>
  <c r="BS7" i="11"/>
  <c r="BG7" i="11"/>
  <c r="AC7" i="11"/>
  <c r="ES7" i="11"/>
  <c r="AO7" i="11"/>
  <c r="DU7" i="11"/>
  <c r="DI7" i="11"/>
  <c r="CK7" i="11"/>
  <c r="EA7" i="11"/>
  <c r="AU7" i="11"/>
  <c r="CQ7" i="11"/>
  <c r="K6" i="11"/>
  <c r="M33" i="7"/>
  <c r="M37" i="7"/>
  <c r="I37" i="1"/>
  <c r="J37" i="1" s="1"/>
  <c r="I36" i="1"/>
  <c r="J36" i="1" s="1"/>
  <c r="W12" i="34"/>
  <c r="V12" i="34"/>
  <c r="P9" i="34"/>
  <c r="T9" i="34" s="1"/>
  <c r="X9" i="34" s="1"/>
  <c r="AB9" i="34" s="1"/>
  <c r="AF9" i="34" s="1"/>
  <c r="R8" i="34"/>
  <c r="N8" i="34"/>
  <c r="K9" i="34"/>
  <c r="G9" i="34"/>
  <c r="D6" i="34"/>
  <c r="D4" i="34"/>
  <c r="LE17" i="1" l="1"/>
  <c r="LB17" i="1"/>
  <c r="LH17" i="1"/>
  <c r="KW17" i="1"/>
  <c r="LC17" i="1"/>
  <c r="KZ17" i="1"/>
  <c r="KY17" i="1"/>
  <c r="LD17" i="1"/>
  <c r="LA17" i="1"/>
  <c r="LG17" i="1"/>
  <c r="LF17" i="1"/>
  <c r="KX17" i="1"/>
  <c r="LA53" i="1"/>
  <c r="KX53" i="1"/>
  <c r="LH53" i="1"/>
  <c r="LE53" i="1"/>
  <c r="LD53" i="1"/>
  <c r="KZ53" i="1"/>
  <c r="KY53" i="1"/>
  <c r="KW53" i="1"/>
  <c r="LG53" i="1"/>
  <c r="LF53" i="1"/>
  <c r="LC53" i="1"/>
  <c r="LB53" i="1"/>
  <c r="LH42" i="1"/>
  <c r="LA42" i="1"/>
  <c r="KW42" i="1"/>
  <c r="LD42" i="1"/>
  <c r="LF42" i="1"/>
  <c r="LE42" i="1"/>
  <c r="LC42" i="1"/>
  <c r="LB42" i="1"/>
  <c r="KY42" i="1"/>
  <c r="KX42" i="1"/>
  <c r="LG42" i="1"/>
  <c r="KZ42" i="1"/>
  <c r="MM30" i="1"/>
  <c r="MF30" i="1"/>
  <c r="MC30" i="1"/>
  <c r="MB30" i="1"/>
  <c r="MG30" i="1"/>
  <c r="MJ30" i="1"/>
  <c r="MI30" i="1"/>
  <c r="MH30" i="1"/>
  <c r="ME30" i="1"/>
  <c r="MD30" i="1"/>
  <c r="ML30" i="1"/>
  <c r="MK30" i="1"/>
  <c r="IU24" i="1"/>
  <c r="IN24" i="1"/>
  <c r="IM24" i="1"/>
  <c r="IR24" i="1"/>
  <c r="IQ24" i="1"/>
  <c r="IP24" i="1"/>
  <c r="IO24" i="1"/>
  <c r="IX24" i="1"/>
  <c r="IW24" i="1"/>
  <c r="IV24" i="1"/>
  <c r="IT24" i="1"/>
  <c r="IS24" i="1"/>
  <c r="MF33" i="1"/>
  <c r="MC33" i="1"/>
  <c r="MM33" i="1"/>
  <c r="MD33" i="1"/>
  <c r="ME33" i="1"/>
  <c r="MB33" i="1"/>
  <c r="MJ33" i="1"/>
  <c r="ML33" i="1"/>
  <c r="MK33" i="1"/>
  <c r="MI33" i="1"/>
  <c r="MG33" i="1"/>
  <c r="MH33" i="1"/>
  <c r="IQ42" i="1"/>
  <c r="IP42" i="1"/>
  <c r="IX42" i="1"/>
  <c r="IT42" i="1"/>
  <c r="IS42" i="1"/>
  <c r="IM42" i="1"/>
  <c r="IR42" i="1"/>
  <c r="IO42" i="1"/>
  <c r="IN42" i="1"/>
  <c r="IW42" i="1"/>
  <c r="IV42" i="1"/>
  <c r="IU42" i="1"/>
  <c r="JR51" i="1"/>
  <c r="JV51" i="1"/>
  <c r="JY51" i="1"/>
  <c r="JW51" i="1"/>
  <c r="JT51" i="1"/>
  <c r="JS51" i="1"/>
  <c r="KB51" i="1"/>
  <c r="KA51" i="1"/>
  <c r="JZ51" i="1"/>
  <c r="JX51" i="1"/>
  <c r="JU51" i="1"/>
  <c r="KC51" i="1"/>
  <c r="JT44" i="1"/>
  <c r="KC44" i="1"/>
  <c r="JY44" i="1"/>
  <c r="JU44" i="1"/>
  <c r="KB44" i="1"/>
  <c r="JX44" i="1"/>
  <c r="JW44" i="1"/>
  <c r="KA44" i="1"/>
  <c r="JR44" i="1"/>
  <c r="JZ44" i="1"/>
  <c r="JV44" i="1"/>
  <c r="JS44" i="1"/>
  <c r="KY24" i="1"/>
  <c r="LH24" i="1"/>
  <c r="LF24" i="1"/>
  <c r="LA24" i="1"/>
  <c r="LG24" i="1"/>
  <c r="LB24" i="1"/>
  <c r="KZ24" i="1"/>
  <c r="KX24" i="1"/>
  <c r="KW24" i="1"/>
  <c r="LC24" i="1"/>
  <c r="LD24" i="1"/>
  <c r="LE24" i="1"/>
  <c r="LH58" i="1"/>
  <c r="LF58" i="1"/>
  <c r="LE58" i="1"/>
  <c r="KZ58" i="1"/>
  <c r="KY58" i="1"/>
  <c r="KX58" i="1"/>
  <c r="KW58" i="1"/>
  <c r="LD58" i="1"/>
  <c r="LB58" i="1"/>
  <c r="LA58" i="1"/>
  <c r="LG58" i="1"/>
  <c r="LC58" i="1"/>
  <c r="KA41" i="1"/>
  <c r="JS41" i="1"/>
  <c r="JZ41" i="1"/>
  <c r="JY41" i="1"/>
  <c r="JV41" i="1"/>
  <c r="JU41" i="1"/>
  <c r="JW41" i="1"/>
  <c r="JT41" i="1"/>
  <c r="JR41" i="1"/>
  <c r="KB41" i="1"/>
  <c r="JX41" i="1"/>
  <c r="KC41" i="1"/>
  <c r="MK29" i="1"/>
  <c r="MC29" i="1"/>
  <c r="MM29" i="1"/>
  <c r="ML29" i="1"/>
  <c r="MJ29" i="1"/>
  <c r="MH29" i="1"/>
  <c r="MG29" i="1"/>
  <c r="MF29" i="1"/>
  <c r="MI29" i="1"/>
  <c r="ME29" i="1"/>
  <c r="MD29" i="1"/>
  <c r="MB29" i="1"/>
  <c r="LC46" i="1"/>
  <c r="KZ46" i="1"/>
  <c r="KX46" i="1"/>
  <c r="KW46" i="1"/>
  <c r="LH46" i="1"/>
  <c r="LG46" i="1"/>
  <c r="LD46" i="1"/>
  <c r="LB46" i="1"/>
  <c r="LF46" i="1"/>
  <c r="LE46" i="1"/>
  <c r="LA46" i="1"/>
  <c r="KY46" i="1"/>
  <c r="MH16" i="1"/>
  <c r="ME16" i="1"/>
  <c r="MM16" i="1"/>
  <c r="MJ16" i="1"/>
  <c r="MI16" i="1"/>
  <c r="ML16" i="1"/>
  <c r="MK16" i="1"/>
  <c r="MF16" i="1"/>
  <c r="MG16" i="1"/>
  <c r="MD16" i="1"/>
  <c r="MC16" i="1"/>
  <c r="MB16" i="1"/>
  <c r="KY14" i="1"/>
  <c r="KZ14" i="1"/>
  <c r="KW14" i="1"/>
  <c r="LB14" i="1"/>
  <c r="KX14" i="1"/>
  <c r="LF14" i="1"/>
  <c r="LE14" i="1"/>
  <c r="LD14" i="1"/>
  <c r="LC14" i="1"/>
  <c r="LA14" i="1"/>
  <c r="LH14" i="1"/>
  <c r="LG14" i="1"/>
  <c r="KC58" i="1"/>
  <c r="JZ58" i="1"/>
  <c r="KB58" i="1"/>
  <c r="KA58" i="1"/>
  <c r="JY58" i="1"/>
  <c r="JU58" i="1"/>
  <c r="JT58" i="1"/>
  <c r="JW58" i="1"/>
  <c r="JV58" i="1"/>
  <c r="JS58" i="1"/>
  <c r="JR58" i="1"/>
  <c r="JX58" i="1"/>
  <c r="IU47" i="1"/>
  <c r="IO47" i="1"/>
  <c r="IN47" i="1"/>
  <c r="IP47" i="1"/>
  <c r="IM47" i="1"/>
  <c r="IS47" i="1"/>
  <c r="IR47" i="1"/>
  <c r="IQ47" i="1"/>
  <c r="IX47" i="1"/>
  <c r="IW47" i="1"/>
  <c r="IV47" i="1"/>
  <c r="IT47" i="1"/>
  <c r="MD52" i="1"/>
  <c r="MI52" i="1"/>
  <c r="MH52" i="1"/>
  <c r="MF52" i="1"/>
  <c r="ME52" i="1"/>
  <c r="MM52" i="1"/>
  <c r="ML52" i="1"/>
  <c r="MK52" i="1"/>
  <c r="MJ52" i="1"/>
  <c r="MG52" i="1"/>
  <c r="MC52" i="1"/>
  <c r="MB52" i="1"/>
  <c r="KA57" i="1"/>
  <c r="KB57" i="1"/>
  <c r="JW57" i="1"/>
  <c r="JV57" i="1"/>
  <c r="JX57" i="1"/>
  <c r="JT57" i="1"/>
  <c r="JS57" i="1"/>
  <c r="KC57" i="1"/>
  <c r="JR57" i="1"/>
  <c r="JZ57" i="1"/>
  <c r="JY57" i="1"/>
  <c r="JU57" i="1"/>
  <c r="JX16" i="1"/>
  <c r="KC16" i="1"/>
  <c r="KB16" i="1"/>
  <c r="KA16" i="1"/>
  <c r="JW16" i="1"/>
  <c r="JU16" i="1"/>
  <c r="JT16" i="1"/>
  <c r="JS16" i="1"/>
  <c r="JR16" i="1"/>
  <c r="JZ16" i="1"/>
  <c r="JY16" i="1"/>
  <c r="JV16" i="1"/>
  <c r="IU14" i="1"/>
  <c r="IX14" i="1"/>
  <c r="IT14" i="1"/>
  <c r="IW14" i="1"/>
  <c r="IP14" i="1"/>
  <c r="IO14" i="1"/>
  <c r="IN14" i="1"/>
  <c r="IM14" i="1"/>
  <c r="IR14" i="1"/>
  <c r="IQ14" i="1"/>
  <c r="IV14" i="1"/>
  <c r="IS14" i="1"/>
  <c r="LG48" i="1"/>
  <c r="LD48" i="1"/>
  <c r="LH48" i="1"/>
  <c r="LB48" i="1"/>
  <c r="LA48" i="1"/>
  <c r="LF48" i="1"/>
  <c r="LE48" i="1"/>
  <c r="LC48" i="1"/>
  <c r="KY48" i="1"/>
  <c r="KX48" i="1"/>
  <c r="KZ48" i="1"/>
  <c r="KW48" i="1"/>
  <c r="MH26" i="1"/>
  <c r="ME26" i="1"/>
  <c r="MI26" i="1"/>
  <c r="MD26" i="1"/>
  <c r="MC26" i="1"/>
  <c r="MM26" i="1"/>
  <c r="ML26" i="1"/>
  <c r="MK26" i="1"/>
  <c r="MJ26" i="1"/>
  <c r="MG26" i="1"/>
  <c r="MF26" i="1"/>
  <c r="MB26" i="1"/>
  <c r="MK41" i="1"/>
  <c r="MC41" i="1"/>
  <c r="MB41" i="1"/>
  <c r="MG41" i="1"/>
  <c r="MF41" i="1"/>
  <c r="ME41" i="1"/>
  <c r="MD41" i="1"/>
  <c r="ML41" i="1"/>
  <c r="MM41" i="1"/>
  <c r="MJ41" i="1"/>
  <c r="MI41" i="1"/>
  <c r="MH41" i="1"/>
  <c r="IS54" i="1"/>
  <c r="IU54" i="1"/>
  <c r="IR54" i="1"/>
  <c r="IQ54" i="1"/>
  <c r="IM54" i="1"/>
  <c r="IT54" i="1"/>
  <c r="IP54" i="1"/>
  <c r="IO54" i="1"/>
  <c r="IN54" i="1"/>
  <c r="IX54" i="1"/>
  <c r="IV54" i="1"/>
  <c r="IW54" i="1"/>
  <c r="MK49" i="1"/>
  <c r="MM49" i="1"/>
  <c r="ML49" i="1"/>
  <c r="MH49" i="1"/>
  <c r="MG49" i="1"/>
  <c r="MF49" i="1"/>
  <c r="ME49" i="1"/>
  <c r="MJ49" i="1"/>
  <c r="MI49" i="1"/>
  <c r="MD49" i="1"/>
  <c r="MC49" i="1"/>
  <c r="MB49" i="1"/>
  <c r="KC50" i="1"/>
  <c r="JR50" i="1"/>
  <c r="JT50" i="1"/>
  <c r="JV50" i="1"/>
  <c r="JY50" i="1"/>
  <c r="JX50" i="1"/>
  <c r="JS50" i="1"/>
  <c r="KB50" i="1"/>
  <c r="JU50" i="1"/>
  <c r="KA50" i="1"/>
  <c r="JZ50" i="1"/>
  <c r="JW50" i="1"/>
  <c r="IW15" i="1"/>
  <c r="IX15" i="1"/>
  <c r="IO15" i="1"/>
  <c r="IN15" i="1"/>
  <c r="IM15" i="1"/>
  <c r="IU15" i="1"/>
  <c r="IT15" i="1"/>
  <c r="IS15" i="1"/>
  <c r="IR15" i="1"/>
  <c r="IV15" i="1"/>
  <c r="IQ15" i="1"/>
  <c r="IP15" i="1"/>
  <c r="IQ45" i="1"/>
  <c r="IX45" i="1"/>
  <c r="IU45" i="1"/>
  <c r="IW45" i="1"/>
  <c r="IR45" i="1"/>
  <c r="IV45" i="1"/>
  <c r="IT45" i="1"/>
  <c r="IS45" i="1"/>
  <c r="IP45" i="1"/>
  <c r="IO45" i="1"/>
  <c r="IN45" i="1"/>
  <c r="IM45" i="1"/>
  <c r="LF49" i="1"/>
  <c r="LG49" i="1"/>
  <c r="KY49" i="1"/>
  <c r="KW49" i="1"/>
  <c r="LH49" i="1"/>
  <c r="LB49" i="1"/>
  <c r="LE49" i="1"/>
  <c r="LA49" i="1"/>
  <c r="LD49" i="1"/>
  <c r="LC49" i="1"/>
  <c r="KZ49" i="1"/>
  <c r="KX49" i="1"/>
  <c r="KW51" i="1"/>
  <c r="LA51" i="1"/>
  <c r="KZ51" i="1"/>
  <c r="LF51" i="1"/>
  <c r="LE51" i="1"/>
  <c r="LD51" i="1"/>
  <c r="LC51" i="1"/>
  <c r="LH51" i="1"/>
  <c r="KX51" i="1"/>
  <c r="LG51" i="1"/>
  <c r="LB51" i="1"/>
  <c r="KY51" i="1"/>
  <c r="LF29" i="1"/>
  <c r="KX29" i="1"/>
  <c r="KZ29" i="1"/>
  <c r="KW29" i="1"/>
  <c r="LD29" i="1"/>
  <c r="LC29" i="1"/>
  <c r="KY29" i="1"/>
  <c r="LH29" i="1"/>
  <c r="LA29" i="1"/>
  <c r="LB29" i="1"/>
  <c r="LE29" i="1"/>
  <c r="LG29" i="1"/>
  <c r="IW25" i="1"/>
  <c r="IQ25" i="1"/>
  <c r="IP25" i="1"/>
  <c r="IM25" i="1"/>
  <c r="IU25" i="1"/>
  <c r="IX25" i="1"/>
  <c r="IS25" i="1"/>
  <c r="IV25" i="1"/>
  <c r="IT25" i="1"/>
  <c r="IR25" i="1"/>
  <c r="IO25" i="1"/>
  <c r="IN25" i="1"/>
  <c r="IQ53" i="1"/>
  <c r="IR53" i="1"/>
  <c r="IO53" i="1"/>
  <c r="IN53" i="1"/>
  <c r="IW53" i="1"/>
  <c r="IX53" i="1"/>
  <c r="IV53" i="1"/>
  <c r="IP53" i="1"/>
  <c r="IU53" i="1"/>
  <c r="IT53" i="1"/>
  <c r="IS53" i="1"/>
  <c r="IM53" i="1"/>
  <c r="MJ47" i="1"/>
  <c r="MG47" i="1"/>
  <c r="MH47" i="1"/>
  <c r="MD47" i="1"/>
  <c r="MC47" i="1"/>
  <c r="MB47" i="1"/>
  <c r="MM47" i="1"/>
  <c r="ML47" i="1"/>
  <c r="MI47" i="1"/>
  <c r="MF47" i="1"/>
  <c r="ME47" i="1"/>
  <c r="MK47" i="1"/>
  <c r="LE27" i="1"/>
  <c r="LB27" i="1"/>
  <c r="LH27" i="1"/>
  <c r="LC27" i="1"/>
  <c r="LG27" i="1"/>
  <c r="KW27" i="1"/>
  <c r="LA27" i="1"/>
  <c r="LD27" i="1"/>
  <c r="KZ27" i="1"/>
  <c r="KY27" i="1"/>
  <c r="LF27" i="1"/>
  <c r="KX27" i="1"/>
  <c r="JT14" i="1"/>
  <c r="JZ14" i="1"/>
  <c r="JX14" i="1"/>
  <c r="JW14" i="1"/>
  <c r="KA14" i="1"/>
  <c r="JS14" i="1"/>
  <c r="JY14" i="1"/>
  <c r="JR14" i="1"/>
  <c r="JV14" i="1"/>
  <c r="JU14" i="1"/>
  <c r="KC14" i="1"/>
  <c r="KB14" i="1"/>
  <c r="KB56" i="1"/>
  <c r="JY56" i="1"/>
  <c r="JW56" i="1"/>
  <c r="JS56" i="1"/>
  <c r="JU56" i="1"/>
  <c r="JX56" i="1"/>
  <c r="JV56" i="1"/>
  <c r="JT56" i="1"/>
  <c r="JR56" i="1"/>
  <c r="KC56" i="1"/>
  <c r="KA56" i="1"/>
  <c r="JZ56" i="1"/>
  <c r="IV27" i="1"/>
  <c r="IU27" i="1"/>
  <c r="IR27" i="1"/>
  <c r="IP27" i="1"/>
  <c r="IO27" i="1"/>
  <c r="IN27" i="1"/>
  <c r="IM27" i="1"/>
  <c r="IW27" i="1"/>
  <c r="IX27" i="1"/>
  <c r="IT27" i="1"/>
  <c r="IS27" i="1"/>
  <c r="IQ27" i="1"/>
  <c r="MM22" i="1"/>
  <c r="MJ22" i="1"/>
  <c r="MG22" i="1"/>
  <c r="MF22" i="1"/>
  <c r="MH22" i="1"/>
  <c r="MB22" i="1"/>
  <c r="MI22" i="1"/>
  <c r="ML22" i="1"/>
  <c r="MK22" i="1"/>
  <c r="ME22" i="1"/>
  <c r="MD22" i="1"/>
  <c r="MC22" i="1"/>
  <c r="JX46" i="1"/>
  <c r="JU46" i="1"/>
  <c r="JS46" i="1"/>
  <c r="KB46" i="1"/>
  <c r="JZ46" i="1"/>
  <c r="JY46" i="1"/>
  <c r="KC46" i="1"/>
  <c r="KA46" i="1"/>
  <c r="JT46" i="1"/>
  <c r="JR46" i="1"/>
  <c r="JV46" i="1"/>
  <c r="JW46" i="1"/>
  <c r="LH50" i="1"/>
  <c r="KW50" i="1"/>
  <c r="KZ50" i="1"/>
  <c r="KY50" i="1"/>
  <c r="KX50" i="1"/>
  <c r="LD50" i="1"/>
  <c r="LG50" i="1"/>
  <c r="LF50" i="1"/>
  <c r="LB50" i="1"/>
  <c r="LA50" i="1"/>
  <c r="LE50" i="1"/>
  <c r="LC50" i="1"/>
  <c r="IQ22" i="1"/>
  <c r="IX22" i="1"/>
  <c r="IU22" i="1"/>
  <c r="IV22" i="1"/>
  <c r="IS22" i="1"/>
  <c r="IW22" i="1"/>
  <c r="IT22" i="1"/>
  <c r="IM22" i="1"/>
  <c r="IO22" i="1"/>
  <c r="IN22" i="1"/>
  <c r="IR22" i="1"/>
  <c r="IP22" i="1"/>
  <c r="MD14" i="1"/>
  <c r="ME14" i="1"/>
  <c r="MF14" i="1"/>
  <c r="MM14" i="1"/>
  <c r="ML14" i="1"/>
  <c r="MK14" i="1"/>
  <c r="MJ14" i="1"/>
  <c r="MI14" i="1"/>
  <c r="MB14" i="1"/>
  <c r="MH14" i="1"/>
  <c r="MG14" i="1"/>
  <c r="MC14" i="1"/>
  <c r="MF53" i="1"/>
  <c r="MC53" i="1"/>
  <c r="MM53" i="1"/>
  <c r="ML53" i="1"/>
  <c r="MJ53" i="1"/>
  <c r="MI53" i="1"/>
  <c r="MH53" i="1"/>
  <c r="ME53" i="1"/>
  <c r="MK53" i="1"/>
  <c r="MB53" i="1"/>
  <c r="MG53" i="1"/>
  <c r="MD53" i="1"/>
  <c r="LG56" i="1"/>
  <c r="LD56" i="1"/>
  <c r="LB56" i="1"/>
  <c r="KY56" i="1"/>
  <c r="KX56" i="1"/>
  <c r="LF56" i="1"/>
  <c r="LE56" i="1"/>
  <c r="LC56" i="1"/>
  <c r="LA56" i="1"/>
  <c r="LH56" i="1"/>
  <c r="KZ56" i="1"/>
  <c r="KW56" i="1"/>
  <c r="MB51" i="1"/>
  <c r="MF51" i="1"/>
  <c r="ME51" i="1"/>
  <c r="MC51" i="1"/>
  <c r="MM51" i="1"/>
  <c r="MD51" i="1"/>
  <c r="MJ51" i="1"/>
  <c r="MK51" i="1"/>
  <c r="MI51" i="1"/>
  <c r="MH51" i="1"/>
  <c r="MG51" i="1"/>
  <c r="ML51" i="1"/>
  <c r="IO29" i="1"/>
  <c r="IX29" i="1"/>
  <c r="IV29" i="1"/>
  <c r="IW29" i="1"/>
  <c r="IQ29" i="1"/>
  <c r="IN29" i="1"/>
  <c r="IP29" i="1"/>
  <c r="IM29" i="1"/>
  <c r="IU29" i="1"/>
  <c r="IT29" i="1"/>
  <c r="IS29" i="1"/>
  <c r="IR29" i="1"/>
  <c r="JZ47" i="1"/>
  <c r="JW47" i="1"/>
  <c r="JX47" i="1"/>
  <c r="JS47" i="1"/>
  <c r="JT47" i="1"/>
  <c r="JU47" i="1"/>
  <c r="JR47" i="1"/>
  <c r="KC47" i="1"/>
  <c r="KB47" i="1"/>
  <c r="KA47" i="1"/>
  <c r="JY47" i="1"/>
  <c r="JV47" i="1"/>
  <c r="JZ27" i="1"/>
  <c r="JX27" i="1"/>
  <c r="JV27" i="1"/>
  <c r="JU27" i="1"/>
  <c r="KA27" i="1"/>
  <c r="JY27" i="1"/>
  <c r="JS27" i="1"/>
  <c r="KC27" i="1"/>
  <c r="KB27" i="1"/>
  <c r="JW27" i="1"/>
  <c r="JT27" i="1"/>
  <c r="JR27" i="1"/>
  <c r="ML48" i="1"/>
  <c r="MI48" i="1"/>
  <c r="MM48" i="1"/>
  <c r="MH48" i="1"/>
  <c r="MG48" i="1"/>
  <c r="ME48" i="1"/>
  <c r="MK48" i="1"/>
  <c r="MJ48" i="1"/>
  <c r="MF48" i="1"/>
  <c r="MD48" i="1"/>
  <c r="MC48" i="1"/>
  <c r="MB48" i="1"/>
  <c r="JX26" i="1"/>
  <c r="JU26" i="1"/>
  <c r="JS26" i="1"/>
  <c r="JR26" i="1"/>
  <c r="JZ26" i="1"/>
  <c r="KC26" i="1"/>
  <c r="KB26" i="1"/>
  <c r="KA26" i="1"/>
  <c r="JW26" i="1"/>
  <c r="JV26" i="1"/>
  <c r="JY26" i="1"/>
  <c r="JT26" i="1"/>
  <c r="ML56" i="1"/>
  <c r="MI56" i="1"/>
  <c r="MG56" i="1"/>
  <c r="MF56" i="1"/>
  <c r="MD56" i="1"/>
  <c r="MC56" i="1"/>
  <c r="MJ56" i="1"/>
  <c r="MH56" i="1"/>
  <c r="ME56" i="1"/>
  <c r="MB56" i="1"/>
  <c r="MM56" i="1"/>
  <c r="MK56" i="1"/>
  <c r="IM57" i="1"/>
  <c r="IN57" i="1"/>
  <c r="IQ57" i="1"/>
  <c r="IP57" i="1"/>
  <c r="IO57" i="1"/>
  <c r="IW57" i="1"/>
  <c r="IU57" i="1"/>
  <c r="IV57" i="1"/>
  <c r="IT57" i="1"/>
  <c r="IX57" i="1"/>
  <c r="IS57" i="1"/>
  <c r="IR57" i="1"/>
  <c r="IW48" i="1"/>
  <c r="IR48" i="1"/>
  <c r="IQ48" i="1"/>
  <c r="IU48" i="1"/>
  <c r="IT48" i="1"/>
  <c r="IO48" i="1"/>
  <c r="IX48" i="1"/>
  <c r="IV48" i="1"/>
  <c r="IS48" i="1"/>
  <c r="IP48" i="1"/>
  <c r="IM48" i="1"/>
  <c r="IN48" i="1"/>
  <c r="LA33" i="1"/>
  <c r="KX33" i="1"/>
  <c r="LH33" i="1"/>
  <c r="LD33" i="1"/>
  <c r="KZ33" i="1"/>
  <c r="KW33" i="1"/>
  <c r="LF33" i="1"/>
  <c r="LB33" i="1"/>
  <c r="KY33" i="1"/>
  <c r="LG33" i="1"/>
  <c r="LE33" i="1"/>
  <c r="LC33" i="1"/>
  <c r="AX35" i="1"/>
  <c r="LS36" i="1"/>
  <c r="LC36" i="1"/>
  <c r="LP36" i="1"/>
  <c r="KZ36" i="1"/>
  <c r="LQ36" i="1"/>
  <c r="KX36" i="1"/>
  <c r="LL36" i="1"/>
  <c r="LJ36" i="1"/>
  <c r="LH36" i="1"/>
  <c r="LF36" i="1"/>
  <c r="LE36" i="1"/>
  <c r="LN36" i="1"/>
  <c r="LR36" i="1"/>
  <c r="LO36" i="1"/>
  <c r="LI36" i="1"/>
  <c r="LG36" i="1"/>
  <c r="LD36" i="1"/>
  <c r="LK36" i="1"/>
  <c r="LU36" i="1"/>
  <c r="LT36" i="1"/>
  <c r="LM36" i="1"/>
  <c r="KW36" i="1"/>
  <c r="LA36" i="1"/>
  <c r="KY36" i="1"/>
  <c r="LB36" i="1"/>
  <c r="MJ27" i="1"/>
  <c r="MG27" i="1"/>
  <c r="MM27" i="1"/>
  <c r="MI27" i="1"/>
  <c r="MH27" i="1"/>
  <c r="MC27" i="1"/>
  <c r="ML27" i="1"/>
  <c r="ME27" i="1"/>
  <c r="MD27" i="1"/>
  <c r="MK27" i="1"/>
  <c r="MF27" i="1"/>
  <c r="MB27" i="1"/>
  <c r="AS35" i="1"/>
  <c r="KN36" i="1"/>
  <c r="JX36" i="1"/>
  <c r="KM36" i="1"/>
  <c r="JV36" i="1"/>
  <c r="KE36" i="1"/>
  <c r="KJ36" i="1"/>
  <c r="KH36" i="1"/>
  <c r="KG36" i="1"/>
  <c r="KL36" i="1"/>
  <c r="KK36" i="1"/>
  <c r="KD36" i="1"/>
  <c r="KC36" i="1"/>
  <c r="KF36" i="1"/>
  <c r="JY36" i="1"/>
  <c r="KB36" i="1"/>
  <c r="JW36" i="1"/>
  <c r="KA36" i="1"/>
  <c r="JU36" i="1"/>
  <c r="JZ36" i="1"/>
  <c r="KP36" i="1"/>
  <c r="JR36" i="1"/>
  <c r="KO36" i="1"/>
  <c r="JT36" i="1"/>
  <c r="KI36" i="1"/>
  <c r="JS36" i="1"/>
  <c r="LC26" i="1"/>
  <c r="KZ26" i="1"/>
  <c r="LD26" i="1"/>
  <c r="KX26" i="1"/>
  <c r="KY26" i="1"/>
  <c r="LH26" i="1"/>
  <c r="LG26" i="1"/>
  <c r="LF26" i="1"/>
  <c r="LE26" i="1"/>
  <c r="LB26" i="1"/>
  <c r="LA26" i="1"/>
  <c r="KW26" i="1"/>
  <c r="LA15" i="1"/>
  <c r="KX15" i="1"/>
  <c r="LD15" i="1"/>
  <c r="KY15" i="1"/>
  <c r="LE15" i="1"/>
  <c r="LG15" i="1"/>
  <c r="LF15" i="1"/>
  <c r="LB15" i="1"/>
  <c r="KZ15" i="1"/>
  <c r="LC15" i="1"/>
  <c r="KW15" i="1"/>
  <c r="LH15" i="1"/>
  <c r="IM51" i="1"/>
  <c r="IQ51" i="1"/>
  <c r="IP51" i="1"/>
  <c r="IV51" i="1"/>
  <c r="IU51" i="1"/>
  <c r="IX51" i="1"/>
  <c r="IW51" i="1"/>
  <c r="IN51" i="1"/>
  <c r="IT51" i="1"/>
  <c r="IS51" i="1"/>
  <c r="IR51" i="1"/>
  <c r="IO51" i="1"/>
  <c r="IM28" i="1"/>
  <c r="IX28" i="1"/>
  <c r="IU28" i="1"/>
  <c r="IW28" i="1"/>
  <c r="IV28" i="1"/>
  <c r="IQ28" i="1"/>
  <c r="IT28" i="1"/>
  <c r="IS28" i="1"/>
  <c r="IR28" i="1"/>
  <c r="IP28" i="1"/>
  <c r="IN28" i="1"/>
  <c r="IO28" i="1"/>
  <c r="BC35" i="1"/>
  <c r="MX36" i="1"/>
  <c r="MH36" i="1"/>
  <c r="MU36" i="1"/>
  <c r="ME36" i="1"/>
  <c r="MV36" i="1"/>
  <c r="MC36" i="1"/>
  <c r="MR36" i="1"/>
  <c r="MQ36" i="1"/>
  <c r="MK36" i="1"/>
  <c r="MM36" i="1"/>
  <c r="ML36" i="1"/>
  <c r="MJ36" i="1"/>
  <c r="MI36" i="1"/>
  <c r="MS36" i="1"/>
  <c r="MB36" i="1"/>
  <c r="MT36" i="1"/>
  <c r="MP36" i="1"/>
  <c r="MF36" i="1"/>
  <c r="MO36" i="1"/>
  <c r="MD36" i="1"/>
  <c r="MN36" i="1"/>
  <c r="MG36" i="1"/>
  <c r="MZ36" i="1"/>
  <c r="MY36" i="1"/>
  <c r="MW36" i="1"/>
  <c r="KY32" i="1"/>
  <c r="LH32" i="1"/>
  <c r="LD32" i="1"/>
  <c r="KW32" i="1"/>
  <c r="KX32" i="1"/>
  <c r="LG32" i="1"/>
  <c r="LF32" i="1"/>
  <c r="LB32" i="1"/>
  <c r="KZ32" i="1"/>
  <c r="LA32" i="1"/>
  <c r="LE32" i="1"/>
  <c r="LC32" i="1"/>
  <c r="JT24" i="1"/>
  <c r="KC24" i="1"/>
  <c r="JZ24" i="1"/>
  <c r="JY24" i="1"/>
  <c r="JV24" i="1"/>
  <c r="JW24" i="1"/>
  <c r="JU24" i="1"/>
  <c r="JS24" i="1"/>
  <c r="JR24" i="1"/>
  <c r="KA24" i="1"/>
  <c r="JX24" i="1"/>
  <c r="KB24" i="1"/>
  <c r="MF15" i="1"/>
  <c r="MC15" i="1"/>
  <c r="MI15" i="1"/>
  <c r="ME15" i="1"/>
  <c r="MD15" i="1"/>
  <c r="MM15" i="1"/>
  <c r="MB15" i="1"/>
  <c r="MK15" i="1"/>
  <c r="MH15" i="1"/>
  <c r="MG15" i="1"/>
  <c r="ML15" i="1"/>
  <c r="MJ15" i="1"/>
  <c r="MH54" i="1"/>
  <c r="ME54" i="1"/>
  <c r="MM54" i="1"/>
  <c r="MK54" i="1"/>
  <c r="MJ54" i="1"/>
  <c r="MI54" i="1"/>
  <c r="MG54" i="1"/>
  <c r="ML54" i="1"/>
  <c r="MB54" i="1"/>
  <c r="MD54" i="1"/>
  <c r="MC54" i="1"/>
  <c r="MF54" i="1"/>
  <c r="IM43" i="1"/>
  <c r="IT43" i="1"/>
  <c r="IS43" i="1"/>
  <c r="IO43" i="1"/>
  <c r="IN43" i="1"/>
  <c r="IX43" i="1"/>
  <c r="IW43" i="1"/>
  <c r="IP43" i="1"/>
  <c r="IV43" i="1"/>
  <c r="IU43" i="1"/>
  <c r="IR43" i="1"/>
  <c r="IQ43" i="1"/>
  <c r="IO41" i="1"/>
  <c r="IN41" i="1"/>
  <c r="IX41" i="1"/>
  <c r="IW41" i="1"/>
  <c r="IT41" i="1"/>
  <c r="IS41" i="1"/>
  <c r="IQ41" i="1"/>
  <c r="IR41" i="1"/>
  <c r="IP41" i="1"/>
  <c r="IU41" i="1"/>
  <c r="IM41" i="1"/>
  <c r="IV41" i="1"/>
  <c r="JV33" i="1"/>
  <c r="JS33" i="1"/>
  <c r="KA33" i="1"/>
  <c r="KC33" i="1"/>
  <c r="KB33" i="1"/>
  <c r="JZ33" i="1"/>
  <c r="JW33" i="1"/>
  <c r="JU33" i="1"/>
  <c r="JY33" i="1"/>
  <c r="JX33" i="1"/>
  <c r="JT33" i="1"/>
  <c r="JR33" i="1"/>
  <c r="JU31" i="1"/>
  <c r="JW31" i="1"/>
  <c r="JT31" i="1"/>
  <c r="JS31" i="1"/>
  <c r="KC31" i="1"/>
  <c r="KB31" i="1"/>
  <c r="KA31" i="1"/>
  <c r="JZ31" i="1"/>
  <c r="JY31" i="1"/>
  <c r="JX31" i="1"/>
  <c r="JV31" i="1"/>
  <c r="JR31" i="1"/>
  <c r="MD32" i="1"/>
  <c r="MM32" i="1"/>
  <c r="MJ32" i="1"/>
  <c r="MI32" i="1"/>
  <c r="MC32" i="1"/>
  <c r="MB32" i="1"/>
  <c r="MG32" i="1"/>
  <c r="MF32" i="1"/>
  <c r="ME32" i="1"/>
  <c r="ML32" i="1"/>
  <c r="MK32" i="1"/>
  <c r="MH32" i="1"/>
  <c r="JS42" i="1"/>
  <c r="JW42" i="1"/>
  <c r="JU42" i="1"/>
  <c r="JT42" i="1"/>
  <c r="KC42" i="1"/>
  <c r="KB42" i="1"/>
  <c r="JZ42" i="1"/>
  <c r="JY42" i="1"/>
  <c r="JX42" i="1"/>
  <c r="JV42" i="1"/>
  <c r="JR42" i="1"/>
  <c r="KA42" i="1"/>
  <c r="JV15" i="1"/>
  <c r="KC15" i="1"/>
  <c r="KA15" i="1"/>
  <c r="JZ15" i="1"/>
  <c r="JU15" i="1"/>
  <c r="JT15" i="1"/>
  <c r="JS15" i="1"/>
  <c r="JR15" i="1"/>
  <c r="JX15" i="1"/>
  <c r="JW15" i="1"/>
  <c r="JY15" i="1"/>
  <c r="KB15" i="1"/>
  <c r="JZ22" i="1"/>
  <c r="JX22" i="1"/>
  <c r="JW22" i="1"/>
  <c r="KC22" i="1"/>
  <c r="JY22" i="1"/>
  <c r="JV22" i="1"/>
  <c r="JU22" i="1"/>
  <c r="JT22" i="1"/>
  <c r="JS22" i="1"/>
  <c r="KB22" i="1"/>
  <c r="JR22" i="1"/>
  <c r="KA22" i="1"/>
  <c r="IW50" i="1"/>
  <c r="IV50" i="1"/>
  <c r="IS50" i="1"/>
  <c r="IR50" i="1"/>
  <c r="IN50" i="1"/>
  <c r="IQ50" i="1"/>
  <c r="IP50" i="1"/>
  <c r="IO50" i="1"/>
  <c r="IX50" i="1"/>
  <c r="IU50" i="1"/>
  <c r="IT50" i="1"/>
  <c r="IM50" i="1"/>
  <c r="IS31" i="1"/>
  <c r="IQ31" i="1"/>
  <c r="IP31" i="1"/>
  <c r="IM31" i="1"/>
  <c r="IW31" i="1"/>
  <c r="IV31" i="1"/>
  <c r="IO31" i="1"/>
  <c r="IU31" i="1"/>
  <c r="IT31" i="1"/>
  <c r="IR31" i="1"/>
  <c r="IN31" i="1"/>
  <c r="IX31" i="1"/>
  <c r="JZ17" i="1"/>
  <c r="JR17" i="1"/>
  <c r="KC17" i="1"/>
  <c r="JY17" i="1"/>
  <c r="JX17" i="1"/>
  <c r="KB17" i="1"/>
  <c r="KA17" i="1"/>
  <c r="JS17" i="1"/>
  <c r="JT17" i="1"/>
  <c r="JW17" i="1"/>
  <c r="JU17" i="1"/>
  <c r="JV17" i="1"/>
  <c r="MF45" i="1"/>
  <c r="MC45" i="1"/>
  <c r="MM45" i="1"/>
  <c r="MJ45" i="1"/>
  <c r="MB45" i="1"/>
  <c r="ML45" i="1"/>
  <c r="MH45" i="1"/>
  <c r="MG45" i="1"/>
  <c r="ME45" i="1"/>
  <c r="MD45" i="1"/>
  <c r="MK45" i="1"/>
  <c r="MI45" i="1"/>
  <c r="MB31" i="1"/>
  <c r="MJ31" i="1"/>
  <c r="MG31" i="1"/>
  <c r="MF31" i="1"/>
  <c r="MK31" i="1"/>
  <c r="MI31" i="1"/>
  <c r="MH31" i="1"/>
  <c r="ME31" i="1"/>
  <c r="MD31" i="1"/>
  <c r="MM31" i="1"/>
  <c r="ML31" i="1"/>
  <c r="MC31" i="1"/>
  <c r="JW32" i="1"/>
  <c r="JZ32" i="1"/>
  <c r="JX32" i="1"/>
  <c r="JV32" i="1"/>
  <c r="JS32" i="1"/>
  <c r="JR32" i="1"/>
  <c r="KA32" i="1"/>
  <c r="JY32" i="1"/>
  <c r="KC32" i="1"/>
  <c r="JU32" i="1"/>
  <c r="KB32" i="1"/>
  <c r="JT32" i="1"/>
  <c r="MM42" i="1"/>
  <c r="MF42" i="1"/>
  <c r="MC42" i="1"/>
  <c r="MB42" i="1"/>
  <c r="MI42" i="1"/>
  <c r="ML42" i="1"/>
  <c r="MK42" i="1"/>
  <c r="MD42" i="1"/>
  <c r="MJ42" i="1"/>
  <c r="MH42" i="1"/>
  <c r="MG42" i="1"/>
  <c r="ME42" i="1"/>
  <c r="MD24" i="1"/>
  <c r="MM24" i="1"/>
  <c r="ML24" i="1"/>
  <c r="MB24" i="1"/>
  <c r="MH24" i="1"/>
  <c r="MG24" i="1"/>
  <c r="MF24" i="1"/>
  <c r="ME24" i="1"/>
  <c r="MC24" i="1"/>
  <c r="MK24" i="1"/>
  <c r="MJ24" i="1"/>
  <c r="MI24" i="1"/>
  <c r="KY52" i="1"/>
  <c r="LD52" i="1"/>
  <c r="LA52" i="1"/>
  <c r="KZ52" i="1"/>
  <c r="LG52" i="1"/>
  <c r="LH52" i="1"/>
  <c r="LF52" i="1"/>
  <c r="LB52" i="1"/>
  <c r="KX52" i="1"/>
  <c r="LE52" i="1"/>
  <c r="LC52" i="1"/>
  <c r="KW52" i="1"/>
  <c r="IU49" i="1"/>
  <c r="IT49" i="1"/>
  <c r="IV49" i="1"/>
  <c r="IN49" i="1"/>
  <c r="IM49" i="1"/>
  <c r="IW49" i="1"/>
  <c r="IR49" i="1"/>
  <c r="IS49" i="1"/>
  <c r="IQ49" i="1"/>
  <c r="IO49" i="1"/>
  <c r="IP49" i="1"/>
  <c r="IX49" i="1"/>
  <c r="IS23" i="1"/>
  <c r="IX23" i="1"/>
  <c r="IR23" i="1"/>
  <c r="IP23" i="1"/>
  <c r="IQ23" i="1"/>
  <c r="IO23" i="1"/>
  <c r="IW23" i="1"/>
  <c r="IV23" i="1"/>
  <c r="IU23" i="1"/>
  <c r="IT23" i="1"/>
  <c r="IN23" i="1"/>
  <c r="IM23" i="1"/>
  <c r="JV45" i="1"/>
  <c r="JS45" i="1"/>
  <c r="KC45" i="1"/>
  <c r="KA45" i="1"/>
  <c r="JT45" i="1"/>
  <c r="JY45" i="1"/>
  <c r="JX45" i="1"/>
  <c r="JW45" i="1"/>
  <c r="JU45" i="1"/>
  <c r="JR45" i="1"/>
  <c r="KB45" i="1"/>
  <c r="JZ45" i="1"/>
  <c r="KW31" i="1"/>
  <c r="LE31" i="1"/>
  <c r="LA31" i="1"/>
  <c r="LG31" i="1"/>
  <c r="LD31" i="1"/>
  <c r="LC31" i="1"/>
  <c r="KZ31" i="1"/>
  <c r="KY31" i="1"/>
  <c r="LF31" i="1"/>
  <c r="LB31" i="1"/>
  <c r="KX31" i="1"/>
  <c r="LH31" i="1"/>
  <c r="JR43" i="1"/>
  <c r="JV43" i="1"/>
  <c r="KA43" i="1"/>
  <c r="JY43" i="1"/>
  <c r="JX43" i="1"/>
  <c r="JT43" i="1"/>
  <c r="JS43" i="1"/>
  <c r="JZ43" i="1"/>
  <c r="JW43" i="1"/>
  <c r="JU43" i="1"/>
  <c r="KC43" i="1"/>
  <c r="KB43" i="1"/>
  <c r="KC30" i="1"/>
  <c r="JR30" i="1"/>
  <c r="JS30" i="1"/>
  <c r="JZ30" i="1"/>
  <c r="JY30" i="1"/>
  <c r="JV30" i="1"/>
  <c r="JU30" i="1"/>
  <c r="JW30" i="1"/>
  <c r="KB30" i="1"/>
  <c r="KA30" i="1"/>
  <c r="JX30" i="1"/>
  <c r="JT30" i="1"/>
  <c r="LF57" i="1"/>
  <c r="LG57" i="1"/>
  <c r="LC57" i="1"/>
  <c r="LB57" i="1"/>
  <c r="LA57" i="1"/>
  <c r="KW57" i="1"/>
  <c r="KZ57" i="1"/>
  <c r="KY57" i="1"/>
  <c r="LE57" i="1"/>
  <c r="LD57" i="1"/>
  <c r="LH57" i="1"/>
  <c r="KX57" i="1"/>
  <c r="JX54" i="1"/>
  <c r="JU54" i="1"/>
  <c r="KC54" i="1"/>
  <c r="JW54" i="1"/>
  <c r="JV54" i="1"/>
  <c r="JS54" i="1"/>
  <c r="JR54" i="1"/>
  <c r="KB54" i="1"/>
  <c r="JZ54" i="1"/>
  <c r="JY54" i="1"/>
  <c r="KA54" i="1"/>
  <c r="JT54" i="1"/>
  <c r="LC54" i="1"/>
  <c r="KZ54" i="1"/>
  <c r="LH54" i="1"/>
  <c r="LA54" i="1"/>
  <c r="LG54" i="1"/>
  <c r="LF54" i="1"/>
  <c r="LD54" i="1"/>
  <c r="LB54" i="1"/>
  <c r="LE54" i="1"/>
  <c r="KY54" i="1"/>
  <c r="KW54" i="1"/>
  <c r="KX54" i="1"/>
  <c r="IW33" i="1"/>
  <c r="IV33" i="1"/>
  <c r="IX33" i="1"/>
  <c r="IS33" i="1"/>
  <c r="IO33" i="1"/>
  <c r="IN33" i="1"/>
  <c r="IM33" i="1"/>
  <c r="IT33" i="1"/>
  <c r="IU33" i="1"/>
  <c r="IR33" i="1"/>
  <c r="IQ33" i="1"/>
  <c r="IP33" i="1"/>
  <c r="MJ17" i="1"/>
  <c r="MG17" i="1"/>
  <c r="MM17" i="1"/>
  <c r="MF17" i="1"/>
  <c r="ME17" i="1"/>
  <c r="MI17" i="1"/>
  <c r="MH17" i="1"/>
  <c r="MB17" i="1"/>
  <c r="MK17" i="1"/>
  <c r="MD17" i="1"/>
  <c r="MC17" i="1"/>
  <c r="ML17" i="1"/>
  <c r="LA45" i="1"/>
  <c r="KX45" i="1"/>
  <c r="LH45" i="1"/>
  <c r="LC45" i="1"/>
  <c r="LF45" i="1"/>
  <c r="LE45" i="1"/>
  <c r="LD45" i="1"/>
  <c r="LB45" i="1"/>
  <c r="LG45" i="1"/>
  <c r="KZ45" i="1"/>
  <c r="KY45" i="1"/>
  <c r="KW45" i="1"/>
  <c r="KW43" i="1"/>
  <c r="LE43" i="1"/>
  <c r="LA43" i="1"/>
  <c r="KX43" i="1"/>
  <c r="LH43" i="1"/>
  <c r="LC43" i="1"/>
  <c r="LB43" i="1"/>
  <c r="KZ43" i="1"/>
  <c r="KY43" i="1"/>
  <c r="LG43" i="1"/>
  <c r="LF43" i="1"/>
  <c r="LD43" i="1"/>
  <c r="IS13" i="1"/>
  <c r="IV13" i="1"/>
  <c r="IU13" i="1"/>
  <c r="IQ13" i="1"/>
  <c r="IX13" i="1"/>
  <c r="IP13" i="1"/>
  <c r="IW13" i="1"/>
  <c r="IR13" i="1"/>
  <c r="IO13" i="1"/>
  <c r="IT13" i="1"/>
  <c r="IM13" i="1"/>
  <c r="IN13" i="1"/>
  <c r="LH30" i="1"/>
  <c r="LA30" i="1"/>
  <c r="KW30" i="1"/>
  <c r="LE30" i="1"/>
  <c r="KY30" i="1"/>
  <c r="LD30" i="1"/>
  <c r="LG30" i="1"/>
  <c r="LC30" i="1"/>
  <c r="LB30" i="1"/>
  <c r="KZ30" i="1"/>
  <c r="KX30" i="1"/>
  <c r="LF30" i="1"/>
  <c r="MK57" i="1"/>
  <c r="ML57" i="1"/>
  <c r="MJ57" i="1"/>
  <c r="MH57" i="1"/>
  <c r="MG57" i="1"/>
  <c r="MB57" i="1"/>
  <c r="MM57" i="1"/>
  <c r="MI57" i="1"/>
  <c r="MF57" i="1"/>
  <c r="ME57" i="1"/>
  <c r="MD57" i="1"/>
  <c r="MC57" i="1"/>
  <c r="JT52" i="1"/>
  <c r="JY52" i="1"/>
  <c r="JU52" i="1"/>
  <c r="KC52" i="1"/>
  <c r="KA52" i="1"/>
  <c r="JZ52" i="1"/>
  <c r="JW52" i="1"/>
  <c r="JV52" i="1"/>
  <c r="JX52" i="1"/>
  <c r="JS52" i="1"/>
  <c r="JR52" i="1"/>
  <c r="KB52" i="1"/>
  <c r="MH46" i="1"/>
  <c r="ME46" i="1"/>
  <c r="MC46" i="1"/>
  <c r="MF46" i="1"/>
  <c r="MD46" i="1"/>
  <c r="MB46" i="1"/>
  <c r="MK46" i="1"/>
  <c r="MJ46" i="1"/>
  <c r="MI46" i="1"/>
  <c r="MG46" i="1"/>
  <c r="ML46" i="1"/>
  <c r="MM46" i="1"/>
  <c r="LE47" i="1"/>
  <c r="LB47" i="1"/>
  <c r="LC47" i="1"/>
  <c r="KX47" i="1"/>
  <c r="KY47" i="1"/>
  <c r="KW47" i="1"/>
  <c r="LF47" i="1"/>
  <c r="LG47" i="1"/>
  <c r="LD47" i="1"/>
  <c r="LA47" i="1"/>
  <c r="KZ47" i="1"/>
  <c r="LH47" i="1"/>
  <c r="AN35" i="1"/>
  <c r="IY36" i="1"/>
  <c r="IX36" i="1"/>
  <c r="JC36" i="1"/>
  <c r="JB36" i="1"/>
  <c r="IW36" i="1"/>
  <c r="IU36" i="1"/>
  <c r="IR36" i="1"/>
  <c r="IT36" i="1"/>
  <c r="JK36" i="1"/>
  <c r="IS36" i="1"/>
  <c r="IQ36" i="1"/>
  <c r="IP36" i="1"/>
  <c r="JF36" i="1"/>
  <c r="JE36" i="1"/>
  <c r="JD36" i="1"/>
  <c r="JA36" i="1"/>
  <c r="IN36" i="1"/>
  <c r="IM36" i="1"/>
  <c r="JI36" i="1"/>
  <c r="IO36" i="1"/>
  <c r="JH36" i="1"/>
  <c r="JG36" i="1"/>
  <c r="IZ36" i="1"/>
  <c r="JJ36" i="1"/>
  <c r="IV36" i="1"/>
  <c r="IP17" i="1"/>
  <c r="IO17" i="1"/>
  <c r="IX17" i="1"/>
  <c r="IW17" i="1"/>
  <c r="IV17" i="1"/>
  <c r="IT17" i="1"/>
  <c r="IU17" i="1"/>
  <c r="IM17" i="1"/>
  <c r="IQ17" i="1"/>
  <c r="IN17" i="1"/>
  <c r="IR17" i="1"/>
  <c r="IS17" i="1"/>
  <c r="MB43" i="1"/>
  <c r="MJ43" i="1"/>
  <c r="MG43" i="1"/>
  <c r="MF43" i="1"/>
  <c r="MH43" i="1"/>
  <c r="MM43" i="1"/>
  <c r="ML43" i="1"/>
  <c r="MK43" i="1"/>
  <c r="ME43" i="1"/>
  <c r="MD43" i="1"/>
  <c r="MI43" i="1"/>
  <c r="MC43" i="1"/>
  <c r="LC16" i="1"/>
  <c r="KZ16" i="1"/>
  <c r="LH16" i="1"/>
  <c r="LD16" i="1"/>
  <c r="KY16" i="1"/>
  <c r="LG16" i="1"/>
  <c r="KW16" i="1"/>
  <c r="LF16" i="1"/>
  <c r="KX16" i="1"/>
  <c r="LE16" i="1"/>
  <c r="LB16" i="1"/>
  <c r="LA16" i="1"/>
  <c r="MF25" i="1"/>
  <c r="MC25" i="1"/>
  <c r="MD25" i="1"/>
  <c r="MH25" i="1"/>
  <c r="MB25" i="1"/>
  <c r="MJ25" i="1"/>
  <c r="MK25" i="1"/>
  <c r="MI25" i="1"/>
  <c r="ME25" i="1"/>
  <c r="MM25" i="1"/>
  <c r="ML25" i="1"/>
  <c r="MG25" i="1"/>
  <c r="IT26" i="1"/>
  <c r="IS26" i="1"/>
  <c r="IP26" i="1"/>
  <c r="IR26" i="1"/>
  <c r="IQ26" i="1"/>
  <c r="IO26" i="1"/>
  <c r="IN26" i="1"/>
  <c r="IV26" i="1"/>
  <c r="IX26" i="1"/>
  <c r="IU26" i="1"/>
  <c r="IW26" i="1"/>
  <c r="IM26" i="1"/>
  <c r="MM58" i="1"/>
  <c r="ML58" i="1"/>
  <c r="MK58" i="1"/>
  <c r="MJ58" i="1"/>
  <c r="MI58" i="1"/>
  <c r="MH58" i="1"/>
  <c r="ME58" i="1"/>
  <c r="MD58" i="1"/>
  <c r="MC58" i="1"/>
  <c r="MB58" i="1"/>
  <c r="MG58" i="1"/>
  <c r="MF58" i="1"/>
  <c r="IS46" i="1"/>
  <c r="IX46" i="1"/>
  <c r="IW46" i="1"/>
  <c r="IQ46" i="1"/>
  <c r="IP46" i="1"/>
  <c r="IO46" i="1"/>
  <c r="IN46" i="1"/>
  <c r="IT46" i="1"/>
  <c r="IU46" i="1"/>
  <c r="IM46" i="1"/>
  <c r="IV46" i="1"/>
  <c r="IR46" i="1"/>
  <c r="IU32" i="1"/>
  <c r="IT32" i="1"/>
  <c r="IS32" i="1"/>
  <c r="IP32" i="1"/>
  <c r="IX32" i="1"/>
  <c r="IO32" i="1"/>
  <c r="IN32" i="1"/>
  <c r="IM32" i="1"/>
  <c r="IW32" i="1"/>
  <c r="IV32" i="1"/>
  <c r="IR32" i="1"/>
  <c r="IQ32" i="1"/>
  <c r="LG28" i="1"/>
  <c r="LD28" i="1"/>
  <c r="LH28" i="1"/>
  <c r="LE28" i="1"/>
  <c r="LB28" i="1"/>
  <c r="LA28" i="1"/>
  <c r="KY28" i="1"/>
  <c r="KX28" i="1"/>
  <c r="KW28" i="1"/>
  <c r="LF28" i="1"/>
  <c r="LC28" i="1"/>
  <c r="KZ28" i="1"/>
  <c r="MD44" i="1"/>
  <c r="MM44" i="1"/>
  <c r="MJ44" i="1"/>
  <c r="MI44" i="1"/>
  <c r="MB44" i="1"/>
  <c r="MK44" i="1"/>
  <c r="MH44" i="1"/>
  <c r="MG44" i="1"/>
  <c r="MF44" i="1"/>
  <c r="MC44" i="1"/>
  <c r="ML44" i="1"/>
  <c r="ME44" i="1"/>
  <c r="KB18" i="1"/>
  <c r="JU18" i="1"/>
  <c r="JS18" i="1"/>
  <c r="JR18" i="1"/>
  <c r="JV18" i="1"/>
  <c r="JT18" i="1"/>
  <c r="KC18" i="1"/>
  <c r="KA18" i="1"/>
  <c r="JZ18" i="1"/>
  <c r="JY18" i="1"/>
  <c r="JX18" i="1"/>
  <c r="JW18" i="1"/>
  <c r="LF41" i="1"/>
  <c r="KX41" i="1"/>
  <c r="KY41" i="1"/>
  <c r="KZ41" i="1"/>
  <c r="KW41" i="1"/>
  <c r="LD41" i="1"/>
  <c r="LG41" i="1"/>
  <c r="LH41" i="1"/>
  <c r="LE41" i="1"/>
  <c r="LC41" i="1"/>
  <c r="LB41" i="1"/>
  <c r="LA41" i="1"/>
  <c r="JV25" i="1"/>
  <c r="JR25" i="1"/>
  <c r="KA25" i="1"/>
  <c r="JX25" i="1"/>
  <c r="JW25" i="1"/>
  <c r="JU25" i="1"/>
  <c r="JT25" i="1"/>
  <c r="JS25" i="1"/>
  <c r="KC25" i="1"/>
  <c r="KB25" i="1"/>
  <c r="JZ25" i="1"/>
  <c r="JY25" i="1"/>
  <c r="IO52" i="1"/>
  <c r="IN52" i="1"/>
  <c r="IU52" i="1"/>
  <c r="IT52" i="1"/>
  <c r="IQ52" i="1"/>
  <c r="IW52" i="1"/>
  <c r="IV52" i="1"/>
  <c r="IS52" i="1"/>
  <c r="IR52" i="1"/>
  <c r="IX52" i="1"/>
  <c r="IM52" i="1"/>
  <c r="IP52" i="1"/>
  <c r="IO44" i="1"/>
  <c r="IW44" i="1"/>
  <c r="IV44" i="1"/>
  <c r="IT44" i="1"/>
  <c r="IS44" i="1"/>
  <c r="IP44" i="1"/>
  <c r="IN44" i="1"/>
  <c r="IM44" i="1"/>
  <c r="IX44" i="1"/>
  <c r="IU44" i="1"/>
  <c r="IR44" i="1"/>
  <c r="IQ44" i="1"/>
  <c r="IW56" i="1"/>
  <c r="IX56" i="1"/>
  <c r="IU56" i="1"/>
  <c r="IV56" i="1"/>
  <c r="IP56" i="1"/>
  <c r="IO56" i="1"/>
  <c r="IN56" i="1"/>
  <c r="IM56" i="1"/>
  <c r="IR56" i="1"/>
  <c r="IS56" i="1"/>
  <c r="IT56" i="1"/>
  <c r="IQ56" i="1"/>
  <c r="ML28" i="1"/>
  <c r="MI28" i="1"/>
  <c r="MM28" i="1"/>
  <c r="MH28" i="1"/>
  <c r="MF28" i="1"/>
  <c r="ME28" i="1"/>
  <c r="MD28" i="1"/>
  <c r="MC28" i="1"/>
  <c r="MB28" i="1"/>
  <c r="MG28" i="1"/>
  <c r="MJ28" i="1"/>
  <c r="MK28" i="1"/>
  <c r="KY44" i="1"/>
  <c r="LH44" i="1"/>
  <c r="LD44" i="1"/>
  <c r="KX44" i="1"/>
  <c r="KW44" i="1"/>
  <c r="LC44" i="1"/>
  <c r="LG44" i="1"/>
  <c r="LF44" i="1"/>
  <c r="LA44" i="1"/>
  <c r="KZ44" i="1"/>
  <c r="LE44" i="1"/>
  <c r="LB44" i="1"/>
  <c r="MJ55" i="1"/>
  <c r="MG55" i="1"/>
  <c r="MC55" i="1"/>
  <c r="MB55" i="1"/>
  <c r="ME55" i="1"/>
  <c r="MD55" i="1"/>
  <c r="MI55" i="1"/>
  <c r="MH55" i="1"/>
  <c r="MF55" i="1"/>
  <c r="ML55" i="1"/>
  <c r="MK55" i="1"/>
  <c r="MM55" i="1"/>
  <c r="LG18" i="1"/>
  <c r="LD18" i="1"/>
  <c r="KX18" i="1"/>
  <c r="LC18" i="1"/>
  <c r="LH18" i="1"/>
  <c r="LA18" i="1"/>
  <c r="LF18" i="1"/>
  <c r="KZ18" i="1"/>
  <c r="LE18" i="1"/>
  <c r="LB18" i="1"/>
  <c r="KY18" i="1"/>
  <c r="KW18" i="1"/>
  <c r="LA25" i="1"/>
  <c r="KX25" i="1"/>
  <c r="KY25" i="1"/>
  <c r="LD25" i="1"/>
  <c r="LB25" i="1"/>
  <c r="KZ25" i="1"/>
  <c r="LH25" i="1"/>
  <c r="LE25" i="1"/>
  <c r="LC25" i="1"/>
  <c r="LG25" i="1"/>
  <c r="LF25" i="1"/>
  <c r="KW25" i="1"/>
  <c r="KA29" i="1"/>
  <c r="KC29" i="1"/>
  <c r="JT29" i="1"/>
  <c r="JS29" i="1"/>
  <c r="JR29" i="1"/>
  <c r="JZ29" i="1"/>
  <c r="JX29" i="1"/>
  <c r="JY29" i="1"/>
  <c r="JW29" i="1"/>
  <c r="KB29" i="1"/>
  <c r="JV29" i="1"/>
  <c r="JU29" i="1"/>
  <c r="KB48" i="1"/>
  <c r="JY48" i="1"/>
  <c r="KC48" i="1"/>
  <c r="JW48" i="1"/>
  <c r="KA48" i="1"/>
  <c r="JU48" i="1"/>
  <c r="JS48" i="1"/>
  <c r="JR48" i="1"/>
  <c r="JZ48" i="1"/>
  <c r="JT48" i="1"/>
  <c r="JX48" i="1"/>
  <c r="JV48" i="1"/>
  <c r="IO58" i="1"/>
  <c r="IM58" i="1"/>
  <c r="IR58" i="1"/>
  <c r="IQ58" i="1"/>
  <c r="IW58" i="1"/>
  <c r="IV58" i="1"/>
  <c r="IP58" i="1"/>
  <c r="IU58" i="1"/>
  <c r="IT58" i="1"/>
  <c r="IS58" i="1"/>
  <c r="IX58" i="1"/>
  <c r="IN58" i="1"/>
  <c r="IQ30" i="1"/>
  <c r="IN30" i="1"/>
  <c r="IM30" i="1"/>
  <c r="IP30" i="1"/>
  <c r="IO30" i="1"/>
  <c r="IW30" i="1"/>
  <c r="IV30" i="1"/>
  <c r="IU30" i="1"/>
  <c r="IT30" i="1"/>
  <c r="IX30" i="1"/>
  <c r="IS30" i="1"/>
  <c r="IR30" i="1"/>
  <c r="JY28" i="1"/>
  <c r="KC28" i="1"/>
  <c r="KB28" i="1"/>
  <c r="JZ28" i="1"/>
  <c r="JX28" i="1"/>
  <c r="KA28" i="1"/>
  <c r="JV28" i="1"/>
  <c r="JU28" i="1"/>
  <c r="JW28" i="1"/>
  <c r="JS28" i="1"/>
  <c r="JT28" i="1"/>
  <c r="JR28" i="1"/>
  <c r="KW23" i="1"/>
  <c r="LE23" i="1"/>
  <c r="LB23" i="1"/>
  <c r="LH23" i="1"/>
  <c r="LG23" i="1"/>
  <c r="LD23" i="1"/>
  <c r="LC23" i="1"/>
  <c r="KY23" i="1"/>
  <c r="KX23" i="1"/>
  <c r="LF23" i="1"/>
  <c r="LA23" i="1"/>
  <c r="KZ23" i="1"/>
  <c r="JZ55" i="1"/>
  <c r="JW55" i="1"/>
  <c r="JS55" i="1"/>
  <c r="KB55" i="1"/>
  <c r="KA55" i="1"/>
  <c r="KC55" i="1"/>
  <c r="JY55" i="1"/>
  <c r="JX55" i="1"/>
  <c r="JR55" i="1"/>
  <c r="JV55" i="1"/>
  <c r="JU55" i="1"/>
  <c r="JT55" i="1"/>
  <c r="IN16" i="1"/>
  <c r="IM16" i="1"/>
  <c r="IU16" i="1"/>
  <c r="IP16" i="1"/>
  <c r="IT16" i="1"/>
  <c r="IR16" i="1"/>
  <c r="IS16" i="1"/>
  <c r="IQ16" i="1"/>
  <c r="IX16" i="1"/>
  <c r="IW16" i="1"/>
  <c r="IV16" i="1"/>
  <c r="IO16" i="1"/>
  <c r="ML18" i="1"/>
  <c r="MI18" i="1"/>
  <c r="MC18" i="1"/>
  <c r="MH18" i="1"/>
  <c r="MG18" i="1"/>
  <c r="MF18" i="1"/>
  <c r="ME18" i="1"/>
  <c r="MJ18" i="1"/>
  <c r="MD18" i="1"/>
  <c r="MB18" i="1"/>
  <c r="MM18" i="1"/>
  <c r="MK18" i="1"/>
  <c r="JR23" i="1"/>
  <c r="KC23" i="1"/>
  <c r="KA23" i="1"/>
  <c r="JZ23" i="1"/>
  <c r="JT23" i="1"/>
  <c r="JS23" i="1"/>
  <c r="KB23" i="1"/>
  <c r="JY23" i="1"/>
  <c r="JX23" i="1"/>
  <c r="JW23" i="1"/>
  <c r="JV23" i="1"/>
  <c r="JU23" i="1"/>
  <c r="JV53" i="1"/>
  <c r="JS53" i="1"/>
  <c r="KC53" i="1"/>
  <c r="JY53" i="1"/>
  <c r="JT53" i="1"/>
  <c r="KB53" i="1"/>
  <c r="KA53" i="1"/>
  <c r="JU53" i="1"/>
  <c r="JZ53" i="1"/>
  <c r="JX53" i="1"/>
  <c r="JW53" i="1"/>
  <c r="JR53" i="1"/>
  <c r="IU55" i="1"/>
  <c r="IX55" i="1"/>
  <c r="IV55" i="1"/>
  <c r="IT55" i="1"/>
  <c r="IS55" i="1"/>
  <c r="IR55" i="1"/>
  <c r="IO55" i="1"/>
  <c r="IW55" i="1"/>
  <c r="IM55" i="1"/>
  <c r="IQ55" i="1"/>
  <c r="IP55" i="1"/>
  <c r="IN55" i="1"/>
  <c r="LH22" i="1"/>
  <c r="LE22" i="1"/>
  <c r="LA22" i="1"/>
  <c r="LC22" i="1"/>
  <c r="KZ22" i="1"/>
  <c r="KY22" i="1"/>
  <c r="LF22" i="1"/>
  <c r="LG22" i="1"/>
  <c r="KW22" i="1"/>
  <c r="LD22" i="1"/>
  <c r="LB22" i="1"/>
  <c r="KX22" i="1"/>
  <c r="MB23" i="1"/>
  <c r="MK23" i="1"/>
  <c r="MJ23" i="1"/>
  <c r="ML23" i="1"/>
  <c r="MI23" i="1"/>
  <c r="MH23" i="1"/>
  <c r="MG23" i="1"/>
  <c r="MM23" i="1"/>
  <c r="MF23" i="1"/>
  <c r="MC23" i="1"/>
  <c r="ME23" i="1"/>
  <c r="MD23" i="1"/>
  <c r="LE55" i="1"/>
  <c r="LB55" i="1"/>
  <c r="KX55" i="1"/>
  <c r="LH55" i="1"/>
  <c r="LA55" i="1"/>
  <c r="KW55" i="1"/>
  <c r="LD55" i="1"/>
  <c r="LC55" i="1"/>
  <c r="KZ55" i="1"/>
  <c r="KY55" i="1"/>
  <c r="LG55" i="1"/>
  <c r="LF55" i="1"/>
  <c r="KA49" i="1"/>
  <c r="KB49" i="1"/>
  <c r="JZ49" i="1"/>
  <c r="JY49" i="1"/>
  <c r="JV49" i="1"/>
  <c r="JU49" i="1"/>
  <c r="JT49" i="1"/>
  <c r="JS49" i="1"/>
  <c r="JR49" i="1"/>
  <c r="KC49" i="1"/>
  <c r="JX49" i="1"/>
  <c r="JW49" i="1"/>
  <c r="IM18" i="1"/>
  <c r="IS18" i="1"/>
  <c r="IR18" i="1"/>
  <c r="IO18" i="1"/>
  <c r="IU18" i="1"/>
  <c r="IT18" i="1"/>
  <c r="IQ18" i="1"/>
  <c r="IP18" i="1"/>
  <c r="IX18" i="1"/>
  <c r="IV18" i="1"/>
  <c r="IN18" i="1"/>
  <c r="IW18" i="1"/>
  <c r="MM50" i="1"/>
  <c r="MB50" i="1"/>
  <c r="MF50" i="1"/>
  <c r="ML50" i="1"/>
  <c r="MJ50" i="1"/>
  <c r="MI50" i="1"/>
  <c r="MH50" i="1"/>
  <c r="MG50" i="1"/>
  <c r="ME50" i="1"/>
  <c r="MD50" i="1"/>
  <c r="MC50" i="1"/>
  <c r="MK50" i="1"/>
  <c r="C29" i="56"/>
  <c r="U37" i="7"/>
  <c r="T37" i="7"/>
  <c r="S37" i="7"/>
  <c r="V37" i="7"/>
  <c r="C32" i="56"/>
  <c r="V33" i="7"/>
  <c r="U33" i="7"/>
  <c r="T33" i="7"/>
  <c r="S33" i="7"/>
  <c r="AS13" i="1"/>
  <c r="AR12" i="1"/>
  <c r="T29" i="7" s="1"/>
  <c r="AX13" i="1"/>
  <c r="AW12" i="1"/>
  <c r="U29" i="7" s="1"/>
  <c r="BC13" i="1"/>
  <c r="BB12" i="1"/>
  <c r="AR39" i="1"/>
  <c r="T31" i="7" s="1"/>
  <c r="AS40" i="1"/>
  <c r="AW39" i="1"/>
  <c r="U31" i="7" s="1"/>
  <c r="AX40" i="1"/>
  <c r="BC40" i="1"/>
  <c r="BB39" i="1"/>
  <c r="V31" i="7" s="1"/>
  <c r="AW20" i="1"/>
  <c r="U30" i="7" s="1"/>
  <c r="AX21" i="1"/>
  <c r="AS21" i="1"/>
  <c r="AR20" i="1"/>
  <c r="T30" i="7" s="1"/>
  <c r="AM12" i="1"/>
  <c r="S29" i="7" s="1"/>
  <c r="S28" i="7" s="1"/>
  <c r="AN12" i="1"/>
  <c r="BC21" i="1"/>
  <c r="BB20" i="1"/>
  <c r="V30" i="7" s="1"/>
  <c r="AM20" i="1"/>
  <c r="S30" i="7" s="1"/>
  <c r="AN21" i="1"/>
  <c r="AN40" i="1"/>
  <c r="AM39" i="1"/>
  <c r="S31" i="7" s="1"/>
  <c r="CY18" i="1"/>
  <c r="CX18" i="1"/>
  <c r="CY13" i="1"/>
  <c r="CX13" i="1"/>
  <c r="CY14" i="1"/>
  <c r="CX14" i="1"/>
  <c r="CY53" i="1"/>
  <c r="CX53" i="1"/>
  <c r="CY16" i="1"/>
  <c r="CX16" i="1"/>
  <c r="CY17" i="1"/>
  <c r="CX17" i="1"/>
  <c r="CX15" i="1"/>
  <c r="CY15" i="1"/>
  <c r="BS53" i="1"/>
  <c r="BT53" i="1"/>
  <c r="BS14" i="1"/>
  <c r="BT14" i="1"/>
  <c r="BT18" i="1"/>
  <c r="BS18" i="1"/>
  <c r="BT17" i="1"/>
  <c r="BS17" i="1"/>
  <c r="BT13" i="1"/>
  <c r="BS13" i="1"/>
  <c r="BT16" i="1"/>
  <c r="BS16" i="1"/>
  <c r="BT15" i="1"/>
  <c r="BS15" i="1"/>
  <c r="AI37" i="1"/>
  <c r="R37" i="7"/>
  <c r="O37" i="7"/>
  <c r="P37" i="7"/>
  <c r="Q37" i="7"/>
  <c r="N37" i="7"/>
  <c r="P33" i="7"/>
  <c r="O33" i="7"/>
  <c r="N33" i="7"/>
  <c r="R33" i="7"/>
  <c r="Q33" i="7"/>
  <c r="GH14" i="1"/>
  <c r="GC14" i="1"/>
  <c r="GM14" i="1"/>
  <c r="GF14" i="1"/>
  <c r="GE14" i="1"/>
  <c r="GJ14" i="1"/>
  <c r="GD14" i="1"/>
  <c r="GQ14" i="1"/>
  <c r="GP14" i="1"/>
  <c r="GO14" i="1"/>
  <c r="GN14" i="1"/>
  <c r="GL14" i="1"/>
  <c r="GK14" i="1"/>
  <c r="GI14" i="1"/>
  <c r="GG14" i="1"/>
  <c r="FO36" i="1"/>
  <c r="FO35" i="1" s="1"/>
  <c r="FO60" i="1" s="1"/>
  <c r="EY36" i="1"/>
  <c r="EY35" i="1" s="1"/>
  <c r="FI36" i="1"/>
  <c r="FI35" i="1" s="1"/>
  <c r="FU36" i="1"/>
  <c r="FU35" i="1" s="1"/>
  <c r="FU60" i="1" s="1"/>
  <c r="FD36" i="1"/>
  <c r="FD35" i="1" s="1"/>
  <c r="FC36" i="1"/>
  <c r="FC35" i="1" s="1"/>
  <c r="FQ36" i="1"/>
  <c r="FQ35" i="1" s="1"/>
  <c r="FQ60" i="1" s="1"/>
  <c r="FA36" i="1"/>
  <c r="FA35" i="1" s="1"/>
  <c r="FV36" i="1"/>
  <c r="FV35" i="1" s="1"/>
  <c r="FV60" i="1" s="1"/>
  <c r="EZ36" i="1"/>
  <c r="EZ35" i="1" s="1"/>
  <c r="FP36" i="1"/>
  <c r="FP35" i="1" s="1"/>
  <c r="FP60" i="1" s="1"/>
  <c r="FN36" i="1"/>
  <c r="FN35" i="1" s="1"/>
  <c r="FN60" i="1" s="1"/>
  <c r="FK36" i="1"/>
  <c r="FK35" i="1" s="1"/>
  <c r="FL36" i="1"/>
  <c r="FL35" i="1" s="1"/>
  <c r="FJ36" i="1"/>
  <c r="FJ35" i="1" s="1"/>
  <c r="FH36" i="1"/>
  <c r="FH35" i="1" s="1"/>
  <c r="FG36" i="1"/>
  <c r="FG35" i="1" s="1"/>
  <c r="FF36" i="1"/>
  <c r="FF35" i="1" s="1"/>
  <c r="Y35" i="1"/>
  <c r="FT36" i="1"/>
  <c r="FT35" i="1" s="1"/>
  <c r="FT60" i="1" s="1"/>
  <c r="FS36" i="1"/>
  <c r="FS35" i="1" s="1"/>
  <c r="FS60" i="1" s="1"/>
  <c r="FR36" i="1"/>
  <c r="FR35" i="1" s="1"/>
  <c r="FR60" i="1" s="1"/>
  <c r="FE36" i="1"/>
  <c r="FE35" i="1" s="1"/>
  <c r="FM36" i="1"/>
  <c r="FM35" i="1" s="1"/>
  <c r="FM60" i="1" s="1"/>
  <c r="FB36" i="1"/>
  <c r="FB35" i="1" s="1"/>
  <c r="EX36" i="1"/>
  <c r="EX35" i="1" s="1"/>
  <c r="FH15" i="1"/>
  <c r="FC15" i="1"/>
  <c r="FE15" i="1"/>
  <c r="EY15" i="1"/>
  <c r="FL15" i="1"/>
  <c r="FK15" i="1"/>
  <c r="FF15" i="1"/>
  <c r="FD15" i="1"/>
  <c r="EZ15" i="1"/>
  <c r="FG15" i="1"/>
  <c r="FB15" i="1"/>
  <c r="FA15" i="1"/>
  <c r="EX15" i="1"/>
  <c r="FI15" i="1"/>
  <c r="FJ15" i="1"/>
  <c r="GF16" i="1"/>
  <c r="GN16" i="1"/>
  <c r="GI16" i="1"/>
  <c r="GD16" i="1"/>
  <c r="GM16" i="1"/>
  <c r="GG16" i="1"/>
  <c r="GQ16" i="1"/>
  <c r="GP16" i="1"/>
  <c r="GO16" i="1"/>
  <c r="GL16" i="1"/>
  <c r="GK16" i="1"/>
  <c r="GJ16" i="1"/>
  <c r="GH16" i="1"/>
  <c r="GE16" i="1"/>
  <c r="GC16" i="1"/>
  <c r="O12" i="1"/>
  <c r="GH17" i="1"/>
  <c r="GQ17" i="1"/>
  <c r="GL17" i="1"/>
  <c r="GJ17" i="1"/>
  <c r="GE17" i="1"/>
  <c r="GD17" i="1"/>
  <c r="GO17" i="1"/>
  <c r="GN17" i="1"/>
  <c r="GM17" i="1"/>
  <c r="GI17" i="1"/>
  <c r="GG17" i="1"/>
  <c r="GF17" i="1"/>
  <c r="GC17" i="1"/>
  <c r="GK17" i="1"/>
  <c r="GP17" i="1"/>
  <c r="EY16" i="1"/>
  <c r="FK16" i="1"/>
  <c r="FF16" i="1"/>
  <c r="FJ16" i="1"/>
  <c r="FD16" i="1"/>
  <c r="EX16" i="1"/>
  <c r="FH16" i="1"/>
  <c r="FL16" i="1"/>
  <c r="FI16" i="1"/>
  <c r="FG16" i="1"/>
  <c r="FB16" i="1"/>
  <c r="FE16" i="1"/>
  <c r="FC16" i="1"/>
  <c r="FA16" i="1"/>
  <c r="EZ16" i="1"/>
  <c r="FK14" i="1"/>
  <c r="FE14" i="1"/>
  <c r="EZ14" i="1"/>
  <c r="EY14" i="1"/>
  <c r="FD14" i="1"/>
  <c r="FC14" i="1"/>
  <c r="FL14" i="1"/>
  <c r="FJ14" i="1"/>
  <c r="FB14" i="1"/>
  <c r="FA14" i="1"/>
  <c r="EX14" i="1"/>
  <c r="FG14" i="1"/>
  <c r="FF14" i="1"/>
  <c r="FH14" i="1"/>
  <c r="FI14" i="1"/>
  <c r="FA53" i="1"/>
  <c r="FG53" i="1"/>
  <c r="FB53" i="1"/>
  <c r="FJ53" i="1"/>
  <c r="FF53" i="1"/>
  <c r="FE53" i="1"/>
  <c r="FD53" i="1"/>
  <c r="FC53" i="1"/>
  <c r="EZ53" i="1"/>
  <c r="EY53" i="1"/>
  <c r="EX53" i="1"/>
  <c r="FI53" i="1"/>
  <c r="FH53" i="1"/>
  <c r="FK53" i="1"/>
  <c r="FL53" i="1"/>
  <c r="GD53" i="1"/>
  <c r="GI53" i="1"/>
  <c r="GC53" i="1"/>
  <c r="GK53" i="1"/>
  <c r="GE53" i="1"/>
  <c r="GQ53" i="1"/>
  <c r="GN53" i="1"/>
  <c r="GJ53" i="1"/>
  <c r="GH53" i="1"/>
  <c r="GG53" i="1"/>
  <c r="GF53" i="1"/>
  <c r="GM53" i="1"/>
  <c r="GL53" i="1"/>
  <c r="GP53" i="1"/>
  <c r="GO53" i="1"/>
  <c r="DZ17" i="1"/>
  <c r="DU17" i="1"/>
  <c r="EC17" i="1"/>
  <c r="DY17" i="1"/>
  <c r="DX17" i="1"/>
  <c r="DS17" i="1"/>
  <c r="DT17" i="1"/>
  <c r="EE17" i="1"/>
  <c r="ED17" i="1"/>
  <c r="EG17" i="1"/>
  <c r="EA17" i="1"/>
  <c r="EB17" i="1"/>
  <c r="EF17" i="1"/>
  <c r="DW17" i="1"/>
  <c r="DV17" i="1"/>
  <c r="DX16" i="1"/>
  <c r="DS16" i="1"/>
  <c r="DY16" i="1"/>
  <c r="DU16" i="1"/>
  <c r="DT16" i="1"/>
  <c r="EG16" i="1"/>
  <c r="EF16" i="1"/>
  <c r="EE16" i="1"/>
  <c r="EC16" i="1"/>
  <c r="EA16" i="1"/>
  <c r="EB16" i="1"/>
  <c r="ED16" i="1"/>
  <c r="DZ16" i="1"/>
  <c r="DW16" i="1"/>
  <c r="DV16" i="1"/>
  <c r="X12" i="1"/>
  <c r="P29" i="7" s="1"/>
  <c r="Y17" i="1"/>
  <c r="Y12" i="1" s="1"/>
  <c r="S12" i="1"/>
  <c r="O29" i="7" s="1"/>
  <c r="T13" i="1"/>
  <c r="GX37" i="1"/>
  <c r="GX35" i="1" s="1"/>
  <c r="GX60" i="1" s="1"/>
  <c r="GH37" i="1"/>
  <c r="GH35" i="1" s="1"/>
  <c r="GP37" i="1"/>
  <c r="GP35" i="1" s="1"/>
  <c r="GK37" i="1"/>
  <c r="GK35" i="1" s="1"/>
  <c r="GZ37" i="1"/>
  <c r="GZ35" i="1" s="1"/>
  <c r="GZ60" i="1" s="1"/>
  <c r="GF37" i="1"/>
  <c r="GF35" i="1" s="1"/>
  <c r="GT37" i="1"/>
  <c r="GT35" i="1" s="1"/>
  <c r="GT60" i="1" s="1"/>
  <c r="GL37" i="1"/>
  <c r="GL35" i="1" s="1"/>
  <c r="GJ37" i="1"/>
  <c r="GJ35" i="1" s="1"/>
  <c r="HA37" i="1"/>
  <c r="HA35" i="1" s="1"/>
  <c r="HA60" i="1" s="1"/>
  <c r="GD37" i="1"/>
  <c r="GD35" i="1" s="1"/>
  <c r="GU37" i="1"/>
  <c r="GU35" i="1" s="1"/>
  <c r="GU60" i="1" s="1"/>
  <c r="GS37" i="1"/>
  <c r="GS35" i="1" s="1"/>
  <c r="GS60" i="1" s="1"/>
  <c r="GR37" i="1"/>
  <c r="GR35" i="1" s="1"/>
  <c r="GR60" i="1" s="1"/>
  <c r="GO37" i="1"/>
  <c r="GO35" i="1" s="1"/>
  <c r="GN37" i="1"/>
  <c r="GN35" i="1" s="1"/>
  <c r="GG37" i="1"/>
  <c r="GG35" i="1" s="1"/>
  <c r="GE37" i="1"/>
  <c r="GE35" i="1" s="1"/>
  <c r="GC37" i="1"/>
  <c r="GC35" i="1" s="1"/>
  <c r="GM37" i="1"/>
  <c r="GM35" i="1" s="1"/>
  <c r="GW37" i="1"/>
  <c r="GW35" i="1" s="1"/>
  <c r="GW60" i="1" s="1"/>
  <c r="GV37" i="1"/>
  <c r="GV35" i="1" s="1"/>
  <c r="GV60" i="1" s="1"/>
  <c r="GQ37" i="1"/>
  <c r="GQ35" i="1" s="1"/>
  <c r="GI37" i="1"/>
  <c r="GI35" i="1" s="1"/>
  <c r="GY37" i="1"/>
  <c r="GY35" i="1" s="1"/>
  <c r="GY60" i="1" s="1"/>
  <c r="AD13" i="1"/>
  <c r="AC12" i="1"/>
  <c r="Q29" i="7" s="1"/>
  <c r="AI13" i="1"/>
  <c r="AH12" i="1"/>
  <c r="R29" i="7" s="1"/>
  <c r="GD15" i="1"/>
  <c r="GK15" i="1"/>
  <c r="GF15" i="1"/>
  <c r="GM15" i="1"/>
  <c r="GL15" i="1"/>
  <c r="GG15" i="1"/>
  <c r="GP15" i="1"/>
  <c r="GO15" i="1"/>
  <c r="GE15" i="1"/>
  <c r="GC15" i="1"/>
  <c r="GQ15" i="1"/>
  <c r="GJ15" i="1"/>
  <c r="GN15" i="1"/>
  <c r="GI15" i="1"/>
  <c r="GH15" i="1"/>
  <c r="FC18" i="1"/>
  <c r="EZ18" i="1"/>
  <c r="FL18" i="1"/>
  <c r="FB18" i="1"/>
  <c r="FH18" i="1"/>
  <c r="FG18" i="1"/>
  <c r="FD18" i="1"/>
  <c r="EX18" i="1"/>
  <c r="FE18" i="1"/>
  <c r="FA18" i="1"/>
  <c r="EY18" i="1"/>
  <c r="FI18" i="1"/>
  <c r="FF18" i="1"/>
  <c r="FK18" i="1"/>
  <c r="FJ18" i="1"/>
  <c r="EB36" i="1"/>
  <c r="EB35" i="1" s="1"/>
  <c r="EQ36" i="1"/>
  <c r="EQ35" i="1" s="1"/>
  <c r="EQ60" i="1" s="1"/>
  <c r="EA36" i="1"/>
  <c r="EA35" i="1" s="1"/>
  <c r="EM36" i="1"/>
  <c r="EM35" i="1" s="1"/>
  <c r="EM60" i="1" s="1"/>
  <c r="DW36" i="1"/>
  <c r="DW35" i="1" s="1"/>
  <c r="EI36" i="1"/>
  <c r="EI35" i="1" s="1"/>
  <c r="EI60" i="1" s="1"/>
  <c r="EF36" i="1"/>
  <c r="EF35" i="1" s="1"/>
  <c r="EE36" i="1"/>
  <c r="EE35" i="1" s="1"/>
  <c r="EN36" i="1"/>
  <c r="EN35" i="1" s="1"/>
  <c r="EN60" i="1" s="1"/>
  <c r="EL36" i="1"/>
  <c r="EL35" i="1" s="1"/>
  <c r="EL60" i="1" s="1"/>
  <c r="T35" i="1"/>
  <c r="EK36" i="1"/>
  <c r="EK35" i="1" s="1"/>
  <c r="EK60" i="1" s="1"/>
  <c r="EH36" i="1"/>
  <c r="EH35" i="1" s="1"/>
  <c r="EH60" i="1" s="1"/>
  <c r="ED36" i="1"/>
  <c r="ED35" i="1" s="1"/>
  <c r="EG36" i="1"/>
  <c r="EG35" i="1" s="1"/>
  <c r="EP36" i="1"/>
  <c r="EP35" i="1" s="1"/>
  <c r="EP60" i="1" s="1"/>
  <c r="EO36" i="1"/>
  <c r="EO35" i="1" s="1"/>
  <c r="EO60" i="1" s="1"/>
  <c r="EJ36" i="1"/>
  <c r="EJ35" i="1" s="1"/>
  <c r="EJ60" i="1" s="1"/>
  <c r="EC36" i="1"/>
  <c r="EC35" i="1" s="1"/>
  <c r="DS36" i="1"/>
  <c r="DS35" i="1" s="1"/>
  <c r="DZ36" i="1"/>
  <c r="DZ35" i="1" s="1"/>
  <c r="DX36" i="1"/>
  <c r="DX35" i="1" s="1"/>
  <c r="DU36" i="1"/>
  <c r="DU35" i="1" s="1"/>
  <c r="DY36" i="1"/>
  <c r="DY35" i="1" s="1"/>
  <c r="DV36" i="1"/>
  <c r="DV35" i="1" s="1"/>
  <c r="DT36" i="1"/>
  <c r="DT35" i="1" s="1"/>
  <c r="AD35" i="1"/>
  <c r="DT14" i="1"/>
  <c r="EE14" i="1"/>
  <c r="EG14" i="1"/>
  <c r="EC14" i="1"/>
  <c r="EB14" i="1"/>
  <c r="ED14" i="1"/>
  <c r="EA14" i="1"/>
  <c r="DZ14" i="1"/>
  <c r="DS14" i="1"/>
  <c r="EF14" i="1"/>
  <c r="DY14" i="1"/>
  <c r="DW14" i="1"/>
  <c r="DV14" i="1"/>
  <c r="DU14" i="1"/>
  <c r="DX14" i="1"/>
  <c r="AH53" i="1"/>
  <c r="AI53" i="1" s="1"/>
  <c r="EB18" i="1"/>
  <c r="DW18" i="1"/>
  <c r="EG18" i="1"/>
  <c r="ED18" i="1"/>
  <c r="EC18" i="1"/>
  <c r="EA18" i="1"/>
  <c r="DZ18" i="1"/>
  <c r="DY18" i="1"/>
  <c r="DV18" i="1"/>
  <c r="DU18" i="1"/>
  <c r="DT18" i="1"/>
  <c r="DX18" i="1"/>
  <c r="DS18" i="1"/>
  <c r="EF18" i="1"/>
  <c r="EE18" i="1"/>
  <c r="FF13" i="1"/>
  <c r="FJ13" i="1"/>
  <c r="FD13" i="1"/>
  <c r="FI13" i="1"/>
  <c r="EY13" i="1"/>
  <c r="EX13" i="1"/>
  <c r="FL13" i="1"/>
  <c r="FK13" i="1"/>
  <c r="FH13" i="1"/>
  <c r="FG13" i="1"/>
  <c r="FC13" i="1"/>
  <c r="FB13" i="1"/>
  <c r="FA13" i="1"/>
  <c r="EZ13" i="1"/>
  <c r="FE13" i="1"/>
  <c r="EF53" i="1"/>
  <c r="ED53" i="1"/>
  <c r="DU53" i="1"/>
  <c r="DT53" i="1"/>
  <c r="DS53" i="1"/>
  <c r="EA53" i="1"/>
  <c r="DZ53" i="1"/>
  <c r="DY53" i="1"/>
  <c r="DW53" i="1"/>
  <c r="DV53" i="1"/>
  <c r="EB53" i="1"/>
  <c r="DX53" i="1"/>
  <c r="EG53" i="1"/>
  <c r="EE53" i="1"/>
  <c r="EC53" i="1"/>
  <c r="GJ18" i="1"/>
  <c r="GC18" i="1"/>
  <c r="GO18" i="1"/>
  <c r="GQ18" i="1"/>
  <c r="GM18" i="1"/>
  <c r="GL18" i="1"/>
  <c r="GG18" i="1"/>
  <c r="GF18" i="1"/>
  <c r="GK18" i="1"/>
  <c r="GH18" i="1"/>
  <c r="GN18" i="1"/>
  <c r="GI18" i="1"/>
  <c r="GP18" i="1"/>
  <c r="GE18" i="1"/>
  <c r="GD18" i="1"/>
  <c r="DV15" i="1"/>
  <c r="EG15" i="1"/>
  <c r="DS15" i="1"/>
  <c r="EF15" i="1"/>
  <c r="DX15" i="1"/>
  <c r="DW15" i="1"/>
  <c r="DU15" i="1"/>
  <c r="EE15" i="1"/>
  <c r="DT15" i="1"/>
  <c r="ED15" i="1"/>
  <c r="EB15" i="1"/>
  <c r="EC15" i="1"/>
  <c r="EA15" i="1"/>
  <c r="DZ15" i="1"/>
  <c r="DY15" i="1"/>
  <c r="AH50" i="1"/>
  <c r="AI50" i="1" s="1"/>
  <c r="X50" i="1"/>
  <c r="Y50" i="1" s="1"/>
  <c r="S50" i="1"/>
  <c r="T50" i="1" s="1"/>
  <c r="AC50" i="1"/>
  <c r="AD50" i="1" s="1"/>
  <c r="AC29" i="1"/>
  <c r="AD29" i="1" s="1"/>
  <c r="X29" i="1"/>
  <c r="Y29" i="1" s="1"/>
  <c r="S29" i="1"/>
  <c r="T29" i="1" s="1"/>
  <c r="X45" i="1"/>
  <c r="Y45" i="1" s="1"/>
  <c r="AC45" i="1"/>
  <c r="AD45" i="1" s="1"/>
  <c r="S45" i="1"/>
  <c r="T45" i="1" s="1"/>
  <c r="X32" i="1"/>
  <c r="Y32" i="1" s="1"/>
  <c r="AC32" i="1"/>
  <c r="AD32" i="1" s="1"/>
  <c r="S32" i="1"/>
  <c r="T32" i="1" s="1"/>
  <c r="AH48" i="1"/>
  <c r="AI48" i="1" s="1"/>
  <c r="S48" i="1"/>
  <c r="T48" i="1" s="1"/>
  <c r="X48" i="1"/>
  <c r="Y48" i="1" s="1"/>
  <c r="AC48" i="1"/>
  <c r="AD48" i="1" s="1"/>
  <c r="S42" i="1"/>
  <c r="T42" i="1" s="1"/>
  <c r="X42" i="1"/>
  <c r="Y42" i="1" s="1"/>
  <c r="AC42" i="1"/>
  <c r="AH58" i="1"/>
  <c r="AI58" i="1" s="1"/>
  <c r="S58" i="1"/>
  <c r="T58" i="1" s="1"/>
  <c r="X58" i="1"/>
  <c r="Y58" i="1" s="1"/>
  <c r="AC58" i="1"/>
  <c r="AD58" i="1" s="1"/>
  <c r="AH24" i="1"/>
  <c r="AI24" i="1" s="1"/>
  <c r="S24" i="1"/>
  <c r="T24" i="1" s="1"/>
  <c r="X24" i="1"/>
  <c r="Y24" i="1" s="1"/>
  <c r="AC24" i="1"/>
  <c r="S28" i="1"/>
  <c r="T28" i="1" s="1"/>
  <c r="AC28" i="1"/>
  <c r="AD28" i="1" s="1"/>
  <c r="X28" i="1"/>
  <c r="Y28" i="1" s="1"/>
  <c r="X40" i="1"/>
  <c r="AC40" i="1"/>
  <c r="AD40" i="1" s="1"/>
  <c r="S40" i="1"/>
  <c r="T40" i="1" s="1"/>
  <c r="X26" i="1"/>
  <c r="Y26" i="1" s="1"/>
  <c r="AC26" i="1"/>
  <c r="AD26" i="1" s="1"/>
  <c r="S26" i="1"/>
  <c r="T26" i="1" s="1"/>
  <c r="X51" i="1"/>
  <c r="Y51" i="1" s="1"/>
  <c r="S51" i="1"/>
  <c r="T51" i="1" s="1"/>
  <c r="AC51" i="1"/>
  <c r="AD51" i="1" s="1"/>
  <c r="X27" i="1"/>
  <c r="Y27" i="1" s="1"/>
  <c r="AC27" i="1"/>
  <c r="AD27" i="1" s="1"/>
  <c r="S27" i="1"/>
  <c r="T27" i="1" s="1"/>
  <c r="S52" i="1"/>
  <c r="T52" i="1" s="1"/>
  <c r="AC52" i="1"/>
  <c r="AD52" i="1" s="1"/>
  <c r="X52" i="1"/>
  <c r="Y52" i="1" s="1"/>
  <c r="X55" i="1"/>
  <c r="Y55" i="1" s="1"/>
  <c r="S55" i="1"/>
  <c r="T55" i="1" s="1"/>
  <c r="AC55" i="1"/>
  <c r="AD55" i="1" s="1"/>
  <c r="S23" i="1"/>
  <c r="T23" i="1" s="1"/>
  <c r="X23" i="1"/>
  <c r="Y23" i="1" s="1"/>
  <c r="AC23" i="1"/>
  <c r="AD23" i="1" s="1"/>
  <c r="S47" i="1"/>
  <c r="T47" i="1" s="1"/>
  <c r="AC47" i="1"/>
  <c r="AD47" i="1" s="1"/>
  <c r="X47" i="1"/>
  <c r="Y47" i="1" s="1"/>
  <c r="X56" i="1"/>
  <c r="Y56" i="1" s="1"/>
  <c r="S56" i="1"/>
  <c r="T56" i="1" s="1"/>
  <c r="AC56" i="1"/>
  <c r="AD56" i="1" s="1"/>
  <c r="AH33" i="1"/>
  <c r="AI33" i="1" s="1"/>
  <c r="S33" i="1"/>
  <c r="T33" i="1" s="1"/>
  <c r="X33" i="1"/>
  <c r="Y33" i="1" s="1"/>
  <c r="AC33" i="1"/>
  <c r="AD33" i="1" s="1"/>
  <c r="AH30" i="1"/>
  <c r="AI30" i="1" s="1"/>
  <c r="AC30" i="1"/>
  <c r="AD30" i="1" s="1"/>
  <c r="S30" i="1"/>
  <c r="T30" i="1" s="1"/>
  <c r="X30" i="1"/>
  <c r="Y30" i="1" s="1"/>
  <c r="X21" i="1"/>
  <c r="Y21" i="1" s="1"/>
  <c r="AC21" i="1"/>
  <c r="AD21" i="1" s="1"/>
  <c r="S21" i="1"/>
  <c r="S31" i="1"/>
  <c r="T31" i="1" s="1"/>
  <c r="X31" i="1"/>
  <c r="Y31" i="1" s="1"/>
  <c r="AC31" i="1"/>
  <c r="AD31" i="1" s="1"/>
  <c r="AH43" i="1"/>
  <c r="AI43" i="1" s="1"/>
  <c r="AC43" i="1"/>
  <c r="AD43" i="1" s="1"/>
  <c r="X43" i="1"/>
  <c r="Y43" i="1" s="1"/>
  <c r="S43" i="1"/>
  <c r="T43" i="1" s="1"/>
  <c r="AC49" i="1"/>
  <c r="AD49" i="1" s="1"/>
  <c r="S49" i="1"/>
  <c r="T49" i="1" s="1"/>
  <c r="X49" i="1"/>
  <c r="Y49" i="1" s="1"/>
  <c r="S41" i="1"/>
  <c r="T41" i="1" s="1"/>
  <c r="X41" i="1"/>
  <c r="Y41" i="1" s="1"/>
  <c r="AC41" i="1"/>
  <c r="AD41" i="1" s="1"/>
  <c r="AC44" i="1"/>
  <c r="AD44" i="1" s="1"/>
  <c r="X44" i="1"/>
  <c r="Y44" i="1" s="1"/>
  <c r="S44" i="1"/>
  <c r="AH57" i="1"/>
  <c r="AI57" i="1" s="1"/>
  <c r="S57" i="1"/>
  <c r="T57" i="1" s="1"/>
  <c r="X57" i="1"/>
  <c r="Y57" i="1" s="1"/>
  <c r="AC57" i="1"/>
  <c r="AD57" i="1" s="1"/>
  <c r="AC54" i="1"/>
  <c r="AD54" i="1" s="1"/>
  <c r="X54" i="1"/>
  <c r="Y54" i="1" s="1"/>
  <c r="S54" i="1"/>
  <c r="T54" i="1" s="1"/>
  <c r="S46" i="1"/>
  <c r="T46" i="1" s="1"/>
  <c r="AC46" i="1"/>
  <c r="AD46" i="1" s="1"/>
  <c r="X46" i="1"/>
  <c r="Y46" i="1" s="1"/>
  <c r="AC25" i="1"/>
  <c r="AD25" i="1" s="1"/>
  <c r="S25" i="1"/>
  <c r="T25" i="1" s="1"/>
  <c r="X25" i="1"/>
  <c r="Y25" i="1" s="1"/>
  <c r="S22" i="1"/>
  <c r="T22" i="1" s="1"/>
  <c r="AC22" i="1"/>
  <c r="AD22" i="1" s="1"/>
  <c r="X22" i="1"/>
  <c r="HO17" i="1"/>
  <c r="HV17" i="1"/>
  <c r="HP17" i="1"/>
  <c r="HN17" i="1"/>
  <c r="HS17" i="1"/>
  <c r="HR17" i="1"/>
  <c r="HJ17" i="1"/>
  <c r="HH17" i="1"/>
  <c r="HT17" i="1"/>
  <c r="HQ17" i="1"/>
  <c r="HK17" i="1"/>
  <c r="HI17" i="1"/>
  <c r="HU17" i="1"/>
  <c r="HM17" i="1"/>
  <c r="HL17" i="1"/>
  <c r="BL53" i="1"/>
  <c r="BR53" i="1"/>
  <c r="BQ53" i="1"/>
  <c r="BJ53" i="1"/>
  <c r="BM53" i="1"/>
  <c r="BN53" i="1"/>
  <c r="BI53" i="1"/>
  <c r="BP53" i="1"/>
  <c r="BO53" i="1"/>
  <c r="BK53" i="1"/>
  <c r="BJ14" i="1"/>
  <c r="BI14" i="1"/>
  <c r="BR14" i="1"/>
  <c r="BO14" i="1"/>
  <c r="BK14" i="1"/>
  <c r="BL14" i="1"/>
  <c r="BP14" i="1"/>
  <c r="BQ14" i="1"/>
  <c r="BM14" i="1"/>
  <c r="BN14" i="1"/>
  <c r="BR18" i="1"/>
  <c r="BM18" i="1"/>
  <c r="BJ18" i="1"/>
  <c r="BN18" i="1"/>
  <c r="BL18" i="1"/>
  <c r="BI18" i="1"/>
  <c r="BQ18" i="1"/>
  <c r="BP18" i="1"/>
  <c r="BO18" i="1"/>
  <c r="BK18" i="1"/>
  <c r="I56" i="1"/>
  <c r="J56" i="1" s="1"/>
  <c r="AH56" i="1"/>
  <c r="AI56" i="1" s="1"/>
  <c r="BN16" i="1"/>
  <c r="BP16" i="1"/>
  <c r="BO16" i="1"/>
  <c r="BM16" i="1"/>
  <c r="BQ16" i="1"/>
  <c r="BR16" i="1"/>
  <c r="BL16" i="1"/>
  <c r="BK16" i="1"/>
  <c r="BJ16" i="1"/>
  <c r="BI16" i="1"/>
  <c r="BO13" i="1"/>
  <c r="BJ13" i="1"/>
  <c r="BN13" i="1"/>
  <c r="BL13" i="1"/>
  <c r="BK13" i="1"/>
  <c r="BR13" i="1"/>
  <c r="BQ13" i="1"/>
  <c r="BP13" i="1"/>
  <c r="BM13" i="1"/>
  <c r="BI13" i="1"/>
  <c r="BP17" i="1"/>
  <c r="BR17" i="1"/>
  <c r="BQ17" i="1"/>
  <c r="BJ17" i="1"/>
  <c r="BO17" i="1"/>
  <c r="BL17" i="1"/>
  <c r="BK17" i="1"/>
  <c r="BN17" i="1"/>
  <c r="BM17" i="1"/>
  <c r="BI17" i="1"/>
  <c r="BL15" i="1"/>
  <c r="BM15" i="1"/>
  <c r="BK15" i="1"/>
  <c r="BJ15" i="1"/>
  <c r="BQ15" i="1"/>
  <c r="BP15" i="1"/>
  <c r="BO15" i="1"/>
  <c r="BR15" i="1"/>
  <c r="BN15" i="1"/>
  <c r="BI15" i="1"/>
  <c r="N52" i="1"/>
  <c r="O52" i="1" s="1"/>
  <c r="I52" i="1"/>
  <c r="J52" i="1" s="1"/>
  <c r="N45" i="1"/>
  <c r="O45" i="1" s="1"/>
  <c r="I45" i="1"/>
  <c r="J45" i="1" s="1"/>
  <c r="N48" i="1"/>
  <c r="O48" i="1" s="1"/>
  <c r="I48" i="1"/>
  <c r="J48" i="1" s="1"/>
  <c r="N41" i="1"/>
  <c r="O41" i="1" s="1"/>
  <c r="I41" i="1"/>
  <c r="J41" i="1" s="1"/>
  <c r="N58" i="1"/>
  <c r="O58" i="1" s="1"/>
  <c r="I58" i="1"/>
  <c r="J58" i="1" s="1"/>
  <c r="N23" i="1"/>
  <c r="O23" i="1" s="1"/>
  <c r="I23" i="1"/>
  <c r="J23" i="1" s="1"/>
  <c r="N21" i="1"/>
  <c r="O21" i="1" s="1"/>
  <c r="I21" i="1"/>
  <c r="J21" i="1" s="1"/>
  <c r="N24" i="1"/>
  <c r="O24" i="1" s="1"/>
  <c r="I24" i="1"/>
  <c r="J24" i="1" s="1"/>
  <c r="N51" i="1"/>
  <c r="O51" i="1" s="1"/>
  <c r="I51" i="1"/>
  <c r="J51" i="1" s="1"/>
  <c r="N30" i="1"/>
  <c r="O30" i="1" s="1"/>
  <c r="I30" i="1"/>
  <c r="J30" i="1" s="1"/>
  <c r="N55" i="1"/>
  <c r="O55" i="1" s="1"/>
  <c r="I55" i="1"/>
  <c r="J55" i="1" s="1"/>
  <c r="N32" i="1"/>
  <c r="O32" i="1" s="1"/>
  <c r="I32" i="1"/>
  <c r="J32" i="1" s="1"/>
  <c r="N40" i="1"/>
  <c r="O40" i="1" s="1"/>
  <c r="I40" i="1"/>
  <c r="J40" i="1" s="1"/>
  <c r="N26" i="1"/>
  <c r="O26" i="1" s="1"/>
  <c r="I26" i="1"/>
  <c r="J26" i="1" s="1"/>
  <c r="N44" i="1"/>
  <c r="O44" i="1" s="1"/>
  <c r="I44" i="1"/>
  <c r="J44" i="1" s="1"/>
  <c r="N27" i="1"/>
  <c r="O27" i="1" s="1"/>
  <c r="I27" i="1"/>
  <c r="J27" i="1" s="1"/>
  <c r="N46" i="1"/>
  <c r="O46" i="1" s="1"/>
  <c r="I46" i="1"/>
  <c r="J46" i="1" s="1"/>
  <c r="N25" i="1"/>
  <c r="O25" i="1" s="1"/>
  <c r="I25" i="1"/>
  <c r="J25" i="1" s="1"/>
  <c r="N22" i="1"/>
  <c r="O22" i="1" s="1"/>
  <c r="I22" i="1"/>
  <c r="J22" i="1" s="1"/>
  <c r="N31" i="1"/>
  <c r="O31" i="1" s="1"/>
  <c r="I31" i="1"/>
  <c r="J31" i="1" s="1"/>
  <c r="N43" i="1"/>
  <c r="O43" i="1" s="1"/>
  <c r="I43" i="1"/>
  <c r="J43" i="1" s="1"/>
  <c r="N47" i="1"/>
  <c r="O47" i="1" s="1"/>
  <c r="I47" i="1"/>
  <c r="J47" i="1" s="1"/>
  <c r="N49" i="1"/>
  <c r="O49" i="1" s="1"/>
  <c r="I49" i="1"/>
  <c r="J49" i="1" s="1"/>
  <c r="N57" i="1"/>
  <c r="O57" i="1" s="1"/>
  <c r="I57" i="1"/>
  <c r="J57" i="1" s="1"/>
  <c r="N54" i="1"/>
  <c r="O54" i="1" s="1"/>
  <c r="I54" i="1"/>
  <c r="J54" i="1" s="1"/>
  <c r="N28" i="1"/>
  <c r="O28" i="1" s="1"/>
  <c r="I28" i="1"/>
  <c r="J28" i="1" s="1"/>
  <c r="N50" i="1"/>
  <c r="O50" i="1" s="1"/>
  <c r="I50" i="1"/>
  <c r="J50" i="1" s="1"/>
  <c r="N29" i="1"/>
  <c r="O29" i="1" s="1"/>
  <c r="I29" i="1"/>
  <c r="J29" i="1" s="1"/>
  <c r="N33" i="1"/>
  <c r="O33" i="1" s="1"/>
  <c r="I33" i="1"/>
  <c r="J33" i="1" s="1"/>
  <c r="N42" i="1"/>
  <c r="O42" i="1" s="1"/>
  <c r="I42" i="1"/>
  <c r="J42" i="1" s="1"/>
  <c r="N56" i="1"/>
  <c r="O56" i="1" s="1"/>
  <c r="EA9" i="11"/>
  <c r="CE9" i="11"/>
  <c r="CQ9" i="11"/>
  <c r="W9" i="11"/>
  <c r="BY9" i="11"/>
  <c r="AC9" i="11"/>
  <c r="DC9" i="11"/>
  <c r="CW9" i="11"/>
  <c r="EM9" i="11"/>
  <c r="DO9" i="11"/>
  <c r="CK9" i="11"/>
  <c r="K9" i="11"/>
  <c r="EG9" i="11"/>
  <c r="ES9" i="11"/>
  <c r="AO9" i="11"/>
  <c r="AI9" i="11"/>
  <c r="E9" i="11"/>
  <c r="BG9" i="11"/>
  <c r="DU9" i="11"/>
  <c r="BA9" i="11"/>
  <c r="DI9" i="11"/>
  <c r="AU9" i="11"/>
  <c r="BS9" i="11"/>
  <c r="Q9" i="11"/>
  <c r="J9" i="48" s="1"/>
  <c r="K9" i="48" s="1"/>
  <c r="BM9" i="11"/>
  <c r="CR34" i="10"/>
  <c r="CS34" i="10" s="1"/>
  <c r="CX34" i="10"/>
  <c r="CY34" i="10" s="1"/>
  <c r="BN34" i="10"/>
  <c r="BO34" i="10" s="1"/>
  <c r="BZ34" i="10"/>
  <c r="CA34" i="10" s="1"/>
  <c r="DJ34" i="10"/>
  <c r="DK34" i="10" s="1"/>
  <c r="AV34" i="10"/>
  <c r="AW34" i="10" s="1"/>
  <c r="CF34" i="10"/>
  <c r="CG34" i="10" s="1"/>
  <c r="AP34" i="10"/>
  <c r="AQ34" i="10" s="1"/>
  <c r="DV34" i="10"/>
  <c r="DW34" i="10" s="1"/>
  <c r="EN34" i="10"/>
  <c r="EO34" i="10" s="1"/>
  <c r="BT34" i="10"/>
  <c r="BU34" i="10" s="1"/>
  <c r="CL34" i="10"/>
  <c r="CM34" i="10" s="1"/>
  <c r="ET34" i="10"/>
  <c r="EU34" i="10" s="1"/>
  <c r="R34" i="10"/>
  <c r="S34" i="10" s="1"/>
  <c r="AD34" i="10"/>
  <c r="AE34" i="10" s="1"/>
  <c r="BB34" i="10"/>
  <c r="BC34" i="10" s="1"/>
  <c r="DP34" i="10"/>
  <c r="DQ34" i="10" s="1"/>
  <c r="EB34" i="10"/>
  <c r="EC34" i="10" s="1"/>
  <c r="X34" i="10"/>
  <c r="Y34" i="10" s="1"/>
  <c r="BH34" i="10"/>
  <c r="BI34" i="10" s="1"/>
  <c r="DD34" i="10"/>
  <c r="DE34" i="10" s="1"/>
  <c r="EH34" i="10"/>
  <c r="EI34" i="10" s="1"/>
  <c r="AJ34" i="10"/>
  <c r="AK34" i="10" s="1"/>
  <c r="L34" i="10"/>
  <c r="M34" i="10" s="1"/>
  <c r="DC13" i="11"/>
  <c r="BG13" i="11"/>
  <c r="ES13" i="11"/>
  <c r="DO13" i="11"/>
  <c r="AC23" i="11"/>
  <c r="AC24" i="11" s="1"/>
  <c r="AC26" i="11" s="1"/>
  <c r="CW13" i="11"/>
  <c r="CK13" i="11"/>
  <c r="AO13" i="11"/>
  <c r="AC13" i="11"/>
  <c r="CQ13" i="11"/>
  <c r="BS13" i="11"/>
  <c r="Q13" i="11"/>
  <c r="J13" i="48" s="1"/>
  <c r="K13" i="48" s="1"/>
  <c r="BM13" i="11"/>
  <c r="W13" i="11"/>
  <c r="BA13" i="11"/>
  <c r="EA13" i="11"/>
  <c r="CE13" i="11"/>
  <c r="EG13" i="11"/>
  <c r="BY13" i="11"/>
  <c r="DI13" i="11"/>
  <c r="AU13" i="11"/>
  <c r="DU13" i="11"/>
  <c r="K13" i="11"/>
  <c r="EM13" i="11"/>
  <c r="AI13" i="11"/>
  <c r="O18" i="34"/>
  <c r="K15" i="34"/>
  <c r="K14" i="34" s="1"/>
  <c r="G17" i="34"/>
  <c r="S18" i="34"/>
  <c r="G15" i="34"/>
  <c r="G14" i="34" s="1"/>
  <c r="S16" i="34"/>
  <c r="G11" i="34"/>
  <c r="S11" i="34"/>
  <c r="K17" i="34"/>
  <c r="K11" i="34"/>
  <c r="S15" i="34"/>
  <c r="S14" i="34" s="1"/>
  <c r="O11" i="34"/>
  <c r="O12" i="34" s="1"/>
  <c r="O13" i="34" s="1"/>
  <c r="O16" i="34"/>
  <c r="O17" i="34"/>
  <c r="S17" i="34"/>
  <c r="O15" i="34"/>
  <c r="F34" i="10"/>
  <c r="G34" i="10" s="1"/>
  <c r="E5" i="10"/>
  <c r="T28" i="7" l="1"/>
  <c r="U28" i="7"/>
  <c r="AS20" i="1"/>
  <c r="JX21" i="1"/>
  <c r="JV21" i="1"/>
  <c r="JU21" i="1"/>
  <c r="KB21" i="1"/>
  <c r="KA21" i="1"/>
  <c r="JW21" i="1"/>
  <c r="JT21" i="1"/>
  <c r="KC21" i="1"/>
  <c r="JZ21" i="1"/>
  <c r="JY21" i="1"/>
  <c r="JS21" i="1"/>
  <c r="JR21" i="1"/>
  <c r="AX20" i="1"/>
  <c r="AX10" i="1" s="1"/>
  <c r="AX60" i="1" s="1"/>
  <c r="LF21" i="1"/>
  <c r="LB21" i="1"/>
  <c r="KX21" i="1"/>
  <c r="KW21" i="1"/>
  <c r="LC21" i="1"/>
  <c r="LH21" i="1"/>
  <c r="LG21" i="1"/>
  <c r="LA21" i="1"/>
  <c r="KZ21" i="1"/>
  <c r="LE21" i="1"/>
  <c r="LD21" i="1"/>
  <c r="KY21" i="1"/>
  <c r="AS12" i="1"/>
  <c r="AS10" i="1" s="1"/>
  <c r="AS60" i="1" s="1"/>
  <c r="JR13" i="1"/>
  <c r="JR12" i="1" s="1"/>
  <c r="JW13" i="1"/>
  <c r="JW12" i="1" s="1"/>
  <c r="JU13" i="1"/>
  <c r="JU12" i="1" s="1"/>
  <c r="JT13" i="1"/>
  <c r="JT12" i="1" s="1"/>
  <c r="KC13" i="1"/>
  <c r="KC12" i="1" s="1"/>
  <c r="KB13" i="1"/>
  <c r="JY13" i="1"/>
  <c r="JY12" i="1" s="1"/>
  <c r="JX13" i="1"/>
  <c r="JV13" i="1"/>
  <c r="JS13" i="1"/>
  <c r="JS12" i="1" s="1"/>
  <c r="KA13" i="1"/>
  <c r="KA12" i="1" s="1"/>
  <c r="JZ13" i="1"/>
  <c r="JZ12" i="1" s="1"/>
  <c r="BC39" i="1"/>
  <c r="ML40" i="1"/>
  <c r="MI40" i="1"/>
  <c r="MM40" i="1"/>
  <c r="MD40" i="1"/>
  <c r="MB40" i="1"/>
  <c r="MG40" i="1"/>
  <c r="MK40" i="1"/>
  <c r="MF40" i="1"/>
  <c r="MJ40" i="1"/>
  <c r="MH40" i="1"/>
  <c r="MC40" i="1"/>
  <c r="ME40" i="1"/>
  <c r="AX39" i="1"/>
  <c r="LG40" i="1"/>
  <c r="LD40" i="1"/>
  <c r="LH40" i="1"/>
  <c r="KW40" i="1"/>
  <c r="LF40" i="1"/>
  <c r="LE40" i="1"/>
  <c r="LA40" i="1"/>
  <c r="KZ40" i="1"/>
  <c r="LC40" i="1"/>
  <c r="LB40" i="1"/>
  <c r="KY40" i="1"/>
  <c r="KX40" i="1"/>
  <c r="AS39" i="1"/>
  <c r="KB40" i="1"/>
  <c r="JX40" i="1"/>
  <c r="JU40" i="1"/>
  <c r="JT40" i="1"/>
  <c r="KA40" i="1"/>
  <c r="JZ40" i="1"/>
  <c r="JS40" i="1"/>
  <c r="JY40" i="1"/>
  <c r="JR40" i="1"/>
  <c r="JW40" i="1"/>
  <c r="JV40" i="1"/>
  <c r="KC40" i="1"/>
  <c r="AN39" i="1"/>
  <c r="IM40" i="1"/>
  <c r="IT40" i="1"/>
  <c r="IS40" i="1"/>
  <c r="IP40" i="1"/>
  <c r="IX40" i="1"/>
  <c r="IR40" i="1"/>
  <c r="IW40" i="1"/>
  <c r="IV40" i="1"/>
  <c r="IU40" i="1"/>
  <c r="IN40" i="1"/>
  <c r="IQ40" i="1"/>
  <c r="IO40" i="1"/>
  <c r="AN20" i="1"/>
  <c r="AN10" i="1" s="1"/>
  <c r="IO21" i="1"/>
  <c r="IV21" i="1"/>
  <c r="IU21" i="1"/>
  <c r="IR21" i="1"/>
  <c r="IS21" i="1"/>
  <c r="IQ21" i="1"/>
  <c r="IN21" i="1"/>
  <c r="IP21" i="1"/>
  <c r="IM21" i="1"/>
  <c r="IX21" i="1"/>
  <c r="IW21" i="1"/>
  <c r="IT21" i="1"/>
  <c r="BB10" i="1"/>
  <c r="BB60" i="1" s="1"/>
  <c r="V29" i="7"/>
  <c r="V28" i="7" s="1"/>
  <c r="BC12" i="1"/>
  <c r="MB13" i="1"/>
  <c r="MB12" i="1" s="1"/>
  <c r="MK13" i="1"/>
  <c r="MK12" i="1" s="1"/>
  <c r="MJ13" i="1"/>
  <c r="MJ12" i="1" s="1"/>
  <c r="MI13" i="1"/>
  <c r="MI12" i="1" s="1"/>
  <c r="MH13" i="1"/>
  <c r="MH12" i="1" s="1"/>
  <c r="MG13" i="1"/>
  <c r="MF13" i="1"/>
  <c r="MC13" i="1"/>
  <c r="MC12" i="1" s="1"/>
  <c r="ME13" i="1"/>
  <c r="MD13" i="1"/>
  <c r="MM13" i="1"/>
  <c r="MM12" i="1" s="1"/>
  <c r="ML13" i="1"/>
  <c r="ML12" i="1" s="1"/>
  <c r="BC20" i="1"/>
  <c r="MK21" i="1"/>
  <c r="MG21" i="1"/>
  <c r="MD21" i="1"/>
  <c r="MC21" i="1"/>
  <c r="MM21" i="1"/>
  <c r="MI21" i="1"/>
  <c r="MH21" i="1"/>
  <c r="MB21" i="1"/>
  <c r="ME21" i="1"/>
  <c r="ML21" i="1"/>
  <c r="MJ21" i="1"/>
  <c r="MF21" i="1"/>
  <c r="AX12" i="1"/>
  <c r="KW13" i="1"/>
  <c r="KW12" i="1" s="1"/>
  <c r="LA13" i="1"/>
  <c r="LA12" i="1" s="1"/>
  <c r="LH13" i="1"/>
  <c r="LH12" i="1" s="1"/>
  <c r="LE13" i="1"/>
  <c r="LE12" i="1" s="1"/>
  <c r="LD13" i="1"/>
  <c r="LD12" i="1" s="1"/>
  <c r="LG13" i="1"/>
  <c r="LG12" i="1" s="1"/>
  <c r="KZ13" i="1"/>
  <c r="KZ12" i="1" s="1"/>
  <c r="KY13" i="1"/>
  <c r="KY12" i="1" s="1"/>
  <c r="KX13" i="1"/>
  <c r="KX12" i="1" s="1"/>
  <c r="LF13" i="1"/>
  <c r="LF12" i="1" s="1"/>
  <c r="LB13" i="1"/>
  <c r="LB12" i="1" s="1"/>
  <c r="LC13" i="1"/>
  <c r="AM10" i="1"/>
  <c r="HV53" i="1"/>
  <c r="AI35" i="1"/>
  <c r="MU35" i="1"/>
  <c r="MU60" i="1" s="1"/>
  <c r="ME35" i="1"/>
  <c r="LT35" i="1"/>
  <c r="LT60" i="1" s="1"/>
  <c r="LD35" i="1"/>
  <c r="MT35" i="1"/>
  <c r="MT60" i="1" s="1"/>
  <c r="MD35" i="1"/>
  <c r="LC35" i="1"/>
  <c r="MS35" i="1"/>
  <c r="MS60" i="1" s="1"/>
  <c r="MC35" i="1"/>
  <c r="LR35" i="1"/>
  <c r="LR60" i="1" s="1"/>
  <c r="LB35" i="1"/>
  <c r="MR35" i="1"/>
  <c r="MR60" i="1" s="1"/>
  <c r="MB35" i="1"/>
  <c r="LQ35" i="1"/>
  <c r="LQ60" i="1" s="1"/>
  <c r="LA35" i="1"/>
  <c r="MQ35" i="1"/>
  <c r="MQ60" i="1" s="1"/>
  <c r="LP35" i="1"/>
  <c r="LP60" i="1" s="1"/>
  <c r="KZ35" i="1"/>
  <c r="MP35" i="1"/>
  <c r="MP60" i="1" s="1"/>
  <c r="LO35" i="1"/>
  <c r="LO60" i="1" s="1"/>
  <c r="KY35" i="1"/>
  <c r="MO35" i="1"/>
  <c r="MO60" i="1" s="1"/>
  <c r="MN35" i="1"/>
  <c r="MN60" i="1" s="1"/>
  <c r="MM35" i="1"/>
  <c r="MY35" i="1"/>
  <c r="MY60" i="1" s="1"/>
  <c r="MI35" i="1"/>
  <c r="MX35" i="1"/>
  <c r="MX60" i="1" s="1"/>
  <c r="MH35" i="1"/>
  <c r="MW35" i="1"/>
  <c r="MW60" i="1" s="1"/>
  <c r="MG35" i="1"/>
  <c r="MV35" i="1"/>
  <c r="MV60" i="1" s="1"/>
  <c r="MF35" i="1"/>
  <c r="MZ35" i="1"/>
  <c r="MZ60" i="1" s="1"/>
  <c r="KK35" i="1"/>
  <c r="KK60" i="1" s="1"/>
  <c r="JU35" i="1"/>
  <c r="ML35" i="1"/>
  <c r="LU35" i="1"/>
  <c r="LU60" i="1" s="1"/>
  <c r="KJ35" i="1"/>
  <c r="KJ60" i="1" s="1"/>
  <c r="JT35" i="1"/>
  <c r="MK35" i="1"/>
  <c r="LN35" i="1"/>
  <c r="LN60" i="1" s="1"/>
  <c r="KI35" i="1"/>
  <c r="KI60" i="1" s="1"/>
  <c r="JS35" i="1"/>
  <c r="MJ35" i="1"/>
  <c r="LM35" i="1"/>
  <c r="LM60" i="1" s="1"/>
  <c r="KH35" i="1"/>
  <c r="KH60" i="1" s="1"/>
  <c r="JR35" i="1"/>
  <c r="LL35" i="1"/>
  <c r="LL60" i="1" s="1"/>
  <c r="KG35" i="1"/>
  <c r="KG60" i="1" s="1"/>
  <c r="LK35" i="1"/>
  <c r="LK60" i="1" s="1"/>
  <c r="KF35" i="1"/>
  <c r="KF60" i="1" s="1"/>
  <c r="LJ35" i="1"/>
  <c r="LJ60" i="1" s="1"/>
  <c r="LI35" i="1"/>
  <c r="LI60" i="1" s="1"/>
  <c r="LH35" i="1"/>
  <c r="KW35" i="1"/>
  <c r="KB35" i="1"/>
  <c r="IY35" i="1"/>
  <c r="IY60" i="1" s="1"/>
  <c r="IX35" i="1"/>
  <c r="IU35" i="1"/>
  <c r="LG35" i="1"/>
  <c r="KA35" i="1"/>
  <c r="LF35" i="1"/>
  <c r="JZ35" i="1"/>
  <c r="IW35" i="1"/>
  <c r="LE35" i="1"/>
  <c r="IV35" i="1"/>
  <c r="KX35" i="1"/>
  <c r="JX35" i="1"/>
  <c r="JK35" i="1"/>
  <c r="JK60" i="1" s="1"/>
  <c r="JW35" i="1"/>
  <c r="JJ35" i="1"/>
  <c r="JJ60" i="1" s="1"/>
  <c r="IT35" i="1"/>
  <c r="IS35" i="1"/>
  <c r="JH35" i="1"/>
  <c r="JH60" i="1" s="1"/>
  <c r="IR35" i="1"/>
  <c r="KP35" i="1"/>
  <c r="KP60" i="1" s="1"/>
  <c r="KO35" i="1"/>
  <c r="KO60" i="1" s="1"/>
  <c r="KN35" i="1"/>
  <c r="KN60" i="1" s="1"/>
  <c r="KD35" i="1"/>
  <c r="KD60" i="1" s="1"/>
  <c r="IZ35" i="1"/>
  <c r="IZ60" i="1" s="1"/>
  <c r="IN35" i="1"/>
  <c r="IQ35" i="1"/>
  <c r="KM35" i="1"/>
  <c r="KM60" i="1" s="1"/>
  <c r="IP35" i="1"/>
  <c r="KL35" i="1"/>
  <c r="KL60" i="1" s="1"/>
  <c r="IO35" i="1"/>
  <c r="JD35" i="1"/>
  <c r="JD60" i="1" s="1"/>
  <c r="KE35" i="1"/>
  <c r="KE60" i="1" s="1"/>
  <c r="KC35" i="1"/>
  <c r="JE35" i="1"/>
  <c r="JE60" i="1" s="1"/>
  <c r="JG35" i="1"/>
  <c r="JG60" i="1" s="1"/>
  <c r="JF35" i="1"/>
  <c r="JF60" i="1" s="1"/>
  <c r="JC35" i="1"/>
  <c r="JC60" i="1" s="1"/>
  <c r="JB35" i="1"/>
  <c r="JB60" i="1" s="1"/>
  <c r="JA35" i="1"/>
  <c r="JA60" i="1" s="1"/>
  <c r="LS35" i="1"/>
  <c r="LS60" i="1" s="1"/>
  <c r="HV48" i="1"/>
  <c r="HS50" i="1"/>
  <c r="HR24" i="1"/>
  <c r="HU30" i="1"/>
  <c r="AI12" i="1"/>
  <c r="MG12" i="1"/>
  <c r="MF12" i="1"/>
  <c r="ME12" i="1"/>
  <c r="MD12" i="1"/>
  <c r="LC12" i="1"/>
  <c r="IM12" i="1"/>
  <c r="IW12" i="1"/>
  <c r="IX12" i="1"/>
  <c r="IU12" i="1"/>
  <c r="IP12" i="1"/>
  <c r="IV12" i="1"/>
  <c r="JX12" i="1"/>
  <c r="IN12" i="1"/>
  <c r="IT12" i="1"/>
  <c r="IS12" i="1"/>
  <c r="IR12" i="1"/>
  <c r="IQ12" i="1"/>
  <c r="IO12" i="1"/>
  <c r="KB12" i="1"/>
  <c r="JV12" i="1"/>
  <c r="JV35" i="1"/>
  <c r="IM35" i="1"/>
  <c r="JY35" i="1"/>
  <c r="HU57" i="1"/>
  <c r="HT43" i="1"/>
  <c r="HS33" i="1"/>
  <c r="JI35" i="1"/>
  <c r="JI60" i="1" s="1"/>
  <c r="AM60" i="1"/>
  <c r="AW10" i="1"/>
  <c r="AW60" i="1" s="1"/>
  <c r="AR10" i="1"/>
  <c r="AR60" i="1" s="1"/>
  <c r="CY46" i="1"/>
  <c r="CX46" i="1"/>
  <c r="CY57" i="1"/>
  <c r="CX57" i="1"/>
  <c r="CY49" i="1"/>
  <c r="CX49" i="1"/>
  <c r="CY44" i="1"/>
  <c r="CX44" i="1"/>
  <c r="CX42" i="1"/>
  <c r="CY42" i="1"/>
  <c r="CY47" i="1"/>
  <c r="CX47" i="1"/>
  <c r="CY26" i="1"/>
  <c r="CX26" i="1"/>
  <c r="CY23" i="1"/>
  <c r="CX23" i="1"/>
  <c r="CY51" i="1"/>
  <c r="CX51" i="1"/>
  <c r="CY24" i="1"/>
  <c r="CX24" i="1"/>
  <c r="CY33" i="1"/>
  <c r="CX33" i="1"/>
  <c r="CY43" i="1"/>
  <c r="CX43" i="1"/>
  <c r="CY40" i="1"/>
  <c r="CX40" i="1"/>
  <c r="CY58" i="1"/>
  <c r="CX58" i="1"/>
  <c r="CY27" i="1"/>
  <c r="CX27" i="1"/>
  <c r="CY56" i="1"/>
  <c r="CX56" i="1"/>
  <c r="CX29" i="1"/>
  <c r="CY29" i="1"/>
  <c r="CY31" i="1"/>
  <c r="CX31" i="1"/>
  <c r="CY32" i="1"/>
  <c r="CX32" i="1"/>
  <c r="CY41" i="1"/>
  <c r="CX41" i="1"/>
  <c r="CX21" i="1"/>
  <c r="CY21" i="1"/>
  <c r="CY50" i="1"/>
  <c r="CX50" i="1"/>
  <c r="CY22" i="1"/>
  <c r="CX22" i="1"/>
  <c r="CY55" i="1"/>
  <c r="CX55" i="1"/>
  <c r="CY48" i="1"/>
  <c r="CX48" i="1"/>
  <c r="CY54" i="1"/>
  <c r="CX54" i="1"/>
  <c r="CY28" i="1"/>
  <c r="CX28" i="1"/>
  <c r="CX25" i="1"/>
  <c r="CY25" i="1"/>
  <c r="CY30" i="1"/>
  <c r="CX30" i="1"/>
  <c r="CY45" i="1"/>
  <c r="CX45" i="1"/>
  <c r="CY52" i="1"/>
  <c r="CX52" i="1"/>
  <c r="BT26" i="1"/>
  <c r="BS26" i="1"/>
  <c r="BT32" i="1"/>
  <c r="BS32" i="1"/>
  <c r="BT56" i="1"/>
  <c r="BS56" i="1"/>
  <c r="BT33" i="1"/>
  <c r="BS33" i="1"/>
  <c r="BS49" i="1"/>
  <c r="BT49" i="1"/>
  <c r="BT43" i="1"/>
  <c r="BS43" i="1"/>
  <c r="BT29" i="1"/>
  <c r="BS29" i="1"/>
  <c r="BT44" i="1"/>
  <c r="BS44" i="1"/>
  <c r="BT21" i="1"/>
  <c r="BS21" i="1"/>
  <c r="BT42" i="1"/>
  <c r="BS42" i="1"/>
  <c r="BT23" i="1"/>
  <c r="BS23" i="1"/>
  <c r="BT40" i="1"/>
  <c r="BS40" i="1"/>
  <c r="BS41" i="1"/>
  <c r="BT41" i="1"/>
  <c r="BT22" i="1"/>
  <c r="BS22" i="1"/>
  <c r="BT48" i="1"/>
  <c r="BS48" i="1"/>
  <c r="BT25" i="1"/>
  <c r="BS25" i="1"/>
  <c r="BS45" i="1"/>
  <c r="BT45" i="1"/>
  <c r="BT54" i="1"/>
  <c r="BS54" i="1"/>
  <c r="BT46" i="1"/>
  <c r="BS46" i="1"/>
  <c r="BT51" i="1"/>
  <c r="BS51" i="1"/>
  <c r="BT52" i="1"/>
  <c r="BS52" i="1"/>
  <c r="BT47" i="1"/>
  <c r="BS47" i="1"/>
  <c r="BT31" i="1"/>
  <c r="BS31" i="1"/>
  <c r="BT50" i="1"/>
  <c r="BS50" i="1"/>
  <c r="BT30" i="1"/>
  <c r="BS30" i="1"/>
  <c r="BT58" i="1"/>
  <c r="BS58" i="1"/>
  <c r="BT55" i="1"/>
  <c r="BS55" i="1"/>
  <c r="BT28" i="1"/>
  <c r="BS28" i="1"/>
  <c r="BT57" i="1"/>
  <c r="BS57" i="1"/>
  <c r="BT27" i="1"/>
  <c r="BS27" i="1"/>
  <c r="BT24" i="1"/>
  <c r="BS24" i="1"/>
  <c r="O39" i="1"/>
  <c r="HV30" i="1"/>
  <c r="HR30" i="1"/>
  <c r="HT30" i="1"/>
  <c r="HR48" i="1"/>
  <c r="HU48" i="1"/>
  <c r="HS53" i="1"/>
  <c r="HT48" i="1"/>
  <c r="HV33" i="1"/>
  <c r="HJ53" i="1"/>
  <c r="HS48" i="1"/>
  <c r="HU33" i="1"/>
  <c r="HI53" i="1"/>
  <c r="HK53" i="1"/>
  <c r="HP53" i="1"/>
  <c r="HQ53" i="1"/>
  <c r="E23" i="11"/>
  <c r="E24" i="11" s="1"/>
  <c r="E26" i="11" s="1"/>
  <c r="AU23" i="11"/>
  <c r="AU24" i="11" s="1"/>
  <c r="AU26" i="11" s="1"/>
  <c r="CK23" i="11"/>
  <c r="CK24" i="11" s="1"/>
  <c r="CK26" i="11" s="1"/>
  <c r="HS30" i="1"/>
  <c r="HU50" i="1"/>
  <c r="HT50" i="1"/>
  <c r="HR50" i="1"/>
  <c r="HV50" i="1"/>
  <c r="GL57" i="1"/>
  <c r="GD57" i="1"/>
  <c r="GP57" i="1"/>
  <c r="GM57" i="1"/>
  <c r="GG57" i="1"/>
  <c r="GO57" i="1"/>
  <c r="GN57" i="1"/>
  <c r="GH57" i="1"/>
  <c r="GF57" i="1"/>
  <c r="GQ57" i="1"/>
  <c r="GK57" i="1"/>
  <c r="GJ57" i="1"/>
  <c r="GC57" i="1"/>
  <c r="GE57" i="1"/>
  <c r="GI57" i="1"/>
  <c r="HT33" i="1"/>
  <c r="GN22" i="1"/>
  <c r="GI22" i="1"/>
  <c r="GD22" i="1"/>
  <c r="GH22" i="1"/>
  <c r="GJ22" i="1"/>
  <c r="GG22" i="1"/>
  <c r="GK22" i="1"/>
  <c r="GC22" i="1"/>
  <c r="GL22" i="1"/>
  <c r="GF22" i="1"/>
  <c r="GE22" i="1"/>
  <c r="GQ22" i="1"/>
  <c r="GP22" i="1"/>
  <c r="GM22" i="1"/>
  <c r="GO22" i="1"/>
  <c r="FI57" i="1"/>
  <c r="FE57" i="1"/>
  <c r="FF57" i="1"/>
  <c r="EZ57" i="1"/>
  <c r="FB57" i="1"/>
  <c r="EX57" i="1"/>
  <c r="FL57" i="1"/>
  <c r="FJ57" i="1"/>
  <c r="FH57" i="1"/>
  <c r="FG57" i="1"/>
  <c r="FD57" i="1"/>
  <c r="FC57" i="1"/>
  <c r="FA57" i="1"/>
  <c r="EY57" i="1"/>
  <c r="FK57" i="1"/>
  <c r="FI43" i="1"/>
  <c r="FJ43" i="1"/>
  <c r="FD43" i="1"/>
  <c r="EX43" i="1"/>
  <c r="FL43" i="1"/>
  <c r="FG43" i="1"/>
  <c r="FF43" i="1"/>
  <c r="FA43" i="1"/>
  <c r="EZ43" i="1"/>
  <c r="FC43" i="1"/>
  <c r="FB43" i="1"/>
  <c r="EY43" i="1"/>
  <c r="FK43" i="1"/>
  <c r="FH43" i="1"/>
  <c r="FE43" i="1"/>
  <c r="FF33" i="1"/>
  <c r="FA33" i="1"/>
  <c r="EX33" i="1"/>
  <c r="FK33" i="1"/>
  <c r="FH33" i="1"/>
  <c r="FG33" i="1"/>
  <c r="FC33" i="1"/>
  <c r="FJ33" i="1"/>
  <c r="EZ33" i="1"/>
  <c r="EY33" i="1"/>
  <c r="FL33" i="1"/>
  <c r="FI33" i="1"/>
  <c r="FE33" i="1"/>
  <c r="FD33" i="1"/>
  <c r="FB33" i="1"/>
  <c r="DT55" i="1"/>
  <c r="DS55" i="1"/>
  <c r="EE55" i="1"/>
  <c r="EB55" i="1"/>
  <c r="EG55" i="1"/>
  <c r="EA55" i="1"/>
  <c r="ED55" i="1"/>
  <c r="EC55" i="1"/>
  <c r="DZ55" i="1"/>
  <c r="DX55" i="1"/>
  <c r="DV55" i="1"/>
  <c r="DW55" i="1"/>
  <c r="EF55" i="1"/>
  <c r="DY55" i="1"/>
  <c r="DU55" i="1"/>
  <c r="DS26" i="1"/>
  <c r="ED26" i="1"/>
  <c r="EG26" i="1"/>
  <c r="EF26" i="1"/>
  <c r="EE26" i="1"/>
  <c r="EC26" i="1"/>
  <c r="EA26" i="1"/>
  <c r="DY26" i="1"/>
  <c r="DZ26" i="1"/>
  <c r="EB26" i="1"/>
  <c r="DX26" i="1"/>
  <c r="DW26" i="1"/>
  <c r="DV26" i="1"/>
  <c r="DU26" i="1"/>
  <c r="DT26" i="1"/>
  <c r="GN58" i="1"/>
  <c r="GG58" i="1"/>
  <c r="GL58" i="1"/>
  <c r="GP58" i="1"/>
  <c r="GO58" i="1"/>
  <c r="GJ58" i="1"/>
  <c r="GF58" i="1"/>
  <c r="GE58" i="1"/>
  <c r="GD58" i="1"/>
  <c r="GC58" i="1"/>
  <c r="GQ58" i="1"/>
  <c r="GM58" i="1"/>
  <c r="GK58" i="1"/>
  <c r="GI58" i="1"/>
  <c r="GH58" i="1"/>
  <c r="ED45" i="1"/>
  <c r="DZ45" i="1"/>
  <c r="DY45" i="1"/>
  <c r="DU45" i="1"/>
  <c r="DT45" i="1"/>
  <c r="EB45" i="1"/>
  <c r="EA45" i="1"/>
  <c r="DX45" i="1"/>
  <c r="DV45" i="1"/>
  <c r="DS45" i="1"/>
  <c r="DW45" i="1"/>
  <c r="EG45" i="1"/>
  <c r="EF45" i="1"/>
  <c r="EE45" i="1"/>
  <c r="EC45" i="1"/>
  <c r="FK58" i="1"/>
  <c r="FG58" i="1"/>
  <c r="FJ58" i="1"/>
  <c r="FD58" i="1"/>
  <c r="FI58" i="1"/>
  <c r="FB58" i="1"/>
  <c r="FH58" i="1"/>
  <c r="FF58" i="1"/>
  <c r="FE58" i="1"/>
  <c r="FC58" i="1"/>
  <c r="FA58" i="1"/>
  <c r="EZ58" i="1"/>
  <c r="EY58" i="1"/>
  <c r="EX58" i="1"/>
  <c r="FL58" i="1"/>
  <c r="AH55" i="1"/>
  <c r="AI55" i="1" s="1"/>
  <c r="GP31" i="1"/>
  <c r="GC31" i="1"/>
  <c r="GN31" i="1"/>
  <c r="GM31" i="1"/>
  <c r="GQ31" i="1"/>
  <c r="GJ31" i="1"/>
  <c r="GF31" i="1"/>
  <c r="GE31" i="1"/>
  <c r="GD31" i="1"/>
  <c r="GG31" i="1"/>
  <c r="GI31" i="1"/>
  <c r="GO31" i="1"/>
  <c r="GL31" i="1"/>
  <c r="GK31" i="1"/>
  <c r="GH31" i="1"/>
  <c r="DY29" i="1"/>
  <c r="DX29" i="1"/>
  <c r="DT29" i="1"/>
  <c r="EF29" i="1"/>
  <c r="EC29" i="1"/>
  <c r="EB29" i="1"/>
  <c r="EE29" i="1"/>
  <c r="EG29" i="1"/>
  <c r="EA29" i="1"/>
  <c r="DZ29" i="1"/>
  <c r="DW29" i="1"/>
  <c r="DV29" i="1"/>
  <c r="DU29" i="1"/>
  <c r="DS29" i="1"/>
  <c r="ED29" i="1"/>
  <c r="GJ40" i="1"/>
  <c r="GC40" i="1"/>
  <c r="GO40" i="1"/>
  <c r="GN40" i="1"/>
  <c r="GH40" i="1"/>
  <c r="GL40" i="1"/>
  <c r="GP40" i="1"/>
  <c r="GM40" i="1"/>
  <c r="GI40" i="1"/>
  <c r="GG40" i="1"/>
  <c r="GQ40" i="1"/>
  <c r="GK40" i="1"/>
  <c r="GF40" i="1"/>
  <c r="GE40" i="1"/>
  <c r="GD40" i="1"/>
  <c r="GL29" i="1"/>
  <c r="GN29" i="1"/>
  <c r="GH29" i="1"/>
  <c r="GG29" i="1"/>
  <c r="GP29" i="1"/>
  <c r="GJ29" i="1"/>
  <c r="GC29" i="1"/>
  <c r="GQ29" i="1"/>
  <c r="GO29" i="1"/>
  <c r="GM29" i="1"/>
  <c r="GF29" i="1"/>
  <c r="GK29" i="1"/>
  <c r="GI29" i="1"/>
  <c r="GE29" i="1"/>
  <c r="GD29" i="1"/>
  <c r="EA23" i="11"/>
  <c r="EA24" i="11" s="1"/>
  <c r="EA26" i="11" s="1"/>
  <c r="HM53" i="1"/>
  <c r="HV57" i="1"/>
  <c r="HR43" i="1"/>
  <c r="HT24" i="1"/>
  <c r="EY46" i="1"/>
  <c r="FB46" i="1"/>
  <c r="FH46" i="1"/>
  <c r="FK46" i="1"/>
  <c r="FJ46" i="1"/>
  <c r="FI46" i="1"/>
  <c r="FF46" i="1"/>
  <c r="FE46" i="1"/>
  <c r="FD46" i="1"/>
  <c r="EZ46" i="1"/>
  <c r="FA46" i="1"/>
  <c r="EX46" i="1"/>
  <c r="FL46" i="1"/>
  <c r="FG46" i="1"/>
  <c r="FC46" i="1"/>
  <c r="GL41" i="1"/>
  <c r="GF41" i="1"/>
  <c r="GN41" i="1"/>
  <c r="GJ41" i="1"/>
  <c r="GI41" i="1"/>
  <c r="GD41" i="1"/>
  <c r="GC41" i="1"/>
  <c r="GE41" i="1"/>
  <c r="GQ41" i="1"/>
  <c r="GH41" i="1"/>
  <c r="GO41" i="1"/>
  <c r="GP41" i="1"/>
  <c r="GM41" i="1"/>
  <c r="GK41" i="1"/>
  <c r="GG41" i="1"/>
  <c r="S20" i="1"/>
  <c r="T21" i="1"/>
  <c r="FA47" i="1"/>
  <c r="FE47" i="1"/>
  <c r="EY47" i="1"/>
  <c r="EZ47" i="1"/>
  <c r="FL47" i="1"/>
  <c r="FK47" i="1"/>
  <c r="FH47" i="1"/>
  <c r="FJ47" i="1"/>
  <c r="FI47" i="1"/>
  <c r="FG47" i="1"/>
  <c r="FF47" i="1"/>
  <c r="FD47" i="1"/>
  <c r="EX47" i="1"/>
  <c r="FC47" i="1"/>
  <c r="FB47" i="1"/>
  <c r="HR53" i="1"/>
  <c r="AH40" i="1"/>
  <c r="AH42" i="1"/>
  <c r="AI42" i="1" s="1"/>
  <c r="AH29" i="1"/>
  <c r="AI29" i="1" s="1"/>
  <c r="X20" i="1"/>
  <c r="P30" i="7" s="1"/>
  <c r="Y22" i="1"/>
  <c r="Y20" i="1" s="1"/>
  <c r="Y10" i="1" s="1"/>
  <c r="DZ58" i="1"/>
  <c r="EC58" i="1"/>
  <c r="DW58" i="1"/>
  <c r="DY58" i="1"/>
  <c r="ED58" i="1"/>
  <c r="EB58" i="1"/>
  <c r="DV58" i="1"/>
  <c r="DU58" i="1"/>
  <c r="DX58" i="1"/>
  <c r="DT58" i="1"/>
  <c r="DS58" i="1"/>
  <c r="EG58" i="1"/>
  <c r="EE58" i="1"/>
  <c r="EA58" i="1"/>
  <c r="EF58" i="1"/>
  <c r="FK44" i="1"/>
  <c r="FG44" i="1"/>
  <c r="FC44" i="1"/>
  <c r="EX44" i="1"/>
  <c r="FL44" i="1"/>
  <c r="FJ44" i="1"/>
  <c r="FI44" i="1"/>
  <c r="FE44" i="1"/>
  <c r="FB44" i="1"/>
  <c r="FA44" i="1"/>
  <c r="EZ44" i="1"/>
  <c r="EY44" i="1"/>
  <c r="FF44" i="1"/>
  <c r="FD44" i="1"/>
  <c r="FH44" i="1"/>
  <c r="DX42" i="1"/>
  <c r="EG42" i="1"/>
  <c r="EC42" i="1"/>
  <c r="DT42" i="1"/>
  <c r="EE42" i="1"/>
  <c r="EF42" i="1"/>
  <c r="DU42" i="1"/>
  <c r="DS42" i="1"/>
  <c r="DZ42" i="1"/>
  <c r="EB42" i="1"/>
  <c r="EA42" i="1"/>
  <c r="DY42" i="1"/>
  <c r="ED42" i="1"/>
  <c r="DW42" i="1"/>
  <c r="DV42" i="1"/>
  <c r="HT57" i="1"/>
  <c r="HS43" i="1"/>
  <c r="HS24" i="1"/>
  <c r="GF46" i="1"/>
  <c r="GD46" i="1"/>
  <c r="GP46" i="1"/>
  <c r="GI46" i="1"/>
  <c r="GJ46" i="1"/>
  <c r="GH46" i="1"/>
  <c r="GQ46" i="1"/>
  <c r="GO46" i="1"/>
  <c r="GN46" i="1"/>
  <c r="GM46" i="1"/>
  <c r="GL46" i="1"/>
  <c r="GK46" i="1"/>
  <c r="GC46" i="1"/>
  <c r="GG46" i="1"/>
  <c r="GE46" i="1"/>
  <c r="FE41" i="1"/>
  <c r="FC41" i="1"/>
  <c r="EX41" i="1"/>
  <c r="FG41" i="1"/>
  <c r="EZ41" i="1"/>
  <c r="FL41" i="1"/>
  <c r="FK41" i="1"/>
  <c r="FF41" i="1"/>
  <c r="FD41" i="1"/>
  <c r="EY41" i="1"/>
  <c r="FJ41" i="1"/>
  <c r="FI41" i="1"/>
  <c r="FH41" i="1"/>
  <c r="FB41" i="1"/>
  <c r="FA41" i="1"/>
  <c r="GL21" i="1"/>
  <c r="GF21" i="1"/>
  <c r="GC21" i="1"/>
  <c r="GP21" i="1"/>
  <c r="GO21" i="1"/>
  <c r="GJ21" i="1"/>
  <c r="GQ21" i="1"/>
  <c r="GN21" i="1"/>
  <c r="GM21" i="1"/>
  <c r="GK21" i="1"/>
  <c r="GI21" i="1"/>
  <c r="GH21" i="1"/>
  <c r="GG21" i="1"/>
  <c r="GE21" i="1"/>
  <c r="GD21" i="1"/>
  <c r="GH47" i="1"/>
  <c r="GG47" i="1"/>
  <c r="GN47" i="1"/>
  <c r="GI47" i="1"/>
  <c r="GQ47" i="1"/>
  <c r="GP47" i="1"/>
  <c r="GK47" i="1"/>
  <c r="GJ47" i="1"/>
  <c r="GD47" i="1"/>
  <c r="GO47" i="1"/>
  <c r="GM47" i="1"/>
  <c r="GL47" i="1"/>
  <c r="GE47" i="1"/>
  <c r="GC47" i="1"/>
  <c r="GF47" i="1"/>
  <c r="DU27" i="1"/>
  <c r="EF27" i="1"/>
  <c r="DW27" i="1"/>
  <c r="DS27" i="1"/>
  <c r="DV27" i="1"/>
  <c r="DT27" i="1"/>
  <c r="DY27" i="1"/>
  <c r="DX27" i="1"/>
  <c r="EE27" i="1"/>
  <c r="ED27" i="1"/>
  <c r="EC27" i="1"/>
  <c r="EG27" i="1"/>
  <c r="EA27" i="1"/>
  <c r="DZ27" i="1"/>
  <c r="EB27" i="1"/>
  <c r="FC28" i="1"/>
  <c r="FH28" i="1"/>
  <c r="FB28" i="1"/>
  <c r="FI28" i="1"/>
  <c r="FA28" i="1"/>
  <c r="FJ28" i="1"/>
  <c r="FG28" i="1"/>
  <c r="FD28" i="1"/>
  <c r="EZ28" i="1"/>
  <c r="EY28" i="1"/>
  <c r="EX28" i="1"/>
  <c r="FF28" i="1"/>
  <c r="FE28" i="1"/>
  <c r="FL28" i="1"/>
  <c r="FK28" i="1"/>
  <c r="GJ48" i="1"/>
  <c r="GK48" i="1"/>
  <c r="GE48" i="1"/>
  <c r="GN48" i="1"/>
  <c r="GC48" i="1"/>
  <c r="GQ48" i="1"/>
  <c r="GM48" i="1"/>
  <c r="GG48" i="1"/>
  <c r="GF48" i="1"/>
  <c r="GD48" i="1"/>
  <c r="GI48" i="1"/>
  <c r="GH48" i="1"/>
  <c r="GP48" i="1"/>
  <c r="GO48" i="1"/>
  <c r="GL48" i="1"/>
  <c r="GN50" i="1"/>
  <c r="GQ50" i="1"/>
  <c r="GK50" i="1"/>
  <c r="GJ50" i="1"/>
  <c r="GE50" i="1"/>
  <c r="GM50" i="1"/>
  <c r="GL50" i="1"/>
  <c r="GG50" i="1"/>
  <c r="GO50" i="1"/>
  <c r="GI50" i="1"/>
  <c r="GH50" i="1"/>
  <c r="GF50" i="1"/>
  <c r="GD50" i="1"/>
  <c r="GP50" i="1"/>
  <c r="GC50" i="1"/>
  <c r="GH55" i="1"/>
  <c r="GO55" i="1"/>
  <c r="GJ55" i="1"/>
  <c r="GP55" i="1"/>
  <c r="GM55" i="1"/>
  <c r="GL55" i="1"/>
  <c r="GG55" i="1"/>
  <c r="GQ55" i="1"/>
  <c r="GN55" i="1"/>
  <c r="GK55" i="1"/>
  <c r="GI55" i="1"/>
  <c r="GF55" i="1"/>
  <c r="GE55" i="1"/>
  <c r="GD55" i="1"/>
  <c r="GC55" i="1"/>
  <c r="O20" i="1"/>
  <c r="O10" i="1" s="1"/>
  <c r="EA22" i="1"/>
  <c r="DV22" i="1"/>
  <c r="EG22" i="1"/>
  <c r="EF22" i="1"/>
  <c r="DT22" i="1"/>
  <c r="DS22" i="1"/>
  <c r="DW22" i="1"/>
  <c r="EE22" i="1"/>
  <c r="ED22" i="1"/>
  <c r="DU22" i="1"/>
  <c r="EC22" i="1"/>
  <c r="EB22" i="1"/>
  <c r="DZ22" i="1"/>
  <c r="DY22" i="1"/>
  <c r="DX22" i="1"/>
  <c r="GF26" i="1"/>
  <c r="GD26" i="1"/>
  <c r="GP26" i="1"/>
  <c r="GK26" i="1"/>
  <c r="GE26" i="1"/>
  <c r="GM26" i="1"/>
  <c r="GH26" i="1"/>
  <c r="GN26" i="1"/>
  <c r="GI26" i="1"/>
  <c r="GG26" i="1"/>
  <c r="GO26" i="1"/>
  <c r="GQ26" i="1"/>
  <c r="GJ26" i="1"/>
  <c r="GC26" i="1"/>
  <c r="GL26" i="1"/>
  <c r="EY45" i="1"/>
  <c r="FJ45" i="1"/>
  <c r="FH45" i="1"/>
  <c r="FC45" i="1"/>
  <c r="FD45" i="1"/>
  <c r="FB45" i="1"/>
  <c r="FA45" i="1"/>
  <c r="EX45" i="1"/>
  <c r="FL45" i="1"/>
  <c r="FK45" i="1"/>
  <c r="FI45" i="1"/>
  <c r="FG45" i="1"/>
  <c r="FE45" i="1"/>
  <c r="EZ45" i="1"/>
  <c r="FF45" i="1"/>
  <c r="AH26" i="1"/>
  <c r="AI26" i="1" s="1"/>
  <c r="HR57" i="1"/>
  <c r="GJ56" i="1"/>
  <c r="GM56" i="1"/>
  <c r="GG56" i="1"/>
  <c r="GF56" i="1"/>
  <c r="GE56" i="1"/>
  <c r="GP56" i="1"/>
  <c r="GC56" i="1"/>
  <c r="GD56" i="1"/>
  <c r="GQ56" i="1"/>
  <c r="GI56" i="1"/>
  <c r="GH56" i="1"/>
  <c r="GN56" i="1"/>
  <c r="GO56" i="1"/>
  <c r="GL56" i="1"/>
  <c r="GK56" i="1"/>
  <c r="FE29" i="1"/>
  <c r="FK29" i="1"/>
  <c r="FF29" i="1"/>
  <c r="FH29" i="1"/>
  <c r="FA29" i="1"/>
  <c r="EZ29" i="1"/>
  <c r="FL29" i="1"/>
  <c r="FJ29" i="1"/>
  <c r="FI29" i="1"/>
  <c r="FG29" i="1"/>
  <c r="FD29" i="1"/>
  <c r="FC29" i="1"/>
  <c r="EX29" i="1"/>
  <c r="FB29" i="1"/>
  <c r="EY29" i="1"/>
  <c r="AH52" i="1"/>
  <c r="AI52" i="1" s="1"/>
  <c r="FC48" i="1"/>
  <c r="FH48" i="1"/>
  <c r="FB48" i="1"/>
  <c r="FF48" i="1"/>
  <c r="EY48" i="1"/>
  <c r="FG48" i="1"/>
  <c r="FE48" i="1"/>
  <c r="FD48" i="1"/>
  <c r="EZ48" i="1"/>
  <c r="EX48" i="1"/>
  <c r="FL48" i="1"/>
  <c r="FK48" i="1"/>
  <c r="FJ48" i="1"/>
  <c r="FI48" i="1"/>
  <c r="FA48" i="1"/>
  <c r="GD33" i="1"/>
  <c r="GI33" i="1"/>
  <c r="GC33" i="1"/>
  <c r="GM33" i="1"/>
  <c r="GG33" i="1"/>
  <c r="GN33" i="1"/>
  <c r="GL33" i="1"/>
  <c r="GF33" i="1"/>
  <c r="GJ33" i="1"/>
  <c r="GH33" i="1"/>
  <c r="GQ33" i="1"/>
  <c r="GP33" i="1"/>
  <c r="GO33" i="1"/>
  <c r="GK33" i="1"/>
  <c r="GE33" i="1"/>
  <c r="AH32" i="1"/>
  <c r="AI32" i="1" s="1"/>
  <c r="DV13" i="1"/>
  <c r="DV12" i="1" s="1"/>
  <c r="DW13" i="1"/>
  <c r="DW12" i="1" s="1"/>
  <c r="DY13" i="1"/>
  <c r="DY12" i="1" s="1"/>
  <c r="DZ13" i="1"/>
  <c r="DZ12" i="1" s="1"/>
  <c r="ED13" i="1"/>
  <c r="ED12" i="1" s="1"/>
  <c r="EA13" i="1"/>
  <c r="EA12" i="1" s="1"/>
  <c r="EE13" i="1"/>
  <c r="EE12" i="1" s="1"/>
  <c r="EF13" i="1"/>
  <c r="EF12" i="1" s="1"/>
  <c r="DT13" i="1"/>
  <c r="DT12" i="1" s="1"/>
  <c r="DU13" i="1"/>
  <c r="DU12" i="1" s="1"/>
  <c r="T12" i="1"/>
  <c r="DX13" i="1"/>
  <c r="DX12" i="1" s="1"/>
  <c r="EB13" i="1"/>
  <c r="EB12" i="1" s="1"/>
  <c r="EC13" i="1"/>
  <c r="EC12" i="1" s="1"/>
  <c r="EG13" i="1"/>
  <c r="EG12" i="1" s="1"/>
  <c r="DS13" i="1"/>
  <c r="DS12" i="1" s="1"/>
  <c r="GP43" i="1"/>
  <c r="GL43" i="1"/>
  <c r="GG43" i="1"/>
  <c r="GK43" i="1"/>
  <c r="GE43" i="1"/>
  <c r="GD43" i="1"/>
  <c r="GC43" i="1"/>
  <c r="GO43" i="1"/>
  <c r="GI43" i="1"/>
  <c r="GH43" i="1"/>
  <c r="GQ43" i="1"/>
  <c r="GN43" i="1"/>
  <c r="GM43" i="1"/>
  <c r="GJ43" i="1"/>
  <c r="GF43" i="1"/>
  <c r="FE55" i="1"/>
  <c r="FA55" i="1"/>
  <c r="FJ55" i="1"/>
  <c r="FI55" i="1"/>
  <c r="FC55" i="1"/>
  <c r="FB55" i="1"/>
  <c r="EZ55" i="1"/>
  <c r="EY55" i="1"/>
  <c r="EX55" i="1"/>
  <c r="FK55" i="1"/>
  <c r="FH55" i="1"/>
  <c r="FG55" i="1"/>
  <c r="FF55" i="1"/>
  <c r="FD55" i="1"/>
  <c r="FL55" i="1"/>
  <c r="HR33" i="1"/>
  <c r="FK52" i="1"/>
  <c r="FC52" i="1"/>
  <c r="EX52" i="1"/>
  <c r="FI52" i="1"/>
  <c r="FD52" i="1"/>
  <c r="FL52" i="1"/>
  <c r="FJ52" i="1"/>
  <c r="FG52" i="1"/>
  <c r="FH52" i="1"/>
  <c r="FF52" i="1"/>
  <c r="FE52" i="1"/>
  <c r="FB52" i="1"/>
  <c r="FA52" i="1"/>
  <c r="EY52" i="1"/>
  <c r="EZ52" i="1"/>
  <c r="HN53" i="1"/>
  <c r="AC39" i="1"/>
  <c r="Q31" i="7" s="1"/>
  <c r="AD42" i="1"/>
  <c r="AD39" i="1" s="1"/>
  <c r="HO53" i="1"/>
  <c r="HS57" i="1"/>
  <c r="ED52" i="1"/>
  <c r="EA52" i="1"/>
  <c r="EF52" i="1"/>
  <c r="EB52" i="1"/>
  <c r="EG52" i="1"/>
  <c r="DZ52" i="1"/>
  <c r="DY52" i="1"/>
  <c r="EC52" i="1"/>
  <c r="EE52" i="1"/>
  <c r="DS52" i="1"/>
  <c r="DX52" i="1"/>
  <c r="DV52" i="1"/>
  <c r="DW52" i="1"/>
  <c r="DU52" i="1"/>
  <c r="DT52" i="1"/>
  <c r="DU23" i="11"/>
  <c r="DU24" i="11" s="1"/>
  <c r="DU26" i="11" s="1"/>
  <c r="AH44" i="1"/>
  <c r="AI44" i="1" s="1"/>
  <c r="FG56" i="1"/>
  <c r="FC56" i="1"/>
  <c r="FA56" i="1"/>
  <c r="FJ56" i="1"/>
  <c r="FL56" i="1"/>
  <c r="FK56" i="1"/>
  <c r="FI56" i="1"/>
  <c r="FH56" i="1"/>
  <c r="FF56" i="1"/>
  <c r="FE56" i="1"/>
  <c r="FD56" i="1"/>
  <c r="FB56" i="1"/>
  <c r="EY56" i="1"/>
  <c r="EZ56" i="1"/>
  <c r="EX56" i="1"/>
  <c r="HU43" i="1"/>
  <c r="DV41" i="1"/>
  <c r="EE41" i="1"/>
  <c r="ED41" i="1"/>
  <c r="DZ41" i="1"/>
  <c r="EC41" i="1"/>
  <c r="EB41" i="1"/>
  <c r="EF41" i="1"/>
  <c r="EA41" i="1"/>
  <c r="DY41" i="1"/>
  <c r="DW41" i="1"/>
  <c r="DT41" i="1"/>
  <c r="DU41" i="1"/>
  <c r="EG41" i="1"/>
  <c r="DX41" i="1"/>
  <c r="DS41" i="1"/>
  <c r="GH27" i="1"/>
  <c r="GG27" i="1"/>
  <c r="GP27" i="1"/>
  <c r="GK27" i="1"/>
  <c r="GE27" i="1"/>
  <c r="GD27" i="1"/>
  <c r="GO27" i="1"/>
  <c r="GM27" i="1"/>
  <c r="GL27" i="1"/>
  <c r="GJ27" i="1"/>
  <c r="GI27" i="1"/>
  <c r="GF27" i="1"/>
  <c r="GC27" i="1"/>
  <c r="GQ27" i="1"/>
  <c r="GN27" i="1"/>
  <c r="GJ28" i="1"/>
  <c r="GK28" i="1"/>
  <c r="GE28" i="1"/>
  <c r="GP28" i="1"/>
  <c r="GN28" i="1"/>
  <c r="GM28" i="1"/>
  <c r="GG28" i="1"/>
  <c r="GQ28" i="1"/>
  <c r="GO28" i="1"/>
  <c r="GI28" i="1"/>
  <c r="GH28" i="1"/>
  <c r="GL28" i="1"/>
  <c r="GF28" i="1"/>
  <c r="GD28" i="1"/>
  <c r="GC28" i="1"/>
  <c r="DZ50" i="1"/>
  <c r="DX50" i="1"/>
  <c r="DY50" i="1"/>
  <c r="DW50" i="1"/>
  <c r="DS50" i="1"/>
  <c r="EG50" i="1"/>
  <c r="EF50" i="1"/>
  <c r="ED50" i="1"/>
  <c r="EC50" i="1"/>
  <c r="EB50" i="1"/>
  <c r="EE50" i="1"/>
  <c r="EA50" i="1"/>
  <c r="DV50" i="1"/>
  <c r="DU50" i="1"/>
  <c r="DT50" i="1"/>
  <c r="HV43" i="1"/>
  <c r="HV24" i="1"/>
  <c r="AH46" i="1"/>
  <c r="AI46" i="1" s="1"/>
  <c r="AH41" i="1"/>
  <c r="AI41" i="1" s="1"/>
  <c r="AH21" i="1"/>
  <c r="AI21" i="1" s="1"/>
  <c r="AH47" i="1"/>
  <c r="AI47" i="1" s="1"/>
  <c r="FA27" i="1"/>
  <c r="FE27" i="1"/>
  <c r="EY27" i="1"/>
  <c r="FC27" i="1"/>
  <c r="FH27" i="1"/>
  <c r="FG27" i="1"/>
  <c r="EZ27" i="1"/>
  <c r="EX27" i="1"/>
  <c r="FI27" i="1"/>
  <c r="FF27" i="1"/>
  <c r="FD27" i="1"/>
  <c r="FB27" i="1"/>
  <c r="FL27" i="1"/>
  <c r="FK27" i="1"/>
  <c r="FJ27" i="1"/>
  <c r="DW28" i="1"/>
  <c r="EA28" i="1"/>
  <c r="DX28" i="1"/>
  <c r="DV28" i="1"/>
  <c r="ED28" i="1"/>
  <c r="EC28" i="1"/>
  <c r="EB28" i="1"/>
  <c r="DY28" i="1"/>
  <c r="DU28" i="1"/>
  <c r="DT28" i="1"/>
  <c r="DZ28" i="1"/>
  <c r="EF28" i="1"/>
  <c r="EG28" i="1"/>
  <c r="EE28" i="1"/>
  <c r="DS28" i="1"/>
  <c r="DT48" i="1"/>
  <c r="ED48" i="1"/>
  <c r="DV48" i="1"/>
  <c r="EG48" i="1"/>
  <c r="EF48" i="1"/>
  <c r="EC48" i="1"/>
  <c r="EB48" i="1"/>
  <c r="EA48" i="1"/>
  <c r="DX48" i="1"/>
  <c r="DW48" i="1"/>
  <c r="DU48" i="1"/>
  <c r="DS48" i="1"/>
  <c r="DZ48" i="1"/>
  <c r="EE48" i="1"/>
  <c r="DY48" i="1"/>
  <c r="FG50" i="1"/>
  <c r="FI50" i="1"/>
  <c r="EX50" i="1"/>
  <c r="FK50" i="1"/>
  <c r="FB50" i="1"/>
  <c r="FA50" i="1"/>
  <c r="EZ50" i="1"/>
  <c r="FL50" i="1"/>
  <c r="EY50" i="1"/>
  <c r="FD50" i="1"/>
  <c r="FC50" i="1"/>
  <c r="FJ50" i="1"/>
  <c r="FF50" i="1"/>
  <c r="FH50" i="1"/>
  <c r="FE50" i="1"/>
  <c r="AH22" i="1"/>
  <c r="GF52" i="1"/>
  <c r="GQ52" i="1"/>
  <c r="GD52" i="1"/>
  <c r="GP52" i="1"/>
  <c r="GN52" i="1"/>
  <c r="GM52" i="1"/>
  <c r="GI52" i="1"/>
  <c r="GH52" i="1"/>
  <c r="GC52" i="1"/>
  <c r="GO52" i="1"/>
  <c r="GL52" i="1"/>
  <c r="GG52" i="1"/>
  <c r="GK52" i="1"/>
  <c r="GJ52" i="1"/>
  <c r="GE52" i="1"/>
  <c r="EC31" i="1"/>
  <c r="EB31" i="1"/>
  <c r="DX31" i="1"/>
  <c r="DW31" i="1"/>
  <c r="DT31" i="1"/>
  <c r="DS31" i="1"/>
  <c r="EF31" i="1"/>
  <c r="ED31" i="1"/>
  <c r="EE31" i="1"/>
  <c r="DU31" i="1"/>
  <c r="EG31" i="1"/>
  <c r="EA31" i="1"/>
  <c r="DZ31" i="1"/>
  <c r="DY31" i="1"/>
  <c r="DV31" i="1"/>
  <c r="EF47" i="1"/>
  <c r="EE47" i="1"/>
  <c r="EA47" i="1"/>
  <c r="ED47" i="1"/>
  <c r="EC47" i="1"/>
  <c r="DX47" i="1"/>
  <c r="DW47" i="1"/>
  <c r="DV47" i="1"/>
  <c r="DT47" i="1"/>
  <c r="DS47" i="1"/>
  <c r="EG47" i="1"/>
  <c r="EB47" i="1"/>
  <c r="DZ47" i="1"/>
  <c r="DY47" i="1"/>
  <c r="DU47" i="1"/>
  <c r="EG54" i="1"/>
  <c r="EB54" i="1"/>
  <c r="DV54" i="1"/>
  <c r="DZ54" i="1"/>
  <c r="DY54" i="1"/>
  <c r="DT54" i="1"/>
  <c r="ED54" i="1"/>
  <c r="DX54" i="1"/>
  <c r="DW54" i="1"/>
  <c r="EF54" i="1"/>
  <c r="EE54" i="1"/>
  <c r="EC54" i="1"/>
  <c r="EA54" i="1"/>
  <c r="DU54" i="1"/>
  <c r="DS54" i="1"/>
  <c r="FE49" i="1"/>
  <c r="FK49" i="1"/>
  <c r="FF49" i="1"/>
  <c r="FL49" i="1"/>
  <c r="FD49" i="1"/>
  <c r="FI49" i="1"/>
  <c r="FH49" i="1"/>
  <c r="FG49" i="1"/>
  <c r="FC49" i="1"/>
  <c r="FA49" i="1"/>
  <c r="EZ49" i="1"/>
  <c r="EY49" i="1"/>
  <c r="EX49" i="1"/>
  <c r="FJ49" i="1"/>
  <c r="FB49" i="1"/>
  <c r="FG30" i="1"/>
  <c r="FI30" i="1"/>
  <c r="EZ30" i="1"/>
  <c r="FJ30" i="1"/>
  <c r="FH30" i="1"/>
  <c r="FC30" i="1"/>
  <c r="FB30" i="1"/>
  <c r="EX30" i="1"/>
  <c r="EY30" i="1"/>
  <c r="FL30" i="1"/>
  <c r="FK30" i="1"/>
  <c r="FD30" i="1"/>
  <c r="FF30" i="1"/>
  <c r="FE30" i="1"/>
  <c r="FA30" i="1"/>
  <c r="GP23" i="1"/>
  <c r="GL23" i="1"/>
  <c r="GG23" i="1"/>
  <c r="GN23" i="1"/>
  <c r="GH23" i="1"/>
  <c r="GQ23" i="1"/>
  <c r="GJ23" i="1"/>
  <c r="GD23" i="1"/>
  <c r="GO23" i="1"/>
  <c r="GM23" i="1"/>
  <c r="GK23" i="1"/>
  <c r="GI23" i="1"/>
  <c r="GF23" i="1"/>
  <c r="GE23" i="1"/>
  <c r="GC23" i="1"/>
  <c r="AH27" i="1"/>
  <c r="AI27" i="1" s="1"/>
  <c r="AH28" i="1"/>
  <c r="AI28" i="1" s="1"/>
  <c r="DV56" i="1"/>
  <c r="DW56" i="1"/>
  <c r="EG56" i="1"/>
  <c r="DT56" i="1"/>
  <c r="DS56" i="1"/>
  <c r="EC56" i="1"/>
  <c r="DZ56" i="1"/>
  <c r="DY56" i="1"/>
  <c r="DU56" i="1"/>
  <c r="EE56" i="1"/>
  <c r="ED56" i="1"/>
  <c r="EB56" i="1"/>
  <c r="EF56" i="1"/>
  <c r="EA56" i="1"/>
  <c r="DX56" i="1"/>
  <c r="HU24" i="1"/>
  <c r="FC54" i="1"/>
  <c r="EY54" i="1"/>
  <c r="FK54" i="1"/>
  <c r="FF54" i="1"/>
  <c r="FB54" i="1"/>
  <c r="FL54" i="1"/>
  <c r="FJ54" i="1"/>
  <c r="FI54" i="1"/>
  <c r="FH54" i="1"/>
  <c r="FG54" i="1"/>
  <c r="FD54" i="1"/>
  <c r="FE54" i="1"/>
  <c r="EZ54" i="1"/>
  <c r="FA54" i="1"/>
  <c r="EX54" i="1"/>
  <c r="DV49" i="1"/>
  <c r="DU49" i="1"/>
  <c r="DT49" i="1"/>
  <c r="EG49" i="1"/>
  <c r="EB49" i="1"/>
  <c r="DY49" i="1"/>
  <c r="DX49" i="1"/>
  <c r="DW49" i="1"/>
  <c r="DS49" i="1"/>
  <c r="EA49" i="1"/>
  <c r="ED49" i="1"/>
  <c r="EC49" i="1"/>
  <c r="DZ49" i="1"/>
  <c r="EF49" i="1"/>
  <c r="EE49" i="1"/>
  <c r="EA30" i="1"/>
  <c r="DZ30" i="1"/>
  <c r="DV30" i="1"/>
  <c r="EG30" i="1"/>
  <c r="DY30" i="1"/>
  <c r="DX30" i="1"/>
  <c r="DW30" i="1"/>
  <c r="DT30" i="1"/>
  <c r="DS30" i="1"/>
  <c r="EE30" i="1"/>
  <c r="EF30" i="1"/>
  <c r="ED30" i="1"/>
  <c r="EB30" i="1"/>
  <c r="EC30" i="1"/>
  <c r="DU30" i="1"/>
  <c r="FI23" i="1"/>
  <c r="FJ23" i="1"/>
  <c r="FD23" i="1"/>
  <c r="EZ23" i="1"/>
  <c r="FL23" i="1"/>
  <c r="FK23" i="1"/>
  <c r="FF23" i="1"/>
  <c r="FH23" i="1"/>
  <c r="FG23" i="1"/>
  <c r="FE23" i="1"/>
  <c r="FC23" i="1"/>
  <c r="FB23" i="1"/>
  <c r="EY23" i="1"/>
  <c r="FA23" i="1"/>
  <c r="EX23" i="1"/>
  <c r="GP51" i="1"/>
  <c r="GC51" i="1"/>
  <c r="GN51" i="1"/>
  <c r="GK51" i="1"/>
  <c r="GG51" i="1"/>
  <c r="GF51" i="1"/>
  <c r="GQ51" i="1"/>
  <c r="GJ51" i="1"/>
  <c r="GI51" i="1"/>
  <c r="GH51" i="1"/>
  <c r="GE51" i="1"/>
  <c r="GD51" i="1"/>
  <c r="GM51" i="1"/>
  <c r="GL51" i="1"/>
  <c r="GO51" i="1"/>
  <c r="AC20" i="1"/>
  <c r="AD24" i="1"/>
  <c r="EE32" i="1"/>
  <c r="ED32" i="1"/>
  <c r="DZ32" i="1"/>
  <c r="EC32" i="1"/>
  <c r="DY32" i="1"/>
  <c r="DX32" i="1"/>
  <c r="DV32" i="1"/>
  <c r="DU32" i="1"/>
  <c r="DT32" i="1"/>
  <c r="EG32" i="1"/>
  <c r="EF32" i="1"/>
  <c r="EB32" i="1"/>
  <c r="EA32" i="1"/>
  <c r="DW32" i="1"/>
  <c r="DS32" i="1"/>
  <c r="HU53" i="1"/>
  <c r="DX57" i="1"/>
  <c r="DZ57" i="1"/>
  <c r="DT57" i="1"/>
  <c r="DS57" i="1"/>
  <c r="EC57" i="1"/>
  <c r="EB57" i="1"/>
  <c r="DV57" i="1"/>
  <c r="EG57" i="1"/>
  <c r="EE57" i="1"/>
  <c r="EA57" i="1"/>
  <c r="ED57" i="1"/>
  <c r="EF57" i="1"/>
  <c r="DY57" i="1"/>
  <c r="DU57" i="1"/>
  <c r="DW57" i="1"/>
  <c r="S39" i="1"/>
  <c r="O31" i="7" s="1"/>
  <c r="T44" i="1"/>
  <c r="FI31" i="1"/>
  <c r="EZ31" i="1"/>
  <c r="FL31" i="1"/>
  <c r="FE31" i="1"/>
  <c r="EY31" i="1"/>
  <c r="FK31" i="1"/>
  <c r="FJ31" i="1"/>
  <c r="FF31" i="1"/>
  <c r="FH31" i="1"/>
  <c r="FG31" i="1"/>
  <c r="FD31" i="1"/>
  <c r="FC31" i="1"/>
  <c r="FB31" i="1"/>
  <c r="FA31" i="1"/>
  <c r="EX31" i="1"/>
  <c r="GO44" i="1"/>
  <c r="GJ44" i="1"/>
  <c r="GQ44" i="1"/>
  <c r="GK44" i="1"/>
  <c r="GM44" i="1"/>
  <c r="GL44" i="1"/>
  <c r="GF44" i="1"/>
  <c r="GE44" i="1"/>
  <c r="GD44" i="1"/>
  <c r="GC44" i="1"/>
  <c r="GH44" i="1"/>
  <c r="GP44" i="1"/>
  <c r="GN44" i="1"/>
  <c r="GI44" i="1"/>
  <c r="GG44" i="1"/>
  <c r="GP13" i="1"/>
  <c r="GP12" i="1" s="1"/>
  <c r="GE13" i="1"/>
  <c r="GE12" i="1" s="1"/>
  <c r="GQ13" i="1"/>
  <c r="GQ12" i="1" s="1"/>
  <c r="GG13" i="1"/>
  <c r="GG12" i="1" s="1"/>
  <c r="GL13" i="1"/>
  <c r="GL12" i="1" s="1"/>
  <c r="GO13" i="1"/>
  <c r="GO12" i="1" s="1"/>
  <c r="GN13" i="1"/>
  <c r="GN12" i="1" s="1"/>
  <c r="AD12" i="1"/>
  <c r="GC13" i="1"/>
  <c r="GC12" i="1" s="1"/>
  <c r="GK13" i="1"/>
  <c r="GK12" i="1" s="1"/>
  <c r="GJ13" i="1"/>
  <c r="GJ12" i="1" s="1"/>
  <c r="GI13" i="1"/>
  <c r="GI12" i="1" s="1"/>
  <c r="GH13" i="1"/>
  <c r="GH12" i="1" s="1"/>
  <c r="GM13" i="1"/>
  <c r="GM12" i="1" s="1"/>
  <c r="GF13" i="1"/>
  <c r="GF12" i="1" s="1"/>
  <c r="GD13" i="1"/>
  <c r="GD12" i="1" s="1"/>
  <c r="X39" i="1"/>
  <c r="P31" i="7" s="1"/>
  <c r="Y40" i="1"/>
  <c r="EF46" i="1"/>
  <c r="EC46" i="1"/>
  <c r="EB46" i="1"/>
  <c r="DX46" i="1"/>
  <c r="EA46" i="1"/>
  <c r="DW46" i="1"/>
  <c r="DV46" i="1"/>
  <c r="EG46" i="1"/>
  <c r="EE46" i="1"/>
  <c r="DT46" i="1"/>
  <c r="DS46" i="1"/>
  <c r="DZ46" i="1"/>
  <c r="ED46" i="1"/>
  <c r="DY46" i="1"/>
  <c r="DU46" i="1"/>
  <c r="GL49" i="1"/>
  <c r="GN49" i="1"/>
  <c r="GH49" i="1"/>
  <c r="GE49" i="1"/>
  <c r="GK49" i="1"/>
  <c r="GJ49" i="1"/>
  <c r="GD49" i="1"/>
  <c r="GC49" i="1"/>
  <c r="GQ49" i="1"/>
  <c r="GP49" i="1"/>
  <c r="GI49" i="1"/>
  <c r="GF49" i="1"/>
  <c r="GO49" i="1"/>
  <c r="GM49" i="1"/>
  <c r="GG49" i="1"/>
  <c r="GN30" i="1"/>
  <c r="GQ30" i="1"/>
  <c r="GK30" i="1"/>
  <c r="GM30" i="1"/>
  <c r="GG30" i="1"/>
  <c r="GH30" i="1"/>
  <c r="GF30" i="1"/>
  <c r="GP30" i="1"/>
  <c r="GL30" i="1"/>
  <c r="GJ30" i="1"/>
  <c r="GO30" i="1"/>
  <c r="GI30" i="1"/>
  <c r="GE30" i="1"/>
  <c r="GD30" i="1"/>
  <c r="GC30" i="1"/>
  <c r="EC23" i="1"/>
  <c r="DX23" i="1"/>
  <c r="DV23" i="1"/>
  <c r="DS23" i="1"/>
  <c r="ED23" i="1"/>
  <c r="EB23" i="1"/>
  <c r="EA23" i="1"/>
  <c r="DY23" i="1"/>
  <c r="DW23" i="1"/>
  <c r="DU23" i="1"/>
  <c r="EG23" i="1"/>
  <c r="EE23" i="1"/>
  <c r="EF23" i="1"/>
  <c r="DZ23" i="1"/>
  <c r="DT23" i="1"/>
  <c r="EB51" i="1"/>
  <c r="EA51" i="1"/>
  <c r="ED51" i="1"/>
  <c r="EC51" i="1"/>
  <c r="DW51" i="1"/>
  <c r="DV51" i="1"/>
  <c r="DS51" i="1"/>
  <c r="DY51" i="1"/>
  <c r="DX51" i="1"/>
  <c r="DU51" i="1"/>
  <c r="EG51" i="1"/>
  <c r="EF51" i="1"/>
  <c r="EE51" i="1"/>
  <c r="DZ51" i="1"/>
  <c r="DT51" i="1"/>
  <c r="FK24" i="1"/>
  <c r="FG24" i="1"/>
  <c r="FE24" i="1"/>
  <c r="EZ24" i="1"/>
  <c r="FD24" i="1"/>
  <c r="FC24" i="1"/>
  <c r="EX24" i="1"/>
  <c r="FL24" i="1"/>
  <c r="FJ24" i="1"/>
  <c r="FI24" i="1"/>
  <c r="FH24" i="1"/>
  <c r="FF24" i="1"/>
  <c r="EY24" i="1"/>
  <c r="FB24" i="1"/>
  <c r="FA24" i="1"/>
  <c r="GF32" i="1"/>
  <c r="GQ32" i="1"/>
  <c r="GG32" i="1"/>
  <c r="GD32" i="1"/>
  <c r="GC32" i="1"/>
  <c r="GM32" i="1"/>
  <c r="GO32" i="1"/>
  <c r="GN32" i="1"/>
  <c r="GP32" i="1"/>
  <c r="GL32" i="1"/>
  <c r="GI32" i="1"/>
  <c r="GE32" i="1"/>
  <c r="GK32" i="1"/>
  <c r="GJ32" i="1"/>
  <c r="GH32" i="1"/>
  <c r="DZ43" i="1"/>
  <c r="DT43" i="1"/>
  <c r="DS43" i="1"/>
  <c r="EF43" i="1"/>
  <c r="EB43" i="1"/>
  <c r="DX43" i="1"/>
  <c r="DW43" i="1"/>
  <c r="ED43" i="1"/>
  <c r="EC43" i="1"/>
  <c r="EA43" i="1"/>
  <c r="DV43" i="1"/>
  <c r="DU43" i="1"/>
  <c r="EE43" i="1"/>
  <c r="EG43" i="1"/>
  <c r="DY43" i="1"/>
  <c r="AH51" i="1"/>
  <c r="AI51" i="1" s="1"/>
  <c r="EG33" i="1"/>
  <c r="EF33" i="1"/>
  <c r="EB33" i="1"/>
  <c r="EE33" i="1"/>
  <c r="ED33" i="1"/>
  <c r="EC33" i="1"/>
  <c r="DZ33" i="1"/>
  <c r="DX33" i="1"/>
  <c r="DY33" i="1"/>
  <c r="DS33" i="1"/>
  <c r="DW33" i="1"/>
  <c r="DV33" i="1"/>
  <c r="DU33" i="1"/>
  <c r="EA33" i="1"/>
  <c r="DT33" i="1"/>
  <c r="GD45" i="1"/>
  <c r="GM45" i="1"/>
  <c r="GC45" i="1"/>
  <c r="GP45" i="1"/>
  <c r="GO45" i="1"/>
  <c r="GN45" i="1"/>
  <c r="GJ45" i="1"/>
  <c r="GL45" i="1"/>
  <c r="GK45" i="1"/>
  <c r="GI45" i="1"/>
  <c r="GH45" i="1"/>
  <c r="GG45" i="1"/>
  <c r="GQ45" i="1"/>
  <c r="GF45" i="1"/>
  <c r="GE45" i="1"/>
  <c r="EY26" i="1"/>
  <c r="FB26" i="1"/>
  <c r="FJ26" i="1"/>
  <c r="EZ26" i="1"/>
  <c r="EX26" i="1"/>
  <c r="FL26" i="1"/>
  <c r="FH26" i="1"/>
  <c r="FK26" i="1"/>
  <c r="FI26" i="1"/>
  <c r="FG26" i="1"/>
  <c r="FF26" i="1"/>
  <c r="FE26" i="1"/>
  <c r="FA26" i="1"/>
  <c r="FD26" i="1"/>
  <c r="FC26" i="1"/>
  <c r="EY25" i="1"/>
  <c r="FJ25" i="1"/>
  <c r="FK25" i="1"/>
  <c r="FE25" i="1"/>
  <c r="FL25" i="1"/>
  <c r="FF25" i="1"/>
  <c r="FD25" i="1"/>
  <c r="FA25" i="1"/>
  <c r="EX25" i="1"/>
  <c r="FI25" i="1"/>
  <c r="EZ25" i="1"/>
  <c r="FG25" i="1"/>
  <c r="FH25" i="1"/>
  <c r="FC25" i="1"/>
  <c r="FB25" i="1"/>
  <c r="AH45" i="1"/>
  <c r="AI45" i="1" s="1"/>
  <c r="FA17" i="1"/>
  <c r="FA12" i="1" s="1"/>
  <c r="FI17" i="1"/>
  <c r="FI12" i="1" s="1"/>
  <c r="FJ17" i="1"/>
  <c r="FJ12" i="1" s="1"/>
  <c r="FF17" i="1"/>
  <c r="FF12" i="1" s="1"/>
  <c r="FE17" i="1"/>
  <c r="FE12" i="1" s="1"/>
  <c r="EZ17" i="1"/>
  <c r="EZ12" i="1" s="1"/>
  <c r="EY17" i="1"/>
  <c r="EY12" i="1" s="1"/>
  <c r="FL17" i="1"/>
  <c r="FL12" i="1" s="1"/>
  <c r="FK17" i="1"/>
  <c r="FK12" i="1" s="1"/>
  <c r="FH17" i="1"/>
  <c r="FH12" i="1" s="1"/>
  <c r="FG17" i="1"/>
  <c r="FG12" i="1" s="1"/>
  <c r="FD17" i="1"/>
  <c r="FD12" i="1" s="1"/>
  <c r="FC17" i="1"/>
  <c r="FC12" i="1" s="1"/>
  <c r="FB17" i="1"/>
  <c r="FB12" i="1" s="1"/>
  <c r="EX17" i="1"/>
  <c r="EX12" i="1" s="1"/>
  <c r="EG25" i="1"/>
  <c r="EB25" i="1"/>
  <c r="EE25" i="1"/>
  <c r="EA25" i="1"/>
  <c r="DZ25" i="1"/>
  <c r="DW25" i="1"/>
  <c r="DV25" i="1"/>
  <c r="DU25" i="1"/>
  <c r="DS25" i="1"/>
  <c r="DT25" i="1"/>
  <c r="EC25" i="1"/>
  <c r="EF25" i="1"/>
  <c r="ED25" i="1"/>
  <c r="DY25" i="1"/>
  <c r="DX25" i="1"/>
  <c r="DT40" i="1"/>
  <c r="EB40" i="1"/>
  <c r="EA40" i="1"/>
  <c r="DW40" i="1"/>
  <c r="DZ40" i="1"/>
  <c r="DV40" i="1"/>
  <c r="DU40" i="1"/>
  <c r="DS40" i="1"/>
  <c r="EG40" i="1"/>
  <c r="EF40" i="1"/>
  <c r="EC40" i="1"/>
  <c r="EE40" i="1"/>
  <c r="ED40" i="1"/>
  <c r="DY40" i="1"/>
  <c r="DX40" i="1"/>
  <c r="HT53" i="1"/>
  <c r="GD25" i="1"/>
  <c r="GM25" i="1"/>
  <c r="GF25" i="1"/>
  <c r="GK25" i="1"/>
  <c r="GJ25" i="1"/>
  <c r="GE25" i="1"/>
  <c r="GG25" i="1"/>
  <c r="GC25" i="1"/>
  <c r="GI25" i="1"/>
  <c r="GH25" i="1"/>
  <c r="GQ25" i="1"/>
  <c r="GO25" i="1"/>
  <c r="GP25" i="1"/>
  <c r="GN25" i="1"/>
  <c r="GL25" i="1"/>
  <c r="FG42" i="1"/>
  <c r="FF42" i="1"/>
  <c r="FA42" i="1"/>
  <c r="FL42" i="1"/>
  <c r="FE42" i="1"/>
  <c r="EX42" i="1"/>
  <c r="FI42" i="1"/>
  <c r="FK42" i="1"/>
  <c r="FJ42" i="1"/>
  <c r="FH42" i="1"/>
  <c r="FD42" i="1"/>
  <c r="FC42" i="1"/>
  <c r="EY42" i="1"/>
  <c r="FB42" i="1"/>
  <c r="EZ42" i="1"/>
  <c r="HL53" i="1"/>
  <c r="AH25" i="1"/>
  <c r="AI25" i="1" s="1"/>
  <c r="AH31" i="1"/>
  <c r="AI31" i="1" s="1"/>
  <c r="FE21" i="1"/>
  <c r="FC21" i="1"/>
  <c r="EX21" i="1"/>
  <c r="FI21" i="1"/>
  <c r="FB21" i="1"/>
  <c r="FA21" i="1"/>
  <c r="EZ21" i="1"/>
  <c r="FL21" i="1"/>
  <c r="FK21" i="1"/>
  <c r="FJ21" i="1"/>
  <c r="FG21" i="1"/>
  <c r="FF21" i="1"/>
  <c r="FD21" i="1"/>
  <c r="EY21" i="1"/>
  <c r="FH21" i="1"/>
  <c r="GF54" i="1"/>
  <c r="GL54" i="1"/>
  <c r="GG54" i="1"/>
  <c r="GP54" i="1"/>
  <c r="GJ54" i="1"/>
  <c r="GM54" i="1"/>
  <c r="GK54" i="1"/>
  <c r="GD54" i="1"/>
  <c r="GC54" i="1"/>
  <c r="GQ54" i="1"/>
  <c r="GO54" i="1"/>
  <c r="GN54" i="1"/>
  <c r="GI54" i="1"/>
  <c r="GH54" i="1"/>
  <c r="GE54" i="1"/>
  <c r="HH53" i="1"/>
  <c r="AH54" i="1"/>
  <c r="AI54" i="1" s="1"/>
  <c r="AH49" i="1"/>
  <c r="AI49" i="1" s="1"/>
  <c r="AH23" i="1"/>
  <c r="AI23" i="1" s="1"/>
  <c r="FI51" i="1"/>
  <c r="EZ51" i="1"/>
  <c r="FL51" i="1"/>
  <c r="FC51" i="1"/>
  <c r="FJ51" i="1"/>
  <c r="FH51" i="1"/>
  <c r="FG51" i="1"/>
  <c r="FF51" i="1"/>
  <c r="FE51" i="1"/>
  <c r="FD51" i="1"/>
  <c r="FB51" i="1"/>
  <c r="FA51" i="1"/>
  <c r="EX51" i="1"/>
  <c r="FK51" i="1"/>
  <c r="EY51" i="1"/>
  <c r="EE24" i="1"/>
  <c r="DZ24" i="1"/>
  <c r="EA24" i="1"/>
  <c r="DW24" i="1"/>
  <c r="DV24" i="1"/>
  <c r="EG24" i="1"/>
  <c r="EF24" i="1"/>
  <c r="ED24" i="1"/>
  <c r="DT24" i="1"/>
  <c r="DS24" i="1"/>
  <c r="DY24" i="1"/>
  <c r="DX24" i="1"/>
  <c r="EB24" i="1"/>
  <c r="DU24" i="1"/>
  <c r="EC24" i="1"/>
  <c r="FK32" i="1"/>
  <c r="FC32" i="1"/>
  <c r="EX32" i="1"/>
  <c r="FL32" i="1"/>
  <c r="FF32" i="1"/>
  <c r="FE32" i="1"/>
  <c r="FD32" i="1"/>
  <c r="EY32" i="1"/>
  <c r="FH32" i="1"/>
  <c r="FG32" i="1"/>
  <c r="FB32" i="1"/>
  <c r="FA32" i="1"/>
  <c r="EZ32" i="1"/>
  <c r="FI32" i="1"/>
  <c r="FJ32" i="1"/>
  <c r="BG23" i="11"/>
  <c r="BG24" i="11" s="1"/>
  <c r="BG26" i="11" s="1"/>
  <c r="AO23" i="11"/>
  <c r="AO24" i="11" s="1"/>
  <c r="AO26" i="11" s="1"/>
  <c r="K23" i="11"/>
  <c r="K24" i="11" s="1"/>
  <c r="K26" i="11" s="1"/>
  <c r="DC23" i="11"/>
  <c r="DC24" i="11" s="1"/>
  <c r="DC26" i="11" s="1"/>
  <c r="CW23" i="11"/>
  <c r="CW24" i="11" s="1"/>
  <c r="CW26" i="11" s="1"/>
  <c r="BM23" i="11"/>
  <c r="BM24" i="11" s="1"/>
  <c r="BM26" i="11" s="1"/>
  <c r="W23" i="11"/>
  <c r="W24" i="11" s="1"/>
  <c r="W26" i="11" s="1"/>
  <c r="Q23" i="11"/>
  <c r="Q24" i="11" s="1"/>
  <c r="Q26" i="11" s="1"/>
  <c r="BY23" i="11"/>
  <c r="BY24" i="11" s="1"/>
  <c r="BY26" i="11" s="1"/>
  <c r="CQ23" i="11"/>
  <c r="CQ24" i="11" s="1"/>
  <c r="CQ26" i="11" s="1"/>
  <c r="CE23" i="11"/>
  <c r="CE24" i="11" s="1"/>
  <c r="CE26" i="11" s="1"/>
  <c r="BA23" i="11"/>
  <c r="BA24" i="11" s="1"/>
  <c r="BA26" i="11" s="1"/>
  <c r="AI23" i="11"/>
  <c r="AI24" i="11" s="1"/>
  <c r="AI26" i="11" s="1"/>
  <c r="EG23" i="11"/>
  <c r="EG24" i="11" s="1"/>
  <c r="EG26" i="11" s="1"/>
  <c r="EM23" i="11"/>
  <c r="EM24" i="11" s="1"/>
  <c r="EM26" i="11" s="1"/>
  <c r="BS23" i="11"/>
  <c r="BS24" i="11" s="1"/>
  <c r="BS26" i="11" s="1"/>
  <c r="DI23" i="11"/>
  <c r="DI24" i="11" s="1"/>
  <c r="DI26" i="11" s="1"/>
  <c r="DO23" i="11"/>
  <c r="DO24" i="11" s="1"/>
  <c r="DO26" i="11" s="1"/>
  <c r="ES23" i="11"/>
  <c r="ES24" i="11" s="1"/>
  <c r="ES26" i="11" s="1"/>
  <c r="HV56" i="1"/>
  <c r="HU56" i="1"/>
  <c r="HT56" i="1"/>
  <c r="HS56" i="1"/>
  <c r="HR56" i="1"/>
  <c r="HV58" i="1"/>
  <c r="HT58" i="1"/>
  <c r="HS58" i="1"/>
  <c r="HR58" i="1"/>
  <c r="HU58" i="1"/>
  <c r="HQ56" i="1"/>
  <c r="HN56" i="1"/>
  <c r="HP56" i="1"/>
  <c r="HO56" i="1"/>
  <c r="HI56" i="1"/>
  <c r="HH56" i="1"/>
  <c r="HM56" i="1"/>
  <c r="HL56" i="1"/>
  <c r="HK56" i="1"/>
  <c r="HJ56" i="1"/>
  <c r="BN46" i="1"/>
  <c r="BQ46" i="1"/>
  <c r="BP46" i="1"/>
  <c r="BO46" i="1"/>
  <c r="BM46" i="1"/>
  <c r="BK46" i="1"/>
  <c r="BJ46" i="1"/>
  <c r="BR46" i="1"/>
  <c r="BL46" i="1"/>
  <c r="BI46" i="1"/>
  <c r="BO30" i="1"/>
  <c r="BM30" i="1"/>
  <c r="BN30" i="1"/>
  <c r="BI30" i="1"/>
  <c r="BJ30" i="1"/>
  <c r="BR30" i="1"/>
  <c r="BQ30" i="1"/>
  <c r="BL30" i="1"/>
  <c r="BK30" i="1"/>
  <c r="BP30" i="1"/>
  <c r="BI49" i="1"/>
  <c r="BQ49" i="1"/>
  <c r="BM49" i="1"/>
  <c r="BN49" i="1"/>
  <c r="BL49" i="1"/>
  <c r="BK49" i="1"/>
  <c r="BJ49" i="1"/>
  <c r="BR49" i="1"/>
  <c r="BP49" i="1"/>
  <c r="BO49" i="1"/>
  <c r="BP21" i="1"/>
  <c r="BN21" i="1"/>
  <c r="BR21" i="1"/>
  <c r="BQ21" i="1"/>
  <c r="BO21" i="1"/>
  <c r="BL21" i="1"/>
  <c r="BM21" i="1"/>
  <c r="BK21" i="1"/>
  <c r="BJ21" i="1"/>
  <c r="BI21" i="1"/>
  <c r="BN54" i="1"/>
  <c r="BM54" i="1"/>
  <c r="BJ54" i="1"/>
  <c r="BI54" i="1"/>
  <c r="BK54" i="1"/>
  <c r="BR54" i="1"/>
  <c r="BQ54" i="1"/>
  <c r="BP54" i="1"/>
  <c r="BO54" i="1"/>
  <c r="BL54" i="1"/>
  <c r="BL33" i="1"/>
  <c r="BO33" i="1"/>
  <c r="BI33" i="1"/>
  <c r="BP33" i="1"/>
  <c r="BR33" i="1"/>
  <c r="BQ33" i="1"/>
  <c r="BM33" i="1"/>
  <c r="BN33" i="1"/>
  <c r="BK33" i="1"/>
  <c r="BJ33" i="1"/>
  <c r="BP43" i="1"/>
  <c r="BJ43" i="1"/>
  <c r="BO43" i="1"/>
  <c r="BK43" i="1"/>
  <c r="BI43" i="1"/>
  <c r="BM43" i="1"/>
  <c r="BL43" i="1"/>
  <c r="BR43" i="1"/>
  <c r="BQ43" i="1"/>
  <c r="BN43" i="1"/>
  <c r="BR40" i="1"/>
  <c r="BQ40" i="1"/>
  <c r="BO40" i="1"/>
  <c r="BP40" i="1"/>
  <c r="BI40" i="1"/>
  <c r="BM40" i="1"/>
  <c r="BK40" i="1"/>
  <c r="BJ40" i="1"/>
  <c r="BL40" i="1"/>
  <c r="BN40" i="1"/>
  <c r="BP58" i="1"/>
  <c r="BO58" i="1"/>
  <c r="BN58" i="1"/>
  <c r="BJ58" i="1"/>
  <c r="BM58" i="1"/>
  <c r="BR58" i="1"/>
  <c r="BQ58" i="1"/>
  <c r="BL58" i="1"/>
  <c r="BK58" i="1"/>
  <c r="BI58" i="1"/>
  <c r="HI48" i="1"/>
  <c r="HH48" i="1"/>
  <c r="HQ48" i="1"/>
  <c r="HP48" i="1"/>
  <c r="HO48" i="1"/>
  <c r="HK48" i="1"/>
  <c r="HJ48" i="1"/>
  <c r="HL48" i="1"/>
  <c r="HN48" i="1"/>
  <c r="HM48" i="1"/>
  <c r="BM29" i="1"/>
  <c r="BL29" i="1"/>
  <c r="BK29" i="1"/>
  <c r="BR29" i="1"/>
  <c r="BN29" i="1"/>
  <c r="BP29" i="1"/>
  <c r="BQ29" i="1"/>
  <c r="BI29" i="1"/>
  <c r="BO29" i="1"/>
  <c r="BJ29" i="1"/>
  <c r="BQ31" i="1"/>
  <c r="BP31" i="1"/>
  <c r="BO31" i="1"/>
  <c r="BI31" i="1"/>
  <c r="BJ31" i="1"/>
  <c r="BR31" i="1"/>
  <c r="BL31" i="1"/>
  <c r="BK31" i="1"/>
  <c r="BM31" i="1"/>
  <c r="BN31" i="1"/>
  <c r="BJ32" i="1"/>
  <c r="BR32" i="1"/>
  <c r="BL32" i="1"/>
  <c r="BQ32" i="1"/>
  <c r="BN32" i="1"/>
  <c r="BM32" i="1"/>
  <c r="BP32" i="1"/>
  <c r="BO32" i="1"/>
  <c r="BK32" i="1"/>
  <c r="BI32" i="1"/>
  <c r="BR41" i="1"/>
  <c r="BL41" i="1"/>
  <c r="BJ41" i="1"/>
  <c r="BQ41" i="1"/>
  <c r="BP41" i="1"/>
  <c r="BO41" i="1"/>
  <c r="BM41" i="1"/>
  <c r="BN41" i="1"/>
  <c r="BK41" i="1"/>
  <c r="BI41" i="1"/>
  <c r="BR56" i="1"/>
  <c r="BK56" i="1"/>
  <c r="BJ56" i="1"/>
  <c r="BI56" i="1"/>
  <c r="BM56" i="1"/>
  <c r="BP56" i="1"/>
  <c r="BQ56" i="1"/>
  <c r="BO56" i="1"/>
  <c r="BN56" i="1"/>
  <c r="BL56" i="1"/>
  <c r="BL23" i="1"/>
  <c r="BJ23" i="1"/>
  <c r="BK23" i="1"/>
  <c r="BR23" i="1"/>
  <c r="BO23" i="1"/>
  <c r="BN23" i="1"/>
  <c r="BI23" i="1"/>
  <c r="BQ23" i="1"/>
  <c r="BP23" i="1"/>
  <c r="BM23" i="1"/>
  <c r="HK15" i="1"/>
  <c r="HR15" i="1"/>
  <c r="HQ15" i="1"/>
  <c r="HP15" i="1"/>
  <c r="HI15" i="1"/>
  <c r="HH15" i="1"/>
  <c r="HV15" i="1"/>
  <c r="HU15" i="1"/>
  <c r="HT15" i="1"/>
  <c r="HS15" i="1"/>
  <c r="HO15" i="1"/>
  <c r="HN15" i="1"/>
  <c r="HM15" i="1"/>
  <c r="HL15" i="1"/>
  <c r="HJ15" i="1"/>
  <c r="CQ15" i="1"/>
  <c r="CU15" i="1"/>
  <c r="CT15" i="1"/>
  <c r="CP15" i="1"/>
  <c r="CR15" i="1"/>
  <c r="CS15" i="1"/>
  <c r="CO15" i="1"/>
  <c r="CW15" i="1"/>
  <c r="CV15" i="1"/>
  <c r="CN15" i="1"/>
  <c r="HL13" i="1"/>
  <c r="HK13" i="1"/>
  <c r="HJ13" i="1"/>
  <c r="HT13" i="1"/>
  <c r="HS13" i="1"/>
  <c r="HV13" i="1"/>
  <c r="HO13" i="1"/>
  <c r="HN13" i="1"/>
  <c r="HQ13" i="1"/>
  <c r="HP13" i="1"/>
  <c r="HH13" i="1"/>
  <c r="HR13" i="1"/>
  <c r="HU13" i="1"/>
  <c r="HM13" i="1"/>
  <c r="HI13" i="1"/>
  <c r="CD36" i="1"/>
  <c r="BN36" i="1"/>
  <c r="BZ36" i="1"/>
  <c r="BI36" i="1"/>
  <c r="BY36" i="1"/>
  <c r="BX36" i="1"/>
  <c r="BR36" i="1"/>
  <c r="CE36" i="1"/>
  <c r="BO36" i="1"/>
  <c r="BV36" i="1"/>
  <c r="BU36" i="1"/>
  <c r="BK36" i="1"/>
  <c r="BS36" i="1"/>
  <c r="CB36" i="1"/>
  <c r="CG36" i="1"/>
  <c r="CF36" i="1"/>
  <c r="CC36" i="1"/>
  <c r="CA36" i="1"/>
  <c r="BW36" i="1"/>
  <c r="BT36" i="1"/>
  <c r="BQ36" i="1"/>
  <c r="BJ36" i="1"/>
  <c r="BP36" i="1"/>
  <c r="BM36" i="1"/>
  <c r="BL36" i="1"/>
  <c r="BK50" i="1"/>
  <c r="BJ50" i="1"/>
  <c r="BI50" i="1"/>
  <c r="BN50" i="1"/>
  <c r="BL50" i="1"/>
  <c r="BP50" i="1"/>
  <c r="BO50" i="1"/>
  <c r="BR50" i="1"/>
  <c r="BQ50" i="1"/>
  <c r="BM50" i="1"/>
  <c r="BJ22" i="1"/>
  <c r="BI22" i="1"/>
  <c r="BR22" i="1"/>
  <c r="BM22" i="1"/>
  <c r="BK22" i="1"/>
  <c r="BO22" i="1"/>
  <c r="BN22" i="1"/>
  <c r="BQ22" i="1"/>
  <c r="BP22" i="1"/>
  <c r="BL22" i="1"/>
  <c r="BP55" i="1"/>
  <c r="BQ55" i="1"/>
  <c r="BO55" i="1"/>
  <c r="BJ55" i="1"/>
  <c r="BR55" i="1"/>
  <c r="BN55" i="1"/>
  <c r="BM55" i="1"/>
  <c r="BL55" i="1"/>
  <c r="BI55" i="1"/>
  <c r="BK55" i="1"/>
  <c r="BR48" i="1"/>
  <c r="BN48" i="1"/>
  <c r="BQ48" i="1"/>
  <c r="BP48" i="1"/>
  <c r="BO48" i="1"/>
  <c r="BM48" i="1"/>
  <c r="BL48" i="1"/>
  <c r="BK48" i="1"/>
  <c r="BJ48" i="1"/>
  <c r="BI48" i="1"/>
  <c r="DI36" i="1"/>
  <c r="CS36" i="1"/>
  <c r="CZ36" i="1"/>
  <c r="CY36" i="1"/>
  <c r="CX36" i="1"/>
  <c r="DH36" i="1"/>
  <c r="CQ36" i="1"/>
  <c r="DG36" i="1"/>
  <c r="CP36" i="1"/>
  <c r="DF36" i="1"/>
  <c r="DE36" i="1"/>
  <c r="CO36" i="1"/>
  <c r="DK36" i="1"/>
  <c r="DJ36" i="1"/>
  <c r="CU36" i="1"/>
  <c r="CV36" i="1"/>
  <c r="CT36" i="1"/>
  <c r="DL36" i="1"/>
  <c r="DA36" i="1"/>
  <c r="CW36" i="1"/>
  <c r="CR36" i="1"/>
  <c r="CN36" i="1"/>
  <c r="DD36" i="1"/>
  <c r="DC36" i="1"/>
  <c r="DB36" i="1"/>
  <c r="BJ44" i="1"/>
  <c r="BK44" i="1"/>
  <c r="BI44" i="1"/>
  <c r="BP44" i="1"/>
  <c r="BR44" i="1"/>
  <c r="BQ44" i="1"/>
  <c r="BO44" i="1"/>
  <c r="BL44" i="1"/>
  <c r="BN44" i="1"/>
  <c r="BM44" i="1"/>
  <c r="HM50" i="1"/>
  <c r="HJ50" i="1"/>
  <c r="HL50" i="1"/>
  <c r="HK50" i="1"/>
  <c r="HN50" i="1"/>
  <c r="HI50" i="1"/>
  <c r="HO50" i="1"/>
  <c r="HQ50" i="1"/>
  <c r="HP50" i="1"/>
  <c r="HH50" i="1"/>
  <c r="BN42" i="1"/>
  <c r="BL42" i="1"/>
  <c r="BP42" i="1"/>
  <c r="BK42" i="1"/>
  <c r="BR42" i="1"/>
  <c r="BQ42" i="1"/>
  <c r="BJ42" i="1"/>
  <c r="BI42" i="1"/>
  <c r="BO42" i="1"/>
  <c r="BM42" i="1"/>
  <c r="BM51" i="1"/>
  <c r="BL51" i="1"/>
  <c r="BK51" i="1"/>
  <c r="BR51" i="1"/>
  <c r="BJ51" i="1"/>
  <c r="BI51" i="1"/>
  <c r="BQ51" i="1"/>
  <c r="BP51" i="1"/>
  <c r="BO51" i="1"/>
  <c r="BN51" i="1"/>
  <c r="BN26" i="1"/>
  <c r="BL26" i="1"/>
  <c r="BK26" i="1"/>
  <c r="BI26" i="1"/>
  <c r="BQ26" i="1"/>
  <c r="BP26" i="1"/>
  <c r="BO26" i="1"/>
  <c r="BR26" i="1"/>
  <c r="BM26" i="1"/>
  <c r="BJ26" i="1"/>
  <c r="CF37" i="1"/>
  <c r="BP37" i="1"/>
  <c r="CD37" i="1"/>
  <c r="BM37" i="1"/>
  <c r="CC37" i="1"/>
  <c r="BL37" i="1"/>
  <c r="BK37" i="1"/>
  <c r="CB37" i="1"/>
  <c r="BV37" i="1"/>
  <c r="BU37" i="1"/>
  <c r="CA37" i="1"/>
  <c r="BQ37" i="1"/>
  <c r="BO37" i="1"/>
  <c r="CE37" i="1"/>
  <c r="BR37" i="1"/>
  <c r="CG37" i="1"/>
  <c r="BZ37" i="1"/>
  <c r="BY37" i="1"/>
  <c r="BX37" i="1"/>
  <c r="BW37" i="1"/>
  <c r="BT37" i="1"/>
  <c r="BS37" i="1"/>
  <c r="BI37" i="1"/>
  <c r="BN37" i="1"/>
  <c r="BJ37" i="1"/>
  <c r="BJ52" i="1"/>
  <c r="BP52" i="1"/>
  <c r="BO52" i="1"/>
  <c r="BN52" i="1"/>
  <c r="BK52" i="1"/>
  <c r="BQ52" i="1"/>
  <c r="BM52" i="1"/>
  <c r="BR52" i="1"/>
  <c r="BL52" i="1"/>
  <c r="BI52" i="1"/>
  <c r="DK37" i="1"/>
  <c r="CU37" i="1"/>
  <c r="DD37" i="1"/>
  <c r="DB37" i="1"/>
  <c r="DC37" i="1"/>
  <c r="CV37" i="1"/>
  <c r="DL37" i="1"/>
  <c r="CT37" i="1"/>
  <c r="CX37" i="1"/>
  <c r="CW37" i="1"/>
  <c r="DF37" i="1"/>
  <c r="DE37" i="1"/>
  <c r="DA37" i="1"/>
  <c r="CO37" i="1"/>
  <c r="CS37" i="1"/>
  <c r="CR37" i="1"/>
  <c r="DJ37" i="1"/>
  <c r="DI37" i="1"/>
  <c r="DH37" i="1"/>
  <c r="DG37" i="1"/>
  <c r="CZ37" i="1"/>
  <c r="CY37" i="1"/>
  <c r="CQ37" i="1"/>
  <c r="CP37" i="1"/>
  <c r="CN37" i="1"/>
  <c r="BP47" i="1"/>
  <c r="BR47" i="1"/>
  <c r="BK47" i="1"/>
  <c r="BO47" i="1"/>
  <c r="BJ47" i="1"/>
  <c r="BM47" i="1"/>
  <c r="BL47" i="1"/>
  <c r="BI47" i="1"/>
  <c r="BQ47" i="1"/>
  <c r="BN47" i="1"/>
  <c r="CW13" i="1"/>
  <c r="CV13" i="1"/>
  <c r="CU13" i="1"/>
  <c r="CO13" i="1"/>
  <c r="CN13" i="1"/>
  <c r="CQ13" i="1"/>
  <c r="CT13" i="1"/>
  <c r="CS13" i="1"/>
  <c r="CR13" i="1"/>
  <c r="CP13" i="1"/>
  <c r="HM58" i="1"/>
  <c r="HL58" i="1"/>
  <c r="HQ58" i="1"/>
  <c r="HN58" i="1"/>
  <c r="HK58" i="1"/>
  <c r="HO58" i="1"/>
  <c r="HJ58" i="1"/>
  <c r="HI58" i="1"/>
  <c r="HP58" i="1"/>
  <c r="HH58" i="1"/>
  <c r="HK33" i="1"/>
  <c r="HL33" i="1"/>
  <c r="HH33" i="1"/>
  <c r="HJ33" i="1"/>
  <c r="HI33" i="1"/>
  <c r="HM33" i="1"/>
  <c r="HQ33" i="1"/>
  <c r="HP33" i="1"/>
  <c r="HO33" i="1"/>
  <c r="HN33" i="1"/>
  <c r="BR28" i="1"/>
  <c r="BJ28" i="1"/>
  <c r="BI28" i="1"/>
  <c r="BL28" i="1"/>
  <c r="BQ28" i="1"/>
  <c r="BO28" i="1"/>
  <c r="BM28" i="1"/>
  <c r="BK28" i="1"/>
  <c r="BP28" i="1"/>
  <c r="BN28" i="1"/>
  <c r="HP57" i="1"/>
  <c r="HQ57" i="1"/>
  <c r="HK57" i="1"/>
  <c r="HJ57" i="1"/>
  <c r="HL57" i="1"/>
  <c r="HI57" i="1"/>
  <c r="HM57" i="1"/>
  <c r="HH57" i="1"/>
  <c r="HN57" i="1"/>
  <c r="HO57" i="1"/>
  <c r="CU17" i="1"/>
  <c r="CR17" i="1"/>
  <c r="CQ17" i="1"/>
  <c r="CP17" i="1"/>
  <c r="CO17" i="1"/>
  <c r="CN17" i="1"/>
  <c r="CS17" i="1"/>
  <c r="CW17" i="1"/>
  <c r="CV17" i="1"/>
  <c r="CT17" i="1"/>
  <c r="BL25" i="1"/>
  <c r="BR25" i="1"/>
  <c r="BQ25" i="1"/>
  <c r="BP25" i="1"/>
  <c r="BI25" i="1"/>
  <c r="BM25" i="1"/>
  <c r="BN25" i="1"/>
  <c r="BK25" i="1"/>
  <c r="BJ25" i="1"/>
  <c r="BO25" i="1"/>
  <c r="BL45" i="1"/>
  <c r="BN45" i="1"/>
  <c r="BM45" i="1"/>
  <c r="BK45" i="1"/>
  <c r="BQ45" i="1"/>
  <c r="BO45" i="1"/>
  <c r="BJ45" i="1"/>
  <c r="BI45" i="1"/>
  <c r="BR45" i="1"/>
  <c r="BP45" i="1"/>
  <c r="CQ53" i="1"/>
  <c r="CS53" i="1"/>
  <c r="CR53" i="1"/>
  <c r="CP53" i="1"/>
  <c r="CV53" i="1"/>
  <c r="CW53" i="1"/>
  <c r="CO53" i="1"/>
  <c r="CN53" i="1"/>
  <c r="CU53" i="1"/>
  <c r="CT53" i="1"/>
  <c r="BN57" i="1"/>
  <c r="BM57" i="1"/>
  <c r="BL57" i="1"/>
  <c r="BK57" i="1"/>
  <c r="BJ57" i="1"/>
  <c r="BP57" i="1"/>
  <c r="BR57" i="1"/>
  <c r="BQ57" i="1"/>
  <c r="BO57" i="1"/>
  <c r="BI57" i="1"/>
  <c r="BP27" i="1"/>
  <c r="BO27" i="1"/>
  <c r="BK27" i="1"/>
  <c r="BR27" i="1"/>
  <c r="BQ27" i="1"/>
  <c r="BN27" i="1"/>
  <c r="BI27" i="1"/>
  <c r="BM27" i="1"/>
  <c r="BL27" i="1"/>
  <c r="BJ27" i="1"/>
  <c r="BJ24" i="1"/>
  <c r="BO24" i="1"/>
  <c r="BN24" i="1"/>
  <c r="BM24" i="1"/>
  <c r="BK24" i="1"/>
  <c r="BQ24" i="1"/>
  <c r="BI24" i="1"/>
  <c r="BR24" i="1"/>
  <c r="BP24" i="1"/>
  <c r="BL24" i="1"/>
  <c r="IE36" i="1"/>
  <c r="HO36" i="1"/>
  <c r="ID36" i="1"/>
  <c r="HN36" i="1"/>
  <c r="IC36" i="1"/>
  <c r="HM36" i="1"/>
  <c r="IB36" i="1"/>
  <c r="HL36" i="1"/>
  <c r="IA36" i="1"/>
  <c r="HK36" i="1"/>
  <c r="HZ36" i="1"/>
  <c r="HJ36" i="1"/>
  <c r="HY36" i="1"/>
  <c r="HI36" i="1"/>
  <c r="HX36" i="1"/>
  <c r="HH36" i="1"/>
  <c r="HW36" i="1"/>
  <c r="HV36" i="1"/>
  <c r="HU36" i="1"/>
  <c r="HT36" i="1"/>
  <c r="HS36" i="1"/>
  <c r="HR36" i="1"/>
  <c r="HQ36" i="1"/>
  <c r="IF36" i="1"/>
  <c r="HP36" i="1"/>
  <c r="I20" i="1"/>
  <c r="M30" i="7" s="1"/>
  <c r="CE14" i="11"/>
  <c r="BY14" i="11"/>
  <c r="BA14" i="11"/>
  <c r="CK14" i="11"/>
  <c r="EG14" i="11"/>
  <c r="Q14" i="11"/>
  <c r="J14" i="48" s="1"/>
  <c r="K14" i="48" s="1"/>
  <c r="EA14" i="11"/>
  <c r="AU14" i="11"/>
  <c r="DU14" i="11"/>
  <c r="BM14" i="11"/>
  <c r="BS14" i="11"/>
  <c r="W14" i="11"/>
  <c r="CQ14" i="11"/>
  <c r="ES14" i="11"/>
  <c r="BG14" i="11"/>
  <c r="K14" i="11"/>
  <c r="AO14" i="11"/>
  <c r="DO14" i="11"/>
  <c r="EM14" i="11"/>
  <c r="AC14" i="11"/>
  <c r="DI14" i="11"/>
  <c r="DC14" i="11"/>
  <c r="CW14" i="11"/>
  <c r="AI14" i="11"/>
  <c r="I35" i="1"/>
  <c r="I39" i="1"/>
  <c r="M31" i="7" s="1"/>
  <c r="S12" i="34"/>
  <c r="S13" i="34" s="1"/>
  <c r="S19" i="34" s="1"/>
  <c r="G12" i="34"/>
  <c r="G13" i="34" s="1"/>
  <c r="G19" i="34" s="1"/>
  <c r="O14" i="34"/>
  <c r="O19" i="34" s="1"/>
  <c r="K12" i="34"/>
  <c r="K13" i="34" s="1"/>
  <c r="K19" i="34" s="1"/>
  <c r="K7" i="11"/>
  <c r="N13" i="7"/>
  <c r="N17" i="7"/>
  <c r="R13" i="7"/>
  <c r="N20" i="1"/>
  <c r="N30" i="7" s="1"/>
  <c r="N39" i="1"/>
  <c r="N31" i="7" s="1"/>
  <c r="N35" i="1"/>
  <c r="BC10" i="1" l="1"/>
  <c r="BC60" i="1" s="1"/>
  <c r="AN60" i="1"/>
  <c r="AC34" i="38"/>
  <c r="E40" i="41"/>
  <c r="G42" i="41" s="1"/>
  <c r="H42" i="41" s="1"/>
  <c r="I42" i="41" s="1"/>
  <c r="J42" i="41" s="1"/>
  <c r="K42" i="41" s="1"/>
  <c r="L42" i="41" s="1"/>
  <c r="M42" i="41" s="1"/>
  <c r="N42" i="41" s="1"/>
  <c r="O42" i="41" s="1"/>
  <c r="P42" i="41" s="1"/>
  <c r="Q42" i="41" s="1"/>
  <c r="R42" i="41" s="1"/>
  <c r="S42" i="41" s="1"/>
  <c r="T42" i="41" s="1"/>
  <c r="AF34" i="38"/>
  <c r="E45" i="41"/>
  <c r="Z34" i="38"/>
  <c r="E35" i="41"/>
  <c r="E38" i="41" s="1"/>
  <c r="F36" i="41" s="1"/>
  <c r="AI34" i="38"/>
  <c r="E50" i="41"/>
  <c r="HV27" i="1"/>
  <c r="HU28" i="1"/>
  <c r="HT29" i="1"/>
  <c r="HV42" i="1"/>
  <c r="HV47" i="1"/>
  <c r="HU51" i="1"/>
  <c r="HV21" i="1"/>
  <c r="HK55" i="1"/>
  <c r="HN41" i="1"/>
  <c r="HS44" i="1"/>
  <c r="HT23" i="1"/>
  <c r="HI46" i="1"/>
  <c r="HT49" i="1"/>
  <c r="HR45" i="1"/>
  <c r="HU54" i="1"/>
  <c r="HU31" i="1"/>
  <c r="HU52" i="1"/>
  <c r="HS26" i="1"/>
  <c r="HU25" i="1"/>
  <c r="HU32" i="1"/>
  <c r="HR29" i="1"/>
  <c r="HS29" i="1"/>
  <c r="CY20" i="1"/>
  <c r="CX39" i="1"/>
  <c r="CX20" i="1"/>
  <c r="CY39" i="1"/>
  <c r="BS39" i="1"/>
  <c r="BT39" i="1"/>
  <c r="BS20" i="1"/>
  <c r="BT20" i="1"/>
  <c r="HU29" i="1"/>
  <c r="P28" i="7"/>
  <c r="X10" i="1"/>
  <c r="X60" i="1" s="1"/>
  <c r="HV29" i="1"/>
  <c r="HJ27" i="1"/>
  <c r="HO28" i="1"/>
  <c r="HP47" i="1"/>
  <c r="HH47" i="1"/>
  <c r="HO42" i="1"/>
  <c r="HI47" i="1"/>
  <c r="HP42" i="1"/>
  <c r="HN47" i="1"/>
  <c r="HH42" i="1"/>
  <c r="HH45" i="1"/>
  <c r="HN45" i="1"/>
  <c r="HM28" i="1"/>
  <c r="HP45" i="1"/>
  <c r="HQ45" i="1"/>
  <c r="HL28" i="1"/>
  <c r="HM45" i="1"/>
  <c r="HR28" i="1"/>
  <c r="HU47" i="1"/>
  <c r="HT45" i="1"/>
  <c r="HO45" i="1"/>
  <c r="HQ28" i="1"/>
  <c r="HU45" i="1"/>
  <c r="HU21" i="1"/>
  <c r="HS21" i="1"/>
  <c r="HS45" i="1"/>
  <c r="HP31" i="1"/>
  <c r="HQ42" i="1"/>
  <c r="HQ54" i="1"/>
  <c r="HT28" i="1"/>
  <c r="HJ54" i="1"/>
  <c r="HJ42" i="1"/>
  <c r="HQ31" i="1"/>
  <c r="HI31" i="1"/>
  <c r="HM31" i="1"/>
  <c r="HU41" i="1"/>
  <c r="HS42" i="1"/>
  <c r="HH27" i="1"/>
  <c r="HR42" i="1"/>
  <c r="AC10" i="1"/>
  <c r="AC60" i="1" s="1"/>
  <c r="Q30" i="7"/>
  <c r="Q28" i="7" s="1"/>
  <c r="HH31" i="1"/>
  <c r="HU44" i="1"/>
  <c r="HN31" i="1"/>
  <c r="HV45" i="1"/>
  <c r="HI45" i="1"/>
  <c r="HV54" i="1"/>
  <c r="S10" i="1"/>
  <c r="S60" i="1" s="1"/>
  <c r="O30" i="7"/>
  <c r="O28" i="7" s="1"/>
  <c r="HM27" i="1"/>
  <c r="HL32" i="1"/>
  <c r="HN27" i="1"/>
  <c r="HK45" i="1"/>
  <c r="HU42" i="1"/>
  <c r="HM32" i="1"/>
  <c r="HP27" i="1"/>
  <c r="HL45" i="1"/>
  <c r="HL47" i="1"/>
  <c r="HT41" i="1"/>
  <c r="HN28" i="1"/>
  <c r="HO47" i="1"/>
  <c r="HI42" i="1"/>
  <c r="HR51" i="1"/>
  <c r="HV41" i="1"/>
  <c r="HV25" i="1"/>
  <c r="HS41" i="1"/>
  <c r="HR25" i="1"/>
  <c r="HQ41" i="1"/>
  <c r="HK27" i="1"/>
  <c r="HH41" i="1"/>
  <c r="HS28" i="1"/>
  <c r="HR41" i="1"/>
  <c r="HL27" i="1"/>
  <c r="HL41" i="1"/>
  <c r="HT51" i="1"/>
  <c r="HL46" i="1"/>
  <c r="HP28" i="1"/>
  <c r="HI41" i="1"/>
  <c r="HH28" i="1"/>
  <c r="HK41" i="1"/>
  <c r="HL42" i="1"/>
  <c r="HV31" i="1"/>
  <c r="HT25" i="1"/>
  <c r="HI28" i="1"/>
  <c r="HJ41" i="1"/>
  <c r="HM42" i="1"/>
  <c r="HS25" i="1"/>
  <c r="HO41" i="1"/>
  <c r="HM46" i="1"/>
  <c r="HP41" i="1"/>
  <c r="HJ28" i="1"/>
  <c r="HM41" i="1"/>
  <c r="HN42" i="1"/>
  <c r="HU26" i="1"/>
  <c r="HK28" i="1"/>
  <c r="HK47" i="1"/>
  <c r="HK42" i="1"/>
  <c r="HV46" i="1"/>
  <c r="HR26" i="1"/>
  <c r="HH32" i="1"/>
  <c r="HM47" i="1"/>
  <c r="HM54" i="1"/>
  <c r="HS32" i="1"/>
  <c r="HR54" i="1"/>
  <c r="HS51" i="1"/>
  <c r="HN32" i="1"/>
  <c r="HQ47" i="1"/>
  <c r="HK54" i="1"/>
  <c r="HS31" i="1"/>
  <c r="HS54" i="1"/>
  <c r="HI32" i="1"/>
  <c r="HI54" i="1"/>
  <c r="HV51" i="1"/>
  <c r="HN54" i="1"/>
  <c r="HS47" i="1"/>
  <c r="HT32" i="1"/>
  <c r="HT31" i="1"/>
  <c r="HT52" i="1"/>
  <c r="HO54" i="1"/>
  <c r="HR52" i="1"/>
  <c r="HR47" i="1"/>
  <c r="HV52" i="1"/>
  <c r="HT54" i="1"/>
  <c r="HP54" i="1"/>
  <c r="HQ55" i="1"/>
  <c r="HK31" i="1"/>
  <c r="HR31" i="1"/>
  <c r="HT47" i="1"/>
  <c r="HV32" i="1"/>
  <c r="HO32" i="1"/>
  <c r="HP32" i="1"/>
  <c r="HR32" i="1"/>
  <c r="HQ32" i="1"/>
  <c r="HS52" i="1"/>
  <c r="HK32" i="1"/>
  <c r="HL31" i="1"/>
  <c r="HV26" i="1"/>
  <c r="HV28" i="1"/>
  <c r="HT26" i="1"/>
  <c r="HL54" i="1"/>
  <c r="HH54" i="1"/>
  <c r="HJ32" i="1"/>
  <c r="HJ47" i="1"/>
  <c r="HO31" i="1"/>
  <c r="HT42" i="1"/>
  <c r="HN46" i="1"/>
  <c r="HR21" i="1"/>
  <c r="AH39" i="1"/>
  <c r="R31" i="7" s="1"/>
  <c r="AI40" i="1"/>
  <c r="HR46" i="1"/>
  <c r="HP46" i="1"/>
  <c r="HQ27" i="1"/>
  <c r="HT21" i="1"/>
  <c r="HU27" i="1"/>
  <c r="HH46" i="1"/>
  <c r="FC40" i="1"/>
  <c r="FC39" i="1" s="1"/>
  <c r="EZ40" i="1"/>
  <c r="EZ39" i="1" s="1"/>
  <c r="FL40" i="1"/>
  <c r="FL39" i="1" s="1"/>
  <c r="EY40" i="1"/>
  <c r="EY39" i="1" s="1"/>
  <c r="FD40" i="1"/>
  <c r="FD39" i="1" s="1"/>
  <c r="FB40" i="1"/>
  <c r="FB39" i="1" s="1"/>
  <c r="FK40" i="1"/>
  <c r="FK39" i="1" s="1"/>
  <c r="FG40" i="1"/>
  <c r="FG39" i="1" s="1"/>
  <c r="FF40" i="1"/>
  <c r="FF39" i="1" s="1"/>
  <c r="FE40" i="1"/>
  <c r="FE39" i="1" s="1"/>
  <c r="FA40" i="1"/>
  <c r="FA39" i="1" s="1"/>
  <c r="EX40" i="1"/>
  <c r="EX39" i="1" s="1"/>
  <c r="FI40" i="1"/>
  <c r="FI39" i="1" s="1"/>
  <c r="FH40" i="1"/>
  <c r="FH39" i="1" s="1"/>
  <c r="FJ40" i="1"/>
  <c r="FJ39" i="1" s="1"/>
  <c r="HR55" i="1"/>
  <c r="HT27" i="1"/>
  <c r="HO55" i="1"/>
  <c r="HS27" i="1"/>
  <c r="GN42" i="1"/>
  <c r="GN39" i="1" s="1"/>
  <c r="GI42" i="1"/>
  <c r="GI39" i="1" s="1"/>
  <c r="GD42" i="1"/>
  <c r="GD39" i="1" s="1"/>
  <c r="GF42" i="1"/>
  <c r="GF39" i="1" s="1"/>
  <c r="GQ42" i="1"/>
  <c r="GQ39" i="1" s="1"/>
  <c r="GL42" i="1"/>
  <c r="GL39" i="1" s="1"/>
  <c r="GK42" i="1"/>
  <c r="GK39" i="1" s="1"/>
  <c r="GG42" i="1"/>
  <c r="GG39" i="1" s="1"/>
  <c r="GO42" i="1"/>
  <c r="GO39" i="1" s="1"/>
  <c r="GM42" i="1"/>
  <c r="GM39" i="1" s="1"/>
  <c r="GP42" i="1"/>
  <c r="GP39" i="1" s="1"/>
  <c r="GJ42" i="1"/>
  <c r="GJ39" i="1" s="1"/>
  <c r="GC42" i="1"/>
  <c r="GC39" i="1" s="1"/>
  <c r="GE42" i="1"/>
  <c r="GE39" i="1" s="1"/>
  <c r="GH42" i="1"/>
  <c r="GH39" i="1" s="1"/>
  <c r="HS23" i="1"/>
  <c r="HR23" i="1"/>
  <c r="HT44" i="1"/>
  <c r="HJ46" i="1"/>
  <c r="T39" i="1"/>
  <c r="EB44" i="1"/>
  <c r="EB39" i="1" s="1"/>
  <c r="DW44" i="1"/>
  <c r="DW39" i="1" s="1"/>
  <c r="DV44" i="1"/>
  <c r="DV39" i="1" s="1"/>
  <c r="EE44" i="1"/>
  <c r="EE39" i="1" s="1"/>
  <c r="ED44" i="1"/>
  <c r="ED39" i="1" s="1"/>
  <c r="EF44" i="1"/>
  <c r="EF39" i="1" s="1"/>
  <c r="EG44" i="1"/>
  <c r="EG39" i="1" s="1"/>
  <c r="EC44" i="1"/>
  <c r="EC39" i="1" s="1"/>
  <c r="EA44" i="1"/>
  <c r="EA39" i="1" s="1"/>
  <c r="DZ44" i="1"/>
  <c r="DZ39" i="1" s="1"/>
  <c r="DY44" i="1"/>
  <c r="DY39" i="1" s="1"/>
  <c r="DX44" i="1"/>
  <c r="DX39" i="1" s="1"/>
  <c r="DT44" i="1"/>
  <c r="DT39" i="1" s="1"/>
  <c r="DU44" i="1"/>
  <c r="DU39" i="1" s="1"/>
  <c r="DS44" i="1"/>
  <c r="DS39" i="1" s="1"/>
  <c r="HK46" i="1"/>
  <c r="HQ46" i="1"/>
  <c r="HU46" i="1"/>
  <c r="Y39" i="1"/>
  <c r="Y60" i="1" s="1"/>
  <c r="FG22" i="1"/>
  <c r="FG20" i="1" s="1"/>
  <c r="FG10" i="1" s="1"/>
  <c r="FF22" i="1"/>
  <c r="FF20" i="1" s="1"/>
  <c r="FF10" i="1" s="1"/>
  <c r="FA22" i="1"/>
  <c r="FA20" i="1" s="1"/>
  <c r="FA10" i="1" s="1"/>
  <c r="FI22" i="1"/>
  <c r="FI20" i="1" s="1"/>
  <c r="FI10" i="1" s="1"/>
  <c r="FK22" i="1"/>
  <c r="FK20" i="1" s="1"/>
  <c r="FK10" i="1" s="1"/>
  <c r="FJ22" i="1"/>
  <c r="FJ20" i="1" s="1"/>
  <c r="FJ10" i="1" s="1"/>
  <c r="FC22" i="1"/>
  <c r="FC20" i="1" s="1"/>
  <c r="FC10" i="1" s="1"/>
  <c r="FB22" i="1"/>
  <c r="FB20" i="1" s="1"/>
  <c r="FB10" i="1" s="1"/>
  <c r="EX22" i="1"/>
  <c r="EX20" i="1" s="1"/>
  <c r="EX10" i="1" s="1"/>
  <c r="FE22" i="1"/>
  <c r="FE20" i="1" s="1"/>
  <c r="FE10" i="1" s="1"/>
  <c r="FD22" i="1"/>
  <c r="FD20" i="1" s="1"/>
  <c r="FD10" i="1" s="1"/>
  <c r="EZ22" i="1"/>
  <c r="EZ20" i="1" s="1"/>
  <c r="EZ10" i="1" s="1"/>
  <c r="EY22" i="1"/>
  <c r="EY20" i="1" s="1"/>
  <c r="EY10" i="1" s="1"/>
  <c r="FL22" i="1"/>
  <c r="FL20" i="1" s="1"/>
  <c r="FL10" i="1" s="1"/>
  <c r="FH22" i="1"/>
  <c r="FH20" i="1" s="1"/>
  <c r="FH10" i="1" s="1"/>
  <c r="HS46" i="1"/>
  <c r="HV23" i="1"/>
  <c r="HT46" i="1"/>
  <c r="HO27" i="1"/>
  <c r="HI55" i="1"/>
  <c r="HN55" i="1"/>
  <c r="HO46" i="1"/>
  <c r="HJ45" i="1"/>
  <c r="HJ31" i="1"/>
  <c r="HR44" i="1"/>
  <c r="HU23" i="1"/>
  <c r="DY21" i="1"/>
  <c r="DY20" i="1" s="1"/>
  <c r="DY10" i="1" s="1"/>
  <c r="DT21" i="1"/>
  <c r="DT20" i="1" s="1"/>
  <c r="DT10" i="1" s="1"/>
  <c r="EF21" i="1"/>
  <c r="EF20" i="1" s="1"/>
  <c r="EF10" i="1" s="1"/>
  <c r="EC21" i="1"/>
  <c r="EC20" i="1" s="1"/>
  <c r="EC10" i="1" s="1"/>
  <c r="EB21" i="1"/>
  <c r="EB20" i="1" s="1"/>
  <c r="EB10" i="1" s="1"/>
  <c r="EG21" i="1"/>
  <c r="EG20" i="1" s="1"/>
  <c r="EG10" i="1" s="1"/>
  <c r="EE21" i="1"/>
  <c r="EE20" i="1" s="1"/>
  <c r="EE10" i="1" s="1"/>
  <c r="EA21" i="1"/>
  <c r="EA20" i="1" s="1"/>
  <c r="EA10" i="1" s="1"/>
  <c r="DZ21" i="1"/>
  <c r="DZ20" i="1" s="1"/>
  <c r="DZ10" i="1" s="1"/>
  <c r="DX21" i="1"/>
  <c r="DX20" i="1" s="1"/>
  <c r="DX10" i="1" s="1"/>
  <c r="DU21" i="1"/>
  <c r="DU20" i="1" s="1"/>
  <c r="DU10" i="1" s="1"/>
  <c r="DS21" i="1"/>
  <c r="DS20" i="1" s="1"/>
  <c r="DS10" i="1" s="1"/>
  <c r="ED21" i="1"/>
  <c r="ED20" i="1" s="1"/>
  <c r="ED10" i="1" s="1"/>
  <c r="DW21" i="1"/>
  <c r="DW20" i="1" s="1"/>
  <c r="DW10" i="1" s="1"/>
  <c r="DV21" i="1"/>
  <c r="DV20" i="1" s="1"/>
  <c r="DV10" i="1" s="1"/>
  <c r="HU55" i="1"/>
  <c r="HT55" i="1"/>
  <c r="HS55" i="1"/>
  <c r="HH55" i="1"/>
  <c r="HL55" i="1"/>
  <c r="HR27" i="1"/>
  <c r="AD20" i="1"/>
  <c r="AD10" i="1" s="1"/>
  <c r="AD60" i="1" s="1"/>
  <c r="GO24" i="1"/>
  <c r="GO20" i="1" s="1"/>
  <c r="GO10" i="1" s="1"/>
  <c r="GJ24" i="1"/>
  <c r="GJ20" i="1" s="1"/>
  <c r="GJ10" i="1" s="1"/>
  <c r="GM24" i="1"/>
  <c r="GM20" i="1" s="1"/>
  <c r="GM10" i="1" s="1"/>
  <c r="GD24" i="1"/>
  <c r="GD20" i="1" s="1"/>
  <c r="GD10" i="1" s="1"/>
  <c r="GC24" i="1"/>
  <c r="GC20" i="1" s="1"/>
  <c r="GC10" i="1" s="1"/>
  <c r="GL24" i="1"/>
  <c r="GL20" i="1" s="1"/>
  <c r="GL10" i="1" s="1"/>
  <c r="GK24" i="1"/>
  <c r="GK20" i="1" s="1"/>
  <c r="GK10" i="1" s="1"/>
  <c r="GG24" i="1"/>
  <c r="GG20" i="1" s="1"/>
  <c r="GG10" i="1" s="1"/>
  <c r="GF24" i="1"/>
  <c r="GF20" i="1" s="1"/>
  <c r="GF10" i="1" s="1"/>
  <c r="GQ24" i="1"/>
  <c r="GQ20" i="1" s="1"/>
  <c r="GQ10" i="1" s="1"/>
  <c r="GP24" i="1"/>
  <c r="GP20" i="1" s="1"/>
  <c r="GP10" i="1" s="1"/>
  <c r="GN24" i="1"/>
  <c r="GN20" i="1" s="1"/>
  <c r="GN10" i="1" s="1"/>
  <c r="GI24" i="1"/>
  <c r="GI20" i="1" s="1"/>
  <c r="GI10" i="1" s="1"/>
  <c r="GE24" i="1"/>
  <c r="GE20" i="1" s="1"/>
  <c r="GE10" i="1" s="1"/>
  <c r="GH24" i="1"/>
  <c r="GH20" i="1" s="1"/>
  <c r="GH10" i="1" s="1"/>
  <c r="HJ55" i="1"/>
  <c r="HV44" i="1"/>
  <c r="HV55" i="1"/>
  <c r="HV49" i="1"/>
  <c r="HU49" i="1"/>
  <c r="HS49" i="1"/>
  <c r="HR49" i="1"/>
  <c r="HM55" i="1"/>
  <c r="AH20" i="1"/>
  <c r="AH10" i="1" s="1"/>
  <c r="AI22" i="1"/>
  <c r="O60" i="1"/>
  <c r="T20" i="1"/>
  <c r="T10" i="1" s="1"/>
  <c r="HP55" i="1"/>
  <c r="HI27" i="1"/>
  <c r="HK52" i="1"/>
  <c r="HP52" i="1"/>
  <c r="HQ52" i="1"/>
  <c r="HJ52" i="1"/>
  <c r="HI52" i="1"/>
  <c r="HO52" i="1"/>
  <c r="HN52" i="1"/>
  <c r="HM52" i="1"/>
  <c r="HL52" i="1"/>
  <c r="HH52" i="1"/>
  <c r="CW49" i="1"/>
  <c r="CQ49" i="1"/>
  <c r="CP49" i="1"/>
  <c r="CU49" i="1"/>
  <c r="CT49" i="1"/>
  <c r="CV49" i="1"/>
  <c r="CS49" i="1"/>
  <c r="CO49" i="1"/>
  <c r="CN49" i="1"/>
  <c r="CR49" i="1"/>
  <c r="HM21" i="1"/>
  <c r="HL21" i="1"/>
  <c r="HK21" i="1"/>
  <c r="HQ21" i="1"/>
  <c r="HP21" i="1"/>
  <c r="HN21" i="1"/>
  <c r="HO21" i="1"/>
  <c r="HJ21" i="1"/>
  <c r="HI21" i="1"/>
  <c r="HH21" i="1"/>
  <c r="HQ30" i="1"/>
  <c r="HL30" i="1"/>
  <c r="HK30" i="1"/>
  <c r="HI30" i="1"/>
  <c r="HM30" i="1"/>
  <c r="HP30" i="1"/>
  <c r="HO30" i="1"/>
  <c r="HN30" i="1"/>
  <c r="HJ30" i="1"/>
  <c r="HH30" i="1"/>
  <c r="HI43" i="1"/>
  <c r="HK43" i="1"/>
  <c r="HJ43" i="1"/>
  <c r="HH43" i="1"/>
  <c r="HQ43" i="1"/>
  <c r="HM43" i="1"/>
  <c r="HL43" i="1"/>
  <c r="HP43" i="1"/>
  <c r="HO43" i="1"/>
  <c r="HN43" i="1"/>
  <c r="CS46" i="1"/>
  <c r="CP46" i="1"/>
  <c r="CN46" i="1"/>
  <c r="CO46" i="1"/>
  <c r="CT46" i="1"/>
  <c r="CR46" i="1"/>
  <c r="CV46" i="1"/>
  <c r="CU46" i="1"/>
  <c r="CQ46" i="1"/>
  <c r="CW46" i="1"/>
  <c r="CS50" i="1"/>
  <c r="CR50" i="1"/>
  <c r="CQ50" i="1"/>
  <c r="CP50" i="1"/>
  <c r="CO50" i="1"/>
  <c r="CW50" i="1"/>
  <c r="CV50" i="1"/>
  <c r="CU50" i="1"/>
  <c r="CT50" i="1"/>
  <c r="CN50" i="1"/>
  <c r="CO32" i="1"/>
  <c r="CT32" i="1"/>
  <c r="CR32" i="1"/>
  <c r="CS32" i="1"/>
  <c r="CV32" i="1"/>
  <c r="CW32" i="1"/>
  <c r="CP32" i="1"/>
  <c r="CN32" i="1"/>
  <c r="CU32" i="1"/>
  <c r="CQ32" i="1"/>
  <c r="CU27" i="1"/>
  <c r="CW27" i="1"/>
  <c r="CV27" i="1"/>
  <c r="CO27" i="1"/>
  <c r="CN27" i="1"/>
  <c r="CT27" i="1"/>
  <c r="CS27" i="1"/>
  <c r="CR27" i="1"/>
  <c r="CP27" i="1"/>
  <c r="CQ27" i="1"/>
  <c r="CO44" i="1"/>
  <c r="CS44" i="1"/>
  <c r="CR44" i="1"/>
  <c r="CT44" i="1"/>
  <c r="CQ44" i="1"/>
  <c r="CW44" i="1"/>
  <c r="CV44" i="1"/>
  <c r="CU44" i="1"/>
  <c r="CP44" i="1"/>
  <c r="CN44" i="1"/>
  <c r="CW43" i="1"/>
  <c r="CV43" i="1"/>
  <c r="CP43" i="1"/>
  <c r="CO43" i="1"/>
  <c r="CR43" i="1"/>
  <c r="CQ43" i="1"/>
  <c r="CU43" i="1"/>
  <c r="CS43" i="1"/>
  <c r="CT43" i="1"/>
  <c r="CN43" i="1"/>
  <c r="CU55" i="1"/>
  <c r="CW55" i="1"/>
  <c r="CP55" i="1"/>
  <c r="CO55" i="1"/>
  <c r="CT55" i="1"/>
  <c r="CS55" i="1"/>
  <c r="CQ55" i="1"/>
  <c r="CV55" i="1"/>
  <c r="CR55" i="1"/>
  <c r="CN55" i="1"/>
  <c r="CT41" i="1"/>
  <c r="CR41" i="1"/>
  <c r="CS41" i="1"/>
  <c r="CW41" i="1"/>
  <c r="CP41" i="1"/>
  <c r="CU41" i="1"/>
  <c r="CQ41" i="1"/>
  <c r="CO41" i="1"/>
  <c r="CN41" i="1"/>
  <c r="CV41" i="1"/>
  <c r="CW28" i="1"/>
  <c r="CR28" i="1"/>
  <c r="CQ28" i="1"/>
  <c r="CN28" i="1"/>
  <c r="CT28" i="1"/>
  <c r="CS28" i="1"/>
  <c r="CV28" i="1"/>
  <c r="CU28" i="1"/>
  <c r="CP28" i="1"/>
  <c r="CO28" i="1"/>
  <c r="CO30" i="1"/>
  <c r="CN30" i="1"/>
  <c r="CW30" i="1"/>
  <c r="CV30" i="1"/>
  <c r="CT30" i="1"/>
  <c r="CS30" i="1"/>
  <c r="CU30" i="1"/>
  <c r="CR30" i="1"/>
  <c r="CQ30" i="1"/>
  <c r="CP30" i="1"/>
  <c r="CT23" i="1"/>
  <c r="CS23" i="1"/>
  <c r="CQ23" i="1"/>
  <c r="CN23" i="1"/>
  <c r="CR23" i="1"/>
  <c r="CV23" i="1"/>
  <c r="CU23" i="1"/>
  <c r="CP23" i="1"/>
  <c r="CW23" i="1"/>
  <c r="CO23" i="1"/>
  <c r="CU47" i="1"/>
  <c r="CS47" i="1"/>
  <c r="CR47" i="1"/>
  <c r="CQ47" i="1"/>
  <c r="CW47" i="1"/>
  <c r="CN47" i="1"/>
  <c r="CV47" i="1"/>
  <c r="CT47" i="1"/>
  <c r="CP47" i="1"/>
  <c r="CO47" i="1"/>
  <c r="CW56" i="1"/>
  <c r="CS56" i="1"/>
  <c r="CR56" i="1"/>
  <c r="CO56" i="1"/>
  <c r="CN56" i="1"/>
  <c r="CV56" i="1"/>
  <c r="CU56" i="1"/>
  <c r="CT56" i="1"/>
  <c r="CQ56" i="1"/>
  <c r="CP56" i="1"/>
  <c r="CQ25" i="1"/>
  <c r="CR25" i="1"/>
  <c r="CP25" i="1"/>
  <c r="CO25" i="1"/>
  <c r="CW25" i="1"/>
  <c r="CN25" i="1"/>
  <c r="CV25" i="1"/>
  <c r="CU25" i="1"/>
  <c r="CT25" i="1"/>
  <c r="CS25" i="1"/>
  <c r="CO14" i="1"/>
  <c r="CR14" i="1"/>
  <c r="CQ14" i="1"/>
  <c r="CV14" i="1"/>
  <c r="CU14" i="1"/>
  <c r="CP14" i="1"/>
  <c r="CW14" i="1"/>
  <c r="CT14" i="1"/>
  <c r="CS14" i="1"/>
  <c r="CN14" i="1"/>
  <c r="CW48" i="1"/>
  <c r="CV48" i="1"/>
  <c r="CT48" i="1"/>
  <c r="CU48" i="1"/>
  <c r="CN48" i="1"/>
  <c r="CR48" i="1"/>
  <c r="CP48" i="1"/>
  <c r="CO48" i="1"/>
  <c r="CS48" i="1"/>
  <c r="CQ48" i="1"/>
  <c r="CR22" i="1"/>
  <c r="CQ22" i="1"/>
  <c r="CT22" i="1"/>
  <c r="CW22" i="1"/>
  <c r="CV22" i="1"/>
  <c r="CU22" i="1"/>
  <c r="CS22" i="1"/>
  <c r="CP22" i="1"/>
  <c r="CO22" i="1"/>
  <c r="CN22" i="1"/>
  <c r="CW21" i="1"/>
  <c r="CV21" i="1"/>
  <c r="CP21" i="1"/>
  <c r="CO21" i="1"/>
  <c r="CT21" i="1"/>
  <c r="CS21" i="1"/>
  <c r="CU21" i="1"/>
  <c r="CR21" i="1"/>
  <c r="CN21" i="1"/>
  <c r="CQ21" i="1"/>
  <c r="CQ31" i="1"/>
  <c r="CP31" i="1"/>
  <c r="CO31" i="1"/>
  <c r="CW31" i="1"/>
  <c r="CR31" i="1"/>
  <c r="CV31" i="1"/>
  <c r="CU31" i="1"/>
  <c r="CT31" i="1"/>
  <c r="CS31" i="1"/>
  <c r="CN31" i="1"/>
  <c r="CP58" i="1"/>
  <c r="CO58" i="1"/>
  <c r="CN58" i="1"/>
  <c r="CW58" i="1"/>
  <c r="CU58" i="1"/>
  <c r="CT58" i="1"/>
  <c r="CS58" i="1"/>
  <c r="CV58" i="1"/>
  <c r="CR58" i="1"/>
  <c r="CQ58" i="1"/>
  <c r="HK25" i="1"/>
  <c r="HO25" i="1"/>
  <c r="HN25" i="1"/>
  <c r="HJ25" i="1"/>
  <c r="HQ25" i="1"/>
  <c r="HP25" i="1"/>
  <c r="HM25" i="1"/>
  <c r="HL25" i="1"/>
  <c r="HI25" i="1"/>
  <c r="HH25" i="1"/>
  <c r="CW40" i="1"/>
  <c r="CQ40" i="1"/>
  <c r="CP40" i="1"/>
  <c r="CO40" i="1"/>
  <c r="CR40" i="1"/>
  <c r="CN40" i="1"/>
  <c r="CV40" i="1"/>
  <c r="CU40" i="1"/>
  <c r="CT40" i="1"/>
  <c r="CS40" i="1"/>
  <c r="CQ33" i="1"/>
  <c r="CW33" i="1"/>
  <c r="CV33" i="1"/>
  <c r="CU33" i="1"/>
  <c r="CN33" i="1"/>
  <c r="CT33" i="1"/>
  <c r="CS33" i="1"/>
  <c r="CR33" i="1"/>
  <c r="CP33" i="1"/>
  <c r="CO33" i="1"/>
  <c r="HQ23" i="1"/>
  <c r="HP23" i="1"/>
  <c r="HO23" i="1"/>
  <c r="HI23" i="1"/>
  <c r="HH23" i="1"/>
  <c r="HJ23" i="1"/>
  <c r="HK23" i="1"/>
  <c r="HL23" i="1"/>
  <c r="HN23" i="1"/>
  <c r="HM23" i="1"/>
  <c r="HO29" i="1"/>
  <c r="HQ29" i="1"/>
  <c r="HP29" i="1"/>
  <c r="HJ29" i="1"/>
  <c r="HI29" i="1"/>
  <c r="HN29" i="1"/>
  <c r="HL29" i="1"/>
  <c r="HK29" i="1"/>
  <c r="HM29" i="1"/>
  <c r="HH29" i="1"/>
  <c r="CS54" i="1"/>
  <c r="CV54" i="1"/>
  <c r="CU54" i="1"/>
  <c r="CT54" i="1"/>
  <c r="CQ54" i="1"/>
  <c r="CP54" i="1"/>
  <c r="CO54" i="1"/>
  <c r="CW54" i="1"/>
  <c r="CR54" i="1"/>
  <c r="CN54" i="1"/>
  <c r="CU29" i="1"/>
  <c r="CT29" i="1"/>
  <c r="CN29" i="1"/>
  <c r="CS29" i="1"/>
  <c r="CP29" i="1"/>
  <c r="CR29" i="1"/>
  <c r="CV29" i="1"/>
  <c r="CW29" i="1"/>
  <c r="CQ29" i="1"/>
  <c r="CO29" i="1"/>
  <c r="CV42" i="1"/>
  <c r="CU42" i="1"/>
  <c r="CT42" i="1"/>
  <c r="CN42" i="1"/>
  <c r="CP42" i="1"/>
  <c r="CW42" i="1"/>
  <c r="CS42" i="1"/>
  <c r="CR42" i="1"/>
  <c r="CQ42" i="1"/>
  <c r="CO42" i="1"/>
  <c r="HK44" i="1"/>
  <c r="HN44" i="1"/>
  <c r="HJ44" i="1"/>
  <c r="HM44" i="1"/>
  <c r="HL44" i="1"/>
  <c r="HI44" i="1"/>
  <c r="HQ44" i="1"/>
  <c r="HP44" i="1"/>
  <c r="HO44" i="1"/>
  <c r="HH44" i="1"/>
  <c r="HK49" i="1"/>
  <c r="HH49" i="1"/>
  <c r="HJ49" i="1"/>
  <c r="HI49" i="1"/>
  <c r="HM49" i="1"/>
  <c r="HQ49" i="1"/>
  <c r="HP49" i="1"/>
  <c r="HO49" i="1"/>
  <c r="HN49" i="1"/>
  <c r="HL49" i="1"/>
  <c r="CS26" i="1"/>
  <c r="CU26" i="1"/>
  <c r="CT26" i="1"/>
  <c r="CR26" i="1"/>
  <c r="CQ26" i="1"/>
  <c r="CV26" i="1"/>
  <c r="CP26" i="1"/>
  <c r="CO26" i="1"/>
  <c r="CN26" i="1"/>
  <c r="CW26" i="1"/>
  <c r="CO24" i="1"/>
  <c r="CN24" i="1"/>
  <c r="CW24" i="1"/>
  <c r="CV24" i="1"/>
  <c r="CR24" i="1"/>
  <c r="CQ24" i="1"/>
  <c r="CT24" i="1"/>
  <c r="CS24" i="1"/>
  <c r="CU24" i="1"/>
  <c r="CP24" i="1"/>
  <c r="HI24" i="1"/>
  <c r="HQ24" i="1"/>
  <c r="HL24" i="1"/>
  <c r="HK24" i="1"/>
  <c r="HH24" i="1"/>
  <c r="HO24" i="1"/>
  <c r="HN24" i="1"/>
  <c r="HP24" i="1"/>
  <c r="HM24" i="1"/>
  <c r="HJ24" i="1"/>
  <c r="CQ45" i="1"/>
  <c r="CV45" i="1"/>
  <c r="CU45" i="1"/>
  <c r="CP45" i="1"/>
  <c r="CN45" i="1"/>
  <c r="CR45" i="1"/>
  <c r="CW45" i="1"/>
  <c r="CT45" i="1"/>
  <c r="CS45" i="1"/>
  <c r="CO45" i="1"/>
  <c r="HM26" i="1"/>
  <c r="HI26" i="1"/>
  <c r="HH26" i="1"/>
  <c r="HQ26" i="1"/>
  <c r="HL26" i="1"/>
  <c r="HK26" i="1"/>
  <c r="HN26" i="1"/>
  <c r="HJ26" i="1"/>
  <c r="HP26" i="1"/>
  <c r="HO26" i="1"/>
  <c r="HI51" i="1"/>
  <c r="HP51" i="1"/>
  <c r="HM51" i="1"/>
  <c r="HO51" i="1"/>
  <c r="HN51" i="1"/>
  <c r="HQ51" i="1"/>
  <c r="HL51" i="1"/>
  <c r="HK51" i="1"/>
  <c r="HJ51" i="1"/>
  <c r="HH51" i="1"/>
  <c r="CU51" i="1"/>
  <c r="CT51" i="1"/>
  <c r="CQ51" i="1"/>
  <c r="CW51" i="1"/>
  <c r="CV51" i="1"/>
  <c r="CS51" i="1"/>
  <c r="CO51" i="1"/>
  <c r="CN51" i="1"/>
  <c r="CR51" i="1"/>
  <c r="CP51" i="1"/>
  <c r="HI14" i="1"/>
  <c r="HO14" i="1"/>
  <c r="HN14" i="1"/>
  <c r="HM14" i="1"/>
  <c r="HV14" i="1"/>
  <c r="HJ14" i="1"/>
  <c r="HH14" i="1"/>
  <c r="HR14" i="1"/>
  <c r="HS14" i="1"/>
  <c r="HT14" i="1"/>
  <c r="HU14" i="1"/>
  <c r="HL14" i="1"/>
  <c r="HK14" i="1"/>
  <c r="HQ14" i="1"/>
  <c r="HP14" i="1"/>
  <c r="CO52" i="1"/>
  <c r="CP52" i="1"/>
  <c r="CN52" i="1"/>
  <c r="CW52" i="1"/>
  <c r="CS52" i="1"/>
  <c r="CR52" i="1"/>
  <c r="CV52" i="1"/>
  <c r="CU52" i="1"/>
  <c r="CT52" i="1"/>
  <c r="CQ52" i="1"/>
  <c r="CN57" i="1"/>
  <c r="CV57" i="1"/>
  <c r="CU57" i="1"/>
  <c r="CS57" i="1"/>
  <c r="CW57" i="1"/>
  <c r="CT57" i="1"/>
  <c r="CQ57" i="1"/>
  <c r="CR57" i="1"/>
  <c r="CP57" i="1"/>
  <c r="CO57" i="1"/>
  <c r="HQ37" i="1"/>
  <c r="HQ35" i="1" s="1"/>
  <c r="IF37" i="1"/>
  <c r="IF35" i="1" s="1"/>
  <c r="IF60" i="1" s="1"/>
  <c r="HP37" i="1"/>
  <c r="HP35" i="1" s="1"/>
  <c r="IE37" i="1"/>
  <c r="IE35" i="1" s="1"/>
  <c r="IE60" i="1" s="1"/>
  <c r="HO37" i="1"/>
  <c r="HO35" i="1" s="1"/>
  <c r="ID37" i="1"/>
  <c r="ID35" i="1" s="1"/>
  <c r="ID60" i="1" s="1"/>
  <c r="HN37" i="1"/>
  <c r="HN35" i="1" s="1"/>
  <c r="IC37" i="1"/>
  <c r="IC35" i="1" s="1"/>
  <c r="IC60" i="1" s="1"/>
  <c r="HM37" i="1"/>
  <c r="HM35" i="1" s="1"/>
  <c r="IB37" i="1"/>
  <c r="IB35" i="1" s="1"/>
  <c r="IB60" i="1" s="1"/>
  <c r="HL37" i="1"/>
  <c r="HL35" i="1" s="1"/>
  <c r="IA37" i="1"/>
  <c r="IA35" i="1" s="1"/>
  <c r="IA60" i="1" s="1"/>
  <c r="HK37" i="1"/>
  <c r="HK35" i="1" s="1"/>
  <c r="HZ37" i="1"/>
  <c r="HZ35" i="1" s="1"/>
  <c r="HZ60" i="1" s="1"/>
  <c r="HJ37" i="1"/>
  <c r="HJ35" i="1" s="1"/>
  <c r="HY37" i="1"/>
  <c r="HY35" i="1" s="1"/>
  <c r="HY60" i="1" s="1"/>
  <c r="HI37" i="1"/>
  <c r="HI35" i="1" s="1"/>
  <c r="HX37" i="1"/>
  <c r="HX35" i="1" s="1"/>
  <c r="HX60" i="1" s="1"/>
  <c r="HH37" i="1"/>
  <c r="HH35" i="1" s="1"/>
  <c r="HW37" i="1"/>
  <c r="HW35" i="1" s="1"/>
  <c r="HW60" i="1" s="1"/>
  <c r="HV37" i="1"/>
  <c r="HV35" i="1" s="1"/>
  <c r="HU37" i="1"/>
  <c r="HU35" i="1" s="1"/>
  <c r="HT37" i="1"/>
  <c r="HT35" i="1" s="1"/>
  <c r="HS37" i="1"/>
  <c r="HS35" i="1" s="1"/>
  <c r="HR37" i="1"/>
  <c r="HR35" i="1" s="1"/>
  <c r="BX35" i="1"/>
  <c r="BX60" i="1" s="1"/>
  <c r="CB35" i="1"/>
  <c r="CB60" i="1" s="1"/>
  <c r="BV35" i="1"/>
  <c r="BP35" i="1"/>
  <c r="BQ35" i="1"/>
  <c r="BY35" i="1"/>
  <c r="BY60" i="1" s="1"/>
  <c r="BK35" i="1"/>
  <c r="BZ35" i="1"/>
  <c r="BZ60" i="1" s="1"/>
  <c r="BU35" i="1"/>
  <c r="CA35" i="1"/>
  <c r="CA60" i="1" s="1"/>
  <c r="BW35" i="1"/>
  <c r="CD35" i="1"/>
  <c r="CD60" i="1" s="1"/>
  <c r="CC35" i="1"/>
  <c r="CC60" i="1" s="1"/>
  <c r="BL35" i="1"/>
  <c r="BO35" i="1"/>
  <c r="BJ35" i="1"/>
  <c r="CE35" i="1"/>
  <c r="CE60" i="1" s="1"/>
  <c r="BN35" i="1"/>
  <c r="BR35" i="1"/>
  <c r="BI35" i="1"/>
  <c r="BM35" i="1"/>
  <c r="BT35" i="1"/>
  <c r="CF35" i="1"/>
  <c r="CF60" i="1" s="1"/>
  <c r="BS35" i="1"/>
  <c r="I12" i="1"/>
  <c r="M29" i="7" s="1"/>
  <c r="DP35" i="1"/>
  <c r="DP60" i="1" s="1"/>
  <c r="II35" i="1"/>
  <c r="II60" i="1" s="1"/>
  <c r="DK35" i="1"/>
  <c r="DK60" i="1" s="1"/>
  <c r="CW35" i="1"/>
  <c r="CV35" i="1"/>
  <c r="CL35" i="1"/>
  <c r="CL60" i="1" s="1"/>
  <c r="CX35" i="1"/>
  <c r="IG35" i="1"/>
  <c r="IG60" i="1" s="1"/>
  <c r="IH35" i="1"/>
  <c r="IH60" i="1" s="1"/>
  <c r="DA35" i="1"/>
  <c r="IK35" i="1"/>
  <c r="IK60" i="1" s="1"/>
  <c r="CG35" i="1"/>
  <c r="CG60" i="1" s="1"/>
  <c r="CT35" i="1"/>
  <c r="DE35" i="1"/>
  <c r="DE60" i="1" s="1"/>
  <c r="CU35" i="1"/>
  <c r="IJ35" i="1"/>
  <c r="IJ60" i="1" s="1"/>
  <c r="CJ35" i="1"/>
  <c r="CJ60" i="1" s="1"/>
  <c r="DC35" i="1"/>
  <c r="DC60" i="1" s="1"/>
  <c r="CN35" i="1"/>
  <c r="DM35" i="1"/>
  <c r="DM60" i="1" s="1"/>
  <c r="DL35" i="1"/>
  <c r="DL60" i="1" s="1"/>
  <c r="DQ35" i="1"/>
  <c r="DQ60" i="1" s="1"/>
  <c r="CP35" i="1"/>
  <c r="DD35" i="1"/>
  <c r="DD60" i="1" s="1"/>
  <c r="CR35" i="1"/>
  <c r="DF35" i="1"/>
  <c r="DF60" i="1" s="1"/>
  <c r="CQ35" i="1"/>
  <c r="DB35" i="1"/>
  <c r="CK35" i="1"/>
  <c r="CK60" i="1" s="1"/>
  <c r="DO35" i="1"/>
  <c r="DO60" i="1" s="1"/>
  <c r="CH35" i="1"/>
  <c r="CH60" i="1" s="1"/>
  <c r="CY35" i="1"/>
  <c r="DG35" i="1"/>
  <c r="DG60" i="1" s="1"/>
  <c r="DN35" i="1"/>
  <c r="DN60" i="1" s="1"/>
  <c r="CZ35" i="1"/>
  <c r="CS35" i="1"/>
  <c r="DH35" i="1"/>
  <c r="DH60" i="1" s="1"/>
  <c r="DJ35" i="1"/>
  <c r="DJ60" i="1" s="1"/>
  <c r="CI35" i="1"/>
  <c r="CI60" i="1" s="1"/>
  <c r="CO35" i="1"/>
  <c r="DI35" i="1"/>
  <c r="DI60" i="1" s="1"/>
  <c r="N12" i="7"/>
  <c r="R12" i="7"/>
  <c r="M48" i="7"/>
  <c r="E15" i="41" l="1"/>
  <c r="G17" i="41" s="1"/>
  <c r="H17" i="41" s="1"/>
  <c r="I17" i="41" s="1"/>
  <c r="J17" i="41" s="1"/>
  <c r="K17" i="41" s="1"/>
  <c r="L17" i="41" s="1"/>
  <c r="M17" i="41" s="1"/>
  <c r="N17" i="41" s="1"/>
  <c r="O17" i="41" s="1"/>
  <c r="P17" i="41" s="1"/>
  <c r="Q17" i="41" s="1"/>
  <c r="R17" i="41" s="1"/>
  <c r="S17" i="41" s="1"/>
  <c r="T17" i="41" s="1"/>
  <c r="O19" i="54"/>
  <c r="O20" i="54" s="1"/>
  <c r="E20" i="41"/>
  <c r="P19" i="54"/>
  <c r="P20" i="54" s="1"/>
  <c r="E43" i="41"/>
  <c r="G37" i="41"/>
  <c r="H37" i="41" s="1"/>
  <c r="I37" i="41" s="1"/>
  <c r="J37" i="41" s="1"/>
  <c r="K37" i="41" s="1"/>
  <c r="L37" i="41" s="1"/>
  <c r="M37" i="41" s="1"/>
  <c r="N37" i="41" s="1"/>
  <c r="O37" i="41" s="1"/>
  <c r="P37" i="41" s="1"/>
  <c r="Q37" i="41" s="1"/>
  <c r="R37" i="41" s="1"/>
  <c r="S37" i="41" s="1"/>
  <c r="T37" i="41" s="1"/>
  <c r="E25" i="41"/>
  <c r="R19" i="54"/>
  <c r="R20" i="54" s="1"/>
  <c r="C31" i="56"/>
  <c r="V48" i="7"/>
  <c r="U48" i="7"/>
  <c r="T48" i="7"/>
  <c r="S48" i="7"/>
  <c r="F40" i="41"/>
  <c r="F41" i="41"/>
  <c r="F35" i="41"/>
  <c r="HI22" i="1"/>
  <c r="HI20" i="1" s="1"/>
  <c r="MI20" i="1"/>
  <c r="MI10" i="1" s="1"/>
  <c r="LH20" i="1"/>
  <c r="LH10" i="1" s="1"/>
  <c r="MH20" i="1"/>
  <c r="MH10" i="1" s="1"/>
  <c r="LG20" i="1"/>
  <c r="LG10" i="1" s="1"/>
  <c r="MG20" i="1"/>
  <c r="MG10" i="1" s="1"/>
  <c r="LF20" i="1"/>
  <c r="LF10" i="1" s="1"/>
  <c r="LE20" i="1"/>
  <c r="LE10" i="1" s="1"/>
  <c r="LD20" i="1"/>
  <c r="LD10" i="1" s="1"/>
  <c r="MD20" i="1"/>
  <c r="MD10" i="1" s="1"/>
  <c r="LC20" i="1"/>
  <c r="LC10" i="1" s="1"/>
  <c r="MC20" i="1"/>
  <c r="MC10" i="1" s="1"/>
  <c r="MB20" i="1"/>
  <c r="MB10" i="1" s="1"/>
  <c r="MM20" i="1"/>
  <c r="MM10" i="1" s="1"/>
  <c r="ML20" i="1"/>
  <c r="ML10" i="1" s="1"/>
  <c r="MK20" i="1"/>
  <c r="MK10" i="1" s="1"/>
  <c r="MJ20" i="1"/>
  <c r="MJ10" i="1" s="1"/>
  <c r="JY20" i="1"/>
  <c r="JY10" i="1" s="1"/>
  <c r="JX20" i="1"/>
  <c r="JX10" i="1" s="1"/>
  <c r="JW20" i="1"/>
  <c r="JW10" i="1" s="1"/>
  <c r="JV20" i="1"/>
  <c r="JV10" i="1" s="1"/>
  <c r="LB20" i="1"/>
  <c r="LB10" i="1" s="1"/>
  <c r="LA20" i="1"/>
  <c r="LA10" i="1" s="1"/>
  <c r="KZ20" i="1"/>
  <c r="KZ10" i="1" s="1"/>
  <c r="KY20" i="1"/>
  <c r="KY10" i="1" s="1"/>
  <c r="KX20" i="1"/>
  <c r="KX10" i="1" s="1"/>
  <c r="IM20" i="1"/>
  <c r="IM10" i="1" s="1"/>
  <c r="IW20" i="1"/>
  <c r="IW10" i="1" s="1"/>
  <c r="IV20" i="1"/>
  <c r="IV10" i="1" s="1"/>
  <c r="KC20" i="1"/>
  <c r="KC10" i="1" s="1"/>
  <c r="JS20" i="1"/>
  <c r="JS10" i="1" s="1"/>
  <c r="IU20" i="1"/>
  <c r="IU10" i="1" s="1"/>
  <c r="IT20" i="1"/>
  <c r="IT10" i="1" s="1"/>
  <c r="IR20" i="1"/>
  <c r="IR10" i="1" s="1"/>
  <c r="KB20" i="1"/>
  <c r="KB10" i="1" s="1"/>
  <c r="IS20" i="1"/>
  <c r="IS10" i="1" s="1"/>
  <c r="KA20" i="1"/>
  <c r="KA10" i="1" s="1"/>
  <c r="IQ20" i="1"/>
  <c r="IQ10" i="1" s="1"/>
  <c r="IP20" i="1"/>
  <c r="IP10" i="1" s="1"/>
  <c r="IN20" i="1"/>
  <c r="IN10" i="1" s="1"/>
  <c r="JU20" i="1"/>
  <c r="JU10" i="1" s="1"/>
  <c r="JT20" i="1"/>
  <c r="JT10" i="1" s="1"/>
  <c r="IO20" i="1"/>
  <c r="IO10" i="1" s="1"/>
  <c r="JR20" i="1"/>
  <c r="JR10" i="1" s="1"/>
  <c r="KW20" i="1"/>
  <c r="KW10" i="1" s="1"/>
  <c r="ME20" i="1"/>
  <c r="ME10" i="1" s="1"/>
  <c r="ME60" i="1" s="1"/>
  <c r="AI39" i="1"/>
  <c r="MI39" i="1"/>
  <c r="LH39" i="1"/>
  <c r="MH39" i="1"/>
  <c r="LG39" i="1"/>
  <c r="MG39" i="1"/>
  <c r="LF39" i="1"/>
  <c r="MF39" i="1"/>
  <c r="LE39" i="1"/>
  <c r="ME39" i="1"/>
  <c r="LD39" i="1"/>
  <c r="MD39" i="1"/>
  <c r="LC39" i="1"/>
  <c r="MC39" i="1"/>
  <c r="MB39" i="1"/>
  <c r="MM39" i="1"/>
  <c r="ML39" i="1"/>
  <c r="MK39" i="1"/>
  <c r="MJ39" i="1"/>
  <c r="JY39" i="1"/>
  <c r="JX39" i="1"/>
  <c r="JW39" i="1"/>
  <c r="JV39" i="1"/>
  <c r="JU39" i="1"/>
  <c r="LB39" i="1"/>
  <c r="JT39" i="1"/>
  <c r="LA39" i="1"/>
  <c r="JS39" i="1"/>
  <c r="KZ39" i="1"/>
  <c r="KY39" i="1"/>
  <c r="JZ39" i="1"/>
  <c r="IM39" i="1"/>
  <c r="JR39" i="1"/>
  <c r="KX39" i="1"/>
  <c r="KW39" i="1"/>
  <c r="IX39" i="1"/>
  <c r="IW39" i="1"/>
  <c r="IV39" i="1"/>
  <c r="KB39" i="1"/>
  <c r="IR39" i="1"/>
  <c r="IQ39" i="1"/>
  <c r="IP39" i="1"/>
  <c r="IN39" i="1"/>
  <c r="IO39" i="1"/>
  <c r="IT39" i="1"/>
  <c r="IU39" i="1"/>
  <c r="KC39" i="1"/>
  <c r="KA39" i="1"/>
  <c r="IS39" i="1"/>
  <c r="MF20" i="1"/>
  <c r="MF10" i="1" s="1"/>
  <c r="IX20" i="1"/>
  <c r="IX10" i="1" s="1"/>
  <c r="JZ20" i="1"/>
  <c r="JZ10" i="1" s="1"/>
  <c r="AH60" i="1"/>
  <c r="Q48" i="7"/>
  <c r="R48" i="7"/>
  <c r="P48" i="7"/>
  <c r="O48" i="7"/>
  <c r="N48" i="7"/>
  <c r="Q34" i="38"/>
  <c r="T34" i="38"/>
  <c r="GQ60" i="1"/>
  <c r="N34" i="38"/>
  <c r="EX60" i="1"/>
  <c r="DW60" i="1"/>
  <c r="DU60" i="1"/>
  <c r="FE60" i="1"/>
  <c r="HP22" i="1"/>
  <c r="HP20" i="1" s="1"/>
  <c r="EE60" i="1"/>
  <c r="AC66" i="1"/>
  <c r="DV60" i="1"/>
  <c r="X66" i="1"/>
  <c r="GP60" i="1"/>
  <c r="FK60" i="1"/>
  <c r="EZ60" i="1"/>
  <c r="FD60" i="1"/>
  <c r="FB60" i="1"/>
  <c r="HL22" i="1"/>
  <c r="HL20" i="1" s="1"/>
  <c r="FC60" i="1"/>
  <c r="FJ60" i="1"/>
  <c r="HN22" i="1"/>
  <c r="HN20" i="1" s="1"/>
  <c r="GN60" i="1"/>
  <c r="FI60" i="1"/>
  <c r="FA60" i="1"/>
  <c r="HJ22" i="1"/>
  <c r="HJ20" i="1" s="1"/>
  <c r="EG60" i="1"/>
  <c r="GG60" i="1"/>
  <c r="FG60" i="1"/>
  <c r="HH22" i="1"/>
  <c r="HH20" i="1" s="1"/>
  <c r="GK60" i="1"/>
  <c r="DY60" i="1"/>
  <c r="FH60" i="1"/>
  <c r="GE60" i="1"/>
  <c r="HM22" i="1"/>
  <c r="HM20" i="1" s="1"/>
  <c r="HO22" i="1"/>
  <c r="HO20" i="1" s="1"/>
  <c r="AI20" i="1"/>
  <c r="AI10" i="1" s="1"/>
  <c r="EF60" i="1"/>
  <c r="R30" i="7"/>
  <c r="T60" i="1"/>
  <c r="FL60" i="1"/>
  <c r="GI60" i="1"/>
  <c r="GF60" i="1"/>
  <c r="EY60" i="1"/>
  <c r="GO60" i="1"/>
  <c r="HK22" i="1"/>
  <c r="HK20" i="1" s="1"/>
  <c r="FF60" i="1"/>
  <c r="ED60" i="1"/>
  <c r="GH60" i="1"/>
  <c r="GJ60" i="1"/>
  <c r="GL60" i="1"/>
  <c r="DX60" i="1"/>
  <c r="GM60" i="1"/>
  <c r="GC60" i="1"/>
  <c r="HQ40" i="1"/>
  <c r="HQ39" i="1" s="1"/>
  <c r="HL40" i="1"/>
  <c r="HL39" i="1" s="1"/>
  <c r="HK40" i="1"/>
  <c r="HK39" i="1" s="1"/>
  <c r="HO40" i="1"/>
  <c r="HO39" i="1" s="1"/>
  <c r="HS40" i="1"/>
  <c r="HS39" i="1" s="1"/>
  <c r="HM40" i="1"/>
  <c r="HM39" i="1" s="1"/>
  <c r="HJ40" i="1"/>
  <c r="HJ39" i="1" s="1"/>
  <c r="HI40" i="1"/>
  <c r="HI39" i="1" s="1"/>
  <c r="HT40" i="1"/>
  <c r="HT39" i="1" s="1"/>
  <c r="HN40" i="1"/>
  <c r="HN39" i="1" s="1"/>
  <c r="HH40" i="1"/>
  <c r="HH39" i="1" s="1"/>
  <c r="HU40" i="1"/>
  <c r="HU39" i="1" s="1"/>
  <c r="HP40" i="1"/>
  <c r="HP39" i="1" s="1"/>
  <c r="HR40" i="1"/>
  <c r="HR39" i="1" s="1"/>
  <c r="HV40" i="1"/>
  <c r="HV39" i="1" s="1"/>
  <c r="EC60" i="1"/>
  <c r="EA60" i="1"/>
  <c r="DZ60" i="1"/>
  <c r="DT60" i="1"/>
  <c r="HR22" i="1"/>
  <c r="HR20" i="1" s="1"/>
  <c r="HS22" i="1"/>
  <c r="HS20" i="1" s="1"/>
  <c r="HV22" i="1"/>
  <c r="HV20" i="1" s="1"/>
  <c r="HU22" i="1"/>
  <c r="HU20" i="1" s="1"/>
  <c r="HT22" i="1"/>
  <c r="HT20" i="1" s="1"/>
  <c r="GD60" i="1"/>
  <c r="DS60" i="1"/>
  <c r="EB60" i="1"/>
  <c r="HQ22" i="1"/>
  <c r="HQ20" i="1" s="1"/>
  <c r="S66" i="1"/>
  <c r="CW18" i="1"/>
  <c r="CU18" i="1"/>
  <c r="CT18" i="1"/>
  <c r="CS18" i="1"/>
  <c r="CQ18" i="1"/>
  <c r="CV18" i="1"/>
  <c r="CR18" i="1"/>
  <c r="CP18" i="1"/>
  <c r="CO18" i="1"/>
  <c r="CN18" i="1"/>
  <c r="HQ18" i="1"/>
  <c r="HJ18" i="1"/>
  <c r="HI18" i="1"/>
  <c r="HH18" i="1"/>
  <c r="HS18" i="1"/>
  <c r="HR18" i="1"/>
  <c r="HN18" i="1"/>
  <c r="HM18" i="1"/>
  <c r="HL18" i="1"/>
  <c r="HV18" i="1"/>
  <c r="HP18" i="1"/>
  <c r="HO18" i="1"/>
  <c r="HK18" i="1"/>
  <c r="HU18" i="1"/>
  <c r="HT18" i="1"/>
  <c r="HM16" i="1"/>
  <c r="HU16" i="1"/>
  <c r="HT16" i="1"/>
  <c r="HS16" i="1"/>
  <c r="HL16" i="1"/>
  <c r="HK16" i="1"/>
  <c r="HH16" i="1"/>
  <c r="HP16" i="1"/>
  <c r="HI16" i="1"/>
  <c r="HV16" i="1"/>
  <c r="HR16" i="1"/>
  <c r="HQ16" i="1"/>
  <c r="HO16" i="1"/>
  <c r="HN16" i="1"/>
  <c r="HJ16" i="1"/>
  <c r="CS16" i="1"/>
  <c r="CO16" i="1"/>
  <c r="CN16" i="1"/>
  <c r="CW16" i="1"/>
  <c r="CR16" i="1"/>
  <c r="CP16" i="1"/>
  <c r="CV16" i="1"/>
  <c r="CU16" i="1"/>
  <c r="CT16" i="1"/>
  <c r="CQ16" i="1"/>
  <c r="BT12" i="1"/>
  <c r="BT10" i="1" s="1"/>
  <c r="BT60" i="1" s="1"/>
  <c r="CW20" i="1"/>
  <c r="CQ20" i="1"/>
  <c r="CN20" i="1"/>
  <c r="CT20" i="1"/>
  <c r="CS20" i="1"/>
  <c r="CO20" i="1"/>
  <c r="CP20" i="1"/>
  <c r="CU20" i="1"/>
  <c r="CR20" i="1"/>
  <c r="CV20" i="1"/>
  <c r="CV39" i="1"/>
  <c r="CR39" i="1"/>
  <c r="CS39" i="1"/>
  <c r="CT39" i="1"/>
  <c r="CU39" i="1"/>
  <c r="CO39" i="1"/>
  <c r="CN39" i="1"/>
  <c r="CP39" i="1"/>
  <c r="CW39" i="1"/>
  <c r="CQ39" i="1"/>
  <c r="BI20" i="1"/>
  <c r="BK39" i="1"/>
  <c r="BR39" i="1"/>
  <c r="BN20" i="1"/>
  <c r="BM20" i="1"/>
  <c r="BI39" i="1"/>
  <c r="BJ20" i="1"/>
  <c r="BP20" i="1"/>
  <c r="BL20" i="1"/>
  <c r="BK20" i="1"/>
  <c r="BQ39" i="1"/>
  <c r="BO20" i="1"/>
  <c r="BL39" i="1"/>
  <c r="BM39" i="1"/>
  <c r="BO39" i="1"/>
  <c r="BP39" i="1"/>
  <c r="BN39" i="1"/>
  <c r="BJ39" i="1"/>
  <c r="BQ20" i="1"/>
  <c r="BR20" i="1"/>
  <c r="N12" i="1"/>
  <c r="N29" i="7" s="1"/>
  <c r="M28" i="7"/>
  <c r="C28" i="56" s="1"/>
  <c r="I10" i="1"/>
  <c r="MG60" i="1" l="1"/>
  <c r="JW60" i="1"/>
  <c r="E30" i="41"/>
  <c r="E33" i="41" s="1"/>
  <c r="S19" i="54"/>
  <c r="S20" i="54" s="1"/>
  <c r="LH60" i="1"/>
  <c r="IR60" i="1"/>
  <c r="MJ60" i="1"/>
  <c r="KW60" i="1"/>
  <c r="JV60" i="1"/>
  <c r="LF60" i="1"/>
  <c r="IX60" i="1"/>
  <c r="KB60" i="1"/>
  <c r="JX60" i="1"/>
  <c r="JY60" i="1"/>
  <c r="MH60" i="1"/>
  <c r="JS60" i="1"/>
  <c r="IP60" i="1"/>
  <c r="IO60" i="1"/>
  <c r="KZ60" i="1"/>
  <c r="JU60" i="1"/>
  <c r="IM60" i="1"/>
  <c r="LC60" i="1"/>
  <c r="F43" i="41"/>
  <c r="G40" i="41" s="1"/>
  <c r="LD60" i="1"/>
  <c r="IQ60" i="1"/>
  <c r="LE60" i="1"/>
  <c r="E28" i="41"/>
  <c r="G27" i="41"/>
  <c r="H27" i="41" s="1"/>
  <c r="I27" i="41" s="1"/>
  <c r="J27" i="41" s="1"/>
  <c r="K27" i="41" s="1"/>
  <c r="L27" i="41" s="1"/>
  <c r="M27" i="41" s="1"/>
  <c r="N27" i="41" s="1"/>
  <c r="O27" i="41" s="1"/>
  <c r="P27" i="41" s="1"/>
  <c r="Q27" i="41" s="1"/>
  <c r="R27" i="41" s="1"/>
  <c r="S27" i="41" s="1"/>
  <c r="T27" i="41" s="1"/>
  <c r="MF60" i="1"/>
  <c r="LB60" i="1"/>
  <c r="F38" i="41"/>
  <c r="G35" i="41" s="1"/>
  <c r="KA60" i="1"/>
  <c r="JZ60" i="1"/>
  <c r="JR60" i="1"/>
  <c r="IT60" i="1"/>
  <c r="IU60" i="1"/>
  <c r="MK60" i="1"/>
  <c r="MI60" i="1"/>
  <c r="ML60" i="1"/>
  <c r="KC60" i="1"/>
  <c r="MM60" i="1"/>
  <c r="IW60" i="1"/>
  <c r="JT60" i="1"/>
  <c r="IV60" i="1"/>
  <c r="MB60" i="1"/>
  <c r="MC60" i="1"/>
  <c r="MD60" i="1"/>
  <c r="IN60" i="1"/>
  <c r="LA60" i="1"/>
  <c r="KY60" i="1"/>
  <c r="IS60" i="1"/>
  <c r="AI60" i="1"/>
  <c r="KX60" i="1"/>
  <c r="LG60" i="1"/>
  <c r="E18" i="41"/>
  <c r="F15" i="41" s="1"/>
  <c r="E48" i="41"/>
  <c r="G47" i="41"/>
  <c r="H47" i="41" s="1"/>
  <c r="I47" i="41" s="1"/>
  <c r="J47" i="41" s="1"/>
  <c r="K47" i="41" s="1"/>
  <c r="L47" i="41" s="1"/>
  <c r="M47" i="41" s="1"/>
  <c r="N47" i="41" s="1"/>
  <c r="O47" i="41" s="1"/>
  <c r="P47" i="41" s="1"/>
  <c r="Q47" i="41" s="1"/>
  <c r="R47" i="41" s="1"/>
  <c r="S47" i="41" s="1"/>
  <c r="T47" i="41" s="1"/>
  <c r="AH66" i="1"/>
  <c r="E23" i="41"/>
  <c r="G22" i="41"/>
  <c r="H22" i="41" s="1"/>
  <c r="I22" i="41" s="1"/>
  <c r="J22" i="41" s="1"/>
  <c r="K22" i="41" s="1"/>
  <c r="L22" i="41" s="1"/>
  <c r="M22" i="41" s="1"/>
  <c r="N22" i="41" s="1"/>
  <c r="O22" i="41" s="1"/>
  <c r="P22" i="41" s="1"/>
  <c r="Q22" i="41" s="1"/>
  <c r="R22" i="41" s="1"/>
  <c r="S22" i="41" s="1"/>
  <c r="T22" i="41" s="1"/>
  <c r="HR12" i="1"/>
  <c r="HR10" i="1" s="1"/>
  <c r="HR60" i="1" s="1"/>
  <c r="CY12" i="1"/>
  <c r="CY10" i="1" s="1"/>
  <c r="CY60" i="1" s="1"/>
  <c r="DA12" i="1"/>
  <c r="DA10" i="1" s="1"/>
  <c r="DA60" i="1" s="1"/>
  <c r="DB12" i="1"/>
  <c r="DB10" i="1" s="1"/>
  <c r="DB60" i="1" s="1"/>
  <c r="CZ12" i="1"/>
  <c r="CZ10" i="1" s="1"/>
  <c r="CZ60" i="1" s="1"/>
  <c r="BS12" i="1"/>
  <c r="BS10" i="1" s="1"/>
  <c r="BS60" i="1" s="1"/>
  <c r="BW12" i="1"/>
  <c r="BW10" i="1" s="1"/>
  <c r="BW60" i="1" s="1"/>
  <c r="BU12" i="1"/>
  <c r="BU10" i="1" s="1"/>
  <c r="BU60" i="1" s="1"/>
  <c r="HU12" i="1"/>
  <c r="HU10" i="1" s="1"/>
  <c r="HU60" i="1" s="1"/>
  <c r="HS12" i="1"/>
  <c r="HS10" i="1" s="1"/>
  <c r="HS60" i="1" s="1"/>
  <c r="HT12" i="1"/>
  <c r="HT10" i="1" s="1"/>
  <c r="HT60" i="1" s="1"/>
  <c r="BV12" i="1"/>
  <c r="BV10" i="1" s="1"/>
  <c r="BV60" i="1" s="1"/>
  <c r="HV12" i="1"/>
  <c r="HV10" i="1" s="1"/>
  <c r="HV60" i="1" s="1"/>
  <c r="CX12" i="1"/>
  <c r="CX10" i="1" s="1"/>
  <c r="CX60" i="1" s="1"/>
  <c r="I60" i="1"/>
  <c r="BM12" i="1"/>
  <c r="BM10" i="1" s="1"/>
  <c r="BM60" i="1" s="1"/>
  <c r="HH12" i="1"/>
  <c r="HH10" i="1" s="1"/>
  <c r="HH60" i="1" s="1"/>
  <c r="HL12" i="1"/>
  <c r="HL10" i="1" s="1"/>
  <c r="HL60" i="1" s="1"/>
  <c r="CV12" i="1"/>
  <c r="CV10" i="1" s="1"/>
  <c r="CV60" i="1" s="1"/>
  <c r="N10" i="1"/>
  <c r="N28" i="7"/>
  <c r="R28" i="7"/>
  <c r="BI12" i="1"/>
  <c r="BI10" i="1" s="1"/>
  <c r="HM12" i="1"/>
  <c r="HM10" i="1" s="1"/>
  <c r="HM60" i="1" s="1"/>
  <c r="HN12" i="1"/>
  <c r="HN10" i="1" s="1"/>
  <c r="HN60" i="1" s="1"/>
  <c r="HI12" i="1"/>
  <c r="HI10" i="1" s="1"/>
  <c r="HI60" i="1" s="1"/>
  <c r="BQ12" i="1"/>
  <c r="BQ10" i="1" s="1"/>
  <c r="BQ60" i="1" s="1"/>
  <c r="HK12" i="1"/>
  <c r="HK10" i="1" s="1"/>
  <c r="HK60" i="1" s="1"/>
  <c r="CR12" i="1"/>
  <c r="CR10" i="1" s="1"/>
  <c r="CR60" i="1" s="1"/>
  <c r="HJ12" i="1"/>
  <c r="HJ10" i="1" s="1"/>
  <c r="HJ60" i="1" s="1"/>
  <c r="CT12" i="1"/>
  <c r="CT10" i="1" s="1"/>
  <c r="CT60" i="1" s="1"/>
  <c r="HO12" i="1"/>
  <c r="HO10" i="1" s="1"/>
  <c r="HO60" i="1" s="1"/>
  <c r="BP12" i="1"/>
  <c r="BP10" i="1" s="1"/>
  <c r="BP60" i="1" s="1"/>
  <c r="HP12" i="1"/>
  <c r="HP10" i="1" s="1"/>
  <c r="HP60" i="1" s="1"/>
  <c r="BN12" i="1"/>
  <c r="BN10" i="1" s="1"/>
  <c r="BN60" i="1" s="1"/>
  <c r="CQ12" i="1"/>
  <c r="CQ10" i="1" s="1"/>
  <c r="CQ60" i="1" s="1"/>
  <c r="BO12" i="1"/>
  <c r="BO10" i="1" s="1"/>
  <c r="BO60" i="1" s="1"/>
  <c r="CO12" i="1"/>
  <c r="CO10" i="1" s="1"/>
  <c r="CO60" i="1" s="1"/>
  <c r="CS12" i="1"/>
  <c r="CS10" i="1" s="1"/>
  <c r="CS60" i="1" s="1"/>
  <c r="HQ12" i="1"/>
  <c r="HQ10" i="1" s="1"/>
  <c r="HQ60" i="1" s="1"/>
  <c r="CU12" i="1"/>
  <c r="CU10" i="1" s="1"/>
  <c r="CU60" i="1" s="1"/>
  <c r="CW12" i="1"/>
  <c r="CW10" i="1" s="1"/>
  <c r="CW60" i="1" s="1"/>
  <c r="CN12" i="1"/>
  <c r="CN10" i="1" s="1"/>
  <c r="CN60" i="1" s="1"/>
  <c r="BK12" i="1"/>
  <c r="BK10" i="1" s="1"/>
  <c r="BK60" i="1" s="1"/>
  <c r="BR12" i="1"/>
  <c r="BR10" i="1" s="1"/>
  <c r="BR60" i="1" s="1"/>
  <c r="BL12" i="1"/>
  <c r="BL10" i="1" s="1"/>
  <c r="BL60" i="1" s="1"/>
  <c r="BJ12" i="1"/>
  <c r="BJ10" i="1" s="1"/>
  <c r="BJ60" i="1" s="1"/>
  <c r="CP12" i="1"/>
  <c r="CP10" i="1" s="1"/>
  <c r="CP60" i="1" s="1"/>
  <c r="F69" i="10"/>
  <c r="G69" i="10" s="1"/>
  <c r="G32" i="41" l="1"/>
  <c r="H32" i="41" s="1"/>
  <c r="I32" i="41" s="1"/>
  <c r="J32" i="41" s="1"/>
  <c r="K32" i="41" s="1"/>
  <c r="L32" i="41" s="1"/>
  <c r="M32" i="41" s="1"/>
  <c r="N32" i="41" s="1"/>
  <c r="O32" i="41" s="1"/>
  <c r="P32" i="41" s="1"/>
  <c r="Q32" i="41" s="1"/>
  <c r="R32" i="41" s="1"/>
  <c r="S32" i="41" s="1"/>
  <c r="T32" i="41" s="1"/>
  <c r="E5" i="41"/>
  <c r="M528" i="39" a="1"/>
  <c r="M528" i="39" s="1"/>
  <c r="R528" i="39" a="1"/>
  <c r="R528" i="39" s="1"/>
  <c r="N39" i="39" a="1"/>
  <c r="N39" i="39" s="1"/>
  <c r="Y39" i="39" a="1"/>
  <c r="Y39" i="39" s="1"/>
  <c r="Q39" i="39" a="1"/>
  <c r="Q39" i="39" s="1"/>
  <c r="M39" i="39" a="1"/>
  <c r="M39" i="39" s="1"/>
  <c r="P39" i="39" a="1"/>
  <c r="P39" i="39" s="1"/>
  <c r="F25" i="41"/>
  <c r="F26" i="41"/>
  <c r="G36" i="41"/>
  <c r="G38" i="41" s="1"/>
  <c r="F30" i="41"/>
  <c r="F31" i="41"/>
  <c r="G41" i="41"/>
  <c r="G43" i="41"/>
  <c r="C9" i="56"/>
  <c r="C8" i="56"/>
  <c r="L19" i="54"/>
  <c r="L20" i="54" s="1"/>
  <c r="F16" i="41"/>
  <c r="F18" i="41" s="1"/>
  <c r="G15" i="41" s="1"/>
  <c r="G52" i="41"/>
  <c r="H52" i="41" s="1"/>
  <c r="I52" i="41" s="1"/>
  <c r="J52" i="41" s="1"/>
  <c r="K52" i="41" s="1"/>
  <c r="L52" i="41" s="1"/>
  <c r="M52" i="41" s="1"/>
  <c r="N52" i="41" s="1"/>
  <c r="O52" i="41" s="1"/>
  <c r="P52" i="41" s="1"/>
  <c r="Q52" i="41" s="1"/>
  <c r="R52" i="41" s="1"/>
  <c r="S52" i="41" s="1"/>
  <c r="T52" i="41" s="1"/>
  <c r="E53" i="41"/>
  <c r="F20" i="41"/>
  <c r="F21" i="41"/>
  <c r="F45" i="41"/>
  <c r="F46" i="41"/>
  <c r="AC62" i="1"/>
  <c r="X63" i="1"/>
  <c r="X62" i="1"/>
  <c r="AC63" i="1"/>
  <c r="S62" i="1"/>
  <c r="S63" i="1"/>
  <c r="N60" i="1"/>
  <c r="BI60" i="1"/>
  <c r="O39" i="39" s="1" a="1"/>
  <c r="O39" i="39" s="1"/>
  <c r="AH62" i="1"/>
  <c r="H34" i="38"/>
  <c r="AH63" i="1"/>
  <c r="W34" i="38"/>
  <c r="E65" i="10"/>
  <c r="D29" i="10"/>
  <c r="V854" i="39" l="1" a="1"/>
  <c r="V854" i="39" s="1"/>
  <c r="O1180" i="39" a="1"/>
  <c r="O1180" i="39" s="1"/>
  <c r="U39" i="39" a="1"/>
  <c r="U39" i="39" s="1"/>
  <c r="Y1180" i="39" a="1"/>
  <c r="Y1180" i="39" s="1"/>
  <c r="V1343" i="39" a="1"/>
  <c r="V1343" i="39" s="1"/>
  <c r="Z1343" i="39" a="1"/>
  <c r="Z1343" i="39" s="1"/>
  <c r="V39" i="39" a="1"/>
  <c r="V39" i="39" s="1"/>
  <c r="T39" i="39" a="1"/>
  <c r="T39" i="39" s="1"/>
  <c r="O854" i="39" a="1"/>
  <c r="O854" i="39" s="1"/>
  <c r="L39" i="39" a="1"/>
  <c r="L39" i="39" s="1"/>
  <c r="X39" i="39" a="1"/>
  <c r="X39" i="39" s="1"/>
  <c r="Z39" i="39" a="1"/>
  <c r="Z39" i="39" s="1"/>
  <c r="L365" i="39" a="1"/>
  <c r="L365" i="39" s="1"/>
  <c r="X365" i="39" a="1"/>
  <c r="X365" i="39" s="1"/>
  <c r="Y528" i="39" a="1"/>
  <c r="Y528" i="39" s="1"/>
  <c r="X854" i="39" a="1"/>
  <c r="X854" i="39" s="1"/>
  <c r="M202" i="39" a="1"/>
  <c r="M202" i="39" s="1"/>
  <c r="L1343" i="39" a="1"/>
  <c r="L1343" i="39" s="1"/>
  <c r="R1506" i="39" a="1"/>
  <c r="R1506" i="39" s="1"/>
  <c r="Z1180" i="39" a="1"/>
  <c r="Z1180" i="39" s="1"/>
  <c r="U528" i="39" a="1"/>
  <c r="U528" i="39" s="1"/>
  <c r="R202" i="39" a="1"/>
  <c r="R202" i="39" s="1"/>
  <c r="R854" i="39" a="1"/>
  <c r="R854" i="39" s="1"/>
  <c r="V691" i="39" a="1"/>
  <c r="V691" i="39" s="1"/>
  <c r="N691" i="39" a="1"/>
  <c r="N691" i="39" s="1"/>
  <c r="N202" i="39" a="1"/>
  <c r="N202" i="39" s="1"/>
  <c r="W1506" i="39" a="1"/>
  <c r="W1506" i="39" s="1"/>
  <c r="P1017" i="39" a="1"/>
  <c r="P1017" i="39" s="1"/>
  <c r="Z202" i="39" a="1"/>
  <c r="Z202" i="39" s="1"/>
  <c r="T1017" i="39" a="1"/>
  <c r="T1017" i="39" s="1"/>
  <c r="W202" i="39" a="1"/>
  <c r="W202" i="39" s="1"/>
  <c r="W365" i="39" a="1"/>
  <c r="W365" i="39" s="1"/>
  <c r="W691" i="39" a="1"/>
  <c r="W691" i="39" s="1"/>
  <c r="S1017" i="39" a="1"/>
  <c r="S1017" i="39" s="1"/>
  <c r="T202" i="39" a="1"/>
  <c r="T202" i="39" s="1"/>
  <c r="U1506" i="39" a="1"/>
  <c r="U1506" i="39" s="1"/>
  <c r="X1506" i="39" a="1"/>
  <c r="X1506" i="39" s="1"/>
  <c r="W1180" i="39" a="1"/>
  <c r="W1180" i="39" s="1"/>
  <c r="X1017" i="39" a="1"/>
  <c r="X1017" i="39" s="1"/>
  <c r="N1343" i="39" a="1"/>
  <c r="N1343" i="39" s="1"/>
  <c r="T528" i="39" a="1"/>
  <c r="T528" i="39" s="1"/>
  <c r="V1017" i="39" a="1"/>
  <c r="V1017" i="39" s="1"/>
  <c r="N365" i="39" a="1"/>
  <c r="N365" i="39" s="1"/>
  <c r="U1017" i="39" a="1"/>
  <c r="U1017" i="39" s="1"/>
  <c r="P1343" i="39" a="1"/>
  <c r="P1343" i="39" s="1"/>
  <c r="P1506" i="39" a="1"/>
  <c r="P1506" i="39" s="1"/>
  <c r="V1506" i="39" a="1"/>
  <c r="V1506" i="39" s="1"/>
  <c r="U854" i="39" a="1"/>
  <c r="U854" i="39" s="1"/>
  <c r="V528" i="39" a="1"/>
  <c r="V528" i="39" s="1"/>
  <c r="S1180" i="39" a="1"/>
  <c r="S1180" i="39" s="1"/>
  <c r="M691" i="39" a="1"/>
  <c r="M691" i="39" s="1"/>
  <c r="R365" i="39" a="1"/>
  <c r="R365" i="39" s="1"/>
  <c r="O202" i="39" a="1"/>
  <c r="O202" i="39" s="1"/>
  <c r="Z854" i="39" a="1"/>
  <c r="Z854" i="39" s="1"/>
  <c r="S1506" i="39" a="1"/>
  <c r="S1506" i="39" s="1"/>
  <c r="Y1343" i="39" a="1"/>
  <c r="Y1343" i="39" s="1"/>
  <c r="O1017" i="39" a="1"/>
  <c r="O1017" i="39" s="1"/>
  <c r="R39" i="39" a="1"/>
  <c r="R39" i="39" s="1"/>
  <c r="W39" i="39" a="1"/>
  <c r="W39" i="39" s="1"/>
  <c r="S39" i="39" a="1"/>
  <c r="S39" i="39" s="1"/>
  <c r="Y365" i="39" a="1"/>
  <c r="Y365" i="39" s="1"/>
  <c r="U365" i="39" a="1"/>
  <c r="U365" i="39" s="1"/>
  <c r="R1017" i="39" a="1"/>
  <c r="R1017" i="39" s="1"/>
  <c r="Y1506" i="39" a="1"/>
  <c r="Y1506" i="39" s="1"/>
  <c r="T365" i="39" a="1"/>
  <c r="T365" i="39" s="1"/>
  <c r="Z528" i="39" a="1"/>
  <c r="Z528" i="39" s="1"/>
  <c r="L1017" i="39" a="1"/>
  <c r="L1017" i="39" s="1"/>
  <c r="T1180" i="39" a="1"/>
  <c r="T1180" i="39" s="1"/>
  <c r="Z691" i="39" a="1"/>
  <c r="Z691" i="39" s="1"/>
  <c r="N1180" i="39" a="1"/>
  <c r="N1180" i="39" s="1"/>
  <c r="Q1017" i="39" a="1"/>
  <c r="Q1017" i="39" s="1"/>
  <c r="E10" i="41"/>
  <c r="M19" i="54"/>
  <c r="M20" i="54" s="1"/>
  <c r="S202" i="39" a="1"/>
  <c r="S202" i="39" s="1"/>
  <c r="Q1506" i="39" a="1"/>
  <c r="Q1506" i="39" s="1"/>
  <c r="R691" i="39" a="1"/>
  <c r="R691" i="39" s="1"/>
  <c r="P528" i="39" a="1"/>
  <c r="P528" i="39" s="1"/>
  <c r="T1506" i="39" a="1"/>
  <c r="T1506" i="39" s="1"/>
  <c r="W854" i="39" a="1"/>
  <c r="W854" i="39" s="1"/>
  <c r="W1017" i="39" a="1"/>
  <c r="W1017" i="39" s="1"/>
  <c r="U1343" i="39" a="1"/>
  <c r="U1343" i="39" s="1"/>
  <c r="X202" i="39" a="1"/>
  <c r="X202" i="39" s="1"/>
  <c r="O528" i="39" a="1"/>
  <c r="O528" i="39" s="1"/>
  <c r="S365" i="39" a="1"/>
  <c r="S365" i="39" s="1"/>
  <c r="L202" i="39" a="1"/>
  <c r="L202" i="39" s="1"/>
  <c r="P691" i="39" a="1"/>
  <c r="P691" i="39" s="1"/>
  <c r="Q365" i="39" a="1"/>
  <c r="Q365" i="39" s="1"/>
  <c r="S528" i="39" a="1"/>
  <c r="S528" i="39" s="1"/>
  <c r="W528" i="39" a="1"/>
  <c r="W528" i="39" s="1"/>
  <c r="M1180" i="39" a="1"/>
  <c r="M1180" i="39" s="1"/>
  <c r="Z1017" i="39" a="1"/>
  <c r="Z1017" i="39" s="1"/>
  <c r="Y202" i="39" a="1"/>
  <c r="Y202" i="39" s="1"/>
  <c r="S691" i="39" a="1"/>
  <c r="S691" i="39" s="1"/>
  <c r="O365" i="39" a="1"/>
  <c r="O365" i="39" s="1"/>
  <c r="M1506" i="39" a="1"/>
  <c r="M1506" i="39" s="1"/>
  <c r="X1343" i="39" a="1"/>
  <c r="X1343" i="39" s="1"/>
  <c r="V1180" i="39" a="1"/>
  <c r="V1180" i="39" s="1"/>
  <c r="Q691" i="39" a="1"/>
  <c r="Q691" i="39" s="1"/>
  <c r="T691" i="39" a="1"/>
  <c r="T691" i="39" s="1"/>
  <c r="P202" i="39" a="1"/>
  <c r="P202" i="39" s="1"/>
  <c r="M854" i="39" a="1"/>
  <c r="M854" i="39" s="1"/>
  <c r="S854" i="39" a="1"/>
  <c r="S854" i="39" s="1"/>
  <c r="P854" i="39" a="1"/>
  <c r="P854" i="39" s="1"/>
  <c r="U691" i="39" a="1"/>
  <c r="U691" i="39" s="1"/>
  <c r="T1343" i="39" a="1"/>
  <c r="T1343" i="39" s="1"/>
  <c r="Z365" i="39" a="1"/>
  <c r="Z365" i="39" s="1"/>
  <c r="X528" i="39" a="1"/>
  <c r="X528" i="39" s="1"/>
  <c r="U202" i="39" a="1"/>
  <c r="U202" i="39" s="1"/>
  <c r="Q854" i="39" a="1"/>
  <c r="Q854" i="39" s="1"/>
  <c r="S1343" i="39" a="1"/>
  <c r="S1343" i="39" s="1"/>
  <c r="Y1017" i="39" a="1"/>
  <c r="Y1017" i="39" s="1"/>
  <c r="M1017" i="39" a="1"/>
  <c r="M1017" i="39" s="1"/>
  <c r="L528" i="39" a="1"/>
  <c r="L528" i="39" s="1"/>
  <c r="Q528" i="39" a="1"/>
  <c r="Q528" i="39" s="1"/>
  <c r="Y691" i="39" a="1"/>
  <c r="Y691" i="39" s="1"/>
  <c r="M1343" i="39" a="1"/>
  <c r="M1343" i="39" s="1"/>
  <c r="N1017" i="39" a="1"/>
  <c r="N1017" i="39" s="1"/>
  <c r="O1506" i="39" a="1"/>
  <c r="O1506" i="39" s="1"/>
  <c r="Y854" i="39" a="1"/>
  <c r="Y854" i="39" s="1"/>
  <c r="O691" i="39" a="1"/>
  <c r="O691" i="39" s="1"/>
  <c r="R1180" i="39" a="1"/>
  <c r="R1180" i="39" s="1"/>
  <c r="V365" i="39" a="1"/>
  <c r="V365" i="39" s="1"/>
  <c r="Q1180" i="39" a="1"/>
  <c r="Q1180" i="39" s="1"/>
  <c r="R1343" i="39" a="1"/>
  <c r="R1343" i="39" s="1"/>
  <c r="N1506" i="39" a="1"/>
  <c r="N1506" i="39" s="1"/>
  <c r="U1180" i="39" a="1"/>
  <c r="U1180" i="39" s="1"/>
  <c r="P1180" i="39" a="1"/>
  <c r="P1180" i="39" s="1"/>
  <c r="L1180" i="39" a="1"/>
  <c r="L1180" i="39" s="1"/>
  <c r="V202" i="39" a="1"/>
  <c r="V202" i="39" s="1"/>
  <c r="X691" i="39" a="1"/>
  <c r="X691" i="39" s="1"/>
  <c r="W1343" i="39" a="1"/>
  <c r="W1343" i="39" s="1"/>
  <c r="Z1506" i="39" a="1"/>
  <c r="Z1506" i="39" s="1"/>
  <c r="L854" i="39" a="1"/>
  <c r="L854" i="39" s="1"/>
  <c r="O1343" i="39" a="1"/>
  <c r="O1343" i="39" s="1"/>
  <c r="M365" i="39" a="1"/>
  <c r="M365" i="39" s="1"/>
  <c r="Q202" i="39" a="1"/>
  <c r="Q202" i="39" s="1"/>
  <c r="N528" i="39" a="1"/>
  <c r="N528" i="39" s="1"/>
  <c r="P365" i="39" a="1"/>
  <c r="P365" i="39" s="1"/>
  <c r="L691" i="39" a="1"/>
  <c r="L691" i="39" s="1"/>
  <c r="Q1343" i="39" a="1"/>
  <c r="Q1343" i="39" s="1"/>
  <c r="X1180" i="39" a="1"/>
  <c r="X1180" i="39" s="1"/>
  <c r="T854" i="39" a="1"/>
  <c r="T854" i="39" s="1"/>
  <c r="L1506" i="39" a="1"/>
  <c r="L1506" i="39" s="1"/>
  <c r="N854" i="39" a="1"/>
  <c r="N854" i="39" s="1"/>
  <c r="F33" i="41"/>
  <c r="F28" i="41"/>
  <c r="H40" i="41"/>
  <c r="H41" i="41"/>
  <c r="H36" i="41"/>
  <c r="H35" i="41"/>
  <c r="G12" i="41"/>
  <c r="H12" i="41" s="1"/>
  <c r="I12" i="41" s="1"/>
  <c r="J12" i="41" s="1"/>
  <c r="K12" i="41" s="1"/>
  <c r="L12" i="41" s="1"/>
  <c r="M12" i="41" s="1"/>
  <c r="N12" i="41" s="1"/>
  <c r="O12" i="41" s="1"/>
  <c r="P12" i="41" s="1"/>
  <c r="Q12" i="41" s="1"/>
  <c r="R12" i="41" s="1"/>
  <c r="S12" i="41" s="1"/>
  <c r="T12" i="41" s="1"/>
  <c r="G16" i="41"/>
  <c r="G18" i="41" s="1"/>
  <c r="F23" i="41"/>
  <c r="F48" i="41"/>
  <c r="F50" i="41"/>
  <c r="F51" i="41"/>
  <c r="N66" i="1"/>
  <c r="N63" i="1"/>
  <c r="K34" i="38"/>
  <c r="N62" i="1"/>
  <c r="G7" i="41"/>
  <c r="H7" i="41" s="1"/>
  <c r="I7" i="41" s="1"/>
  <c r="J7" i="41" s="1"/>
  <c r="K7" i="41" s="1"/>
  <c r="L7" i="41" s="1"/>
  <c r="M7" i="41" s="1"/>
  <c r="N7" i="41" s="1"/>
  <c r="O7" i="41" s="1"/>
  <c r="P7" i="41" s="1"/>
  <c r="Q7" i="41" s="1"/>
  <c r="R7" i="41" s="1"/>
  <c r="S7" i="41" s="1"/>
  <c r="T7" i="41" s="1"/>
  <c r="E8" i="41"/>
  <c r="F6" i="41" s="1"/>
  <c r="E6" i="11"/>
  <c r="H38" i="41" l="1"/>
  <c r="I36" i="41" s="1"/>
  <c r="G26" i="41"/>
  <c r="G25" i="41"/>
  <c r="G31" i="41"/>
  <c r="G30" i="41"/>
  <c r="H43" i="41"/>
  <c r="E13" i="41"/>
  <c r="F10" i="41" s="1"/>
  <c r="F53" i="41"/>
  <c r="G50" i="41" s="1"/>
  <c r="G45" i="41"/>
  <c r="G46" i="41"/>
  <c r="H15" i="41"/>
  <c r="H16" i="41"/>
  <c r="G20" i="41"/>
  <c r="G21" i="41"/>
  <c r="F5" i="41"/>
  <c r="K17" i="7"/>
  <c r="D19" i="10" s="1"/>
  <c r="I35" i="41" l="1"/>
  <c r="I38" i="41" s="1"/>
  <c r="G28" i="41"/>
  <c r="H25" i="41" s="1"/>
  <c r="G33" i="41"/>
  <c r="H31" i="41" s="1"/>
  <c r="I40" i="41"/>
  <c r="I41" i="41"/>
  <c r="F11" i="41"/>
  <c r="F13" i="41" s="1"/>
  <c r="G10" i="41" s="1"/>
  <c r="G51" i="41"/>
  <c r="G53" i="41" s="1"/>
  <c r="G48" i="41"/>
  <c r="H45" i="41" s="1"/>
  <c r="G23" i="41"/>
  <c r="H20" i="41" s="1"/>
  <c r="H18" i="41"/>
  <c r="CD19" i="10"/>
  <c r="BX19" i="10"/>
  <c r="V19" i="10"/>
  <c r="BR19" i="10"/>
  <c r="BL19" i="10"/>
  <c r="EL19" i="10"/>
  <c r="AT19" i="10"/>
  <c r="BF19" i="10"/>
  <c r="ER19" i="10"/>
  <c r="AZ19" i="10"/>
  <c r="EF19" i="10"/>
  <c r="AN19" i="10"/>
  <c r="DZ19" i="10"/>
  <c r="AH19" i="10"/>
  <c r="DT19" i="10"/>
  <c r="AB19" i="10"/>
  <c r="P19" i="10"/>
  <c r="DN19" i="10"/>
  <c r="DH19" i="10"/>
  <c r="DB19" i="10"/>
  <c r="CV19" i="10"/>
  <c r="J19" i="10"/>
  <c r="CP19" i="10"/>
  <c r="CJ19" i="10"/>
  <c r="F8" i="41"/>
  <c r="D30" i="10"/>
  <c r="C6" i="19"/>
  <c r="E9" i="19"/>
  <c r="K12" i="19"/>
  <c r="H30" i="41" l="1"/>
  <c r="H33" i="41" s="1"/>
  <c r="H26" i="41"/>
  <c r="H28" i="41" s="1"/>
  <c r="I43" i="41"/>
  <c r="J35" i="41"/>
  <c r="J36" i="41"/>
  <c r="G11" i="41"/>
  <c r="G13" i="41" s="1"/>
  <c r="H21" i="41"/>
  <c r="H23" i="41" s="1"/>
  <c r="I21" i="41" s="1"/>
  <c r="H46" i="41"/>
  <c r="H48" i="41" s="1"/>
  <c r="H50" i="41"/>
  <c r="H51" i="41"/>
  <c r="I15" i="41"/>
  <c r="I16" i="41"/>
  <c r="G6" i="41"/>
  <c r="G5" i="41"/>
  <c r="D31" i="10"/>
  <c r="G6" i="19"/>
  <c r="H6" i="19" s="1"/>
  <c r="I26" i="41" l="1"/>
  <c r="I25" i="41"/>
  <c r="I31" i="41"/>
  <c r="I30" i="41"/>
  <c r="J38" i="41"/>
  <c r="K36" i="41" s="1"/>
  <c r="J40" i="41"/>
  <c r="J41" i="41"/>
  <c r="I45" i="41"/>
  <c r="I46" i="41"/>
  <c r="I20" i="41"/>
  <c r="I23" i="41" s="1"/>
  <c r="J20" i="41" s="1"/>
  <c r="I18" i="41"/>
  <c r="J16" i="41" s="1"/>
  <c r="H10" i="41"/>
  <c r="H11" i="41"/>
  <c r="H53" i="41"/>
  <c r="G8" i="41"/>
  <c r="E13" i="11"/>
  <c r="D29" i="11"/>
  <c r="E51" i="10"/>
  <c r="K35" i="41" l="1"/>
  <c r="K38" i="41" s="1"/>
  <c r="L35" i="41" s="1"/>
  <c r="I33" i="41"/>
  <c r="J30" i="41" s="1"/>
  <c r="I28" i="41"/>
  <c r="J31" i="41"/>
  <c r="J43" i="41"/>
  <c r="J21" i="41"/>
  <c r="J23" i="41" s="1"/>
  <c r="I48" i="41"/>
  <c r="J45" i="41" s="1"/>
  <c r="J15" i="41"/>
  <c r="J18" i="41" s="1"/>
  <c r="K15" i="41" s="1"/>
  <c r="H13" i="41"/>
  <c r="I50" i="41"/>
  <c r="I51" i="41"/>
  <c r="E14" i="11"/>
  <c r="H6" i="41"/>
  <c r="H5" i="41"/>
  <c r="L36" i="41" l="1"/>
  <c r="L38" i="41" s="1"/>
  <c r="J33" i="41"/>
  <c r="K31" i="41" s="1"/>
  <c r="J25" i="41"/>
  <c r="J26" i="41"/>
  <c r="K41" i="41"/>
  <c r="K40" i="41"/>
  <c r="K43" i="41" s="1"/>
  <c r="K16" i="41"/>
  <c r="K18" i="41" s="1"/>
  <c r="J46" i="41"/>
  <c r="J48" i="41" s="1"/>
  <c r="I53" i="41"/>
  <c r="K20" i="41"/>
  <c r="K21" i="41"/>
  <c r="I10" i="41"/>
  <c r="I11" i="41"/>
  <c r="H8" i="41"/>
  <c r="K30" i="41" l="1"/>
  <c r="J28" i="41"/>
  <c r="K33" i="41"/>
  <c r="L41" i="41"/>
  <c r="L40" i="41"/>
  <c r="M35" i="41"/>
  <c r="M36" i="41"/>
  <c r="K45" i="41"/>
  <c r="K46" i="41"/>
  <c r="I13" i="41"/>
  <c r="J10" i="41" s="1"/>
  <c r="K23" i="41"/>
  <c r="L15" i="41"/>
  <c r="L16" i="41"/>
  <c r="J50" i="41"/>
  <c r="J51" i="41"/>
  <c r="I6" i="41"/>
  <c r="I5" i="41"/>
  <c r="L43" i="41" l="1"/>
  <c r="M41" i="41" s="1"/>
  <c r="L30" i="41"/>
  <c r="L31" i="41"/>
  <c r="K25" i="41"/>
  <c r="K26" i="41"/>
  <c r="M38" i="41"/>
  <c r="K48" i="41"/>
  <c r="L45" i="41" s="1"/>
  <c r="J11" i="41"/>
  <c r="J13" i="41" s="1"/>
  <c r="J53" i="41"/>
  <c r="K50" i="41" s="1"/>
  <c r="L18" i="41"/>
  <c r="L20" i="41"/>
  <c r="L21" i="41"/>
  <c r="I8" i="41"/>
  <c r="F8" i="2"/>
  <c r="M40" i="41" l="1"/>
  <c r="M43" i="41" s="1"/>
  <c r="N40" i="41" s="1"/>
  <c r="K28" i="41"/>
  <c r="L33" i="41"/>
  <c r="N35" i="41"/>
  <c r="N36" i="41"/>
  <c r="K51" i="41"/>
  <c r="K53" i="41" s="1"/>
  <c r="L46" i="41"/>
  <c r="L48" i="41" s="1"/>
  <c r="M45" i="41" s="1"/>
  <c r="K10" i="41"/>
  <c r="K11" i="41"/>
  <c r="L23" i="41"/>
  <c r="M15" i="41"/>
  <c r="M16" i="41"/>
  <c r="J6" i="41"/>
  <c r="J5" i="41"/>
  <c r="J35" i="1"/>
  <c r="M17" i="7"/>
  <c r="C25" i="56" s="1"/>
  <c r="J12" i="1"/>
  <c r="J39" i="1"/>
  <c r="K13" i="7"/>
  <c r="D16" i="10" s="1"/>
  <c r="J16" i="10" s="1"/>
  <c r="P16" i="10" s="1"/>
  <c r="V16" i="10" s="1"/>
  <c r="AB16" i="10" s="1"/>
  <c r="AH16" i="10" s="1"/>
  <c r="AN16" i="10" s="1"/>
  <c r="AT16" i="10" s="1"/>
  <c r="AZ16" i="10" s="1"/>
  <c r="BF16" i="10" s="1"/>
  <c r="BL16" i="10" s="1"/>
  <c r="BR16" i="10" s="1"/>
  <c r="BX16" i="10" s="1"/>
  <c r="CD16" i="10" s="1"/>
  <c r="CJ16" i="10" s="1"/>
  <c r="CP16" i="10" s="1"/>
  <c r="CV16" i="10" s="1"/>
  <c r="DB16" i="10" s="1"/>
  <c r="DH16" i="10" s="1"/>
  <c r="DN16" i="10" s="1"/>
  <c r="DT16" i="10" s="1"/>
  <c r="DZ16" i="10" s="1"/>
  <c r="EF16" i="10" s="1"/>
  <c r="EL16" i="10" s="1"/>
  <c r="ER16" i="10" s="1"/>
  <c r="N41" i="41" l="1"/>
  <c r="N43" i="41" s="1"/>
  <c r="M30" i="41"/>
  <c r="M31" i="41"/>
  <c r="L25" i="41"/>
  <c r="L26" i="41"/>
  <c r="N38" i="41"/>
  <c r="M46" i="41"/>
  <c r="M48" i="41" s="1"/>
  <c r="L50" i="41"/>
  <c r="L51" i="41"/>
  <c r="M18" i="41"/>
  <c r="M20" i="41"/>
  <c r="M21" i="41"/>
  <c r="K13" i="41"/>
  <c r="EL18" i="10"/>
  <c r="EF18" i="10"/>
  <c r="DN18" i="10"/>
  <c r="BL18" i="10"/>
  <c r="ER18" i="10"/>
  <c r="DB18" i="10"/>
  <c r="DZ18" i="10"/>
  <c r="P18" i="10"/>
  <c r="V18" i="10"/>
  <c r="AH18" i="10"/>
  <c r="AB18" i="10"/>
  <c r="D18" i="10"/>
  <c r="J18" i="10"/>
  <c r="AN18" i="10"/>
  <c r="AT18" i="10"/>
  <c r="BR18" i="10"/>
  <c r="DH18" i="10"/>
  <c r="AZ18" i="10"/>
  <c r="CJ18" i="10"/>
  <c r="CP18" i="10"/>
  <c r="BX18" i="10"/>
  <c r="DT18" i="10"/>
  <c r="CV18" i="10"/>
  <c r="CD18" i="10"/>
  <c r="BF18" i="10"/>
  <c r="J8" i="41"/>
  <c r="K5" i="41" s="1"/>
  <c r="M13" i="7"/>
  <c r="C24" i="56" s="1"/>
  <c r="K12" i="7"/>
  <c r="L28" i="41" l="1"/>
  <c r="M33" i="41"/>
  <c r="O40" i="41"/>
  <c r="O41" i="41"/>
  <c r="O36" i="41"/>
  <c r="O35" i="41"/>
  <c r="M12" i="7"/>
  <c r="N45" i="41"/>
  <c r="N46" i="41"/>
  <c r="L11" i="41"/>
  <c r="L10" i="41"/>
  <c r="M23" i="41"/>
  <c r="N15" i="41"/>
  <c r="N16" i="41"/>
  <c r="L53" i="41"/>
  <c r="ES11" i="10"/>
  <c r="ET11" i="10" s="1"/>
  <c r="EU11" i="10" s="1"/>
  <c r="ES7" i="10"/>
  <c r="ET7" i="10" s="1"/>
  <c r="ES14" i="10"/>
  <c r="ET14" i="10" s="1"/>
  <c r="EU14" i="10" s="1"/>
  <c r="ES12" i="10"/>
  <c r="ET12" i="10" s="1"/>
  <c r="EU12" i="10" s="1"/>
  <c r="ES8" i="10"/>
  <c r="ET8" i="10" s="1"/>
  <c r="EU8" i="10" s="1"/>
  <c r="BM8" i="10"/>
  <c r="BN8" i="10" s="1"/>
  <c r="BO8" i="10" s="1"/>
  <c r="BM11" i="10"/>
  <c r="BN11" i="10" s="1"/>
  <c r="BO11" i="10" s="1"/>
  <c r="BM7" i="10"/>
  <c r="BN7" i="10" s="1"/>
  <c r="BM14" i="10"/>
  <c r="BN14" i="10" s="1"/>
  <c r="BO14" i="10" s="1"/>
  <c r="BM12" i="10"/>
  <c r="BN12" i="10" s="1"/>
  <c r="BO12" i="10" s="1"/>
  <c r="AU12" i="10"/>
  <c r="AV12" i="10" s="1"/>
  <c r="AW12" i="10" s="1"/>
  <c r="AU14" i="10"/>
  <c r="AV14" i="10" s="1"/>
  <c r="AW14" i="10" s="1"/>
  <c r="AU8" i="10"/>
  <c r="AV8" i="10" s="1"/>
  <c r="AW8" i="10" s="1"/>
  <c r="AU11" i="10"/>
  <c r="AV11" i="10" s="1"/>
  <c r="AW11" i="10" s="1"/>
  <c r="AU7" i="10"/>
  <c r="AV7" i="10" s="1"/>
  <c r="K11" i="10"/>
  <c r="L11" i="10" s="1"/>
  <c r="M11" i="10" s="1"/>
  <c r="K14" i="10"/>
  <c r="L14" i="10" s="1"/>
  <c r="M14" i="10" s="1"/>
  <c r="K12" i="10"/>
  <c r="L12" i="10" s="1"/>
  <c r="M12" i="10" s="1"/>
  <c r="K7" i="10"/>
  <c r="L7" i="10" s="1"/>
  <c r="K8" i="10"/>
  <c r="L8" i="10" s="1"/>
  <c r="M8" i="10" s="1"/>
  <c r="AI12" i="10"/>
  <c r="AJ12" i="10" s="1"/>
  <c r="AK12" i="10" s="1"/>
  <c r="AI8" i="10"/>
  <c r="AJ8" i="10" s="1"/>
  <c r="AK8" i="10" s="1"/>
  <c r="AI14" i="10"/>
  <c r="AJ14" i="10" s="1"/>
  <c r="AK14" i="10" s="1"/>
  <c r="AI7" i="10"/>
  <c r="AJ7" i="10" s="1"/>
  <c r="AI11" i="10"/>
  <c r="AJ11" i="10" s="1"/>
  <c r="AK11" i="10" s="1"/>
  <c r="EA8" i="10"/>
  <c r="EB8" i="10" s="1"/>
  <c r="EC8" i="10" s="1"/>
  <c r="EA12" i="10"/>
  <c r="EB12" i="10" s="1"/>
  <c r="EC12" i="10" s="1"/>
  <c r="EA7" i="10"/>
  <c r="EB7" i="10" s="1"/>
  <c r="EA11" i="10"/>
  <c r="EB11" i="10" s="1"/>
  <c r="EC11" i="10" s="1"/>
  <c r="EA14" i="10"/>
  <c r="EB14" i="10" s="1"/>
  <c r="EC14" i="10" s="1"/>
  <c r="DO12" i="10"/>
  <c r="DP12" i="10" s="1"/>
  <c r="DQ12" i="10" s="1"/>
  <c r="DO14" i="10"/>
  <c r="DP14" i="10" s="1"/>
  <c r="DQ14" i="10" s="1"/>
  <c r="DO7" i="10"/>
  <c r="DP7" i="10" s="1"/>
  <c r="DO11" i="10"/>
  <c r="DP11" i="10" s="1"/>
  <c r="DQ11" i="10" s="1"/>
  <c r="DO8" i="10"/>
  <c r="DP8" i="10" s="1"/>
  <c r="DQ8" i="10" s="1"/>
  <c r="AO14" i="10"/>
  <c r="AP14" i="10" s="1"/>
  <c r="AQ14" i="10" s="1"/>
  <c r="AO11" i="10"/>
  <c r="AP11" i="10" s="1"/>
  <c r="AQ11" i="10" s="1"/>
  <c r="AO8" i="10"/>
  <c r="AP8" i="10" s="1"/>
  <c r="AQ8" i="10" s="1"/>
  <c r="AO12" i="10"/>
  <c r="AP12" i="10" s="1"/>
  <c r="AQ12" i="10" s="1"/>
  <c r="AO7" i="10"/>
  <c r="AP7" i="10" s="1"/>
  <c r="E8" i="10"/>
  <c r="F8" i="10" s="1"/>
  <c r="G8" i="10" s="1"/>
  <c r="E12" i="10"/>
  <c r="F12" i="10" s="1"/>
  <c r="G12" i="10" s="1"/>
  <c r="E11" i="10"/>
  <c r="F11" i="10" s="1"/>
  <c r="G11" i="10" s="1"/>
  <c r="E7" i="10"/>
  <c r="F7" i="10" s="1"/>
  <c r="E14" i="10"/>
  <c r="F14" i="10" s="1"/>
  <c r="G14" i="10" s="1"/>
  <c r="BG11" i="10"/>
  <c r="BH11" i="10" s="1"/>
  <c r="BI11" i="10" s="1"/>
  <c r="BG14" i="10"/>
  <c r="BH14" i="10" s="1"/>
  <c r="BI14" i="10" s="1"/>
  <c r="BG12" i="10"/>
  <c r="BH12" i="10" s="1"/>
  <c r="BI12" i="10" s="1"/>
  <c r="BG8" i="10"/>
  <c r="BH8" i="10" s="1"/>
  <c r="BI8" i="10" s="1"/>
  <c r="BG7" i="10"/>
  <c r="BH7" i="10" s="1"/>
  <c r="CE11" i="10"/>
  <c r="CF11" i="10" s="1"/>
  <c r="CG11" i="10" s="1"/>
  <c r="CE14" i="10"/>
  <c r="CF14" i="10" s="1"/>
  <c r="CG14" i="10" s="1"/>
  <c r="CE8" i="10"/>
  <c r="CF8" i="10" s="1"/>
  <c r="CG8" i="10" s="1"/>
  <c r="CE7" i="10"/>
  <c r="CF7" i="10" s="1"/>
  <c r="CE12" i="10"/>
  <c r="CF12" i="10" s="1"/>
  <c r="CG12" i="10" s="1"/>
  <c r="CW7" i="10"/>
  <c r="CX7" i="10" s="1"/>
  <c r="CW12" i="10"/>
  <c r="CX12" i="10" s="1"/>
  <c r="CY12" i="10" s="1"/>
  <c r="CW8" i="10"/>
  <c r="CX8" i="10" s="1"/>
  <c r="CY8" i="10" s="1"/>
  <c r="CW14" i="10"/>
  <c r="CX14" i="10" s="1"/>
  <c r="CY14" i="10" s="1"/>
  <c r="CW11" i="10"/>
  <c r="CX11" i="10" s="1"/>
  <c r="CY11" i="10" s="1"/>
  <c r="DU8" i="10"/>
  <c r="DV8" i="10" s="1"/>
  <c r="DW8" i="10" s="1"/>
  <c r="DU11" i="10"/>
  <c r="DV11" i="10" s="1"/>
  <c r="DW11" i="10" s="1"/>
  <c r="DU14" i="10"/>
  <c r="DV14" i="10" s="1"/>
  <c r="DW14" i="10" s="1"/>
  <c r="DU7" i="10"/>
  <c r="DV7" i="10" s="1"/>
  <c r="DU12" i="10"/>
  <c r="DV12" i="10" s="1"/>
  <c r="DW12" i="10" s="1"/>
  <c r="BY11" i="10"/>
  <c r="BZ11" i="10" s="1"/>
  <c r="CA11" i="10" s="1"/>
  <c r="BY7" i="10"/>
  <c r="BZ7" i="10" s="1"/>
  <c r="BY14" i="10"/>
  <c r="BZ14" i="10" s="1"/>
  <c r="CA14" i="10" s="1"/>
  <c r="BY8" i="10"/>
  <c r="BZ8" i="10" s="1"/>
  <c r="CA8" i="10" s="1"/>
  <c r="BY12" i="10"/>
  <c r="BZ12" i="10" s="1"/>
  <c r="CA12" i="10" s="1"/>
  <c r="CK14" i="10"/>
  <c r="CL14" i="10" s="1"/>
  <c r="CM14" i="10" s="1"/>
  <c r="CK7" i="10"/>
  <c r="CL7" i="10" s="1"/>
  <c r="CK8" i="10"/>
  <c r="CL8" i="10" s="1"/>
  <c r="CM8" i="10" s="1"/>
  <c r="CK12" i="10"/>
  <c r="CL12" i="10" s="1"/>
  <c r="CM12" i="10" s="1"/>
  <c r="CK11" i="10"/>
  <c r="CL11" i="10" s="1"/>
  <c r="CM11" i="10" s="1"/>
  <c r="BA8" i="10"/>
  <c r="BB8" i="10" s="1"/>
  <c r="BC8" i="10" s="1"/>
  <c r="BA11" i="10"/>
  <c r="BB11" i="10" s="1"/>
  <c r="BC11" i="10" s="1"/>
  <c r="BA12" i="10"/>
  <c r="BB12" i="10" s="1"/>
  <c r="BC12" i="10" s="1"/>
  <c r="BA14" i="10"/>
  <c r="BB14" i="10" s="1"/>
  <c r="BC14" i="10" s="1"/>
  <c r="BA7" i="10"/>
  <c r="BB7" i="10" s="1"/>
  <c r="EG8" i="10"/>
  <c r="EH8" i="10" s="1"/>
  <c r="EI8" i="10" s="1"/>
  <c r="EG14" i="10"/>
  <c r="EH14" i="10" s="1"/>
  <c r="EI14" i="10" s="1"/>
  <c r="EG11" i="10"/>
  <c r="EH11" i="10" s="1"/>
  <c r="EI11" i="10" s="1"/>
  <c r="EG7" i="10"/>
  <c r="EH7" i="10" s="1"/>
  <c r="EG12" i="10"/>
  <c r="EH12" i="10" s="1"/>
  <c r="EI12" i="10" s="1"/>
  <c r="BS14" i="10"/>
  <c r="BT14" i="10" s="1"/>
  <c r="BU14" i="10" s="1"/>
  <c r="BS8" i="10"/>
  <c r="BT8" i="10" s="1"/>
  <c r="BU8" i="10" s="1"/>
  <c r="BS11" i="10"/>
  <c r="BT11" i="10" s="1"/>
  <c r="BU11" i="10" s="1"/>
  <c r="BS7" i="10"/>
  <c r="BT7" i="10" s="1"/>
  <c r="BS12" i="10"/>
  <c r="BT12" i="10" s="1"/>
  <c r="BU12" i="10" s="1"/>
  <c r="AC8" i="10"/>
  <c r="AD8" i="10" s="1"/>
  <c r="AE8" i="10" s="1"/>
  <c r="AC11" i="10"/>
  <c r="AD11" i="10" s="1"/>
  <c r="AE11" i="10" s="1"/>
  <c r="AC14" i="10"/>
  <c r="AD14" i="10" s="1"/>
  <c r="AE14" i="10" s="1"/>
  <c r="AC7" i="10"/>
  <c r="AD7" i="10" s="1"/>
  <c r="AC12" i="10"/>
  <c r="AD12" i="10" s="1"/>
  <c r="AE12" i="10" s="1"/>
  <c r="W8" i="10"/>
  <c r="X8" i="10" s="1"/>
  <c r="Y8" i="10" s="1"/>
  <c r="W12" i="10"/>
  <c r="X12" i="10" s="1"/>
  <c r="Y12" i="10" s="1"/>
  <c r="W11" i="10"/>
  <c r="X11" i="10" s="1"/>
  <c r="Y11" i="10" s="1"/>
  <c r="W14" i="10"/>
  <c r="X14" i="10" s="1"/>
  <c r="Y14" i="10" s="1"/>
  <c r="W7" i="10"/>
  <c r="X7" i="10" s="1"/>
  <c r="Q8" i="10"/>
  <c r="R8" i="10" s="1"/>
  <c r="S8" i="10" s="1"/>
  <c r="Q7" i="10"/>
  <c r="R7" i="10" s="1"/>
  <c r="Q12" i="10"/>
  <c r="R12" i="10" s="1"/>
  <c r="S12" i="10" s="1"/>
  <c r="Q14" i="10"/>
  <c r="R14" i="10" s="1"/>
  <c r="S14" i="10" s="1"/>
  <c r="Q11" i="10"/>
  <c r="R11" i="10" s="1"/>
  <c r="S11" i="10" s="1"/>
  <c r="DC8" i="10"/>
  <c r="DD8" i="10" s="1"/>
  <c r="DE8" i="10" s="1"/>
  <c r="DC7" i="10"/>
  <c r="DD7" i="10" s="1"/>
  <c r="DC11" i="10"/>
  <c r="DD11" i="10" s="1"/>
  <c r="DE11" i="10" s="1"/>
  <c r="DC12" i="10"/>
  <c r="DD12" i="10" s="1"/>
  <c r="DE12" i="10" s="1"/>
  <c r="DC14" i="10"/>
  <c r="DD14" i="10" s="1"/>
  <c r="DE14" i="10" s="1"/>
  <c r="CQ8" i="10"/>
  <c r="CR8" i="10" s="1"/>
  <c r="CS8" i="10" s="1"/>
  <c r="CQ12" i="10"/>
  <c r="CR12" i="10" s="1"/>
  <c r="CS12" i="10" s="1"/>
  <c r="CQ11" i="10"/>
  <c r="CR11" i="10" s="1"/>
  <c r="CS11" i="10" s="1"/>
  <c r="CQ7" i="10"/>
  <c r="CR7" i="10" s="1"/>
  <c r="CQ14" i="10"/>
  <c r="CR14" i="10" s="1"/>
  <c r="CS14" i="10" s="1"/>
  <c r="DI7" i="10"/>
  <c r="DJ7" i="10" s="1"/>
  <c r="DI8" i="10"/>
  <c r="DJ8" i="10" s="1"/>
  <c r="DK8" i="10" s="1"/>
  <c r="DI11" i="10"/>
  <c r="DJ11" i="10" s="1"/>
  <c r="DK11" i="10" s="1"/>
  <c r="DI14" i="10"/>
  <c r="DJ14" i="10" s="1"/>
  <c r="DK14" i="10" s="1"/>
  <c r="DI12" i="10"/>
  <c r="DJ12" i="10" s="1"/>
  <c r="DK12" i="10" s="1"/>
  <c r="EM8" i="10"/>
  <c r="EN8" i="10" s="1"/>
  <c r="EO8" i="10" s="1"/>
  <c r="EM12" i="10"/>
  <c r="EN12" i="10" s="1"/>
  <c r="EO12" i="10" s="1"/>
  <c r="EM14" i="10"/>
  <c r="EN14" i="10" s="1"/>
  <c r="EO14" i="10" s="1"/>
  <c r="EM11" i="10"/>
  <c r="EN11" i="10" s="1"/>
  <c r="EO11" i="10" s="1"/>
  <c r="EM7" i="10"/>
  <c r="EN7" i="10" s="1"/>
  <c r="K6" i="41"/>
  <c r="K8" i="41" s="1"/>
  <c r="L6" i="41" s="1"/>
  <c r="D4" i="10"/>
  <c r="J20" i="1"/>
  <c r="J10" i="1" s="1"/>
  <c r="F5" i="10"/>
  <c r="N30" i="41" l="1"/>
  <c r="N31" i="41"/>
  <c r="M25" i="41"/>
  <c r="M26" i="41"/>
  <c r="O38" i="41"/>
  <c r="P35" i="41" s="1"/>
  <c r="O43" i="41"/>
  <c r="L13" i="41"/>
  <c r="M11" i="41" s="1"/>
  <c r="N20" i="41"/>
  <c r="N21" i="41"/>
  <c r="N18" i="41"/>
  <c r="N48" i="41"/>
  <c r="M50" i="41"/>
  <c r="M51" i="41"/>
  <c r="BC7" i="10"/>
  <c r="BA8" i="11"/>
  <c r="DW7" i="10"/>
  <c r="DU8" i="11"/>
  <c r="AW7" i="10"/>
  <c r="AU8" i="11"/>
  <c r="G7" i="10"/>
  <c r="E8" i="11"/>
  <c r="EA8" i="11"/>
  <c r="EC7" i="10"/>
  <c r="DE7" i="10"/>
  <c r="DC8" i="11"/>
  <c r="AE7" i="10"/>
  <c r="AC8" i="11"/>
  <c r="EO7" i="10"/>
  <c r="EM8" i="11"/>
  <c r="BU7" i="10"/>
  <c r="BS8" i="11"/>
  <c r="CK8" i="11"/>
  <c r="CM7" i="10"/>
  <c r="CW8" i="11"/>
  <c r="CY7" i="10"/>
  <c r="AO8" i="11"/>
  <c r="AQ7" i="10"/>
  <c r="AI8" i="11"/>
  <c r="AK7" i="10"/>
  <c r="BO7" i="10"/>
  <c r="BM8" i="11"/>
  <c r="Q8" i="11"/>
  <c r="J8" i="48" s="1"/>
  <c r="K8" i="48" s="1"/>
  <c r="S7" i="10"/>
  <c r="CG7" i="10"/>
  <c r="CE8" i="11"/>
  <c r="DK7" i="10"/>
  <c r="DI8" i="11"/>
  <c r="W8" i="11"/>
  <c r="Y7" i="10"/>
  <c r="EI7" i="10"/>
  <c r="EG8" i="11"/>
  <c r="CA7" i="10"/>
  <c r="BY8" i="11"/>
  <c r="K8" i="11"/>
  <c r="M7" i="10"/>
  <c r="CS7" i="10"/>
  <c r="CQ8" i="11"/>
  <c r="BI7" i="10"/>
  <c r="BG8" i="11"/>
  <c r="EU7" i="10"/>
  <c r="ES8" i="11"/>
  <c r="DO8" i="11"/>
  <c r="DQ7" i="10"/>
  <c r="E7" i="11"/>
  <c r="L5" i="41"/>
  <c r="L8" i="41" s="1"/>
  <c r="M6" i="41" s="1"/>
  <c r="J60" i="1"/>
  <c r="G5" i="10"/>
  <c r="P36" i="41" l="1"/>
  <c r="Q73" i="7" a="1"/>
  <c r="Q73" i="7" s="1"/>
  <c r="P73" i="7" a="1"/>
  <c r="P73" i="7" s="1"/>
  <c r="S73" i="7" a="1"/>
  <c r="S73" i="7" s="1"/>
  <c r="N73" i="7" a="1"/>
  <c r="N73" i="7" s="1"/>
  <c r="R73" i="7" a="1"/>
  <c r="R73" i="7" s="1"/>
  <c r="O73" i="7" a="1"/>
  <c r="O73" i="7" s="1"/>
  <c r="T73" i="7" a="1"/>
  <c r="T73" i="7" s="1"/>
  <c r="U73" i="7" a="1"/>
  <c r="U73" i="7" s="1"/>
  <c r="M73" i="7" a="1"/>
  <c r="M73" i="7" s="1"/>
  <c r="V73" i="7" a="1"/>
  <c r="V73" i="7" s="1"/>
  <c r="K1465" i="39" a="1"/>
  <c r="K1465" i="39" s="1"/>
  <c r="K326" i="39" a="1"/>
  <c r="K326" i="39" s="1"/>
  <c r="K978" i="39" a="1"/>
  <c r="K978" i="39" s="1"/>
  <c r="K1305" i="39" a="1"/>
  <c r="K1305" i="39" s="1"/>
  <c r="K325" i="39" a="1"/>
  <c r="K325" i="39" s="1"/>
  <c r="K490" i="39" a="1"/>
  <c r="K490" i="39" s="1"/>
  <c r="K164" i="39" a="1"/>
  <c r="K164" i="39" s="1"/>
  <c r="K1304" i="39" a="1"/>
  <c r="K1304" i="39" s="1"/>
  <c r="K1630" i="39" a="1"/>
  <c r="K1630" i="39" s="1"/>
  <c r="K1629" i="39" a="1"/>
  <c r="K1629" i="39" s="1"/>
  <c r="K651" i="39" a="1"/>
  <c r="K651" i="39" s="1"/>
  <c r="K1631" i="39" a="1"/>
  <c r="K1631" i="39" s="1"/>
  <c r="K1139" i="39" a="1"/>
  <c r="K1139" i="39" s="1"/>
  <c r="K813" i="39" a="1"/>
  <c r="K813" i="39" s="1"/>
  <c r="K1141" i="39" a="1"/>
  <c r="K1141" i="39" s="1"/>
  <c r="K489" i="39" a="1"/>
  <c r="K489" i="39" s="1"/>
  <c r="K1303" i="39" a="1"/>
  <c r="K1303" i="39" s="1"/>
  <c r="K1467" i="39" a="1"/>
  <c r="K1467" i="39" s="1"/>
  <c r="K652" i="39" a="1"/>
  <c r="K652" i="39" s="1"/>
  <c r="K1142" i="39" a="1"/>
  <c r="K1142" i="39" s="1"/>
  <c r="K650" i="39" a="1"/>
  <c r="K650" i="39" s="1"/>
  <c r="K816" i="39" a="1"/>
  <c r="K816" i="39" s="1"/>
  <c r="K163" i="39" a="1"/>
  <c r="K163" i="39" s="1"/>
  <c r="K487" i="39" a="1"/>
  <c r="K487" i="39" s="1"/>
  <c r="K324" i="39" a="1"/>
  <c r="K324" i="39" s="1"/>
  <c r="K1466" i="39" a="1"/>
  <c r="K1466" i="39" s="1"/>
  <c r="K977" i="39" a="1"/>
  <c r="K977" i="39" s="1"/>
  <c r="K1302" i="39" a="1"/>
  <c r="K1302" i="39" s="1"/>
  <c r="K327" i="39" a="1"/>
  <c r="K327" i="39" s="1"/>
  <c r="K488" i="39" a="1"/>
  <c r="K488" i="39" s="1"/>
  <c r="K161" i="39" a="1"/>
  <c r="K161" i="39" s="1"/>
  <c r="K1468" i="39" a="1"/>
  <c r="K1468" i="39" s="1"/>
  <c r="K815" i="39" a="1"/>
  <c r="K815" i="39" s="1"/>
  <c r="K976" i="39" a="1"/>
  <c r="K976" i="39" s="1"/>
  <c r="K814" i="39" a="1"/>
  <c r="K814" i="39" s="1"/>
  <c r="K1628" i="39" a="1"/>
  <c r="K1628" i="39" s="1"/>
  <c r="K1626" i="39" s="1"/>
  <c r="K1633" i="39" s="1"/>
  <c r="K1635" i="39" s="1"/>
  <c r="K162" i="39" a="1"/>
  <c r="K162" i="39" s="1"/>
  <c r="K1140" i="39" a="1"/>
  <c r="K1140" i="39" s="1"/>
  <c r="K979" i="39" a="1"/>
  <c r="K979" i="39" s="1"/>
  <c r="K653" i="39" a="1"/>
  <c r="K653" i="39" s="1"/>
  <c r="M28" i="41"/>
  <c r="N25" i="41" s="1"/>
  <c r="N33" i="41"/>
  <c r="P40" i="41"/>
  <c r="P41" i="41"/>
  <c r="P38" i="41"/>
  <c r="M10" i="41"/>
  <c r="M13" i="41" s="1"/>
  <c r="N23" i="41"/>
  <c r="O45" i="41"/>
  <c r="O46" i="41"/>
  <c r="M53" i="41"/>
  <c r="O15" i="41"/>
  <c r="O16" i="41"/>
  <c r="Q49" i="10" a="1"/>
  <c r="Q49" i="10" s="1"/>
  <c r="R49" i="10" s="1"/>
  <c r="S49" i="10" s="1"/>
  <c r="BG49" i="10" a="1"/>
  <c r="BG49" i="10" s="1"/>
  <c r="BH49" i="10" s="1"/>
  <c r="BI49" i="10" s="1"/>
  <c r="DO49" i="10" a="1"/>
  <c r="DO49" i="10" s="1"/>
  <c r="DP49" i="10" s="1"/>
  <c r="DQ49" i="10" s="1"/>
  <c r="CK49" i="10" a="1"/>
  <c r="CK49" i="10" s="1"/>
  <c r="CL49" i="10" s="1"/>
  <c r="CM49" i="10" s="1"/>
  <c r="EG49" i="10" a="1"/>
  <c r="EG49" i="10" s="1"/>
  <c r="EH49" i="10" s="1"/>
  <c r="EI49" i="10" s="1"/>
  <c r="K49" i="10" a="1"/>
  <c r="K49" i="10" s="1"/>
  <c r="L49" i="10" s="1"/>
  <c r="M49" i="10" s="1"/>
  <c r="CQ49" i="10" a="1"/>
  <c r="CQ49" i="10" s="1"/>
  <c r="CR49" i="10" s="1"/>
  <c r="CS49" i="10" s="1"/>
  <c r="W49" i="10" a="1"/>
  <c r="W49" i="10" s="1"/>
  <c r="X49" i="10" s="1"/>
  <c r="Y49" i="10" s="1"/>
  <c r="DI49" i="10" a="1"/>
  <c r="DI49" i="10" s="1"/>
  <c r="DJ49" i="10" s="1"/>
  <c r="DK49" i="10" s="1"/>
  <c r="BY49" i="10" a="1"/>
  <c r="BY49" i="10" s="1"/>
  <c r="BZ49" i="10" s="1"/>
  <c r="CA49" i="10" s="1"/>
  <c r="AC49" i="10" a="1"/>
  <c r="AC49" i="10" s="1"/>
  <c r="AD49" i="10" s="1"/>
  <c r="AE49" i="10" s="1"/>
  <c r="EA49" i="10" a="1"/>
  <c r="EA49" i="10" s="1"/>
  <c r="EB49" i="10" s="1"/>
  <c r="EC49" i="10" s="1"/>
  <c r="AI49" i="10" a="1"/>
  <c r="AI49" i="10" s="1"/>
  <c r="AJ49" i="10" s="1"/>
  <c r="AK49" i="10" s="1"/>
  <c r="ES49" i="10" a="1"/>
  <c r="ES49" i="10" s="1"/>
  <c r="ET49" i="10" s="1"/>
  <c r="EU49" i="10" s="1"/>
  <c r="DU49" i="10" a="1"/>
  <c r="DU49" i="10" s="1"/>
  <c r="DV49" i="10" s="1"/>
  <c r="DW49" i="10" s="1"/>
  <c r="EM49" i="10" a="1"/>
  <c r="EM49" i="10" s="1"/>
  <c r="EN49" i="10" s="1"/>
  <c r="EO49" i="10" s="1"/>
  <c r="CW49" i="10" a="1"/>
  <c r="CW49" i="10" s="1"/>
  <c r="CX49" i="10" s="1"/>
  <c r="CY49" i="10" s="1"/>
  <c r="BS49" i="10" a="1"/>
  <c r="BS49" i="10" s="1"/>
  <c r="BT49" i="10" s="1"/>
  <c r="BU49" i="10" s="1"/>
  <c r="CE49" i="10" a="1"/>
  <c r="CE49" i="10" s="1"/>
  <c r="CF49" i="10" s="1"/>
  <c r="CG49" i="10" s="1"/>
  <c r="BM49" i="10" a="1"/>
  <c r="BM49" i="10" s="1"/>
  <c r="BN49" i="10" s="1"/>
  <c r="BO49" i="10" s="1"/>
  <c r="AU49" i="10" a="1"/>
  <c r="AU49" i="10" s="1"/>
  <c r="AV49" i="10" s="1"/>
  <c r="AW49" i="10" s="1"/>
  <c r="AO49" i="10" a="1"/>
  <c r="AO49" i="10" s="1"/>
  <c r="AP49" i="10" s="1"/>
  <c r="AQ49" i="10" s="1"/>
  <c r="BA49" i="10" a="1"/>
  <c r="BA49" i="10" s="1"/>
  <c r="BB49" i="10" s="1"/>
  <c r="BC49" i="10" s="1"/>
  <c r="DC49" i="10" a="1"/>
  <c r="DC49" i="10" s="1"/>
  <c r="DD49" i="10" s="1"/>
  <c r="DE49" i="10" s="1"/>
  <c r="E44" i="10" a="1"/>
  <c r="E44" i="10" s="1"/>
  <c r="E42" i="10" a="1"/>
  <c r="E42" i="10" s="1"/>
  <c r="EA41" i="10" a="1"/>
  <c r="EA41" i="10" s="1"/>
  <c r="AO44" i="10" a="1"/>
  <c r="AO44" i="10" s="1"/>
  <c r="AP44" i="10" s="1"/>
  <c r="AQ44" i="10" s="1"/>
  <c r="DC41" i="10" a="1"/>
  <c r="DC41" i="10" s="1"/>
  <c r="BM43" i="10" a="1"/>
  <c r="BM43" i="10" s="1"/>
  <c r="BN43" i="10" s="1"/>
  <c r="BO43" i="10" s="1"/>
  <c r="CQ42" i="10" a="1"/>
  <c r="CQ42" i="10" s="1"/>
  <c r="AU45" i="10" a="1"/>
  <c r="AU45" i="10" s="1"/>
  <c r="AV45" i="10" s="1"/>
  <c r="AW45" i="10" s="1"/>
  <c r="DU45" i="10" a="1"/>
  <c r="DU45" i="10" s="1"/>
  <c r="BY41" i="10" a="1"/>
  <c r="BY41" i="10" s="1"/>
  <c r="BZ41" i="10" s="1"/>
  <c r="CA41" i="10" s="1"/>
  <c r="DU41" i="10" a="1"/>
  <c r="DU41" i="10" s="1"/>
  <c r="DO44" i="10" a="1"/>
  <c r="DO44" i="10" s="1"/>
  <c r="AC44" i="10" a="1"/>
  <c r="AC44" i="10" s="1"/>
  <c r="AD44" i="10" s="1"/>
  <c r="AE44" i="10" s="1"/>
  <c r="BS45" i="10" a="1"/>
  <c r="BS45" i="10" s="1"/>
  <c r="BT45" i="10" s="1"/>
  <c r="BU45" i="10" s="1"/>
  <c r="DU44" i="10" a="1"/>
  <c r="DU44" i="10" s="1"/>
  <c r="W45" i="10" a="1"/>
  <c r="W45" i="10" s="1"/>
  <c r="X45" i="10" s="1"/>
  <c r="Y45" i="10" s="1"/>
  <c r="BM44" i="10" a="1"/>
  <c r="BM44" i="10" s="1"/>
  <c r="BN44" i="10" s="1"/>
  <c r="BO44" i="10" s="1"/>
  <c r="CE45" i="10" a="1"/>
  <c r="CE45" i="10" s="1"/>
  <c r="CF45" i="10" s="1"/>
  <c r="CG45" i="10" s="1"/>
  <c r="W43" i="10" a="1"/>
  <c r="W43" i="10" s="1"/>
  <c r="X43" i="10" s="1"/>
  <c r="Y43" i="10" s="1"/>
  <c r="EM42" i="10" a="1"/>
  <c r="EM42" i="10" s="1"/>
  <c r="AU43" i="10" a="1"/>
  <c r="AU43" i="10" s="1"/>
  <c r="AV43" i="10" s="1"/>
  <c r="AW43" i="10" s="1"/>
  <c r="BG45" i="10" a="1"/>
  <c r="BG45" i="10" s="1"/>
  <c r="BH45" i="10" s="1"/>
  <c r="BI45" i="10" s="1"/>
  <c r="CK45" i="10" a="1"/>
  <c r="CK45" i="10" s="1"/>
  <c r="CL45" i="10" s="1"/>
  <c r="CM45" i="10" s="1"/>
  <c r="CW43" i="10" a="1"/>
  <c r="CW43" i="10" s="1"/>
  <c r="CQ43" i="10" a="1"/>
  <c r="CQ43" i="10" s="1"/>
  <c r="CE44" i="10" a="1"/>
  <c r="CE44" i="10" s="1"/>
  <c r="CF44" i="10" s="1"/>
  <c r="CG44" i="10" s="1"/>
  <c r="DI42" i="10" a="1"/>
  <c r="DI42" i="10" s="1"/>
  <c r="ES44" i="10" a="1"/>
  <c r="ES44" i="10" s="1"/>
  <c r="BS44" i="10" a="1"/>
  <c r="BS44" i="10" s="1"/>
  <c r="BT44" i="10" s="1"/>
  <c r="BU44" i="10" s="1"/>
  <c r="BA44" i="10" a="1"/>
  <c r="BA44" i="10" s="1"/>
  <c r="BB44" i="10" s="1"/>
  <c r="BC44" i="10" s="1"/>
  <c r="AU41" i="10" a="1"/>
  <c r="AU41" i="10" s="1"/>
  <c r="CQ44" i="10" a="1"/>
  <c r="CQ44" i="10" s="1"/>
  <c r="BY42" i="10" a="1"/>
  <c r="BY42" i="10" s="1"/>
  <c r="BZ42" i="10" s="1"/>
  <c r="CA42" i="10" s="1"/>
  <c r="EA43" i="10" a="1"/>
  <c r="EA43" i="10" s="1"/>
  <c r="BG44" i="10" a="1"/>
  <c r="BG44" i="10" s="1"/>
  <c r="BH44" i="10" s="1"/>
  <c r="BI44" i="10" s="1"/>
  <c r="EG45" i="10" a="1"/>
  <c r="EG45" i="10" s="1"/>
  <c r="DO42" i="10" a="1"/>
  <c r="DO42" i="10" s="1"/>
  <c r="AC42" i="10" a="1"/>
  <c r="AC42" i="10" s="1"/>
  <c r="AD42" i="10" s="1"/>
  <c r="AE42" i="10" s="1"/>
  <c r="CE43" i="10" a="1"/>
  <c r="CE43" i="10" s="1"/>
  <c r="CF43" i="10" s="1"/>
  <c r="CG43" i="10" s="1"/>
  <c r="BM42" i="10" a="1"/>
  <c r="BM42" i="10" s="1"/>
  <c r="BN42" i="10" s="1"/>
  <c r="BO42" i="10" s="1"/>
  <c r="EG43" i="10" a="1"/>
  <c r="EG43" i="10" s="1"/>
  <c r="BA41" i="10" a="1"/>
  <c r="BA41" i="10" s="1"/>
  <c r="AO43" i="10" a="1"/>
  <c r="AO43" i="10" s="1"/>
  <c r="AP43" i="10" s="1"/>
  <c r="AQ43" i="10" s="1"/>
  <c r="DC42" i="10" a="1"/>
  <c r="DC42" i="10" s="1"/>
  <c r="CW42" i="10" a="1"/>
  <c r="CW42" i="10" s="1"/>
  <c r="CE42" i="10" a="1"/>
  <c r="CE42" i="10" s="1"/>
  <c r="CF42" i="10" s="1"/>
  <c r="CG42" i="10" s="1"/>
  <c r="BS43" i="10" a="1"/>
  <c r="BS43" i="10" s="1"/>
  <c r="BT43" i="10" s="1"/>
  <c r="BU43" i="10" s="1"/>
  <c r="AI45" i="10" a="1"/>
  <c r="AI45" i="10" s="1"/>
  <c r="AJ45" i="10" s="1"/>
  <c r="AK45" i="10" s="1"/>
  <c r="ES43" i="10" a="1"/>
  <c r="ES43" i="10" s="1"/>
  <c r="CK41" i="10" a="1"/>
  <c r="CK41" i="10" s="1"/>
  <c r="CL41" i="10" s="1"/>
  <c r="CM41" i="10" s="1"/>
  <c r="CQ45" i="10" a="1"/>
  <c r="CQ45" i="10" s="1"/>
  <c r="AC43" i="10" a="1"/>
  <c r="AC43" i="10" s="1"/>
  <c r="AD43" i="10" s="1"/>
  <c r="AE43" i="10" s="1"/>
  <c r="CE41" i="10" a="1"/>
  <c r="CE41" i="10" s="1"/>
  <c r="CF41" i="10" s="1"/>
  <c r="CG41" i="10" s="1"/>
  <c r="EG44" i="10" a="1"/>
  <c r="EG44" i="10" s="1"/>
  <c r="CK44" i="10" a="1"/>
  <c r="CK44" i="10" s="1"/>
  <c r="CL44" i="10" s="1"/>
  <c r="CM44" i="10" s="1"/>
  <c r="Q44" i="10" a="1"/>
  <c r="Q44" i="10" s="1"/>
  <c r="DC45" i="10" a="1"/>
  <c r="DC45" i="10" s="1"/>
  <c r="DI43" i="10" a="1"/>
  <c r="DI43" i="10" s="1"/>
  <c r="DI41" i="10" a="1"/>
  <c r="DI41" i="10" s="1"/>
  <c r="AI44" i="10" a="1"/>
  <c r="AI44" i="10" s="1"/>
  <c r="AJ44" i="10" s="1"/>
  <c r="AK44" i="10" s="1"/>
  <c r="CQ41" i="10" a="1"/>
  <c r="CQ41" i="10" s="1"/>
  <c r="AC41" i="10" a="1"/>
  <c r="AC41" i="10" s="1"/>
  <c r="DO41" i="10" a="1"/>
  <c r="DO41" i="10" s="1"/>
  <c r="W41" i="10" a="1"/>
  <c r="W41" i="10" s="1"/>
  <c r="DC44" i="10" a="1"/>
  <c r="DC44" i="10" s="1"/>
  <c r="AC45" i="10" a="1"/>
  <c r="AC45" i="10" s="1"/>
  <c r="AD45" i="10" s="1"/>
  <c r="AE45" i="10" s="1"/>
  <c r="BG42" i="10" a="1"/>
  <c r="BG42" i="10" s="1"/>
  <c r="BH42" i="10" s="1"/>
  <c r="BI42" i="10" s="1"/>
  <c r="EM43" i="10" a="1"/>
  <c r="EM43" i="10" s="1"/>
  <c r="EM44" i="10" a="1"/>
  <c r="EM44" i="10" s="1"/>
  <c r="BY45" i="10" a="1"/>
  <c r="BY45" i="10" s="1"/>
  <c r="BZ45" i="10" s="1"/>
  <c r="CA45" i="10" s="1"/>
  <c r="DO43" i="10" a="1"/>
  <c r="DO43" i="10" s="1"/>
  <c r="BA43" i="10" a="1"/>
  <c r="BA43" i="10" s="1"/>
  <c r="BB43" i="10" s="1"/>
  <c r="BC43" i="10" s="1"/>
  <c r="CW45" i="10" a="1"/>
  <c r="CW45" i="10" s="1"/>
  <c r="EA42" i="10" a="1"/>
  <c r="EA42" i="10" s="1"/>
  <c r="AU44" i="10" a="1"/>
  <c r="AU44" i="10" s="1"/>
  <c r="AV44" i="10" s="1"/>
  <c r="AW44" i="10" s="1"/>
  <c r="DO45" i="10" a="1"/>
  <c r="DO45" i="10" s="1"/>
  <c r="BS42" i="10" a="1"/>
  <c r="BS42" i="10" s="1"/>
  <c r="BT42" i="10" s="1"/>
  <c r="BU42" i="10" s="1"/>
  <c r="DU43" i="10" a="1"/>
  <c r="DU43" i="10" s="1"/>
  <c r="AI42" i="10" a="1"/>
  <c r="AI42" i="10" s="1"/>
  <c r="AJ42" i="10" s="1"/>
  <c r="AK42" i="10" s="1"/>
  <c r="BG41" i="10" a="1"/>
  <c r="BG41" i="10" s="1"/>
  <c r="EA44" i="10" a="1"/>
  <c r="EA44" i="10" s="1"/>
  <c r="BY43" i="10" a="1"/>
  <c r="BY43" i="10" s="1"/>
  <c r="BZ43" i="10" s="1"/>
  <c r="CA43" i="10" s="1"/>
  <c r="CW44" i="10" a="1"/>
  <c r="CW44" i="10" s="1"/>
  <c r="CW41" i="10" a="1"/>
  <c r="CW41" i="10" s="1"/>
  <c r="AU42" i="10" a="1"/>
  <c r="AU42" i="10" s="1"/>
  <c r="AV42" i="10" s="1"/>
  <c r="AW42" i="10" s="1"/>
  <c r="AO42" i="10" a="1"/>
  <c r="AO42" i="10" s="1"/>
  <c r="AP42" i="10" s="1"/>
  <c r="AQ42" i="10" s="1"/>
  <c r="EM41" i="10" a="1"/>
  <c r="EM41" i="10" s="1"/>
  <c r="EG42" i="10" a="1"/>
  <c r="EG42" i="10" s="1"/>
  <c r="CK43" i="10" a="1"/>
  <c r="CK43" i="10" s="1"/>
  <c r="CL43" i="10" s="1"/>
  <c r="CM43" i="10" s="1"/>
  <c r="BM41" i="10" a="1"/>
  <c r="BM41" i="10" s="1"/>
  <c r="BN41" i="10" s="1"/>
  <c r="BO41" i="10" s="1"/>
  <c r="BG43" i="10" a="1"/>
  <c r="BG43" i="10" s="1"/>
  <c r="BH43" i="10" s="1"/>
  <c r="BI43" i="10" s="1"/>
  <c r="EA45" i="10" a="1"/>
  <c r="EA45" i="10" s="1"/>
  <c r="W42" i="10" a="1"/>
  <c r="W42" i="10" s="1"/>
  <c r="X42" i="10" s="1"/>
  <c r="Y42" i="10" s="1"/>
  <c r="AO41" i="10" a="1"/>
  <c r="AO41" i="10" s="1"/>
  <c r="AO45" i="10" a="1"/>
  <c r="AO45" i="10" s="1"/>
  <c r="AP45" i="10" s="1"/>
  <c r="AQ45" i="10" s="1"/>
  <c r="BM45" i="10" a="1"/>
  <c r="BM45" i="10" s="1"/>
  <c r="BN45" i="10" s="1"/>
  <c r="BO45" i="10" s="1"/>
  <c r="DI45" i="10" a="1"/>
  <c r="DI45" i="10" s="1"/>
  <c r="ES42" i="10" a="1"/>
  <c r="ES42" i="10" s="1"/>
  <c r="CK42" i="10" a="1"/>
  <c r="CK42" i="10" s="1"/>
  <c r="CL42" i="10" s="1"/>
  <c r="CM42" i="10" s="1"/>
  <c r="BY44" i="10" a="1"/>
  <c r="BY44" i="10" s="1"/>
  <c r="BZ44" i="10" s="1"/>
  <c r="CA44" i="10" s="1"/>
  <c r="BA45" i="10" a="1"/>
  <c r="BA45" i="10" s="1"/>
  <c r="BB45" i="10" s="1"/>
  <c r="BC45" i="10" s="1"/>
  <c r="Q42" i="10" a="1"/>
  <c r="Q42" i="10" s="1"/>
  <c r="R42" i="10" s="1"/>
  <c r="S42" i="10" s="1"/>
  <c r="Q45" i="10" a="1"/>
  <c r="Q45" i="10" s="1"/>
  <c r="Q41" i="10" a="1"/>
  <c r="Q41" i="10" s="1"/>
  <c r="W44" i="10" a="1"/>
  <c r="W44" i="10" s="1"/>
  <c r="X44" i="10" s="1"/>
  <c r="Y44" i="10" s="1"/>
  <c r="BA42" i="10" a="1"/>
  <c r="BA42" i="10" s="1"/>
  <c r="BB42" i="10" s="1"/>
  <c r="BC42" i="10" s="1"/>
  <c r="Q43" i="10" a="1"/>
  <c r="Q43" i="10" s="1"/>
  <c r="R43" i="10" s="1"/>
  <c r="S43" i="10" s="1"/>
  <c r="BS41" i="10" a="1"/>
  <c r="BS41" i="10" s="1"/>
  <c r="BT41" i="10" s="1"/>
  <c r="BU41" i="10" s="1"/>
  <c r="EG41" i="10" a="1"/>
  <c r="EG41" i="10" s="1"/>
  <c r="ES45" i="10" a="1"/>
  <c r="ES45" i="10" s="1"/>
  <c r="ES41" i="10" a="1"/>
  <c r="ES41" i="10" s="1"/>
  <c r="AI41" i="10" a="1"/>
  <c r="AI41" i="10" s="1"/>
  <c r="EM45" i="10" a="1"/>
  <c r="EM45" i="10" s="1"/>
  <c r="AI43" i="10" a="1"/>
  <c r="AI43" i="10" s="1"/>
  <c r="AJ43" i="10" s="1"/>
  <c r="AK43" i="10" s="1"/>
  <c r="DU42" i="10" a="1"/>
  <c r="DU42" i="10" s="1"/>
  <c r="DC43" i="10" a="1"/>
  <c r="DC43" i="10" s="1"/>
  <c r="DI44" i="10" a="1"/>
  <c r="DI44" i="10" s="1"/>
  <c r="M5" i="41"/>
  <c r="M8" i="41" s="1"/>
  <c r="N6" i="41" s="1"/>
  <c r="K41" i="10" a="1"/>
  <c r="K41" i="10" s="1"/>
  <c r="K42" i="10" a="1"/>
  <c r="K42" i="10" s="1"/>
  <c r="K43" i="10" a="1"/>
  <c r="K43" i="10" s="1"/>
  <c r="K44" i="10" a="1"/>
  <c r="K44" i="10" s="1"/>
  <c r="K45" i="10" a="1"/>
  <c r="K45" i="10" s="1"/>
  <c r="E41" i="10" a="1"/>
  <c r="E41" i="10" s="1"/>
  <c r="E45" i="10" a="1"/>
  <c r="E45" i="10" s="1"/>
  <c r="E43" i="10" a="1"/>
  <c r="E43" i="10" s="1"/>
  <c r="E49" i="10" a="1"/>
  <c r="E49" i="10" s="1"/>
  <c r="K1300" i="39" l="1"/>
  <c r="K1307" i="39" s="1"/>
  <c r="K1309" i="39" s="1"/>
  <c r="K648" i="39"/>
  <c r="K655" i="39" s="1"/>
  <c r="K657" i="39" s="1"/>
  <c r="K659" i="39" s="1"/>
  <c r="K660" i="39" s="1"/>
  <c r="K1637" i="39"/>
  <c r="K974" i="39"/>
  <c r="K981" i="39" s="1"/>
  <c r="K983" i="39" s="1"/>
  <c r="K1463" i="39"/>
  <c r="K1470" i="39" s="1"/>
  <c r="K1472" i="39" s="1"/>
  <c r="L1166" i="39" a="1"/>
  <c r="L1166" i="39" s="1"/>
  <c r="L188" i="39" a="1"/>
  <c r="L188" i="39" s="1"/>
  <c r="U1024" i="39" a="1"/>
  <c r="U1024" i="39" s="1"/>
  <c r="U861" i="39" a="1"/>
  <c r="U861" i="39" s="1"/>
  <c r="V859" i="39" a="1"/>
  <c r="V859" i="39" s="1"/>
  <c r="T1347" i="39" a="1"/>
  <c r="T1347" i="39" s="1"/>
  <c r="W1187" i="39" a="1"/>
  <c r="W1187" i="39" s="1"/>
  <c r="M1021" i="39" a="1"/>
  <c r="M1021" i="39" s="1"/>
  <c r="M861" i="39" a="1"/>
  <c r="M861" i="39" s="1"/>
  <c r="N370" i="39" a="1"/>
  <c r="N370" i="39" s="1"/>
  <c r="N1182" i="39" a="1"/>
  <c r="N1182" i="39" s="1"/>
  <c r="Z858" i="39" a="1"/>
  <c r="Z858" i="39" s="1"/>
  <c r="Q1186" i="39" a="1"/>
  <c r="Q1186" i="39" s="1"/>
  <c r="N860" i="39" a="1"/>
  <c r="N860" i="39" s="1"/>
  <c r="T1350" i="39" a="1"/>
  <c r="T1350" i="39" s="1"/>
  <c r="N859" i="39" a="1"/>
  <c r="N859" i="39" s="1"/>
  <c r="R1182" i="39" a="1"/>
  <c r="R1182" i="39" s="1"/>
  <c r="R858" i="39" a="1"/>
  <c r="R858" i="39" s="1"/>
  <c r="R695" i="39" a="1"/>
  <c r="R695" i="39" s="1"/>
  <c r="Z1022" i="39" a="1"/>
  <c r="Z1022" i="39" s="1"/>
  <c r="U694" i="39" a="1"/>
  <c r="U694" i="39" s="1"/>
  <c r="L1187" i="39" a="1"/>
  <c r="L1187" i="39" s="1"/>
  <c r="Z535" i="39" a="1"/>
  <c r="Z535" i="39" s="1"/>
  <c r="Q535" i="39" a="1"/>
  <c r="Q535" i="39" s="1"/>
  <c r="L1024" i="39" a="1"/>
  <c r="L1024" i="39" s="1"/>
  <c r="T530" i="39" a="1"/>
  <c r="T530" i="39" s="1"/>
  <c r="Z856" i="39" a="1"/>
  <c r="Z856" i="39" s="1"/>
  <c r="V370" i="39" a="1"/>
  <c r="V370" i="39" s="1"/>
  <c r="P372" i="39" a="1"/>
  <c r="P372" i="39" s="1"/>
  <c r="N708" i="39" a="1"/>
  <c r="N708" i="39" s="1"/>
  <c r="V530" i="39" a="1"/>
  <c r="V530" i="39" s="1"/>
  <c r="P369" i="39" a="1"/>
  <c r="P369" i="39" s="1"/>
  <c r="Y694" i="39" a="1"/>
  <c r="Y694" i="39" s="1"/>
  <c r="M696" i="39" a="1"/>
  <c r="M696" i="39" s="1"/>
  <c r="R1020" i="39" a="1"/>
  <c r="R1020" i="39" s="1"/>
  <c r="O1187" i="39" a="1"/>
  <c r="O1187" i="39" s="1"/>
  <c r="Y372" i="39" a="1"/>
  <c r="Y372" i="39" s="1"/>
  <c r="U209" i="39" a="1"/>
  <c r="U209" i="39" s="1"/>
  <c r="Z871" i="39" a="1"/>
  <c r="Z871" i="39" s="1"/>
  <c r="M382" i="39" a="1"/>
  <c r="M382" i="39" s="1"/>
  <c r="W382" i="39" a="1"/>
  <c r="W382" i="39" s="1"/>
  <c r="Y205" i="39" a="1"/>
  <c r="Y205" i="39" s="1"/>
  <c r="Y204" i="39" a="1"/>
  <c r="Y204" i="39" s="1"/>
  <c r="L708" i="39" a="1"/>
  <c r="L708" i="39" s="1"/>
  <c r="M367" i="39" a="1"/>
  <c r="M367" i="39" s="1"/>
  <c r="V367" i="39" a="1"/>
  <c r="V367" i="39" s="1"/>
  <c r="S1034" i="39" a="1"/>
  <c r="S1034" i="39" s="1"/>
  <c r="L533" i="39" a="1"/>
  <c r="L533" i="39" s="1"/>
  <c r="X1523" i="39" a="1"/>
  <c r="X1523" i="39" s="1"/>
  <c r="R545" i="39" a="1"/>
  <c r="R545" i="39" s="1"/>
  <c r="T1197" i="39" a="1"/>
  <c r="T1197" i="39" s="1"/>
  <c r="Q1523" i="39" a="1"/>
  <c r="Q1523" i="39" s="1"/>
  <c r="T1360" i="39" a="1"/>
  <c r="T1360" i="39" s="1"/>
  <c r="L1010" i="39" a="1"/>
  <c r="L1010" i="39" s="1"/>
  <c r="L357" i="39" a="1"/>
  <c r="L357" i="39" s="1"/>
  <c r="M357" i="39" s="1"/>
  <c r="S1350" i="39" a="1"/>
  <c r="S1350" i="39" s="1"/>
  <c r="R1511" i="39" a="1"/>
  <c r="R1511" i="39" s="1"/>
  <c r="L1185" i="39" a="1"/>
  <c r="L1185" i="39" s="1"/>
  <c r="W371" i="39" a="1"/>
  <c r="W371" i="39" s="1"/>
  <c r="Q534" i="39" a="1"/>
  <c r="Q534" i="39" s="1"/>
  <c r="O1511" i="39" a="1"/>
  <c r="O1511" i="39" s="1"/>
  <c r="N1509" i="39" a="1"/>
  <c r="N1509" i="39" s="1"/>
  <c r="O1183" i="39" a="1"/>
  <c r="O1183" i="39" s="1"/>
  <c r="R1347" i="39" a="1"/>
  <c r="R1347" i="39" s="1"/>
  <c r="M1185" i="39" a="1"/>
  <c r="M1185" i="39" s="1"/>
  <c r="L858" i="39" a="1"/>
  <c r="L858" i="39" s="1"/>
  <c r="W1345" i="39" a="1"/>
  <c r="W1345" i="39" s="1"/>
  <c r="X860" i="39" a="1"/>
  <c r="X860" i="39" s="1"/>
  <c r="R1184" i="39" a="1"/>
  <c r="R1184" i="39" s="1"/>
  <c r="V1511" i="39" a="1"/>
  <c r="V1511" i="39" s="1"/>
  <c r="T694" i="39" a="1"/>
  <c r="T694" i="39" s="1"/>
  <c r="N861" i="39" a="1"/>
  <c r="N861" i="39" s="1"/>
  <c r="Q1509" i="39" a="1"/>
  <c r="Q1509" i="39" s="1"/>
  <c r="T1511" i="39" a="1"/>
  <c r="T1511" i="39" s="1"/>
  <c r="M1508" i="39" a="1"/>
  <c r="M1508" i="39" s="1"/>
  <c r="P1347" i="39" a="1"/>
  <c r="P1347" i="39" s="1"/>
  <c r="V1510" i="39" a="1"/>
  <c r="V1510" i="39" s="1"/>
  <c r="X531" i="39" a="1"/>
  <c r="X531" i="39" s="1"/>
  <c r="N1349" i="39" a="1"/>
  <c r="N1349" i="39" s="1"/>
  <c r="S1186" i="39" a="1"/>
  <c r="S1186" i="39" s="1"/>
  <c r="O857" i="39" a="1"/>
  <c r="O857" i="39" s="1"/>
  <c r="Q1347" i="39" a="1"/>
  <c r="Q1347" i="39" s="1"/>
  <c r="T1021" i="39" a="1"/>
  <c r="T1021" i="39" s="1"/>
  <c r="S368" i="39" a="1"/>
  <c r="S368" i="39" s="1"/>
  <c r="V368" i="39" a="1"/>
  <c r="V368" i="39" s="1"/>
  <c r="S1512" i="39" a="1"/>
  <c r="S1512" i="39" s="1"/>
  <c r="V698" i="39" a="1"/>
  <c r="V698" i="39" s="1"/>
  <c r="Y1348" i="39" a="1"/>
  <c r="Y1348" i="39" s="1"/>
  <c r="L1349" i="39" a="1"/>
  <c r="L1349" i="39" s="1"/>
  <c r="O1186" i="39" a="1"/>
  <c r="O1186" i="39" s="1"/>
  <c r="L205" i="39" a="1"/>
  <c r="L205" i="39" s="1"/>
  <c r="M530" i="39" a="1"/>
  <c r="M530" i="39" s="1"/>
  <c r="P1513" i="39" a="1"/>
  <c r="P1513" i="39" s="1"/>
  <c r="M369" i="39" a="1"/>
  <c r="M369" i="39" s="1"/>
  <c r="N204" i="39" a="1"/>
  <c r="N204" i="39" s="1"/>
  <c r="L698" i="39" a="1"/>
  <c r="L698" i="39" s="1"/>
  <c r="Y370" i="39" a="1"/>
  <c r="Y370" i="39" s="1"/>
  <c r="Y1019" i="39" a="1"/>
  <c r="Y1019" i="39" s="1"/>
  <c r="Z371" i="39" a="1"/>
  <c r="Z371" i="39" s="1"/>
  <c r="N1360" i="39" a="1"/>
  <c r="N1360" i="39" s="1"/>
  <c r="U1186" i="39" a="1"/>
  <c r="U1186" i="39" s="1"/>
  <c r="P530" i="39" a="1"/>
  <c r="P530" i="39" s="1"/>
  <c r="M534" i="39" a="1"/>
  <c r="M534" i="39" s="1"/>
  <c r="V372" i="39" a="1"/>
  <c r="V372" i="39" s="1"/>
  <c r="V219" i="39" a="1"/>
  <c r="V219" i="39" s="1"/>
  <c r="N369" i="39" a="1"/>
  <c r="N369" i="39" s="1"/>
  <c r="S1360" i="39" a="1"/>
  <c r="S1360" i="39" s="1"/>
  <c r="O1034" i="39" a="1"/>
  <c r="O1034" i="39" s="1"/>
  <c r="Q370" i="39" a="1"/>
  <c r="Q370" i="39" s="1"/>
  <c r="W208" i="39" a="1"/>
  <c r="W208" i="39" s="1"/>
  <c r="T708" i="39" a="1"/>
  <c r="T708" i="39" s="1"/>
  <c r="R207" i="39" a="1"/>
  <c r="R207" i="39" s="1"/>
  <c r="S534" i="39" a="1"/>
  <c r="S534" i="39" s="1"/>
  <c r="Y1360" i="39" a="1"/>
  <c r="Y1360" i="39" s="1"/>
  <c r="Y534" i="39" a="1"/>
  <c r="Y534" i="39" s="1"/>
  <c r="L1009" i="39" a="1"/>
  <c r="L1009" i="39" s="1"/>
  <c r="L847" i="39" a="1"/>
  <c r="L847" i="39" s="1"/>
  <c r="T1184" i="39" a="1"/>
  <c r="T1184" i="39" s="1"/>
  <c r="U1019" i="39" a="1"/>
  <c r="U1019" i="39" s="1"/>
  <c r="Q1349" i="39" a="1"/>
  <c r="Q1349" i="39" s="1"/>
  <c r="T859" i="39" a="1"/>
  <c r="T859" i="39" s="1"/>
  <c r="L371" i="39" a="1"/>
  <c r="L371" i="39" s="1"/>
  <c r="U1511" i="39" a="1"/>
  <c r="U1511" i="39" s="1"/>
  <c r="T1023" i="39" a="1"/>
  <c r="T1023" i="39" s="1"/>
  <c r="X856" i="39" a="1"/>
  <c r="X856" i="39" s="1"/>
  <c r="P367" i="39" a="1"/>
  <c r="P367" i="39" s="1"/>
  <c r="M1511" i="39" a="1"/>
  <c r="M1511" i="39" s="1"/>
  <c r="V535" i="39" a="1"/>
  <c r="V535" i="39" s="1"/>
  <c r="L1510" i="39" a="1"/>
  <c r="L1510" i="39" s="1"/>
  <c r="O859" i="39" a="1"/>
  <c r="O859" i="39" s="1"/>
  <c r="X1185" i="39" a="1"/>
  <c r="X1185" i="39" s="1"/>
  <c r="M1513" i="39" a="1"/>
  <c r="M1513" i="39" s="1"/>
  <c r="O1024" i="39" a="1"/>
  <c r="O1024" i="39" s="1"/>
  <c r="Q1021" i="39" a="1"/>
  <c r="Q1021" i="39" s="1"/>
  <c r="W1349" i="39" a="1"/>
  <c r="W1349" i="39" s="1"/>
  <c r="X1509" i="39" a="1"/>
  <c r="X1509" i="39" s="1"/>
  <c r="Z1350" i="39" a="1"/>
  <c r="Z1350" i="39" s="1"/>
  <c r="R1021" i="39" a="1"/>
  <c r="R1021" i="39" s="1"/>
  <c r="R1183" i="39" a="1"/>
  <c r="R1183" i="39" s="1"/>
  <c r="P1024" i="39" a="1"/>
  <c r="P1024" i="39" s="1"/>
  <c r="Z1345" i="39" a="1"/>
  <c r="Z1345" i="39" s="1"/>
  <c r="R1345" i="39" a="1"/>
  <c r="R1345" i="39" s="1"/>
  <c r="W861" i="39" a="1"/>
  <c r="W861" i="39" s="1"/>
  <c r="T856" i="39" a="1"/>
  <c r="T856" i="39" s="1"/>
  <c r="U1185" i="39" a="1"/>
  <c r="U1185" i="39" s="1"/>
  <c r="P368" i="39" a="1"/>
  <c r="P368" i="39" s="1"/>
  <c r="U382" i="39" a="1"/>
  <c r="U382" i="39" s="1"/>
  <c r="U1513" i="39" a="1"/>
  <c r="U1513" i="39" s="1"/>
  <c r="W696" i="39" a="1"/>
  <c r="W696" i="39" s="1"/>
  <c r="U372" i="39" a="1"/>
  <c r="U372" i="39" s="1"/>
  <c r="M204" i="39" a="1"/>
  <c r="M204" i="39" s="1"/>
  <c r="Z1346" i="39" a="1"/>
  <c r="Z1346" i="39" s="1"/>
  <c r="Z693" i="39" a="1"/>
  <c r="Z693" i="39" s="1"/>
  <c r="S372" i="39" a="1"/>
  <c r="S372" i="39" s="1"/>
  <c r="T545" i="39" a="1"/>
  <c r="T545" i="39" s="1"/>
  <c r="X1347" i="39" a="1"/>
  <c r="X1347" i="39" s="1"/>
  <c r="P205" i="39" a="1"/>
  <c r="P205" i="39" s="1"/>
  <c r="Y1511" i="39" a="1"/>
  <c r="Y1511" i="39" s="1"/>
  <c r="U1346" i="39" a="1"/>
  <c r="U1346" i="39" s="1"/>
  <c r="X696" i="39" a="1"/>
  <c r="X696" i="39" s="1"/>
  <c r="N1020" i="39" a="1"/>
  <c r="N1020" i="39" s="1"/>
  <c r="S533" i="39" a="1"/>
  <c r="S533" i="39" s="1"/>
  <c r="O369" i="39" a="1"/>
  <c r="O369" i="39" s="1"/>
  <c r="R205" i="39" a="1"/>
  <c r="R205" i="39" s="1"/>
  <c r="W219" i="39" a="1"/>
  <c r="W219" i="39" s="1"/>
  <c r="R382" i="39" a="1"/>
  <c r="R382" i="39" s="1"/>
  <c r="M205" i="39" a="1"/>
  <c r="M205" i="39" s="1"/>
  <c r="M708" i="39" a="1"/>
  <c r="M708" i="39" s="1"/>
  <c r="N545" i="39" a="1"/>
  <c r="N545" i="39" s="1"/>
  <c r="Z368" i="39" a="1"/>
  <c r="Z368" i="39" s="1"/>
  <c r="V708" i="39" a="1"/>
  <c r="V708" i="39" s="1"/>
  <c r="Z370" i="39" a="1"/>
  <c r="Z370" i="39" s="1"/>
  <c r="Q207" i="39" a="1"/>
  <c r="Q207" i="39" s="1"/>
  <c r="L677" i="39" a="1"/>
  <c r="L677" i="39" s="1"/>
  <c r="M1350" i="39" a="1"/>
  <c r="M1350" i="39" s="1"/>
  <c r="V1346" i="39" a="1"/>
  <c r="V1346" i="39" s="1"/>
  <c r="S1347" i="39" a="1"/>
  <c r="S1347" i="39" s="1"/>
  <c r="M698" i="39" a="1"/>
  <c r="M698" i="39" s="1"/>
  <c r="P1345" i="39" a="1"/>
  <c r="P1345" i="39" s="1"/>
  <c r="T1345" i="39" a="1"/>
  <c r="T1345" i="39" s="1"/>
  <c r="X370" i="39" a="1"/>
  <c r="X370" i="39" s="1"/>
  <c r="M371" i="39" a="1"/>
  <c r="M371" i="39" s="1"/>
  <c r="X1510" i="39" a="1"/>
  <c r="X1510" i="39" s="1"/>
  <c r="U856" i="39" a="1"/>
  <c r="U856" i="39" s="1"/>
  <c r="W1346" i="39" a="1"/>
  <c r="W1346" i="39" s="1"/>
  <c r="S370" i="39" a="1"/>
  <c r="S370" i="39" s="1"/>
  <c r="Q1185" i="39" a="1"/>
  <c r="Q1185" i="39" s="1"/>
  <c r="L1182" i="39" a="1"/>
  <c r="L1182" i="39" s="1"/>
  <c r="S1021" i="39" a="1"/>
  <c r="S1021" i="39" s="1"/>
  <c r="X1183" i="39" a="1"/>
  <c r="X1183" i="39" s="1"/>
  <c r="T858" i="39" a="1"/>
  <c r="T858" i="39" s="1"/>
  <c r="R1508" i="39" a="1"/>
  <c r="R1508" i="39" s="1"/>
  <c r="P1349" i="39" a="1"/>
  <c r="P1349" i="39" s="1"/>
  <c r="R860" i="39" a="1"/>
  <c r="R860" i="39" s="1"/>
  <c r="R532" i="39" a="1"/>
  <c r="R532" i="39" s="1"/>
  <c r="R1510" i="39" a="1"/>
  <c r="R1510" i="39" s="1"/>
  <c r="V1183" i="39" a="1"/>
  <c r="V1183" i="39" s="1"/>
  <c r="W859" i="39" a="1"/>
  <c r="W859" i="39" s="1"/>
  <c r="P1346" i="39" a="1"/>
  <c r="P1346" i="39" s="1"/>
  <c r="V1348" i="39" a="1"/>
  <c r="V1348" i="39" s="1"/>
  <c r="M1022" i="39" a="1"/>
  <c r="M1022" i="39" s="1"/>
  <c r="Q1513" i="39" a="1"/>
  <c r="Q1513" i="39" s="1"/>
  <c r="Q858" i="39" a="1"/>
  <c r="Q858" i="39" s="1"/>
  <c r="X1184" i="39" a="1"/>
  <c r="X1184" i="39" s="1"/>
  <c r="S694" i="39" a="1"/>
  <c r="S694" i="39" s="1"/>
  <c r="Y693" i="39" a="1"/>
  <c r="Y693" i="39" s="1"/>
  <c r="W533" i="39" a="1"/>
  <c r="W533" i="39" s="1"/>
  <c r="O219" i="39" a="1"/>
  <c r="O219" i="39" s="1"/>
  <c r="Z1523" i="39" a="1"/>
  <c r="Z1523" i="39" s="1"/>
  <c r="W1024" i="39" a="1"/>
  <c r="W1024" i="39" s="1"/>
  <c r="W856" i="39" a="1"/>
  <c r="W856" i="39" s="1"/>
  <c r="O860" i="39" a="1"/>
  <c r="O860" i="39" s="1"/>
  <c r="R209" i="39" a="1"/>
  <c r="R209" i="39" s="1"/>
  <c r="Y371" i="39" a="1"/>
  <c r="Y371" i="39" s="1"/>
  <c r="L208" i="39" a="1"/>
  <c r="L208" i="39" s="1"/>
  <c r="X530" i="39" a="1"/>
  <c r="X530" i="39" s="1"/>
  <c r="O856" i="39" a="1"/>
  <c r="O856" i="39" s="1"/>
  <c r="S367" i="39" a="1"/>
  <c r="S367" i="39" s="1"/>
  <c r="L1347" i="39" a="1"/>
  <c r="L1347" i="39" s="1"/>
  <c r="P1182" i="39" a="1"/>
  <c r="P1182" i="39" s="1"/>
  <c r="O861" i="39" a="1"/>
  <c r="O861" i="39" s="1"/>
  <c r="M531" i="39" a="1"/>
  <c r="M531" i="39" s="1"/>
  <c r="Y531" i="39" a="1"/>
  <c r="Y531" i="39" s="1"/>
  <c r="U370" i="39" a="1"/>
  <c r="U370" i="39" s="1"/>
  <c r="W369" i="39" a="1"/>
  <c r="W369" i="39" s="1"/>
  <c r="X532" i="39" a="1"/>
  <c r="X532" i="39" s="1"/>
  <c r="S708" i="39" a="1"/>
  <c r="S708" i="39" s="1"/>
  <c r="R871" i="39" a="1"/>
  <c r="R871" i="39" s="1"/>
  <c r="L545" i="39" a="1"/>
  <c r="L545" i="39" s="1"/>
  <c r="M1197" i="39" a="1"/>
  <c r="M1197" i="39" s="1"/>
  <c r="S219" i="39" a="1"/>
  <c r="S219" i="39" s="1"/>
  <c r="L530" i="39" a="1"/>
  <c r="L530" i="39" s="1"/>
  <c r="M1034" i="39" a="1"/>
  <c r="M1034" i="39" s="1"/>
  <c r="U1197" i="39" a="1"/>
  <c r="U1197" i="39" s="1"/>
  <c r="Y207" i="39" a="1"/>
  <c r="Y207" i="39" s="1"/>
  <c r="W204" i="39" a="1"/>
  <c r="W204" i="39" s="1"/>
  <c r="Q219" i="39" a="1"/>
  <c r="Q219" i="39" s="1"/>
  <c r="N205" i="39" a="1"/>
  <c r="N205" i="39" s="1"/>
  <c r="Z382" i="39" a="1"/>
  <c r="Z382" i="39" s="1"/>
  <c r="L521" i="39" a="1"/>
  <c r="L521" i="39" s="1"/>
  <c r="Q1511" i="39" a="1"/>
  <c r="Q1511" i="39" s="1"/>
  <c r="O1345" i="39" a="1"/>
  <c r="O1345" i="39" s="1"/>
  <c r="W1020" i="39" a="1"/>
  <c r="W1020" i="39" s="1"/>
  <c r="R1349" i="39" a="1"/>
  <c r="R1349" i="39" s="1"/>
  <c r="Q696" i="39" a="1"/>
  <c r="Q696" i="39" s="1"/>
  <c r="M206" i="39" a="1"/>
  <c r="M206" i="39" s="1"/>
  <c r="U1182" i="39" a="1"/>
  <c r="U1182" i="39" s="1"/>
  <c r="X695" i="39" a="1"/>
  <c r="X695" i="39" s="1"/>
  <c r="Z205" i="39" a="1"/>
  <c r="Z205" i="39" s="1"/>
  <c r="U1187" i="39" a="1"/>
  <c r="U1187" i="39" s="1"/>
  <c r="X1021" i="39" a="1"/>
  <c r="X1021" i="39" s="1"/>
  <c r="V693" i="39" a="1"/>
  <c r="V693" i="39" s="1"/>
  <c r="L1021" i="39" a="1"/>
  <c r="L1021" i="39" s="1"/>
  <c r="T860" i="39" a="1"/>
  <c r="T860" i="39" s="1"/>
  <c r="Q1345" i="39" a="1"/>
  <c r="Q1345" i="39" s="1"/>
  <c r="Y1347" i="39" a="1"/>
  <c r="Y1347" i="39" s="1"/>
  <c r="Z860" i="39" a="1"/>
  <c r="Z860" i="39" s="1"/>
  <c r="Q1187" i="39" a="1"/>
  <c r="Q1187" i="39" s="1"/>
  <c r="M1186" i="39" a="1"/>
  <c r="M1186" i="39" s="1"/>
  <c r="Z1347" i="39" a="1"/>
  <c r="Z1347" i="39" s="1"/>
  <c r="S1523" i="39" a="1"/>
  <c r="S1523" i="39" s="1"/>
  <c r="Z696" i="39" a="1"/>
  <c r="Z696" i="39" s="1"/>
  <c r="Y1186" i="39" a="1"/>
  <c r="Y1186" i="39" s="1"/>
  <c r="O1022" i="39" a="1"/>
  <c r="O1022" i="39" s="1"/>
  <c r="U698" i="39" a="1"/>
  <c r="U698" i="39" s="1"/>
  <c r="O209" i="39" a="1"/>
  <c r="O209" i="39" s="1"/>
  <c r="X1349" i="39" a="1"/>
  <c r="X1349" i="39" s="1"/>
  <c r="V856" i="39" a="1"/>
  <c r="V856" i="39" s="1"/>
  <c r="T857" i="39" a="1"/>
  <c r="T857" i="39" s="1"/>
  <c r="N372" i="39" a="1"/>
  <c r="N372" i="39" s="1"/>
  <c r="L857" i="39" a="1"/>
  <c r="L857" i="39" s="1"/>
  <c r="P697" i="39" a="1"/>
  <c r="P697" i="39" s="1"/>
  <c r="M533" i="39" a="1"/>
  <c r="M533" i="39" s="1"/>
  <c r="W545" i="39" a="1"/>
  <c r="W545" i="39" s="1"/>
  <c r="P694" i="39" a="1"/>
  <c r="P694" i="39" s="1"/>
  <c r="N1184" i="39" a="1"/>
  <c r="N1184" i="39" s="1"/>
  <c r="M859" i="39" a="1"/>
  <c r="M859" i="39" s="1"/>
  <c r="U535" i="39" a="1"/>
  <c r="U535" i="39" s="1"/>
  <c r="R1186" i="39" a="1"/>
  <c r="R1186" i="39" s="1"/>
  <c r="N1348" i="39" a="1"/>
  <c r="N1348" i="39" s="1"/>
  <c r="L697" i="39" a="1"/>
  <c r="L697" i="39" s="1"/>
  <c r="Q530" i="39" a="1"/>
  <c r="Q530" i="39" s="1"/>
  <c r="U1034" i="39" a="1"/>
  <c r="U1034" i="39" s="1"/>
  <c r="Y532" i="39" a="1"/>
  <c r="Y532" i="39" s="1"/>
  <c r="S1197" i="39" a="1"/>
  <c r="S1197" i="39" s="1"/>
  <c r="W871" i="39" a="1"/>
  <c r="W871" i="39" s="1"/>
  <c r="L534" i="39" a="1"/>
  <c r="L534" i="39" s="1"/>
  <c r="Z708" i="39" a="1"/>
  <c r="Z708" i="39" s="1"/>
  <c r="T531" i="39" a="1"/>
  <c r="T531" i="39" s="1"/>
  <c r="R219" i="39" a="1"/>
  <c r="R219" i="39" s="1"/>
  <c r="L209" i="39" a="1"/>
  <c r="L209" i="39" s="1"/>
  <c r="Q1197" i="39" a="1"/>
  <c r="Q1197" i="39" s="1"/>
  <c r="Q206" i="39" a="1"/>
  <c r="Q206" i="39" s="1"/>
  <c r="S871" i="39" a="1"/>
  <c r="S871" i="39" s="1"/>
  <c r="X207" i="39" a="1"/>
  <c r="X207" i="39" s="1"/>
  <c r="X871" i="39" a="1"/>
  <c r="X871" i="39" s="1"/>
  <c r="Z530" i="39" a="1"/>
  <c r="Z530" i="39" s="1"/>
  <c r="Y1523" i="39" a="1"/>
  <c r="Y1523" i="39" s="1"/>
  <c r="M209" i="39" a="1"/>
  <c r="M209" i="39" s="1"/>
  <c r="L1499" i="39" a="1"/>
  <c r="L1499" i="39" s="1"/>
  <c r="M1499" i="39" s="1"/>
  <c r="Z1510" i="39" a="1"/>
  <c r="Z1510" i="39" s="1"/>
  <c r="T1019" i="39" a="1"/>
  <c r="T1019" i="39" s="1"/>
  <c r="Z697" i="39" a="1"/>
  <c r="Z697" i="39" s="1"/>
  <c r="X1345" i="39" a="1"/>
  <c r="X1345" i="39" s="1"/>
  <c r="V858" i="39" a="1"/>
  <c r="V858" i="39" s="1"/>
  <c r="O858" i="39" a="1"/>
  <c r="O858" i="39" s="1"/>
  <c r="T1512" i="39" a="1"/>
  <c r="T1512" i="39" s="1"/>
  <c r="O1347" i="39" a="1"/>
  <c r="O1347" i="39" s="1"/>
  <c r="O1348" i="39" a="1"/>
  <c r="O1348" i="39" s="1"/>
  <c r="T861" i="39" a="1"/>
  <c r="T861" i="39" s="1"/>
  <c r="P696" i="39" a="1"/>
  <c r="P696" i="39" s="1"/>
  <c r="N1347" i="39" a="1"/>
  <c r="N1347" i="39" s="1"/>
  <c r="U860" i="39" a="1"/>
  <c r="U860" i="39" s="1"/>
  <c r="M857" i="39" a="1"/>
  <c r="M857" i="39" s="1"/>
  <c r="X1186" i="39" a="1"/>
  <c r="X1186" i="39" s="1"/>
  <c r="T1348" i="39" a="1"/>
  <c r="T1348" i="39" s="1"/>
  <c r="M1509" i="39" a="1"/>
  <c r="M1509" i="39" s="1"/>
  <c r="O1019" i="39" a="1"/>
  <c r="O1019" i="39" s="1"/>
  <c r="Z695" i="39" a="1"/>
  <c r="Z695" i="39" s="1"/>
  <c r="S1185" i="39" a="1"/>
  <c r="S1185" i="39" s="1"/>
  <c r="U858" i="39" a="1"/>
  <c r="U858" i="39" s="1"/>
  <c r="L1513" i="39" a="1"/>
  <c r="L1513" i="39" s="1"/>
  <c r="O1510" i="39" a="1"/>
  <c r="O1510" i="39" s="1"/>
  <c r="W1186" i="39" a="1"/>
  <c r="W1186" i="39" s="1"/>
  <c r="Q1346" i="39" a="1"/>
  <c r="Q1346" i="39" s="1"/>
  <c r="M1346" i="39" a="1"/>
  <c r="M1346" i="39" s="1"/>
  <c r="W1021" i="39" a="1"/>
  <c r="W1021" i="39" s="1"/>
  <c r="Z1187" i="39" a="1"/>
  <c r="Z1187" i="39" s="1"/>
  <c r="Q1183" i="39" a="1"/>
  <c r="Q1183" i="39" s="1"/>
  <c r="Q1350" i="39" a="1"/>
  <c r="Q1350" i="39" s="1"/>
  <c r="Q1508" i="39" a="1"/>
  <c r="Q1508" i="39" s="1"/>
  <c r="Q857" i="39" a="1"/>
  <c r="Q857" i="39" s="1"/>
  <c r="U859" i="39" a="1"/>
  <c r="U859" i="39" s="1"/>
  <c r="O694" i="39" a="1"/>
  <c r="O694" i="39" s="1"/>
  <c r="Z694" i="39" a="1"/>
  <c r="Z694" i="39" s="1"/>
  <c r="S208" i="39" a="1"/>
  <c r="S208" i="39" s="1"/>
  <c r="X1182" i="39" a="1"/>
  <c r="X1182" i="39" s="1"/>
  <c r="V1184" i="39" a="1"/>
  <c r="V1184" i="39" s="1"/>
  <c r="L856" i="39" a="1"/>
  <c r="L856" i="39" s="1"/>
  <c r="N696" i="39" a="1"/>
  <c r="N696" i="39" s="1"/>
  <c r="M860" i="39" a="1"/>
  <c r="M860" i="39" s="1"/>
  <c r="T369" i="39" a="1"/>
  <c r="T369" i="39" s="1"/>
  <c r="W708" i="39" a="1"/>
  <c r="W708" i="39" s="1"/>
  <c r="U205" i="39" a="1"/>
  <c r="U205" i="39" s="1"/>
  <c r="X367" i="39" a="1"/>
  <c r="X367" i="39" s="1"/>
  <c r="P1034" i="39" a="1"/>
  <c r="P1034" i="39" s="1"/>
  <c r="X208" i="39" a="1"/>
  <c r="X208" i="39" s="1"/>
  <c r="Y1197" i="39" a="1"/>
  <c r="Y1197" i="39" s="1"/>
  <c r="Q382" i="39" a="1"/>
  <c r="Q382" i="39" s="1"/>
  <c r="W531" i="39" a="1"/>
  <c r="W531" i="39" s="1"/>
  <c r="W1523" i="39" a="1"/>
  <c r="W1523" i="39" s="1"/>
  <c r="W207" i="39" a="1"/>
  <c r="W207" i="39" s="1"/>
  <c r="R534" i="39" a="1"/>
  <c r="R534" i="39" s="1"/>
  <c r="V204" i="39" a="1"/>
  <c r="V204" i="39" s="1"/>
  <c r="L1498" i="39" a="1"/>
  <c r="L1498" i="39" s="1"/>
  <c r="P1511" i="39" a="1"/>
  <c r="P1511" i="39" s="1"/>
  <c r="W1185" i="39" a="1"/>
  <c r="W1185" i="39" s="1"/>
  <c r="Y1509" i="39" a="1"/>
  <c r="Y1509" i="39" s="1"/>
  <c r="S1183" i="39" a="1"/>
  <c r="S1183" i="39" s="1"/>
  <c r="L860" i="39" a="1"/>
  <c r="L860" i="39" s="1"/>
  <c r="P1023" i="39" a="1"/>
  <c r="P1023" i="39" s="1"/>
  <c r="N1185" i="39" a="1"/>
  <c r="N1185" i="39" s="1"/>
  <c r="W535" i="39" a="1"/>
  <c r="W535" i="39" s="1"/>
  <c r="U857" i="39" a="1"/>
  <c r="U857" i="39" s="1"/>
  <c r="W1348" i="39" a="1"/>
  <c r="W1348" i="39" s="1"/>
  <c r="Z1186" i="39" a="1"/>
  <c r="Z1186" i="39" s="1"/>
  <c r="O1182" i="39" a="1"/>
  <c r="O1182" i="39" s="1"/>
  <c r="Z534" i="39" a="1"/>
  <c r="Z534" i="39" s="1"/>
  <c r="X1346" i="39" a="1"/>
  <c r="X1346" i="39" s="1"/>
  <c r="S861" i="39" a="1"/>
  <c r="S861" i="39" s="1"/>
  <c r="Z1508" i="39" a="1"/>
  <c r="Z1508" i="39" s="1"/>
  <c r="X1023" i="39" a="1"/>
  <c r="X1023" i="39" s="1"/>
  <c r="X1187" i="39" a="1"/>
  <c r="X1187" i="39" s="1"/>
  <c r="P1022" i="39" a="1"/>
  <c r="P1022" i="39" s="1"/>
  <c r="W1022" i="39" a="1"/>
  <c r="W1022" i="39" s="1"/>
  <c r="Z1185" i="39" a="1"/>
  <c r="Z1185" i="39" s="1"/>
  <c r="O1509" i="39" a="1"/>
  <c r="O1509" i="39" s="1"/>
  <c r="P1185" i="39" a="1"/>
  <c r="P1185" i="39" s="1"/>
  <c r="P858" i="39" a="1"/>
  <c r="P858" i="39" s="1"/>
  <c r="N1511" i="39" a="1"/>
  <c r="N1511" i="39" s="1"/>
  <c r="L1509" i="39" a="1"/>
  <c r="L1509" i="39" s="1"/>
  <c r="R861" i="39" a="1"/>
  <c r="R861" i="39" s="1"/>
  <c r="R1512" i="39" a="1"/>
  <c r="R1512" i="39" s="1"/>
  <c r="L1348" i="39" a="1"/>
  <c r="L1348" i="39" s="1"/>
  <c r="Y858" i="39" a="1"/>
  <c r="Y858" i="39" s="1"/>
  <c r="T533" i="39" a="1"/>
  <c r="T533" i="39" s="1"/>
  <c r="U697" i="39" a="1"/>
  <c r="U697" i="39" s="1"/>
  <c r="X1020" i="39" a="1"/>
  <c r="X1020" i="39" s="1"/>
  <c r="Q531" i="39" a="1"/>
  <c r="Q531" i="39" s="1"/>
  <c r="O697" i="39" a="1"/>
  <c r="O697" i="39" s="1"/>
  <c r="T368" i="39" a="1"/>
  <c r="T368" i="39" s="1"/>
  <c r="X533" i="39" a="1"/>
  <c r="X533" i="39" s="1"/>
  <c r="U693" i="39" a="1"/>
  <c r="U693" i="39" s="1"/>
  <c r="N693" i="39" a="1"/>
  <c r="N693" i="39" s="1"/>
  <c r="Q372" i="39" a="1"/>
  <c r="Q372" i="39" s="1"/>
  <c r="S382" i="39" a="1"/>
  <c r="S382" i="39" s="1"/>
  <c r="T698" i="39" a="1"/>
  <c r="T698" i="39" s="1"/>
  <c r="W695" i="39" a="1"/>
  <c r="W695" i="39" s="1"/>
  <c r="L535" i="39" a="1"/>
  <c r="L535" i="39" s="1"/>
  <c r="W530" i="39" a="1"/>
  <c r="W530" i="39" s="1"/>
  <c r="V1185" i="39" a="1"/>
  <c r="V1185" i="39" s="1"/>
  <c r="M532" i="39" a="1"/>
  <c r="M532" i="39" s="1"/>
  <c r="O696" i="39" a="1"/>
  <c r="O696" i="39" s="1"/>
  <c r="N1513" i="39" a="1"/>
  <c r="N1513" i="39" s="1"/>
  <c r="U371" i="39" a="1"/>
  <c r="U371" i="39" s="1"/>
  <c r="O206" i="39" a="1"/>
  <c r="O206" i="39" s="1"/>
  <c r="X209" i="39" a="1"/>
  <c r="X209" i="39" s="1"/>
  <c r="T1034" i="39" a="1"/>
  <c r="T1034" i="39" s="1"/>
  <c r="T695" i="39" a="1"/>
  <c r="T695" i="39" s="1"/>
  <c r="N368" i="39" a="1"/>
  <c r="N368" i="39" s="1"/>
  <c r="P207" i="39" a="1"/>
  <c r="P207" i="39" s="1"/>
  <c r="Y871" i="39" a="1"/>
  <c r="Y871" i="39" s="1"/>
  <c r="W209" i="39" a="1"/>
  <c r="W209" i="39" s="1"/>
  <c r="L372" i="39" a="1"/>
  <c r="L372" i="39" s="1"/>
  <c r="S545" i="39" a="1"/>
  <c r="S545" i="39" s="1"/>
  <c r="R1197" i="39" a="1"/>
  <c r="R1197" i="39" s="1"/>
  <c r="Z1197" i="39" a="1"/>
  <c r="Z1197" i="39" s="1"/>
  <c r="L684" i="39" a="1"/>
  <c r="L684" i="39" s="1"/>
  <c r="V1347" i="39" a="1"/>
  <c r="V1347" i="39" s="1"/>
  <c r="Y1513" i="39" a="1"/>
  <c r="Y1513" i="39" s="1"/>
  <c r="R694" i="39" a="1"/>
  <c r="R694" i="39" s="1"/>
  <c r="W860" i="39" a="1"/>
  <c r="W860" i="39" s="1"/>
  <c r="S1187" i="39" a="1"/>
  <c r="S1187" i="39" s="1"/>
  <c r="U1512" i="39" a="1"/>
  <c r="U1512" i="39" s="1"/>
  <c r="U1510" i="39" a="1"/>
  <c r="U1510" i="39" s="1"/>
  <c r="Y696" i="39" a="1"/>
  <c r="Y696" i="39" s="1"/>
  <c r="X697" i="39" a="1"/>
  <c r="X697" i="39" s="1"/>
  <c r="V857" i="39" a="1"/>
  <c r="V857" i="39" s="1"/>
  <c r="P693" i="39" a="1"/>
  <c r="P693" i="39" s="1"/>
  <c r="O1023" i="39" a="1"/>
  <c r="O1023" i="39" s="1"/>
  <c r="R1024" i="39" a="1"/>
  <c r="R1024" i="39" s="1"/>
  <c r="Q1348" i="39" a="1"/>
  <c r="Q1348" i="39" s="1"/>
  <c r="L1020" i="39" a="1"/>
  <c r="L1020" i="39" s="1"/>
  <c r="U1021" i="39" a="1"/>
  <c r="U1021" i="39" s="1"/>
  <c r="R859" i="39" a="1"/>
  <c r="R859" i="39" s="1"/>
  <c r="R1185" i="39" a="1"/>
  <c r="R1185" i="39" s="1"/>
  <c r="M1184" i="39" a="1"/>
  <c r="M1184" i="39" s="1"/>
  <c r="R1346" i="39" a="1"/>
  <c r="R1346" i="39" s="1"/>
  <c r="R1187" i="39" a="1"/>
  <c r="R1187" i="39" s="1"/>
  <c r="V1513" i="39" a="1"/>
  <c r="V1513" i="39" s="1"/>
  <c r="Y859" i="39" a="1"/>
  <c r="Y859" i="39" s="1"/>
  <c r="N208" i="39" a="1"/>
  <c r="N208" i="39" s="1"/>
  <c r="Y708" i="39" a="1"/>
  <c r="Y708" i="39" s="1"/>
  <c r="Z857" i="39" a="1"/>
  <c r="Z857" i="39" s="1"/>
  <c r="N856" i="39" a="1"/>
  <c r="N856" i="39" s="1"/>
  <c r="V695" i="39" a="1"/>
  <c r="V695" i="39" s="1"/>
  <c r="P859" i="39" a="1"/>
  <c r="P859" i="39" s="1"/>
  <c r="U207" i="39" a="1"/>
  <c r="U207" i="39" s="1"/>
  <c r="W698" i="39" a="1"/>
  <c r="W698" i="39" s="1"/>
  <c r="T371" i="39" a="1"/>
  <c r="T371" i="39" s="1"/>
  <c r="R367" i="39" a="1"/>
  <c r="R367" i="39" s="1"/>
  <c r="P708" i="39" a="1"/>
  <c r="P708" i="39" s="1"/>
  <c r="V1349" i="39" a="1"/>
  <c r="V1349" i="39" s="1"/>
  <c r="Q860" i="39" a="1"/>
  <c r="Q860" i="39" s="1"/>
  <c r="M1019" i="39" a="1"/>
  <c r="M1019" i="39" s="1"/>
  <c r="V694" i="39" a="1"/>
  <c r="V694" i="39" s="1"/>
  <c r="Z531" i="39" a="1"/>
  <c r="Z531" i="39" s="1"/>
  <c r="O532" i="39" a="1"/>
  <c r="O532" i="39" s="1"/>
  <c r="X206" i="39" a="1"/>
  <c r="X206" i="39" s="1"/>
  <c r="O368" i="39" a="1"/>
  <c r="O368" i="39" s="1"/>
  <c r="V871" i="39" a="1"/>
  <c r="V871" i="39" s="1"/>
  <c r="Z1034" i="39" a="1"/>
  <c r="Z1034" i="39" s="1"/>
  <c r="V545" i="39" a="1"/>
  <c r="V545" i="39" s="1"/>
  <c r="M207" i="39" a="1"/>
  <c r="M207" i="39" s="1"/>
  <c r="O382" i="39" a="1"/>
  <c r="O382" i="39" s="1"/>
  <c r="N371" i="39" a="1"/>
  <c r="N371" i="39" s="1"/>
  <c r="R372" i="39" a="1"/>
  <c r="R372" i="39" s="1"/>
  <c r="L1173" i="39" a="1"/>
  <c r="L1173" i="39" s="1"/>
  <c r="L840" i="39" a="1"/>
  <c r="L840" i="39" s="1"/>
  <c r="N1512" i="39" a="1"/>
  <c r="N1512" i="39" s="1"/>
  <c r="U1347" i="39" a="1"/>
  <c r="U1347" i="39" s="1"/>
  <c r="X1511" i="39" a="1"/>
  <c r="X1511" i="39" s="1"/>
  <c r="N1024" i="39" a="1"/>
  <c r="N1024" i="39" s="1"/>
  <c r="T535" i="39" a="1"/>
  <c r="T535" i="39" s="1"/>
  <c r="S1184" i="39" a="1"/>
  <c r="S1184" i="39" s="1"/>
  <c r="M858" i="39" a="1"/>
  <c r="M858" i="39" s="1"/>
  <c r="P370" i="39" a="1"/>
  <c r="P370" i="39" s="1"/>
  <c r="U1508" i="39" a="1"/>
  <c r="U1508" i="39" s="1"/>
  <c r="L1508" i="39" a="1"/>
  <c r="L1508" i="39" s="1"/>
  <c r="T697" i="39" a="1"/>
  <c r="T697" i="39" s="1"/>
  <c r="T1186" i="39" a="1"/>
  <c r="T1186" i="39" s="1"/>
  <c r="V1186" i="39" a="1"/>
  <c r="V1186" i="39" s="1"/>
  <c r="T1187" i="39" a="1"/>
  <c r="T1187" i="39" s="1"/>
  <c r="T1346" i="39" a="1"/>
  <c r="T1346" i="39" s="1"/>
  <c r="R1019" i="39" a="1"/>
  <c r="R1019" i="39" s="1"/>
  <c r="Q859" i="39" a="1"/>
  <c r="Q859" i="39" s="1"/>
  <c r="P857" i="39" a="1"/>
  <c r="P857" i="39" s="1"/>
  <c r="Y1183" i="39" a="1"/>
  <c r="Y1183" i="39" s="1"/>
  <c r="S1024" i="39" a="1"/>
  <c r="S1024" i="39" s="1"/>
  <c r="U695" i="39" a="1"/>
  <c r="U695" i="39" s="1"/>
  <c r="T1513" i="39" a="1"/>
  <c r="T1513" i="39" s="1"/>
  <c r="W1019" i="39" a="1"/>
  <c r="W1019" i="39" s="1"/>
  <c r="P1020" i="39" a="1"/>
  <c r="P1020" i="39" s="1"/>
  <c r="U1345" i="39" a="1"/>
  <c r="U1345" i="39" s="1"/>
  <c r="M1349" i="39" a="1"/>
  <c r="M1349" i="39" s="1"/>
  <c r="Y1022" i="39" a="1"/>
  <c r="Y1022" i="39" s="1"/>
  <c r="V533" i="39" a="1"/>
  <c r="V533" i="39" s="1"/>
  <c r="S371" i="39" a="1"/>
  <c r="S371" i="39" s="1"/>
  <c r="Z219" i="39" a="1"/>
  <c r="Z219" i="39" s="1"/>
  <c r="W857" i="39" a="1"/>
  <c r="W857" i="39" s="1"/>
  <c r="Y1024" i="39" a="1"/>
  <c r="Y1024" i="39" s="1"/>
  <c r="Y533" i="39" a="1"/>
  <c r="Y533" i="39" s="1"/>
  <c r="Z1512" i="39" a="1"/>
  <c r="Z1512" i="39" s="1"/>
  <c r="U206" i="39" a="1"/>
  <c r="U206" i="39" s="1"/>
  <c r="U367" i="39" a="1"/>
  <c r="U367" i="39" s="1"/>
  <c r="N1186" i="39" a="1"/>
  <c r="N1186" i="39" s="1"/>
  <c r="N1183" i="39" a="1"/>
  <c r="N1183" i="39" s="1"/>
  <c r="Q369" i="39" a="1"/>
  <c r="Q369" i="39" s="1"/>
  <c r="N697" i="39" a="1"/>
  <c r="N697" i="39" s="1"/>
  <c r="V207" i="39" a="1"/>
  <c r="V207" i="39" s="1"/>
  <c r="R533" i="39" a="1"/>
  <c r="R533" i="39" s="1"/>
  <c r="L1022" i="39" a="1"/>
  <c r="L1022" i="39" s="1"/>
  <c r="W372" i="39" a="1"/>
  <c r="W372" i="39" s="1"/>
  <c r="L369" i="39" a="1"/>
  <c r="L369" i="39" s="1"/>
  <c r="N209" i="39" a="1"/>
  <c r="N209" i="39" s="1"/>
  <c r="O1185" i="39" a="1"/>
  <c r="O1185" i="39" s="1"/>
  <c r="T205" i="39" a="1"/>
  <c r="T205" i="39" s="1"/>
  <c r="X368" i="39" a="1"/>
  <c r="X368" i="39" s="1"/>
  <c r="P532" i="39" a="1"/>
  <c r="P532" i="39" s="1"/>
  <c r="M368" i="39" a="1"/>
  <c r="M368" i="39" s="1"/>
  <c r="O708" i="39" a="1"/>
  <c r="O708" i="39" s="1"/>
  <c r="X694" i="39" a="1"/>
  <c r="X694" i="39" s="1"/>
  <c r="V1360" i="39" a="1"/>
  <c r="V1360" i="39" s="1"/>
  <c r="X371" i="39" a="1"/>
  <c r="X371" i="39" s="1"/>
  <c r="P1523" i="39" a="1"/>
  <c r="P1523" i="39" s="1"/>
  <c r="P206" i="39" a="1"/>
  <c r="P206" i="39" s="1"/>
  <c r="L1329" i="39" a="1"/>
  <c r="L1329" i="39" s="1"/>
  <c r="L1003" i="39" a="1"/>
  <c r="L1003" i="39" s="1"/>
  <c r="X1512" i="39" a="1"/>
  <c r="X1512" i="39" s="1"/>
  <c r="X1348" i="39" a="1"/>
  <c r="X1348" i="39" s="1"/>
  <c r="L1512" i="39" a="1"/>
  <c r="L1512" i="39" s="1"/>
  <c r="R1513" i="39" a="1"/>
  <c r="R1513" i="39" s="1"/>
  <c r="Y1345" i="39" a="1"/>
  <c r="Y1345" i="39" s="1"/>
  <c r="P860" i="39" a="1"/>
  <c r="P860" i="39" s="1"/>
  <c r="W370" i="39" a="1"/>
  <c r="W370" i="39" s="1"/>
  <c r="P1187" i="39" a="1"/>
  <c r="P1187" i="39" s="1"/>
  <c r="N1345" i="39" a="1"/>
  <c r="N1345" i="39" s="1"/>
  <c r="U1350" i="39" a="1"/>
  <c r="U1350" i="39" s="1"/>
  <c r="W1350" i="39" a="1"/>
  <c r="W1350" i="39" s="1"/>
  <c r="P1350" i="39" a="1"/>
  <c r="P1350" i="39" s="1"/>
  <c r="P698" i="39" a="1"/>
  <c r="P698" i="39" s="1"/>
  <c r="U696" i="39" a="1"/>
  <c r="U696" i="39" s="1"/>
  <c r="W1513" i="39" a="1"/>
  <c r="W1513" i="39" s="1"/>
  <c r="N1187" i="39" a="1"/>
  <c r="N1187" i="39" s="1"/>
  <c r="P1348" i="39" a="1"/>
  <c r="P1348" i="39" s="1"/>
  <c r="Y1021" i="39" a="1"/>
  <c r="Y1021" i="39" s="1"/>
  <c r="Y1346" i="39" a="1"/>
  <c r="Y1346" i="39" s="1"/>
  <c r="S1509" i="39" a="1"/>
  <c r="S1509" i="39" s="1"/>
  <c r="V1019" i="39" a="1"/>
  <c r="V1019" i="39" s="1"/>
  <c r="T1508" i="39" a="1"/>
  <c r="T1508" i="39" s="1"/>
  <c r="O1350" i="39" a="1"/>
  <c r="O1350" i="39" s="1"/>
  <c r="Z1348" i="39" a="1"/>
  <c r="Z1348" i="39" s="1"/>
  <c r="R697" i="39" a="1"/>
  <c r="R697" i="39" s="1"/>
  <c r="X204" i="39" a="1"/>
  <c r="X204" i="39" s="1"/>
  <c r="U219" i="39" a="1"/>
  <c r="U219" i="39" s="1"/>
  <c r="Y1512" i="39" a="1"/>
  <c r="Y1512" i="39" s="1"/>
  <c r="X858" i="39" a="1"/>
  <c r="X858" i="39" s="1"/>
  <c r="Y861" i="39" a="1"/>
  <c r="Y861" i="39" s="1"/>
  <c r="R204" i="39" a="1"/>
  <c r="R204" i="39" s="1"/>
  <c r="P533" i="39" a="1"/>
  <c r="P533" i="39" s="1"/>
  <c r="X369" i="39" a="1"/>
  <c r="X369" i="39" s="1"/>
  <c r="W697" i="39" a="1"/>
  <c r="W697" i="39" s="1"/>
  <c r="O531" i="39" a="1"/>
  <c r="O531" i="39" s="1"/>
  <c r="R1034" i="39" a="1"/>
  <c r="R1034" i="39" s="1"/>
  <c r="M545" i="39" a="1"/>
  <c r="M545" i="39" s="1"/>
  <c r="Y1184" i="39" a="1"/>
  <c r="Y1184" i="39" s="1"/>
  <c r="R1022" i="39" a="1"/>
  <c r="R1022" i="39" s="1"/>
  <c r="W206" i="39" a="1"/>
  <c r="W206" i="39" s="1"/>
  <c r="O530" i="39" a="1"/>
  <c r="O530" i="39" s="1"/>
  <c r="V371" i="39" a="1"/>
  <c r="V371" i="39" s="1"/>
  <c r="V1024" i="39" a="1"/>
  <c r="V1024" i="39" s="1"/>
  <c r="Z1019" i="39" a="1"/>
  <c r="Z1019" i="39" s="1"/>
  <c r="Q545" i="39" a="1"/>
  <c r="Q545" i="39" s="1"/>
  <c r="L861" i="39" a="1"/>
  <c r="L861" i="39" s="1"/>
  <c r="U545" i="39" a="1"/>
  <c r="U545" i="39" s="1"/>
  <c r="N694" i="39" a="1"/>
  <c r="N694" i="39" s="1"/>
  <c r="S1019" i="39" a="1"/>
  <c r="S1019" i="39" s="1"/>
  <c r="N1197" i="39" a="1"/>
  <c r="N1197" i="39" s="1"/>
  <c r="Q368" i="39" a="1"/>
  <c r="Q368" i="39" s="1"/>
  <c r="O693" i="39" a="1"/>
  <c r="O693" i="39" s="1"/>
  <c r="Q871" i="39" a="1"/>
  <c r="Q871" i="39" s="1"/>
  <c r="R698" i="39" a="1"/>
  <c r="R698" i="39" s="1"/>
  <c r="P695" i="39" a="1"/>
  <c r="P695" i="39" s="1"/>
  <c r="N206" i="39" a="1"/>
  <c r="N206" i="39" s="1"/>
  <c r="L520" i="39" a="1"/>
  <c r="L520" i="39" s="1"/>
  <c r="L846" i="39" a="1"/>
  <c r="L846" i="39" s="1"/>
  <c r="W1510" i="39" a="1"/>
  <c r="W1510" i="39" s="1"/>
  <c r="M1512" i="39" a="1"/>
  <c r="M1512" i="39" s="1"/>
  <c r="Y1023" i="39" a="1"/>
  <c r="Y1023" i="39" s="1"/>
  <c r="P861" i="39" a="1"/>
  <c r="P861" i="39" s="1"/>
  <c r="T1022" i="39" a="1"/>
  <c r="T1022" i="39" s="1"/>
  <c r="N1508" i="39" a="1"/>
  <c r="N1508" i="39" s="1"/>
  <c r="O1513" i="39" a="1"/>
  <c r="O1513" i="39" s="1"/>
  <c r="N1346" i="39" a="1"/>
  <c r="N1346" i="39" s="1"/>
  <c r="U1020" i="39" a="1"/>
  <c r="U1020" i="39" s="1"/>
  <c r="Q1512" i="39" a="1"/>
  <c r="Q1512" i="39" s="1"/>
  <c r="W1182" i="39" a="1"/>
  <c r="W1182" i="39" s="1"/>
  <c r="Z1349" i="39" a="1"/>
  <c r="Z1349" i="39" s="1"/>
  <c r="M1345" i="39" a="1"/>
  <c r="M1345" i="39" s="1"/>
  <c r="M1347" i="39" a="1"/>
  <c r="M1347" i="39" s="1"/>
  <c r="X1024" i="39" a="1"/>
  <c r="X1024" i="39" s="1"/>
  <c r="S856" i="39" a="1"/>
  <c r="S856" i="39" s="1"/>
  <c r="W532" i="39" a="1"/>
  <c r="W532" i="39" s="1"/>
  <c r="X859" i="39" a="1"/>
  <c r="X859" i="39" s="1"/>
  <c r="U1022" i="39" a="1"/>
  <c r="U1022" i="39" s="1"/>
  <c r="Q697" i="39" a="1"/>
  <c r="Q697" i="39" s="1"/>
  <c r="U1349" i="39" a="1"/>
  <c r="U1349" i="39" s="1"/>
  <c r="T1182" i="39" a="1"/>
  <c r="T1182" i="39" s="1"/>
  <c r="R1023" i="39" a="1"/>
  <c r="R1023" i="39" s="1"/>
  <c r="R1350" i="39" a="1"/>
  <c r="R1350" i="39" s="1"/>
  <c r="V1523" i="39" a="1"/>
  <c r="V1523" i="39" s="1"/>
  <c r="V1020" i="39" a="1"/>
  <c r="V1020" i="39" s="1"/>
  <c r="Y860" i="39" a="1"/>
  <c r="Y860" i="39" s="1"/>
  <c r="T532" i="39" a="1"/>
  <c r="T532" i="39" s="1"/>
  <c r="Z698" i="39" a="1"/>
  <c r="Z698" i="39" s="1"/>
  <c r="O535" i="39" a="1"/>
  <c r="O535" i="39" s="1"/>
  <c r="V697" i="39" a="1"/>
  <c r="V697" i="39" s="1"/>
  <c r="Y367" i="39" a="1"/>
  <c r="Y367" i="39" s="1"/>
  <c r="U1023" i="39" a="1"/>
  <c r="U1023" i="39" s="1"/>
  <c r="U530" i="39" a="1"/>
  <c r="U530" i="39" s="1"/>
  <c r="X708" i="39" a="1"/>
  <c r="X708" i="39" s="1"/>
  <c r="Z1021" i="39" a="1"/>
  <c r="Z1021" i="39" s="1"/>
  <c r="L693" i="39" a="1"/>
  <c r="L693" i="39" s="1"/>
  <c r="U368" i="39" a="1"/>
  <c r="U368" i="39" s="1"/>
  <c r="S530" i="39" a="1"/>
  <c r="S530" i="39" s="1"/>
  <c r="Q694" i="39" a="1"/>
  <c r="Q694" i="39" s="1"/>
  <c r="X698" i="39" a="1"/>
  <c r="X698" i="39" s="1"/>
  <c r="T372" i="39" a="1"/>
  <c r="T372" i="39" s="1"/>
  <c r="Z206" i="39" a="1"/>
  <c r="Z206" i="39" s="1"/>
  <c r="S1022" i="39" a="1"/>
  <c r="S1022" i="39" s="1"/>
  <c r="N695" i="39" a="1"/>
  <c r="N695" i="39" s="1"/>
  <c r="P534" i="39" a="1"/>
  <c r="P534" i="39" s="1"/>
  <c r="Y369" i="39" a="1"/>
  <c r="Y369" i="39" s="1"/>
  <c r="T206" i="39" a="1"/>
  <c r="T206" i="39" s="1"/>
  <c r="P545" i="39" a="1"/>
  <c r="P545" i="39" s="1"/>
  <c r="P871" i="39" a="1"/>
  <c r="P871" i="39" s="1"/>
  <c r="P382" i="39" a="1"/>
  <c r="P382" i="39" s="1"/>
  <c r="Y209" i="39" a="1"/>
  <c r="Y209" i="39" s="1"/>
  <c r="Z372" i="39" a="1"/>
  <c r="Z372" i="39" s="1"/>
  <c r="Y1034" i="39" a="1"/>
  <c r="Y1034" i="39" s="1"/>
  <c r="T209" i="39" a="1"/>
  <c r="T209" i="39" s="1"/>
  <c r="M1523" i="39" a="1"/>
  <c r="M1523" i="39" s="1"/>
  <c r="U208" i="39" a="1"/>
  <c r="U208" i="39" s="1"/>
  <c r="O205" i="39" a="1"/>
  <c r="O205" i="39" s="1"/>
  <c r="X545" i="39" a="1"/>
  <c r="X545" i="39" s="1"/>
  <c r="L219" i="39" a="1"/>
  <c r="L219" i="39" s="1"/>
  <c r="L382" i="39" a="1"/>
  <c r="L382" i="39" s="1"/>
  <c r="L1172" i="39" a="1"/>
  <c r="L1172" i="39" s="1"/>
  <c r="L351" i="39" a="1"/>
  <c r="L351" i="39" s="1"/>
  <c r="S1348" i="39" a="1"/>
  <c r="S1348" i="39" s="1"/>
  <c r="S857" i="39" a="1"/>
  <c r="S857" i="39" s="1"/>
  <c r="L1019" i="39" a="1"/>
  <c r="L1019" i="39" s="1"/>
  <c r="N533" i="39" a="1"/>
  <c r="N533" i="39" s="1"/>
  <c r="T1510" i="39" a="1"/>
  <c r="T1510" i="39" s="1"/>
  <c r="S1349" i="39" a="1"/>
  <c r="S1349" i="39" s="1"/>
  <c r="Q698" i="39" a="1"/>
  <c r="Q698" i="39" s="1"/>
  <c r="M697" i="39" a="1"/>
  <c r="M697" i="39" s="1"/>
  <c r="N532" i="39" a="1"/>
  <c r="N532" i="39" s="1"/>
  <c r="V1350" i="39" a="1"/>
  <c r="V1350" i="39" s="1"/>
  <c r="P1510" i="39" a="1"/>
  <c r="P1510" i="39" s="1"/>
  <c r="V1509" i="39" a="1"/>
  <c r="V1509" i="39" s="1"/>
  <c r="Y1349" i="39" a="1"/>
  <c r="Y1349" i="39" s="1"/>
  <c r="P1019" i="39" a="1"/>
  <c r="P1019" i="39" s="1"/>
  <c r="Q1182" i="39" a="1"/>
  <c r="Q1182" i="39" s="1"/>
  <c r="W1347" i="39" a="1"/>
  <c r="W1347" i="39" s="1"/>
  <c r="T1183" i="39" a="1"/>
  <c r="T1183" i="39" s="1"/>
  <c r="X1350" i="39" a="1"/>
  <c r="X1350" i="39" s="1"/>
  <c r="O1021" i="39" a="1"/>
  <c r="O1021" i="39" s="1"/>
  <c r="S696" i="39" a="1"/>
  <c r="S696" i="39" s="1"/>
  <c r="R857" i="39" a="1"/>
  <c r="R857" i="39" s="1"/>
  <c r="S1020" i="39" a="1"/>
  <c r="S1020" i="39" s="1"/>
  <c r="V1187" i="39" a="1"/>
  <c r="V1187" i="39" s="1"/>
  <c r="Y1020" i="39" a="1"/>
  <c r="Y1020" i="39" s="1"/>
  <c r="X857" i="39" a="1"/>
  <c r="X857" i="39" s="1"/>
  <c r="S205" i="39" a="1"/>
  <c r="S205" i="39" s="1"/>
  <c r="T696" i="39" a="1"/>
  <c r="T696" i="39" s="1"/>
  <c r="X861" i="39" a="1"/>
  <c r="X861" i="39" s="1"/>
  <c r="O533" i="39" a="1"/>
  <c r="O533" i="39" s="1"/>
  <c r="Y695" i="39" a="1"/>
  <c r="Y695" i="39" s="1"/>
  <c r="X382" i="39" a="1"/>
  <c r="X382" i="39" s="1"/>
  <c r="O1197" i="39" a="1"/>
  <c r="O1197" i="39" s="1"/>
  <c r="V1021" i="39" a="1"/>
  <c r="V1021" i="39" s="1"/>
  <c r="T367" i="39" a="1"/>
  <c r="T367" i="39" s="1"/>
  <c r="Y545" i="39" a="1"/>
  <c r="Y545" i="39" s="1"/>
  <c r="U1509" i="39" a="1"/>
  <c r="U1509" i="39" s="1"/>
  <c r="Q1020" i="39" a="1"/>
  <c r="Q1020" i="39" s="1"/>
  <c r="M372" i="39" a="1"/>
  <c r="M372" i="39" s="1"/>
  <c r="Q1019" i="39" a="1"/>
  <c r="Q1019" i="39" s="1"/>
  <c r="Z207" i="39" a="1"/>
  <c r="Z207" i="39" s="1"/>
  <c r="W368" i="39" a="1"/>
  <c r="W368" i="39" s="1"/>
  <c r="N530" i="39" a="1"/>
  <c r="N530" i="39" s="1"/>
  <c r="P219" i="39" a="1"/>
  <c r="P219" i="39" s="1"/>
  <c r="T208" i="39" a="1"/>
  <c r="T208" i="39" s="1"/>
  <c r="O1360" i="39" a="1"/>
  <c r="O1360" i="39" s="1"/>
  <c r="Q205" i="39" a="1"/>
  <c r="Q205" i="39" s="1"/>
  <c r="X219" i="39" a="1"/>
  <c r="X219" i="39" s="1"/>
  <c r="S532" i="39" a="1"/>
  <c r="S532" i="39" s="1"/>
  <c r="Q208" i="39" a="1"/>
  <c r="Q208" i="39" s="1"/>
  <c r="X1197" i="39" a="1"/>
  <c r="X1197" i="39" s="1"/>
  <c r="N871" i="39" a="1"/>
  <c r="N871" i="39" s="1"/>
  <c r="X1034" i="39" a="1"/>
  <c r="X1034" i="39" s="1"/>
  <c r="T871" i="39" a="1"/>
  <c r="T871" i="39" s="1"/>
  <c r="L195" i="39" a="1"/>
  <c r="L195" i="39" s="1"/>
  <c r="L1492" i="39" a="1"/>
  <c r="L1492" i="39" s="1"/>
  <c r="M1024" i="39" a="1"/>
  <c r="M1024" i="39" s="1"/>
  <c r="W1184" i="39" a="1"/>
  <c r="W1184" i="39" s="1"/>
  <c r="Z861" i="39" a="1"/>
  <c r="Z861" i="39" s="1"/>
  <c r="Q861" i="39" a="1"/>
  <c r="Q861" i="39" s="1"/>
  <c r="P1509" i="39" a="1"/>
  <c r="P1509" i="39" s="1"/>
  <c r="U1183" i="39" a="1"/>
  <c r="U1183" i="39" s="1"/>
  <c r="Z1182" i="39" a="1"/>
  <c r="Z1182" i="39" s="1"/>
  <c r="S209" i="39" a="1"/>
  <c r="S209" i="39" s="1"/>
  <c r="Q1510" i="39" a="1"/>
  <c r="Q1510" i="39" s="1"/>
  <c r="M1348" i="39" a="1"/>
  <c r="M1348" i="39" s="1"/>
  <c r="L859" i="39" a="1"/>
  <c r="L859" i="39" s="1"/>
  <c r="Q1022" i="39" a="1"/>
  <c r="Q1022" i="39" s="1"/>
  <c r="O1020" i="39" a="1"/>
  <c r="O1020" i="39" s="1"/>
  <c r="W1183" i="39" a="1"/>
  <c r="W1183" i="39" s="1"/>
  <c r="O698" i="39" a="1"/>
  <c r="O698" i="39" s="1"/>
  <c r="P531" i="39" a="1"/>
  <c r="P531" i="39" s="1"/>
  <c r="S1513" i="39" a="1"/>
  <c r="S1513" i="39" s="1"/>
  <c r="S860" i="39" a="1"/>
  <c r="S860" i="39" s="1"/>
  <c r="W1512" i="39" a="1"/>
  <c r="W1512" i="39" s="1"/>
  <c r="W1508" i="39" a="1"/>
  <c r="W1508" i="39" s="1"/>
  <c r="R530" i="39" a="1"/>
  <c r="R530" i="39" s="1"/>
  <c r="P1186" i="39" a="1"/>
  <c r="P1186" i="39" s="1"/>
  <c r="Z1020" i="39" a="1"/>
  <c r="Z1020" i="39" s="1"/>
  <c r="W694" i="39" a="1"/>
  <c r="W694" i="39" s="1"/>
  <c r="V1512" i="39" a="1"/>
  <c r="V1512" i="39" s="1"/>
  <c r="Y1182" i="39" a="1"/>
  <c r="Y1182" i="39" s="1"/>
  <c r="Q204" i="39" a="1"/>
  <c r="Q204" i="39" s="1"/>
  <c r="O372" i="39" a="1"/>
  <c r="O372" i="39" s="1"/>
  <c r="Q695" i="39" a="1"/>
  <c r="Q695" i="39" s="1"/>
  <c r="T534" i="39" a="1"/>
  <c r="T534" i="39" s="1"/>
  <c r="U534" i="39" a="1"/>
  <c r="U534" i="39" s="1"/>
  <c r="S1511" i="39" a="1"/>
  <c r="S1511" i="39" s="1"/>
  <c r="X205" i="39" a="1"/>
  <c r="X205" i="39" s="1"/>
  <c r="U871" i="39" a="1"/>
  <c r="U871" i="39" s="1"/>
  <c r="M693" i="39" a="1"/>
  <c r="M693" i="39" s="1"/>
  <c r="Q209" i="39" a="1"/>
  <c r="Q209" i="39" s="1"/>
  <c r="R531" i="39" a="1"/>
  <c r="R531" i="39" s="1"/>
  <c r="R693" i="39" a="1"/>
  <c r="R693" i="39" s="1"/>
  <c r="L1184" i="39" a="1"/>
  <c r="L1184" i="39" s="1"/>
  <c r="S207" i="39" a="1"/>
  <c r="S207" i="39" s="1"/>
  <c r="L368" i="39" a="1"/>
  <c r="L368" i="39" s="1"/>
  <c r="O871" i="39" a="1"/>
  <c r="O871" i="39" s="1"/>
  <c r="L1523" i="39" a="1"/>
  <c r="L1523" i="39" s="1"/>
  <c r="V206" i="39" a="1"/>
  <c r="V206" i="39" s="1"/>
  <c r="W1360" i="39" a="1"/>
  <c r="W1360" i="39" s="1"/>
  <c r="X534" i="39" a="1"/>
  <c r="X534" i="39" s="1"/>
  <c r="Q1034" i="39" a="1"/>
  <c r="Q1034" i="39" s="1"/>
  <c r="S369" i="39" a="1"/>
  <c r="S369" i="39" s="1"/>
  <c r="X372" i="39" a="1"/>
  <c r="X372" i="39" s="1"/>
  <c r="L871" i="39" a="1"/>
  <c r="L871" i="39" s="1"/>
  <c r="Z209" i="39" a="1"/>
  <c r="Z209" i="39" s="1"/>
  <c r="Z1360" i="39" a="1"/>
  <c r="Z1360" i="39" s="1"/>
  <c r="L206" i="39" a="1"/>
  <c r="L206" i="39" s="1"/>
  <c r="N1523" i="39" a="1"/>
  <c r="N1523" i="39" s="1"/>
  <c r="O545" i="39" a="1"/>
  <c r="O545" i="39" s="1"/>
  <c r="L194" i="39" a="1"/>
  <c r="L194" i="39" s="1"/>
  <c r="L683" i="39" a="1"/>
  <c r="L683" i="39" s="1"/>
  <c r="Y1350" i="39" a="1"/>
  <c r="Y1350" i="39" s="1"/>
  <c r="M1187" i="39" a="1"/>
  <c r="M1187" i="39" s="1"/>
  <c r="V696" i="39" a="1"/>
  <c r="V696" i="39" s="1"/>
  <c r="P1184" i="39" a="1"/>
  <c r="P1184" i="39" s="1"/>
  <c r="W1023" i="39" a="1"/>
  <c r="W1023" i="39" s="1"/>
  <c r="L532" i="39" a="1"/>
  <c r="L532" i="39" s="1"/>
  <c r="L1511" i="39" a="1"/>
  <c r="L1511" i="39" s="1"/>
  <c r="Y1510" i="39" a="1"/>
  <c r="Y1510" i="39" s="1"/>
  <c r="M1020" i="39" a="1"/>
  <c r="M1020" i="39" s="1"/>
  <c r="V1182" i="39" a="1"/>
  <c r="V1182" i="39" s="1"/>
  <c r="N1510" i="39" a="1"/>
  <c r="N1510" i="39" s="1"/>
  <c r="Y1508" i="39" a="1"/>
  <c r="Y1508" i="39" s="1"/>
  <c r="S1508" i="39" a="1"/>
  <c r="S1508" i="39" s="1"/>
  <c r="Z1024" i="39" a="1"/>
  <c r="Z1024" i="39" s="1"/>
  <c r="S1345" i="39" a="1"/>
  <c r="S1345" i="39" s="1"/>
  <c r="S858" i="39" a="1"/>
  <c r="S858" i="39" s="1"/>
  <c r="N534" i="39" a="1"/>
  <c r="N534" i="39" s="1"/>
  <c r="W1509" i="39" a="1"/>
  <c r="W1509" i="39" s="1"/>
  <c r="Q1184" i="39" a="1"/>
  <c r="Q1184" i="39" s="1"/>
  <c r="Q856" i="39" a="1"/>
  <c r="Q856" i="39" s="1"/>
  <c r="V1508" i="39" a="1"/>
  <c r="V1508" i="39" s="1"/>
  <c r="N1023" i="39" a="1"/>
  <c r="N1023" i="39" s="1"/>
  <c r="Q367" i="39" a="1"/>
  <c r="Q367" i="39" s="1"/>
  <c r="T1349" i="39" a="1"/>
  <c r="T1349" i="39" s="1"/>
  <c r="V1022" i="39" a="1"/>
  <c r="V1022" i="39" s="1"/>
  <c r="T1185" i="39" a="1"/>
  <c r="T1185" i="39" s="1"/>
  <c r="W858" i="39" a="1"/>
  <c r="W858" i="39" s="1"/>
  <c r="M370" i="39" a="1"/>
  <c r="M370" i="39" s="1"/>
  <c r="O1349" i="39" a="1"/>
  <c r="O1349" i="39" s="1"/>
  <c r="T693" i="39" a="1"/>
  <c r="T693" i="39" s="1"/>
  <c r="O367" i="39" a="1"/>
  <c r="O367" i="39" s="1"/>
  <c r="N1350" i="39" a="1"/>
  <c r="N1350" i="39" s="1"/>
  <c r="L694" i="39" a="1"/>
  <c r="L694" i="39" s="1"/>
  <c r="M695" i="39" a="1"/>
  <c r="M695" i="39" s="1"/>
  <c r="W1197" i="39" a="1"/>
  <c r="W1197" i="39" s="1"/>
  <c r="Y206" i="39" a="1"/>
  <c r="Y206" i="39" s="1"/>
  <c r="Q693" i="39" a="1"/>
  <c r="Q693" i="39" s="1"/>
  <c r="L204" i="39" a="1"/>
  <c r="L204" i="39" s="1"/>
  <c r="W1511" i="39" a="1"/>
  <c r="W1511" i="39" s="1"/>
  <c r="L1186" i="39" a="1"/>
  <c r="L1186" i="39" s="1"/>
  <c r="X1019" i="39" a="1"/>
  <c r="X1019" i="39" s="1"/>
  <c r="Q533" i="39" a="1"/>
  <c r="Q533" i="39" s="1"/>
  <c r="U204" i="39" a="1"/>
  <c r="U204" i="39" s="1"/>
  <c r="Y368" i="39" a="1"/>
  <c r="Y368" i="39" s="1"/>
  <c r="Z545" i="39" a="1"/>
  <c r="Z545" i="39" s="1"/>
  <c r="O204" i="39" a="1"/>
  <c r="O204" i="39" s="1"/>
  <c r="S531" i="39" a="1"/>
  <c r="S531" i="39" s="1"/>
  <c r="W367" i="39" a="1"/>
  <c r="W367" i="39" s="1"/>
  <c r="P209" i="39" a="1"/>
  <c r="P209" i="39" s="1"/>
  <c r="Y219" i="39" a="1"/>
  <c r="Y219" i="39" s="1"/>
  <c r="M219" i="39" a="1"/>
  <c r="M219" i="39" s="1"/>
  <c r="R368" i="39" a="1"/>
  <c r="R368" i="39" s="1"/>
  <c r="L1360" i="39" a="1"/>
  <c r="L1360" i="39" s="1"/>
  <c r="T204" i="39" a="1"/>
  <c r="T204" i="39" s="1"/>
  <c r="U1360" i="39" a="1"/>
  <c r="U1360" i="39" s="1"/>
  <c r="R535" i="39" a="1"/>
  <c r="R535" i="39" s="1"/>
  <c r="Z532" i="39" a="1"/>
  <c r="Z532" i="39" s="1"/>
  <c r="L1336" i="39" a="1"/>
  <c r="L1336" i="39" s="1"/>
  <c r="L514" i="39" a="1"/>
  <c r="L514" i="39" s="1"/>
  <c r="M1183" i="39" a="1"/>
  <c r="M1183" i="39" s="1"/>
  <c r="Y1187" i="39" a="1"/>
  <c r="Y1187" i="39" s="1"/>
  <c r="V860" i="39" a="1"/>
  <c r="V860" i="39" s="1"/>
  <c r="L1183" i="39" a="1"/>
  <c r="L1183" i="39" s="1"/>
  <c r="R856" i="39" a="1"/>
  <c r="R856" i="39" s="1"/>
  <c r="X1022" i="39" a="1"/>
  <c r="X1022" i="39" s="1"/>
  <c r="S535" i="39" a="1"/>
  <c r="S535" i="39" s="1"/>
  <c r="M1510" i="39" a="1"/>
  <c r="M1510" i="39" s="1"/>
  <c r="U1184" i="39" a="1"/>
  <c r="U1184" i="39" s="1"/>
  <c r="T1024" i="39" a="1"/>
  <c r="T1024" i="39" s="1"/>
  <c r="T1509" i="39" a="1"/>
  <c r="T1509" i="39" s="1"/>
  <c r="L1346" i="39" a="1"/>
  <c r="L1346" i="39" s="1"/>
  <c r="X1513" i="39" a="1"/>
  <c r="X1513" i="39" s="1"/>
  <c r="Z859" i="39" a="1"/>
  <c r="Z859" i="39" s="1"/>
  <c r="N858" i="39" a="1"/>
  <c r="N858" i="39" s="1"/>
  <c r="Z1509" i="39" a="1"/>
  <c r="Z1509" i="39" s="1"/>
  <c r="O1512" i="39" a="1"/>
  <c r="O1512" i="39" s="1"/>
  <c r="Z1023" i="39" a="1"/>
  <c r="Z1023" i="39" s="1"/>
  <c r="Q1024" i="39" a="1"/>
  <c r="Q1024" i="39" s="1"/>
  <c r="L1335" i="39" a="1"/>
  <c r="L1335" i="39" s="1"/>
  <c r="L358" i="39" a="1"/>
  <c r="L358" i="39" s="1"/>
  <c r="V1345" i="39" a="1"/>
  <c r="V1345" i="39" s="1"/>
  <c r="O534" i="39" a="1"/>
  <c r="O534" i="39" s="1"/>
  <c r="S1346" i="39" a="1"/>
  <c r="S1346" i="39" s="1"/>
  <c r="R1509" i="39" a="1"/>
  <c r="R1509" i="39" s="1"/>
  <c r="U369" i="39" a="1"/>
  <c r="U369" i="39" s="1"/>
  <c r="L370" i="39" a="1"/>
  <c r="L370" i="39" s="1"/>
  <c r="N382" i="39" a="1"/>
  <c r="N382" i="39" s="1"/>
  <c r="P535" i="39" a="1"/>
  <c r="P535" i="39" s="1"/>
  <c r="R206" i="39" a="1"/>
  <c r="R206" i="39" s="1"/>
  <c r="T207" i="39" a="1"/>
  <c r="T207" i="39" s="1"/>
  <c r="O370" i="39" a="1"/>
  <c r="O370" i="39" s="1"/>
  <c r="R43" i="39" a="1"/>
  <c r="R43" i="39" s="1"/>
  <c r="W42" i="39" a="1"/>
  <c r="W42" i="39" s="1"/>
  <c r="X56" i="39" a="1"/>
  <c r="X56" i="39" s="1"/>
  <c r="Y45" i="39" a="1"/>
  <c r="Y45" i="39" s="1"/>
  <c r="M46" i="39" a="1"/>
  <c r="M46" i="39" s="1"/>
  <c r="O42" i="39" a="1"/>
  <c r="O42" i="39" s="1"/>
  <c r="Z45" i="39" a="1"/>
  <c r="Z45" i="39" s="1"/>
  <c r="O44" i="39" a="1"/>
  <c r="O44" i="39" s="1"/>
  <c r="L31" i="39" a="1"/>
  <c r="L31" i="39" s="1"/>
  <c r="L45" i="39" a="1"/>
  <c r="L45" i="39" s="1"/>
  <c r="R45" i="39" a="1"/>
  <c r="R45" i="39" s="1"/>
  <c r="M44" i="39" a="1"/>
  <c r="M44" i="39" s="1"/>
  <c r="L1023" i="39" a="1"/>
  <c r="L1023" i="39" s="1"/>
  <c r="L367" i="39" a="1"/>
  <c r="L367" i="39" s="1"/>
  <c r="R370" i="39" a="1"/>
  <c r="R370" i="39" s="1"/>
  <c r="R369" i="39" a="1"/>
  <c r="R369" i="39" s="1"/>
  <c r="W205" i="39" a="1"/>
  <c r="W205" i="39" s="1"/>
  <c r="R371" i="39" a="1"/>
  <c r="R371" i="39" s="1"/>
  <c r="P41" i="39" a="1"/>
  <c r="P41" i="39" s="1"/>
  <c r="N56" i="39" a="1"/>
  <c r="N56" i="39" s="1"/>
  <c r="S43" i="39" a="1"/>
  <c r="S43" i="39" s="1"/>
  <c r="N42" i="39" a="1"/>
  <c r="N42" i="39" s="1"/>
  <c r="Z56" i="39" a="1"/>
  <c r="Z56" i="39" s="1"/>
  <c r="U42" i="39" a="1"/>
  <c r="U42" i="39" s="1"/>
  <c r="T56" i="39" a="1"/>
  <c r="T56" i="39" s="1"/>
  <c r="T45" i="39" a="1"/>
  <c r="T45" i="39" s="1"/>
  <c r="P56" i="39" a="1"/>
  <c r="P56" i="39" s="1"/>
  <c r="O56" i="39" a="1"/>
  <c r="O56" i="39" s="1"/>
  <c r="S44" i="39" a="1"/>
  <c r="S44" i="39" s="1"/>
  <c r="Y41" i="39" a="1"/>
  <c r="Y41" i="39" s="1"/>
  <c r="Q42" i="39" a="1"/>
  <c r="Q42" i="39" s="1"/>
  <c r="X43" i="39" a="1"/>
  <c r="X43" i="39" s="1"/>
  <c r="Y56" i="39" a="1"/>
  <c r="Y56" i="39" s="1"/>
  <c r="W44" i="39" a="1"/>
  <c r="W44" i="39" s="1"/>
  <c r="X693" i="39" a="1"/>
  <c r="X693" i="39" s="1"/>
  <c r="S1023" i="39" a="1"/>
  <c r="S1023" i="39" s="1"/>
  <c r="R696" i="39" a="1"/>
  <c r="R696" i="39" s="1"/>
  <c r="V534" i="39" a="1"/>
  <c r="V534" i="39" s="1"/>
  <c r="L1197" i="39" a="1"/>
  <c r="L1197" i="39" s="1"/>
  <c r="U533" i="39" a="1"/>
  <c r="U533" i="39" s="1"/>
  <c r="Y856" i="39" a="1"/>
  <c r="Y856" i="39" s="1"/>
  <c r="N219" i="39" a="1"/>
  <c r="N219" i="39" s="1"/>
  <c r="T219" i="39" a="1"/>
  <c r="T219" i="39" s="1"/>
  <c r="U531" i="39" a="1"/>
  <c r="U531" i="39" s="1"/>
  <c r="Q371" i="39" a="1"/>
  <c r="Q371" i="39" s="1"/>
  <c r="V46" i="39" a="1"/>
  <c r="V46" i="39" s="1"/>
  <c r="S42" i="39" a="1"/>
  <c r="S42" i="39" s="1"/>
  <c r="R42" i="39" a="1"/>
  <c r="R42" i="39" s="1"/>
  <c r="P46" i="39" a="1"/>
  <c r="P46" i="39" s="1"/>
  <c r="T44" i="39" a="1"/>
  <c r="T44" i="39" s="1"/>
  <c r="R46" i="39" a="1"/>
  <c r="R46" i="39" s="1"/>
  <c r="L46" i="39" a="1"/>
  <c r="L46" i="39" s="1"/>
  <c r="P45" i="39" a="1"/>
  <c r="P45" i="39" s="1"/>
  <c r="Z43" i="39" a="1"/>
  <c r="Z43" i="39" s="1"/>
  <c r="T1523" i="39" a="1"/>
  <c r="T1523" i="39" s="1"/>
  <c r="S1182" i="39" a="1"/>
  <c r="S1182" i="39" s="1"/>
  <c r="T1020" i="39" a="1"/>
  <c r="T1020" i="39" s="1"/>
  <c r="V532" i="39" a="1"/>
  <c r="V532" i="39" s="1"/>
  <c r="V861" i="39" a="1"/>
  <c r="V861" i="39" s="1"/>
  <c r="Z533" i="39" a="1"/>
  <c r="Z533" i="39" s="1"/>
  <c r="Q1360" i="39" a="1"/>
  <c r="Q1360" i="39" s="1"/>
  <c r="X535" i="39" a="1"/>
  <c r="X535" i="39" s="1"/>
  <c r="Z367" i="39" a="1"/>
  <c r="Z367" i="39" s="1"/>
  <c r="T382" i="39" a="1"/>
  <c r="T382" i="39" s="1"/>
  <c r="P1360" i="39" a="1"/>
  <c r="P1360" i="39" s="1"/>
  <c r="P1197" i="39" a="1"/>
  <c r="P1197" i="39" s="1"/>
  <c r="Z41" i="39" a="1"/>
  <c r="Z41" i="39" s="1"/>
  <c r="X46" i="39" a="1"/>
  <c r="X46" i="39" s="1"/>
  <c r="Q44" i="39" a="1"/>
  <c r="Q44" i="39" s="1"/>
  <c r="T42" i="39" a="1"/>
  <c r="T42" i="39" s="1"/>
  <c r="P1508" i="39" a="1"/>
  <c r="P1508" i="39" s="1"/>
  <c r="R1348" i="39" a="1"/>
  <c r="R1348" i="39" s="1"/>
  <c r="P1183" i="39" a="1"/>
  <c r="P1183" i="39" s="1"/>
  <c r="Z1511" i="39" a="1"/>
  <c r="Z1511" i="39" s="1"/>
  <c r="P208" i="39" a="1"/>
  <c r="P208" i="39" s="1"/>
  <c r="Y382" i="39" a="1"/>
  <c r="Y382" i="39" s="1"/>
  <c r="L32" i="39" a="1"/>
  <c r="L32" i="39" s="1"/>
  <c r="V45" i="39" a="1"/>
  <c r="V45" i="39" s="1"/>
  <c r="U44" i="39" a="1"/>
  <c r="U44" i="39" s="1"/>
  <c r="T43" i="39" a="1"/>
  <c r="T43" i="39" s="1"/>
  <c r="Q1023" i="39" a="1"/>
  <c r="Q1023" i="39" s="1"/>
  <c r="N1019" i="39" a="1"/>
  <c r="N1019" i="39" s="1"/>
  <c r="U532" i="39" a="1"/>
  <c r="U532" i="39" s="1"/>
  <c r="O208" i="39" a="1"/>
  <c r="O208" i="39" s="1"/>
  <c r="W1034" i="39" a="1"/>
  <c r="W1034" i="39" s="1"/>
  <c r="V382" i="39" a="1"/>
  <c r="V382" i="39" s="1"/>
  <c r="P44" i="39" a="1"/>
  <c r="P44" i="39" s="1"/>
  <c r="U43" i="39" a="1"/>
  <c r="U43" i="39" s="1"/>
  <c r="N535" i="39" a="1"/>
  <c r="N535" i="39" s="1"/>
  <c r="N1021" i="39" a="1"/>
  <c r="N1021" i="39" s="1"/>
  <c r="Z1184" i="39" a="1"/>
  <c r="Z1184" i="39" s="1"/>
  <c r="L696" i="39" a="1"/>
  <c r="L696" i="39" s="1"/>
  <c r="W693" i="39" a="1"/>
  <c r="W693" i="39" s="1"/>
  <c r="Y697" i="39" a="1"/>
  <c r="Y697" i="39" s="1"/>
  <c r="V209" i="39" a="1"/>
  <c r="V209" i="39" s="1"/>
  <c r="N367" i="39" a="1"/>
  <c r="N367" i="39" s="1"/>
  <c r="T370" i="39" a="1"/>
  <c r="T370" i="39" s="1"/>
  <c r="V208" i="39" a="1"/>
  <c r="V208" i="39" s="1"/>
  <c r="M208" i="39" a="1"/>
  <c r="M208" i="39" s="1"/>
  <c r="L25" i="39" a="1"/>
  <c r="L25" i="39" s="1"/>
  <c r="S46" i="39" a="1"/>
  <c r="S46" i="39" s="1"/>
  <c r="Q45" i="39" a="1"/>
  <c r="Q45" i="39" s="1"/>
  <c r="Z1513" i="39" a="1"/>
  <c r="Z1513" i="39" s="1"/>
  <c r="Y1185" i="39" a="1"/>
  <c r="Y1185" i="39" s="1"/>
  <c r="M1023" i="39" a="1"/>
  <c r="M1023" i="39" s="1"/>
  <c r="Y698" i="39" a="1"/>
  <c r="Y698" i="39" s="1"/>
  <c r="S698" i="39" a="1"/>
  <c r="S698" i="39" s="1"/>
  <c r="N698" i="39" a="1"/>
  <c r="N698" i="39" s="1"/>
  <c r="V1023" i="39" a="1"/>
  <c r="V1023" i="39" s="1"/>
  <c r="P371" i="39" a="1"/>
  <c r="P371" i="39" s="1"/>
  <c r="W46" i="39" a="1"/>
  <c r="W46" i="39" s="1"/>
  <c r="O1346" i="39" a="1"/>
  <c r="O1346" i="39" s="1"/>
  <c r="O1184" i="39" a="1"/>
  <c r="O1184" i="39" s="1"/>
  <c r="P204" i="39" a="1"/>
  <c r="P204" i="39" s="1"/>
  <c r="P1021" i="39" a="1"/>
  <c r="P1021" i="39" s="1"/>
  <c r="U708" i="39" a="1"/>
  <c r="U708" i="39" s="1"/>
  <c r="Q532" i="39" a="1"/>
  <c r="Q532" i="39" s="1"/>
  <c r="V205" i="39" a="1"/>
  <c r="V205" i="39" s="1"/>
  <c r="L1034" i="39" a="1"/>
  <c r="L1034" i="39" s="1"/>
  <c r="Z208" i="39" a="1"/>
  <c r="Z208" i="39" s="1"/>
  <c r="U41" i="39" a="1"/>
  <c r="U41" i="39" s="1"/>
  <c r="M45" i="39" a="1"/>
  <c r="M45" i="39" s="1"/>
  <c r="P43" i="39" a="1"/>
  <c r="P43" i="39" s="1"/>
  <c r="Y42" i="39" a="1"/>
  <c r="Y42" i="39" s="1"/>
  <c r="V56" i="39" a="1"/>
  <c r="V56" i="39" s="1"/>
  <c r="M856" i="39" a="1"/>
  <c r="M856" i="39" s="1"/>
  <c r="P856" i="39" a="1"/>
  <c r="P856" i="39" s="1"/>
  <c r="R208" i="39" a="1"/>
  <c r="R208" i="39" s="1"/>
  <c r="V1197" i="39" a="1"/>
  <c r="V1197" i="39" s="1"/>
  <c r="Q708" i="39" a="1"/>
  <c r="Q708" i="39" s="1"/>
  <c r="O371" i="39" a="1"/>
  <c r="O371" i="39" s="1"/>
  <c r="R1523" i="39" a="1"/>
  <c r="R1523" i="39" s="1"/>
  <c r="V1034" i="39" a="1"/>
  <c r="V1034" i="39" s="1"/>
  <c r="X41" i="39" a="1"/>
  <c r="X41" i="39" s="1"/>
  <c r="P42" i="39" a="1"/>
  <c r="P42" i="39" s="1"/>
  <c r="L56" i="39" a="1"/>
  <c r="L56" i="39" s="1"/>
  <c r="X44" i="39" a="1"/>
  <c r="X44" i="39" s="1"/>
  <c r="V44" i="39" a="1"/>
  <c r="V44" i="39" s="1"/>
  <c r="X45" i="39" a="1"/>
  <c r="X45" i="39" s="1"/>
  <c r="Q56" i="39" a="1"/>
  <c r="Q56" i="39" s="1"/>
  <c r="N41" i="39" a="1"/>
  <c r="N41" i="39" s="1"/>
  <c r="U56" i="39" a="1"/>
  <c r="U56" i="39" s="1"/>
  <c r="R708" i="39" a="1"/>
  <c r="R708" i="39" s="1"/>
  <c r="Z44" i="39" a="1"/>
  <c r="Z44" i="39" s="1"/>
  <c r="O46" i="39" a="1"/>
  <c r="O46" i="39" s="1"/>
  <c r="S56" i="39" a="1"/>
  <c r="S56" i="39" s="1"/>
  <c r="S693" i="39" a="1"/>
  <c r="S693" i="39" s="1"/>
  <c r="L1345" i="39" a="1"/>
  <c r="L1345" i="39" s="1"/>
  <c r="M1182" i="39" a="1"/>
  <c r="M1182" i="39" s="1"/>
  <c r="Y530" i="39" a="1"/>
  <c r="Y530" i="39" s="1"/>
  <c r="R1360" i="39" a="1"/>
  <c r="R1360" i="39" s="1"/>
  <c r="M1360" i="39" a="1"/>
  <c r="M1360" i="39" s="1"/>
  <c r="T41" i="39" a="1"/>
  <c r="T41" i="39" s="1"/>
  <c r="W41" i="39" a="1"/>
  <c r="W41" i="39" s="1"/>
  <c r="L42" i="39" a="1"/>
  <c r="L42" i="39" s="1"/>
  <c r="O43" i="39" a="1"/>
  <c r="O43" i="39" s="1"/>
  <c r="X42" i="39" a="1"/>
  <c r="X42" i="39" s="1"/>
  <c r="N46" i="39" a="1"/>
  <c r="N46" i="39" s="1"/>
  <c r="U45" i="39" a="1"/>
  <c r="U45" i="39" s="1"/>
  <c r="Y46" i="39" a="1"/>
  <c r="Y46" i="39" s="1"/>
  <c r="N45" i="39" a="1"/>
  <c r="N45" i="39" s="1"/>
  <c r="L41" i="39" a="1"/>
  <c r="L41" i="39" s="1"/>
  <c r="S206" i="39" a="1"/>
  <c r="S206" i="39" s="1"/>
  <c r="Q41" i="39" a="1"/>
  <c r="Q41" i="39" s="1"/>
  <c r="Q46" i="39" a="1"/>
  <c r="Q46" i="39" s="1"/>
  <c r="W534" i="39" a="1"/>
  <c r="W534" i="39" s="1"/>
  <c r="L1350" i="39" a="1"/>
  <c r="L1350" i="39" s="1"/>
  <c r="V369" i="39" a="1"/>
  <c r="V369" i="39" s="1"/>
  <c r="O695" i="39" a="1"/>
  <c r="O695" i="39" s="1"/>
  <c r="M871" i="39" a="1"/>
  <c r="M871" i="39" s="1"/>
  <c r="S41" i="39" a="1"/>
  <c r="S41" i="39" s="1"/>
  <c r="V41" i="39" a="1"/>
  <c r="V41" i="39" s="1"/>
  <c r="M56" i="39" a="1"/>
  <c r="M56" i="39" s="1"/>
  <c r="T46" i="39" a="1"/>
  <c r="T46" i="39" s="1"/>
  <c r="Q43" i="39" a="1"/>
  <c r="Q43" i="39" s="1"/>
  <c r="M43" i="39" a="1"/>
  <c r="M43" i="39" s="1"/>
  <c r="V42" i="39" a="1"/>
  <c r="V42" i="39" s="1"/>
  <c r="W56" i="39" a="1"/>
  <c r="W56" i="39" s="1"/>
  <c r="N44" i="39" a="1"/>
  <c r="N44" i="39" s="1"/>
  <c r="V43" i="39" a="1"/>
  <c r="V43" i="39" s="1"/>
  <c r="Z46" i="39" a="1"/>
  <c r="Z46" i="39" s="1"/>
  <c r="X1508" i="39" a="1"/>
  <c r="X1508" i="39" s="1"/>
  <c r="N1022" i="39" a="1"/>
  <c r="N1022" i="39" s="1"/>
  <c r="Y208" i="39" a="1"/>
  <c r="Y208" i="39" s="1"/>
  <c r="Y535" i="39" a="1"/>
  <c r="Y535" i="39" s="1"/>
  <c r="X1360" i="39" a="1"/>
  <c r="X1360" i="39" s="1"/>
  <c r="L207" i="39" a="1"/>
  <c r="L207" i="39" s="1"/>
  <c r="M535" i="39" a="1"/>
  <c r="M535" i="39" s="1"/>
  <c r="O41" i="39" a="1"/>
  <c r="O41" i="39" s="1"/>
  <c r="U46" i="39" a="1"/>
  <c r="U46" i="39" s="1"/>
  <c r="Z42" i="39" a="1"/>
  <c r="Z42" i="39" s="1"/>
  <c r="L43" i="39" a="1"/>
  <c r="L43" i="39" s="1"/>
  <c r="L44" i="39" a="1"/>
  <c r="L44" i="39" s="1"/>
  <c r="R44" i="39" a="1"/>
  <c r="R44" i="39" s="1"/>
  <c r="Y43" i="39" a="1"/>
  <c r="Y43" i="39" s="1"/>
  <c r="S45" i="39" a="1"/>
  <c r="S45" i="39" s="1"/>
  <c r="R41" i="39" a="1"/>
  <c r="R41" i="39" s="1"/>
  <c r="O45" i="39" a="1"/>
  <c r="O45" i="39" s="1"/>
  <c r="W45" i="39" a="1"/>
  <c r="W45" i="39" s="1"/>
  <c r="N43" i="39" a="1"/>
  <c r="N43" i="39" s="1"/>
  <c r="P1512" i="39" a="1"/>
  <c r="P1512" i="39" s="1"/>
  <c r="Y857" i="39" a="1"/>
  <c r="Y857" i="39" s="1"/>
  <c r="S1510" i="39" a="1"/>
  <c r="S1510" i="39" s="1"/>
  <c r="L531" i="39" a="1"/>
  <c r="L531" i="39" s="1"/>
  <c r="N207" i="39" a="1"/>
  <c r="N207" i="39" s="1"/>
  <c r="U1523" i="39" a="1"/>
  <c r="U1523" i="39" s="1"/>
  <c r="N1034" i="39" a="1"/>
  <c r="N1034" i="39" s="1"/>
  <c r="M42" i="39" a="1"/>
  <c r="M42" i="39" s="1"/>
  <c r="O1508" i="39" a="1"/>
  <c r="O1508" i="39" s="1"/>
  <c r="S695" i="39" a="1"/>
  <c r="S695" i="39" s="1"/>
  <c r="N857" i="39" a="1"/>
  <c r="N857" i="39" s="1"/>
  <c r="L695" i="39" a="1"/>
  <c r="L695" i="39" s="1"/>
  <c r="Z369" i="39" a="1"/>
  <c r="Z369" i="39" s="1"/>
  <c r="S204" i="39" a="1"/>
  <c r="S204" i="39" s="1"/>
  <c r="V531" i="39" a="1"/>
  <c r="V531" i="39" s="1"/>
  <c r="O1523" i="39" a="1"/>
  <c r="O1523" i="39" s="1"/>
  <c r="Y44" i="39" a="1"/>
  <c r="Y44" i="39" s="1"/>
  <c r="R56" i="39" a="1"/>
  <c r="R56" i="39" s="1"/>
  <c r="M41" i="39" a="1"/>
  <c r="M41" i="39" s="1"/>
  <c r="Z1183" i="39" a="1"/>
  <c r="Z1183" i="39" s="1"/>
  <c r="U1348" i="39" a="1"/>
  <c r="U1348" i="39" s="1"/>
  <c r="N531" i="39" a="1"/>
  <c r="N531" i="39" s="1"/>
  <c r="S859" i="39" a="1"/>
  <c r="S859" i="39" s="1"/>
  <c r="S697" i="39" a="1"/>
  <c r="S697" i="39" s="1"/>
  <c r="M694" i="39" a="1"/>
  <c r="M694" i="39" s="1"/>
  <c r="O207" i="39" a="1"/>
  <c r="O207" i="39" s="1"/>
  <c r="Z204" i="39" a="1"/>
  <c r="Z204" i="39" s="1"/>
  <c r="W43" i="39" a="1"/>
  <c r="W43" i="39" s="1"/>
  <c r="K811" i="39"/>
  <c r="K818" i="39" s="1"/>
  <c r="K820" i="39" s="1"/>
  <c r="K1137" i="39"/>
  <c r="K1144" i="39" s="1"/>
  <c r="K1146" i="39" s="1"/>
  <c r="K1311" i="39"/>
  <c r="K322" i="39"/>
  <c r="K329" i="39" s="1"/>
  <c r="K331" i="39" s="1"/>
  <c r="K485" i="39"/>
  <c r="K492" i="39" s="1"/>
  <c r="K494" i="39" s="1"/>
  <c r="N26" i="41"/>
  <c r="N28" i="41" s="1"/>
  <c r="O30" i="41"/>
  <c r="O31" i="41"/>
  <c r="Q35" i="41"/>
  <c r="Q36" i="41"/>
  <c r="P43" i="41"/>
  <c r="E74" i="10"/>
  <c r="E75" i="10" s="1"/>
  <c r="N10" i="41"/>
  <c r="N11" i="41"/>
  <c r="O48" i="41"/>
  <c r="O20" i="41"/>
  <c r="O21" i="41"/>
  <c r="O18" i="41"/>
  <c r="N50" i="41"/>
  <c r="N51" i="41"/>
  <c r="CE4" i="11"/>
  <c r="BM4" i="11"/>
  <c r="BY4" i="11"/>
  <c r="CK4" i="11"/>
  <c r="BS4" i="11"/>
  <c r="F41" i="10"/>
  <c r="G41" i="10" s="1"/>
  <c r="F32" i="10"/>
  <c r="G32" i="10" s="1"/>
  <c r="F33" i="10"/>
  <c r="G33" i="10" s="1"/>
  <c r="DJ32" i="10"/>
  <c r="DK32" i="10" s="1"/>
  <c r="DJ33" i="10"/>
  <c r="DK33" i="10" s="1"/>
  <c r="CX33" i="10"/>
  <c r="CY33" i="10" s="1"/>
  <c r="CX32" i="10"/>
  <c r="CY32" i="10" s="1"/>
  <c r="DD32" i="10"/>
  <c r="DE32" i="10" s="1"/>
  <c r="DD33" i="10"/>
  <c r="DE33" i="10" s="1"/>
  <c r="AV33" i="10"/>
  <c r="AW33" i="10" s="1"/>
  <c r="AV32" i="10"/>
  <c r="AW32" i="10" s="1"/>
  <c r="AJ32" i="10"/>
  <c r="AK32" i="10" s="1"/>
  <c r="AJ33" i="10"/>
  <c r="AK33" i="10" s="1"/>
  <c r="ET33" i="10"/>
  <c r="EU33" i="10" s="1"/>
  <c r="ET32" i="10"/>
  <c r="EU32" i="10" s="1"/>
  <c r="EB32" i="10"/>
  <c r="EC32" i="10" s="1"/>
  <c r="EB33" i="10"/>
  <c r="EC33" i="10" s="1"/>
  <c r="BH32" i="10"/>
  <c r="BI32" i="10" s="1"/>
  <c r="BH33" i="10"/>
  <c r="BI33" i="10" s="1"/>
  <c r="BB32" i="10"/>
  <c r="BC32" i="10" s="1"/>
  <c r="BB33" i="10"/>
  <c r="BC33" i="10" s="1"/>
  <c r="AP33" i="10"/>
  <c r="AQ33" i="10" s="1"/>
  <c r="AP32" i="10"/>
  <c r="AQ32" i="10" s="1"/>
  <c r="EH33" i="10"/>
  <c r="EI33" i="10" s="1"/>
  <c r="EH32" i="10"/>
  <c r="EI32" i="10" s="1"/>
  <c r="BT32" i="10"/>
  <c r="BU32" i="10" s="1"/>
  <c r="BT33" i="10"/>
  <c r="BU33" i="10" s="1"/>
  <c r="CF32" i="10"/>
  <c r="CG32" i="10" s="1"/>
  <c r="CF33" i="10"/>
  <c r="CG33" i="10" s="1"/>
  <c r="BN33" i="10"/>
  <c r="BO33" i="10" s="1"/>
  <c r="BN32" i="10"/>
  <c r="BO32" i="10" s="1"/>
  <c r="X33" i="10"/>
  <c r="Y33" i="10" s="1"/>
  <c r="X32" i="10"/>
  <c r="Y32" i="10" s="1"/>
  <c r="DP32" i="10"/>
  <c r="DQ32" i="10" s="1"/>
  <c r="DP33" i="10"/>
  <c r="DQ33" i="10" s="1"/>
  <c r="CL33" i="10"/>
  <c r="CM33" i="10" s="1"/>
  <c r="CL32" i="10"/>
  <c r="CM32" i="10" s="1"/>
  <c r="R33" i="10"/>
  <c r="S33" i="10" s="1"/>
  <c r="R32" i="10"/>
  <c r="S32" i="10" s="1"/>
  <c r="AD33" i="10"/>
  <c r="AE33" i="10" s="1"/>
  <c r="AD32" i="10"/>
  <c r="AE32" i="10" s="1"/>
  <c r="DV33" i="10"/>
  <c r="DW33" i="10" s="1"/>
  <c r="DV32" i="10"/>
  <c r="DW32" i="10" s="1"/>
  <c r="CR32" i="10"/>
  <c r="CS32" i="10" s="1"/>
  <c r="CR33" i="10"/>
  <c r="CS33" i="10" s="1"/>
  <c r="BZ32" i="10"/>
  <c r="CA32" i="10" s="1"/>
  <c r="BZ33" i="10"/>
  <c r="CA33" i="10" s="1"/>
  <c r="EN33" i="10"/>
  <c r="EO33" i="10" s="1"/>
  <c r="EN32" i="10"/>
  <c r="EO32" i="10" s="1"/>
  <c r="L41" i="10"/>
  <c r="M41" i="10" s="1"/>
  <c r="L32" i="10"/>
  <c r="M32" i="10" s="1"/>
  <c r="L33" i="10"/>
  <c r="M33" i="10" s="1"/>
  <c r="CE11" i="11"/>
  <c r="DO11" i="11"/>
  <c r="BG11" i="11"/>
  <c r="DU11" i="11"/>
  <c r="EM11" i="11"/>
  <c r="AU11" i="11"/>
  <c r="CW11" i="11"/>
  <c r="EA11" i="11"/>
  <c r="W11" i="11"/>
  <c r="BA11" i="11"/>
  <c r="BM11" i="11"/>
  <c r="EG11" i="11"/>
  <c r="AI11" i="11"/>
  <c r="DI11" i="11"/>
  <c r="BY11" i="11"/>
  <c r="CQ11" i="11"/>
  <c r="ES11" i="11"/>
  <c r="AO11" i="11"/>
  <c r="BS11" i="11"/>
  <c r="AC11" i="11"/>
  <c r="CK11" i="11"/>
  <c r="DC11" i="11"/>
  <c r="L45" i="10"/>
  <c r="M45" i="10" s="1"/>
  <c r="BH41" i="10"/>
  <c r="BI41" i="10" s="1"/>
  <c r="R44" i="10"/>
  <c r="S44" i="10" s="1"/>
  <c r="AP41" i="10"/>
  <c r="AQ41" i="10" s="1"/>
  <c r="F49" i="10"/>
  <c r="G49" i="10" s="1"/>
  <c r="AV41" i="10"/>
  <c r="AW41" i="10" s="1"/>
  <c r="R41" i="10"/>
  <c r="S41" i="10" s="1"/>
  <c r="R45" i="10"/>
  <c r="S45" i="10" s="1"/>
  <c r="L42" i="10"/>
  <c r="M42" i="10" s="1"/>
  <c r="F43" i="10"/>
  <c r="G43" i="10" s="1"/>
  <c r="BB41" i="10"/>
  <c r="BC41" i="10" s="1"/>
  <c r="F42" i="10"/>
  <c r="G42" i="10" s="1"/>
  <c r="X41" i="10"/>
  <c r="Y41" i="10" s="1"/>
  <c r="F44" i="10"/>
  <c r="G44" i="10" s="1"/>
  <c r="L44" i="10"/>
  <c r="M44" i="10" s="1"/>
  <c r="L43" i="10"/>
  <c r="M43" i="10" s="1"/>
  <c r="F45" i="10"/>
  <c r="G45" i="10" s="1"/>
  <c r="AD41" i="10"/>
  <c r="AE41" i="10" s="1"/>
  <c r="AJ41" i="10"/>
  <c r="AK41" i="10" s="1"/>
  <c r="N5" i="41"/>
  <c r="N8" i="41" s="1"/>
  <c r="V1344" i="39" l="1"/>
  <c r="V1342" i="39" s="1"/>
  <c r="M1181" i="39"/>
  <c r="M1179" i="39" s="1"/>
  <c r="K1148" i="39"/>
  <c r="L1344" i="39"/>
  <c r="L1342" i="39" s="1"/>
  <c r="S692" i="39"/>
  <c r="S690" i="39" s="1"/>
  <c r="M855" i="39"/>
  <c r="M853" i="39" s="1"/>
  <c r="K333" i="39"/>
  <c r="Z203" i="39"/>
  <c r="Z201" i="39" s="1"/>
  <c r="K496" i="39"/>
  <c r="N366" i="39"/>
  <c r="N364" i="39" s="1"/>
  <c r="K1312" i="39"/>
  <c r="X1507" i="39"/>
  <c r="X1505" i="39" s="1"/>
  <c r="Q1507" i="39"/>
  <c r="Q1505" i="39" s="1"/>
  <c r="O1507" i="39"/>
  <c r="O1505" i="39" s="1"/>
  <c r="K822" i="39"/>
  <c r="S203" i="39"/>
  <c r="S201" i="39" s="1"/>
  <c r="Y529" i="39"/>
  <c r="Y527" i="39" s="1"/>
  <c r="M358" i="39"/>
  <c r="U203" i="39"/>
  <c r="U201" i="39" s="1"/>
  <c r="R529" i="39"/>
  <c r="R527" i="39" s="1"/>
  <c r="M846" i="39"/>
  <c r="N846" i="39" s="1"/>
  <c r="O846" i="39" s="1"/>
  <c r="P846" i="39" s="1"/>
  <c r="Q846" i="39" s="1"/>
  <c r="R846" i="39" s="1"/>
  <c r="S846" i="39" s="1"/>
  <c r="T846" i="39" s="1"/>
  <c r="U846" i="39" s="1"/>
  <c r="O692" i="39"/>
  <c r="O690" i="39" s="1"/>
  <c r="W1018" i="39"/>
  <c r="W1016" i="39" s="1"/>
  <c r="M521" i="39"/>
  <c r="M847" i="39"/>
  <c r="M1335" i="39"/>
  <c r="W1507" i="39"/>
  <c r="W1505" i="39" s="1"/>
  <c r="L692" i="39"/>
  <c r="L690" i="39" s="1"/>
  <c r="M520" i="39"/>
  <c r="S1018" i="39"/>
  <c r="S1016" i="39" s="1"/>
  <c r="T1507" i="39"/>
  <c r="T1505" i="39" s="1"/>
  <c r="Y1344" i="39"/>
  <c r="Y1342" i="39" s="1"/>
  <c r="O1018" i="39"/>
  <c r="O1016" i="39" s="1"/>
  <c r="R1507" i="39"/>
  <c r="R1505" i="39" s="1"/>
  <c r="T1344" i="39"/>
  <c r="T1342" i="39" s="1"/>
  <c r="M1009" i="39"/>
  <c r="P529" i="39"/>
  <c r="P527" i="39" s="1"/>
  <c r="N203" i="39"/>
  <c r="N201" i="39" s="1"/>
  <c r="X692" i="39"/>
  <c r="X690" i="39" s="1"/>
  <c r="R692" i="39"/>
  <c r="R690" i="39" s="1"/>
  <c r="Q1181" i="39"/>
  <c r="Q1179" i="39" s="1"/>
  <c r="P692" i="39"/>
  <c r="P690" i="39" s="1"/>
  <c r="N692" i="39"/>
  <c r="N690" i="39" s="1"/>
  <c r="X1344" i="39"/>
  <c r="X1342" i="39" s="1"/>
  <c r="W203" i="39"/>
  <c r="W201" i="39" s="1"/>
  <c r="P1344" i="39"/>
  <c r="P1342" i="39" s="1"/>
  <c r="W1344" i="39"/>
  <c r="W1342" i="39" s="1"/>
  <c r="Z855" i="39"/>
  <c r="Z853" i="39" s="1"/>
  <c r="W692" i="39"/>
  <c r="W690" i="39" s="1"/>
  <c r="M1492" i="39"/>
  <c r="L1494" i="39"/>
  <c r="L1543" i="39" s="1"/>
  <c r="Q1018" i="39"/>
  <c r="Q1016" i="39" s="1"/>
  <c r="P1018" i="39"/>
  <c r="P1016" i="39" s="1"/>
  <c r="V1018" i="39"/>
  <c r="V1016" i="39" s="1"/>
  <c r="R366" i="39"/>
  <c r="R364" i="39" s="1"/>
  <c r="U692" i="39"/>
  <c r="U690" i="39" s="1"/>
  <c r="P1181" i="39"/>
  <c r="P1179" i="39" s="1"/>
  <c r="W855" i="39"/>
  <c r="W853" i="39" s="1"/>
  <c r="T529" i="39"/>
  <c r="T527" i="39" s="1"/>
  <c r="N1018" i="39"/>
  <c r="N1016" i="39" s="1"/>
  <c r="P1507" i="39"/>
  <c r="P1505" i="39" s="1"/>
  <c r="S1181" i="39"/>
  <c r="S1179" i="39" s="1"/>
  <c r="M514" i="39"/>
  <c r="L516" i="39"/>
  <c r="L564" i="39" s="1"/>
  <c r="X1018" i="39"/>
  <c r="X1016" i="39" s="1"/>
  <c r="S1344" i="39"/>
  <c r="S1342" i="39" s="1"/>
  <c r="M195" i="39"/>
  <c r="Z1018" i="39"/>
  <c r="Z1016" i="39" s="1"/>
  <c r="Z1507" i="39"/>
  <c r="Z1505" i="39" s="1"/>
  <c r="L529" i="39"/>
  <c r="L527" i="39" s="1"/>
  <c r="P366" i="39"/>
  <c r="P364" i="39" s="1"/>
  <c r="N357" i="39"/>
  <c r="M1336" i="39"/>
  <c r="Q203" i="39"/>
  <c r="Q201" i="39" s="1"/>
  <c r="L842" i="39"/>
  <c r="L889" i="39" s="1"/>
  <c r="M840" i="39"/>
  <c r="L855" i="39"/>
  <c r="L853" i="39" s="1"/>
  <c r="T1018" i="39"/>
  <c r="T1016" i="39" s="1"/>
  <c r="U1181" i="39"/>
  <c r="U1179" i="39" s="1"/>
  <c r="S366" i="39"/>
  <c r="S364" i="39" s="1"/>
  <c r="T855" i="39"/>
  <c r="T853" i="39" s="1"/>
  <c r="X855" i="39"/>
  <c r="X853" i="39" s="1"/>
  <c r="M529" i="39"/>
  <c r="M527" i="39" s="1"/>
  <c r="M1507" i="39"/>
  <c r="M1505" i="39" s="1"/>
  <c r="M1010" i="39"/>
  <c r="N1181" i="39"/>
  <c r="N1179" i="39" s="1"/>
  <c r="M692" i="39"/>
  <c r="M690" i="39" s="1"/>
  <c r="U529" i="39"/>
  <c r="U527" i="39" s="1"/>
  <c r="N1507" i="39"/>
  <c r="N1505" i="39" s="1"/>
  <c r="L1540" i="39"/>
  <c r="L1507" i="39"/>
  <c r="L1505" i="39" s="1"/>
  <c r="M1173" i="39"/>
  <c r="V203" i="39"/>
  <c r="V201" i="39" s="1"/>
  <c r="Q1344" i="39"/>
  <c r="Q1342" i="39" s="1"/>
  <c r="O855" i="39"/>
  <c r="O853" i="39" s="1"/>
  <c r="L1181" i="39"/>
  <c r="L1179" i="39" s="1"/>
  <c r="M366" i="39"/>
  <c r="M364" i="39" s="1"/>
  <c r="S1507" i="39"/>
  <c r="S1505" i="39" s="1"/>
  <c r="Y1181" i="39"/>
  <c r="Y1179" i="39" s="1"/>
  <c r="L1018" i="39"/>
  <c r="L1016" i="39" s="1"/>
  <c r="S855" i="39"/>
  <c r="S853" i="39" s="1"/>
  <c r="R203" i="39"/>
  <c r="R201" i="39" s="1"/>
  <c r="X366" i="39"/>
  <c r="X364" i="39" s="1"/>
  <c r="X1181" i="39"/>
  <c r="X1179" i="39" s="1"/>
  <c r="M677" i="39"/>
  <c r="L679" i="39"/>
  <c r="L726" i="39" s="1"/>
  <c r="Z692" i="39"/>
  <c r="Z690" i="39" s="1"/>
  <c r="O366" i="39"/>
  <c r="O364" i="39" s="1"/>
  <c r="Y366" i="39"/>
  <c r="Y364" i="39" s="1"/>
  <c r="U1507" i="39"/>
  <c r="U1505" i="39" s="1"/>
  <c r="Q529" i="39"/>
  <c r="Q527" i="39" s="1"/>
  <c r="R1344" i="39"/>
  <c r="R1342" i="39" s="1"/>
  <c r="R1181" i="39"/>
  <c r="R1179" i="39" s="1"/>
  <c r="M188" i="39"/>
  <c r="L190" i="39"/>
  <c r="L196" i="39" s="1"/>
  <c r="L216" i="39" s="1" a="1"/>
  <c r="L216" i="39" s="1"/>
  <c r="O203" i="39"/>
  <c r="O201" i="39" s="1"/>
  <c r="T692" i="39"/>
  <c r="T690" i="39" s="1"/>
  <c r="Q366" i="39"/>
  <c r="Q364" i="39" s="1"/>
  <c r="Y1507" i="39"/>
  <c r="Y1505" i="39" s="1"/>
  <c r="Z1181" i="39"/>
  <c r="Z1179" i="39" s="1"/>
  <c r="O1181" i="39"/>
  <c r="O1179" i="39" s="1"/>
  <c r="X529" i="39"/>
  <c r="X527" i="39" s="1"/>
  <c r="M203" i="39"/>
  <c r="M201" i="39" s="1"/>
  <c r="Z1344" i="39"/>
  <c r="Z1342" i="39" s="1"/>
  <c r="M1166" i="39"/>
  <c r="L1168" i="39"/>
  <c r="L1214" i="39" s="1"/>
  <c r="L203" i="39"/>
  <c r="L201" i="39" s="1"/>
  <c r="M351" i="39"/>
  <c r="L353" i="39"/>
  <c r="L403" i="39" s="1"/>
  <c r="M1344" i="39"/>
  <c r="M1342" i="39" s="1"/>
  <c r="O529" i="39"/>
  <c r="O527" i="39" s="1"/>
  <c r="U366" i="39"/>
  <c r="U364" i="39" s="1"/>
  <c r="N855" i="39"/>
  <c r="N853" i="39" s="1"/>
  <c r="W529" i="39"/>
  <c r="W527" i="39" s="1"/>
  <c r="Y692" i="39"/>
  <c r="Y690" i="39" s="1"/>
  <c r="V529" i="39"/>
  <c r="V527" i="39" s="1"/>
  <c r="K1474" i="39"/>
  <c r="Y855" i="39"/>
  <c r="Y853" i="39" s="1"/>
  <c r="T203" i="39"/>
  <c r="T201" i="39" s="1"/>
  <c r="W366" i="39"/>
  <c r="W364" i="39" s="1"/>
  <c r="Q692" i="39"/>
  <c r="Q690" i="39" s="1"/>
  <c r="V1181" i="39"/>
  <c r="V1179" i="39" s="1"/>
  <c r="M1172" i="39"/>
  <c r="L1005" i="39"/>
  <c r="L1052" i="39" s="1"/>
  <c r="M1003" i="39"/>
  <c r="U1344" i="39"/>
  <c r="U1342" i="39" s="1"/>
  <c r="N1499" i="39"/>
  <c r="Y203" i="39"/>
  <c r="Y201" i="39" s="1"/>
  <c r="K985" i="39"/>
  <c r="P855" i="39"/>
  <c r="P853" i="39" s="1"/>
  <c r="P203" i="39"/>
  <c r="P201" i="39" s="1"/>
  <c r="Z366" i="39"/>
  <c r="Z364" i="39" s="1"/>
  <c r="L366" i="39"/>
  <c r="L364" i="39" s="1"/>
  <c r="V1507" i="39"/>
  <c r="V1505" i="39" s="1"/>
  <c r="M683" i="39"/>
  <c r="T366" i="39"/>
  <c r="T364" i="39" s="1"/>
  <c r="T1181" i="39"/>
  <c r="T1179" i="39" s="1"/>
  <c r="X203" i="39"/>
  <c r="X201" i="39" s="1"/>
  <c r="M1329" i="39"/>
  <c r="L1331" i="39"/>
  <c r="L1338" i="39" s="1"/>
  <c r="L1358" i="39" s="1" a="1"/>
  <c r="L1358" i="39" s="1"/>
  <c r="M1498" i="39"/>
  <c r="V855" i="39"/>
  <c r="V853" i="39" s="1"/>
  <c r="R855" i="39"/>
  <c r="R853" i="39" s="1"/>
  <c r="Q855" i="39"/>
  <c r="Q853" i="39" s="1"/>
  <c r="M194" i="39"/>
  <c r="N529" i="39"/>
  <c r="N527" i="39" s="1"/>
  <c r="W1181" i="39"/>
  <c r="W1179" i="39" s="1"/>
  <c r="N1344" i="39"/>
  <c r="N1342" i="39" s="1"/>
  <c r="R1018" i="39"/>
  <c r="R1016" i="39" s="1"/>
  <c r="M1018" i="39"/>
  <c r="M1016" i="39" s="1"/>
  <c r="M684" i="39"/>
  <c r="U855" i="39"/>
  <c r="U853" i="39" s="1"/>
  <c r="Y1018" i="39"/>
  <c r="Y1016" i="39" s="1"/>
  <c r="V366" i="39"/>
  <c r="V364" i="39" s="1"/>
  <c r="K1638" i="39"/>
  <c r="S529" i="39"/>
  <c r="S527" i="39" s="1"/>
  <c r="Z529" i="39"/>
  <c r="Z527" i="39" s="1"/>
  <c r="V692" i="39"/>
  <c r="V690" i="39" s="1"/>
  <c r="O1344" i="39"/>
  <c r="O1342" i="39" s="1"/>
  <c r="U1018" i="39"/>
  <c r="U1016" i="39" s="1"/>
  <c r="O33" i="41"/>
  <c r="P30" i="41" s="1"/>
  <c r="O25" i="41"/>
  <c r="O26" i="41"/>
  <c r="Q38" i="41"/>
  <c r="R36" i="41" s="1"/>
  <c r="Q40" i="41"/>
  <c r="Q41" i="41"/>
  <c r="N13" i="41"/>
  <c r="O11" i="41" s="1"/>
  <c r="N53" i="41"/>
  <c r="O51" i="41" s="1"/>
  <c r="P45" i="41"/>
  <c r="P46" i="41"/>
  <c r="O23" i="41"/>
  <c r="P16" i="41"/>
  <c r="P15" i="41"/>
  <c r="E15" i="11"/>
  <c r="AC15" i="11"/>
  <c r="AU4" i="11"/>
  <c r="ES5" i="11"/>
  <c r="BM5" i="11"/>
  <c r="E11" i="11"/>
  <c r="ES15" i="11"/>
  <c r="AI5" i="11"/>
  <c r="BA5" i="11"/>
  <c r="AO4" i="11"/>
  <c r="DC15" i="11"/>
  <c r="DU15" i="11"/>
  <c r="BS15" i="11"/>
  <c r="AI15" i="11"/>
  <c r="BA4" i="11"/>
  <c r="AO15" i="11"/>
  <c r="AI4" i="11"/>
  <c r="EG15" i="11"/>
  <c r="BM15" i="11"/>
  <c r="AO5" i="11"/>
  <c r="EG5" i="11"/>
  <c r="EA5" i="11"/>
  <c r="K11" i="11"/>
  <c r="BA15" i="11"/>
  <c r="Q11" i="11"/>
  <c r="DU5" i="11"/>
  <c r="AC4" i="11"/>
  <c r="EM5" i="11"/>
  <c r="AU5" i="11"/>
  <c r="DI5" i="11"/>
  <c r="BY5" i="11"/>
  <c r="CK15" i="11"/>
  <c r="CE5" i="11"/>
  <c r="BY15" i="11"/>
  <c r="CK5" i="11"/>
  <c r="CE15" i="11"/>
  <c r="CQ15" i="11"/>
  <c r="DO15" i="11"/>
  <c r="EA15" i="11"/>
  <c r="K5" i="11"/>
  <c r="W5" i="11"/>
  <c r="BS5" i="11"/>
  <c r="BG4" i="11"/>
  <c r="CQ5" i="11"/>
  <c r="DO5" i="11"/>
  <c r="Q15" i="11"/>
  <c r="CW5" i="11"/>
  <c r="Q5" i="11"/>
  <c r="DC5" i="11"/>
  <c r="K15" i="11"/>
  <c r="W15" i="11"/>
  <c r="BG15" i="11"/>
  <c r="CW15" i="11"/>
  <c r="W4" i="11"/>
  <c r="BG5" i="11"/>
  <c r="E5" i="11"/>
  <c r="AC5" i="11"/>
  <c r="EM15" i="11"/>
  <c r="AU15" i="11"/>
  <c r="DI15" i="11"/>
  <c r="Q4" i="11"/>
  <c r="K4" i="11"/>
  <c r="E4" i="11"/>
  <c r="O6" i="41"/>
  <c r="O5" i="41"/>
  <c r="L577" i="39" l="1"/>
  <c r="L892" i="39"/>
  <c r="L399" i="39"/>
  <c r="L401" i="39"/>
  <c r="L903" i="39"/>
  <c r="L240" i="39"/>
  <c r="L522" i="39"/>
  <c r="L542" i="39" s="1" a="1"/>
  <c r="L542" i="39" s="1"/>
  <c r="L729" i="39"/>
  <c r="L1216" i="39"/>
  <c r="L1542" i="39"/>
  <c r="L562" i="39"/>
  <c r="L241" i="39"/>
  <c r="L685" i="39"/>
  <c r="L705" i="39" s="1" a="1"/>
  <c r="L705" i="39" s="1"/>
  <c r="L737" i="39" s="1"/>
  <c r="L1545" i="39"/>
  <c r="L893" i="39"/>
  <c r="L566" i="39"/>
  <c r="L1229" i="39"/>
  <c r="L888" i="39"/>
  <c r="L887" i="39" s="1"/>
  <c r="L686" i="39"/>
  <c r="L706" i="39" s="1" a="1"/>
  <c r="L706" i="39" s="1"/>
  <c r="L738" i="39" s="1"/>
  <c r="L1219" i="39"/>
  <c r="L567" i="39"/>
  <c r="L236" i="39"/>
  <c r="L1544" i="39"/>
  <c r="L1381" i="39"/>
  <c r="L1392" i="39"/>
  <c r="L237" i="39"/>
  <c r="L1541" i="39"/>
  <c r="L1539" i="39" s="1"/>
  <c r="L1500" i="39"/>
  <c r="L1520" i="39" s="1" a="1"/>
  <c r="L1520" i="39" s="1"/>
  <c r="L251" i="39"/>
  <c r="L565" i="39"/>
  <c r="L1215" i="39"/>
  <c r="L1213" i="39" s="1"/>
  <c r="L1174" i="39"/>
  <c r="L1194" i="39" s="1" a="1"/>
  <c r="L1194" i="39" s="1"/>
  <c r="L1226" i="39" s="1"/>
  <c r="N684" i="39"/>
  <c r="L191" i="39"/>
  <c r="L286" i="39" s="1"/>
  <c r="L314" i="39"/>
  <c r="L234" i="39"/>
  <c r="L225" i="39" a="1"/>
  <c r="L225" i="39" s="1"/>
  <c r="L213" i="39" a="1"/>
  <c r="L213" i="39" s="1"/>
  <c r="L220" i="39" a="1"/>
  <c r="L220" i="39" s="1"/>
  <c r="L226" i="39" a="1"/>
  <c r="L226" i="39" s="1"/>
  <c r="L227" i="39" a="1"/>
  <c r="L227" i="39" s="1"/>
  <c r="L239" i="39"/>
  <c r="L238" i="39"/>
  <c r="L1051" i="39"/>
  <c r="L1050" i="39" s="1"/>
  <c r="N1336" i="39"/>
  <c r="O357" i="39"/>
  <c r="N1492" i="39"/>
  <c r="M1494" i="39"/>
  <c r="N188" i="39"/>
  <c r="M190" i="39"/>
  <c r="L414" i="39"/>
  <c r="N1173" i="39"/>
  <c r="L740" i="39"/>
  <c r="L1390" i="39"/>
  <c r="L1332" i="39"/>
  <c r="L1428" i="39" s="1"/>
  <c r="L1455" i="39"/>
  <c r="L1375" i="39"/>
  <c r="L1366" i="39" a="1"/>
  <c r="L1366" i="39" s="1"/>
  <c r="L1367" i="39" a="1"/>
  <c r="L1367" i="39" s="1"/>
  <c r="L1361" i="39" a="1"/>
  <c r="L1361" i="39" s="1"/>
  <c r="L1368" i="39" a="1"/>
  <c r="L1368" i="39" s="1"/>
  <c r="L1354" i="39" a="1"/>
  <c r="L1354" i="39" s="1"/>
  <c r="L1378" i="39"/>
  <c r="L1382" i="39"/>
  <c r="L1380" i="39"/>
  <c r="L1377" i="39"/>
  <c r="L1337" i="39"/>
  <c r="L1357" i="39" s="1" a="1"/>
  <c r="L1357" i="39" s="1"/>
  <c r="N683" i="39"/>
  <c r="O1499" i="39"/>
  <c r="N1329" i="39"/>
  <c r="M1331" i="39"/>
  <c r="M1337" i="39" s="1"/>
  <c r="M1357" i="39" s="1" a="1"/>
  <c r="M1357" i="39" s="1"/>
  <c r="M842" i="39"/>
  <c r="M849" i="39" s="1"/>
  <c r="M869" i="39" s="1" a="1"/>
  <c r="M869" i="39" s="1"/>
  <c r="N840" i="39"/>
  <c r="L359" i="39"/>
  <c r="L379" i="39" s="1" a="1"/>
  <c r="L379" i="39" s="1"/>
  <c r="L354" i="39"/>
  <c r="L477" i="39"/>
  <c r="L397" i="39"/>
  <c r="L388" i="39" a="1"/>
  <c r="L388" i="39" s="1"/>
  <c r="L389" i="39" a="1"/>
  <c r="L389" i="39" s="1"/>
  <c r="L383" i="39" a="1"/>
  <c r="L383" i="39" s="1"/>
  <c r="L384" i="39" s="1" a="1"/>
  <c r="L384" i="39" s="1"/>
  <c r="L376" i="39" a="1"/>
  <c r="L376" i="39" s="1"/>
  <c r="L390" i="39" a="1"/>
  <c r="L390" i="39" s="1"/>
  <c r="L400" i="39"/>
  <c r="L398" i="39" s="1"/>
  <c r="L360" i="39"/>
  <c r="L380" i="39" s="1" a="1"/>
  <c r="L380" i="39" s="1"/>
  <c r="L843" i="39"/>
  <c r="L966" i="39"/>
  <c r="L886" i="39"/>
  <c r="L879" i="39" a="1"/>
  <c r="L879" i="39" s="1"/>
  <c r="L865" i="39" a="1"/>
  <c r="L865" i="39" s="1"/>
  <c r="L877" i="39" a="1"/>
  <c r="L877" i="39" s="1"/>
  <c r="L878" i="39" a="1"/>
  <c r="L878" i="39" s="1"/>
  <c r="L872" i="39" a="1"/>
  <c r="L872" i="39" s="1"/>
  <c r="L873" i="39" s="1" a="1"/>
  <c r="L873" i="39" s="1"/>
  <c r="L890" i="39"/>
  <c r="L891" i="39"/>
  <c r="L848" i="39"/>
  <c r="L868" i="39" s="1" a="1"/>
  <c r="L868" i="39" s="1"/>
  <c r="L849" i="39"/>
  <c r="L869" i="39" s="1" a="1"/>
  <c r="L869" i="39" s="1"/>
  <c r="N351" i="39"/>
  <c r="M353" i="39"/>
  <c r="M360" i="39" s="1"/>
  <c r="M380" i="39" s="1" a="1"/>
  <c r="M380" i="39" s="1"/>
  <c r="L1379" i="39"/>
  <c r="L197" i="39"/>
  <c r="L217" i="39" s="1" a="1"/>
  <c r="L217" i="39" s="1"/>
  <c r="L215" i="39" s="1"/>
  <c r="L1169" i="39"/>
  <c r="L1292" i="39"/>
  <c r="L1212" i="39"/>
  <c r="L1198" i="39" a="1"/>
  <c r="L1198" i="39" s="1"/>
  <c r="L1203" i="39" a="1"/>
  <c r="L1203" i="39" s="1"/>
  <c r="L1191" i="39" a="1"/>
  <c r="L1191" i="39" s="1"/>
  <c r="L1205" i="39" a="1"/>
  <c r="L1205" i="39" s="1"/>
  <c r="L1204" i="39" a="1"/>
  <c r="L1204" i="39" s="1"/>
  <c r="L1175" i="39"/>
  <c r="L1195" i="39" s="1" a="1"/>
  <c r="L1195" i="39" s="1"/>
  <c r="L1217" i="39"/>
  <c r="N1172" i="39"/>
  <c r="L221" i="39" a="1"/>
  <c r="L221" i="39" s="1"/>
  <c r="N1166" i="39"/>
  <c r="M1168" i="39"/>
  <c r="M1175" i="39" s="1"/>
  <c r="M1195" i="39" s="1" a="1"/>
  <c r="M1195" i="39" s="1"/>
  <c r="N1003" i="39"/>
  <c r="M1005" i="39"/>
  <c r="L1218" i="39"/>
  <c r="L1006" i="39"/>
  <c r="L1129" i="39"/>
  <c r="L1049" i="39"/>
  <c r="L1035" i="39" a="1"/>
  <c r="L1035" i="39" s="1"/>
  <c r="L1041" i="39" a="1"/>
  <c r="L1041" i="39" s="1"/>
  <c r="L1028" i="39" a="1"/>
  <c r="L1028" i="39" s="1"/>
  <c r="L1040" i="39" a="1"/>
  <c r="L1040" i="39" s="1"/>
  <c r="L1042" i="39" a="1"/>
  <c r="L1042" i="39" s="1"/>
  <c r="L1011" i="39"/>
  <c r="L1031" i="39" s="1" a="1"/>
  <c r="L1031" i="39" s="1"/>
  <c r="L1066" i="39"/>
  <c r="L1055" i="39"/>
  <c r="L1054" i="39"/>
  <c r="L1056" i="39"/>
  <c r="M516" i="39"/>
  <c r="N514" i="39"/>
  <c r="L248" i="39"/>
  <c r="L402" i="39"/>
  <c r="L1012" i="39"/>
  <c r="L1032" i="39" s="1" a="1"/>
  <c r="L1032" i="39" s="1"/>
  <c r="L1552" i="39"/>
  <c r="N1498" i="39"/>
  <c r="M1500" i="39"/>
  <c r="M1520" i="39" s="1" a="1"/>
  <c r="M1520" i="39" s="1"/>
  <c r="L680" i="39"/>
  <c r="L803" i="39"/>
  <c r="L723" i="39"/>
  <c r="L716" i="39" a="1"/>
  <c r="L716" i="39" s="1"/>
  <c r="L714" i="39" a="1"/>
  <c r="L714" i="39" s="1"/>
  <c r="L702" i="39" a="1"/>
  <c r="L702" i="39" s="1"/>
  <c r="L709" i="39" a="1"/>
  <c r="L709" i="39" s="1"/>
  <c r="L715" i="39" a="1"/>
  <c r="L715" i="39" s="1"/>
  <c r="L730" i="39"/>
  <c r="L727" i="39"/>
  <c r="L725" i="39"/>
  <c r="L724" i="39" s="1"/>
  <c r="L728" i="39"/>
  <c r="N1010" i="39"/>
  <c r="M1012" i="39"/>
  <c r="M1032" i="39" s="1" a="1"/>
  <c r="M1032" i="39" s="1"/>
  <c r="N194" i="39"/>
  <c r="L1053" i="39"/>
  <c r="L404" i="39"/>
  <c r="K986" i="39"/>
  <c r="K1475" i="39"/>
  <c r="N677" i="39"/>
  <c r="M679" i="39"/>
  <c r="M686" i="39" s="1"/>
  <c r="M706" i="39" s="1" a="1"/>
  <c r="M706" i="39" s="1"/>
  <c r="L523" i="39"/>
  <c r="L543" i="39" s="1" a="1"/>
  <c r="L543" i="39" s="1"/>
  <c r="L541" i="39" s="1"/>
  <c r="L1555" i="39"/>
  <c r="N1335" i="39"/>
  <c r="N521" i="39"/>
  <c r="O521" i="39" s="1"/>
  <c r="M523" i="39"/>
  <c r="M543" i="39" s="1" a="1"/>
  <c r="M543" i="39" s="1"/>
  <c r="L1362" i="39" a="1"/>
  <c r="L1362" i="39" s="1"/>
  <c r="N195" i="39"/>
  <c r="N847" i="39"/>
  <c r="L563" i="39"/>
  <c r="L561" i="39" s="1"/>
  <c r="V846" i="39"/>
  <c r="W846" i="39" s="1"/>
  <c r="L1501" i="39"/>
  <c r="L1521" i="39" s="1" a="1"/>
  <c r="L1521" i="39" s="1"/>
  <c r="L1495" i="39"/>
  <c r="L1618" i="39"/>
  <c r="L1538" i="39"/>
  <c r="L1531" i="39" a="1"/>
  <c r="L1531" i="39" s="1"/>
  <c r="L1530" i="39" a="1"/>
  <c r="L1530" i="39" s="1"/>
  <c r="L1517" i="39" a="1"/>
  <c r="L1517" i="39" s="1"/>
  <c r="L1529" i="39" a="1"/>
  <c r="L1529" i="39" s="1"/>
  <c r="L1524" i="39" a="1"/>
  <c r="L1524" i="39" s="1"/>
  <c r="L1525" i="39" s="1" a="1"/>
  <c r="L1525" i="39" s="1"/>
  <c r="L574" i="39"/>
  <c r="N520" i="39"/>
  <c r="M522" i="39"/>
  <c r="M542" i="39" s="1" a="1"/>
  <c r="M542" i="39" s="1"/>
  <c r="K1149" i="39"/>
  <c r="N1009" i="39"/>
  <c r="M1011" i="39"/>
  <c r="M1031" i="39" s="1" a="1"/>
  <c r="M1031" i="39" s="1"/>
  <c r="K823" i="39"/>
  <c r="N358" i="39"/>
  <c r="K497" i="39"/>
  <c r="L517" i="39"/>
  <c r="L560" i="39"/>
  <c r="L553" i="39" a="1"/>
  <c r="L553" i="39" s="1"/>
  <c r="L539" i="39" a="1"/>
  <c r="L539" i="39" s="1"/>
  <c r="L546" i="39" a="1"/>
  <c r="L546" i="39" s="1"/>
  <c r="L547" i="39" s="1" a="1"/>
  <c r="L547" i="39" s="1"/>
  <c r="L552" i="39" a="1"/>
  <c r="L552" i="39" s="1"/>
  <c r="L551" i="39" a="1"/>
  <c r="L551" i="39" s="1"/>
  <c r="K334" i="39"/>
  <c r="P31" i="41"/>
  <c r="P33" i="41" s="1"/>
  <c r="Q30" i="41" s="1"/>
  <c r="R35" i="41"/>
  <c r="R38" i="41" s="1"/>
  <c r="S36" i="41" s="1"/>
  <c r="O28" i="41"/>
  <c r="Q43" i="41"/>
  <c r="O10" i="41"/>
  <c r="O13" i="41" s="1"/>
  <c r="O50" i="41"/>
  <c r="O53" i="41" s="1"/>
  <c r="P18" i="41"/>
  <c r="Q16" i="41" s="1"/>
  <c r="P48" i="41"/>
  <c r="P21" i="41"/>
  <c r="P20" i="41"/>
  <c r="J5" i="48"/>
  <c r="K5" i="48" s="1"/>
  <c r="J15" i="48"/>
  <c r="K15" i="48" s="1"/>
  <c r="J4" i="48"/>
  <c r="K4" i="48" s="1"/>
  <c r="J11" i="48"/>
  <c r="K11" i="48" s="1"/>
  <c r="O8" i="41"/>
  <c r="P6" i="41" s="1"/>
  <c r="M1174" i="39" l="1"/>
  <c r="M1194" i="39" s="1" a="1"/>
  <c r="M1194" i="39" s="1"/>
  <c r="M1226" i="39" s="1"/>
  <c r="L1193" i="39"/>
  <c r="L559" i="39"/>
  <c r="L704" i="39"/>
  <c r="L235" i="39"/>
  <c r="L233" i="39" s="1"/>
  <c r="L1537" i="39"/>
  <c r="L736" i="39"/>
  <c r="L617" i="39"/>
  <c r="L579" i="39"/>
  <c r="M901" i="39"/>
  <c r="M1227" i="39"/>
  <c r="O684" i="39"/>
  <c r="L1355" i="39"/>
  <c r="L1353" i="39" s="1"/>
  <c r="L1424" i="39"/>
  <c r="L1386" i="39"/>
  <c r="M738" i="39"/>
  <c r="L1576" i="39"/>
  <c r="L1581" i="39"/>
  <c r="L1593" i="39"/>
  <c r="L1582" i="39"/>
  <c r="L1579" i="39"/>
  <c r="L1580" i="39"/>
  <c r="L1583" i="39"/>
  <c r="L1578" i="39"/>
  <c r="L761" i="39"/>
  <c r="L768" i="39"/>
  <c r="L764" i="39"/>
  <c r="L765" i="39"/>
  <c r="L763" i="39"/>
  <c r="L766" i="39"/>
  <c r="L767" i="39"/>
  <c r="L778" i="39"/>
  <c r="L1074" i="39"/>
  <c r="L1112" i="39"/>
  <c r="L1235" i="39"/>
  <c r="L1273" i="39"/>
  <c r="L885" i="39"/>
  <c r="L904" i="39"/>
  <c r="L942" i="39"/>
  <c r="L377" i="39"/>
  <c r="L375" i="39" s="1"/>
  <c r="L446" i="39"/>
  <c r="L408" i="39"/>
  <c r="L1438" i="39"/>
  <c r="L1400" i="39"/>
  <c r="L775" i="39"/>
  <c r="N190" i="39"/>
  <c r="O188" i="39"/>
  <c r="L1237" i="39"/>
  <c r="L1275" i="39"/>
  <c r="N842" i="39"/>
  <c r="N849" i="39" s="1"/>
  <c r="N869" i="39" s="1" a="1"/>
  <c r="N869" i="39" s="1"/>
  <c r="O840" i="39"/>
  <c r="L253" i="39"/>
  <c r="L291" i="39"/>
  <c r="L1553" i="39"/>
  <c r="L1591" i="39"/>
  <c r="M1064" i="39"/>
  <c r="L1072" i="39"/>
  <c r="L1110" i="39"/>
  <c r="O1172" i="39"/>
  <c r="L1268" i="39"/>
  <c r="L1230" i="39"/>
  <c r="L948" i="39"/>
  <c r="L910" i="39"/>
  <c r="L453" i="39"/>
  <c r="L415" i="39"/>
  <c r="L381" i="39"/>
  <c r="L1431" i="39"/>
  <c r="L1393" i="39"/>
  <c r="L1359" i="39"/>
  <c r="O1166" i="39"/>
  <c r="N1168" i="39"/>
  <c r="L623" i="39"/>
  <c r="L585" i="39"/>
  <c r="L1030" i="39"/>
  <c r="L1063" i="39"/>
  <c r="L1101" i="39"/>
  <c r="O847" i="39"/>
  <c r="O1010" i="39"/>
  <c r="L1029" i="39"/>
  <c r="L1027" i="39" s="1"/>
  <c r="L1098" i="39"/>
  <c r="L1060" i="39"/>
  <c r="M1193" i="39"/>
  <c r="L1211" i="39"/>
  <c r="L909" i="39"/>
  <c r="L947" i="39"/>
  <c r="L459" i="39"/>
  <c r="L421" i="39"/>
  <c r="L1437" i="39"/>
  <c r="L1399" i="39"/>
  <c r="L1111" i="39"/>
  <c r="L1073" i="39"/>
  <c r="L866" i="39"/>
  <c r="L864" i="39" s="1"/>
  <c r="L935" i="39"/>
  <c r="L897" i="39"/>
  <c r="L420" i="39"/>
  <c r="L458" i="39"/>
  <c r="M1332" i="39"/>
  <c r="M1455" i="39"/>
  <c r="M1375" i="39"/>
  <c r="M1368" i="39" a="1"/>
  <c r="M1368" i="39" s="1"/>
  <c r="M1354" i="39" a="1"/>
  <c r="M1354" i="39" s="1"/>
  <c r="M1361" i="39" a="1"/>
  <c r="M1361" i="39" s="1"/>
  <c r="M1366" i="39" a="1"/>
  <c r="M1366" i="39" s="1"/>
  <c r="M1367" i="39" a="1"/>
  <c r="M1367" i="39" s="1"/>
  <c r="M1392" i="39"/>
  <c r="M1380" i="39"/>
  <c r="M1377" i="39"/>
  <c r="M1382" i="39"/>
  <c r="M1379" i="39"/>
  <c r="M1381" i="39"/>
  <c r="M1378" i="39"/>
  <c r="L1398" i="39"/>
  <c r="L1436" i="39"/>
  <c r="L540" i="39"/>
  <c r="L538" i="39" s="1"/>
  <c r="L571" i="39"/>
  <c r="L609" i="39"/>
  <c r="L1557" i="39"/>
  <c r="L1595" i="39"/>
  <c r="M191" i="39"/>
  <c r="M314" i="39"/>
  <c r="M234" i="39"/>
  <c r="M227" i="39" a="1"/>
  <c r="M227" i="39" s="1"/>
  <c r="M226" i="39" a="1"/>
  <c r="M226" i="39" s="1"/>
  <c r="M213" i="39" a="1"/>
  <c r="M213" i="39" s="1"/>
  <c r="M220" i="39" a="1"/>
  <c r="M220" i="39" s="1"/>
  <c r="M225" i="39" a="1"/>
  <c r="M225" i="39" s="1"/>
  <c r="M251" i="39"/>
  <c r="M238" i="39"/>
  <c r="M236" i="39"/>
  <c r="M241" i="39"/>
  <c r="M240" i="39"/>
  <c r="M239" i="39"/>
  <c r="M237" i="39"/>
  <c r="L598" i="39"/>
  <c r="L602" i="39"/>
  <c r="L615" i="39"/>
  <c r="L600" i="39"/>
  <c r="L601" i="39"/>
  <c r="L604" i="39"/>
  <c r="L605" i="39"/>
  <c r="L603" i="39"/>
  <c r="L612" i="39"/>
  <c r="O514" i="39"/>
  <c r="N516" i="39"/>
  <c r="N522" i="39" s="1"/>
  <c r="N542" i="39" s="1" a="1"/>
  <c r="N542" i="39" s="1"/>
  <c r="L1105" i="39"/>
  <c r="L1067" i="39"/>
  <c r="M1006" i="39"/>
  <c r="M1102" i="39" s="1"/>
  <c r="M1129" i="39"/>
  <c r="M1049" i="39"/>
  <c r="M1041" i="39" a="1"/>
  <c r="M1041" i="39" s="1"/>
  <c r="M1028" i="39" a="1"/>
  <c r="M1028" i="39" s="1"/>
  <c r="M1042" i="39" a="1"/>
  <c r="M1042" i="39" s="1"/>
  <c r="M1035" i="39" a="1"/>
  <c r="M1035" i="39" s="1"/>
  <c r="M1040" i="39" a="1"/>
  <c r="M1040" i="39" s="1"/>
  <c r="M1056" i="39"/>
  <c r="M1055" i="39"/>
  <c r="M1051" i="39"/>
  <c r="M1053" i="39"/>
  <c r="M1052" i="39"/>
  <c r="M1054" i="39"/>
  <c r="M1066" i="39"/>
  <c r="L1250" i="39"/>
  <c r="L1255" i="39"/>
  <c r="L1256" i="39"/>
  <c r="L1254" i="39"/>
  <c r="L1257" i="39"/>
  <c r="L1252" i="39"/>
  <c r="L1253" i="39"/>
  <c r="L1267" i="39"/>
  <c r="L911" i="39"/>
  <c r="L949" i="39"/>
  <c r="L396" i="39"/>
  <c r="O1329" i="39"/>
  <c r="N1331" i="39"/>
  <c r="N1338" i="39" s="1"/>
  <c r="N1358" i="39" s="1" a="1"/>
  <c r="N1358" i="39" s="1"/>
  <c r="L259" i="39"/>
  <c r="L297" i="39"/>
  <c r="O1009" i="39"/>
  <c r="O520" i="39"/>
  <c r="L422" i="39"/>
  <c r="L460" i="39"/>
  <c r="M848" i="39"/>
  <c r="M868" i="39" s="1" a="1"/>
  <c r="M868" i="39" s="1"/>
  <c r="M843" i="39"/>
  <c r="M966" i="39"/>
  <c r="M886" i="39"/>
  <c r="M872" i="39" a="1"/>
  <c r="M872" i="39" s="1"/>
  <c r="M879" i="39" a="1"/>
  <c r="M879" i="39" s="1"/>
  <c r="M877" i="39" a="1"/>
  <c r="M877" i="39" s="1"/>
  <c r="M865" i="39" a="1"/>
  <c r="M865" i="39" s="1"/>
  <c r="M878" i="39" a="1"/>
  <c r="M878" i="39" s="1"/>
  <c r="M893" i="39"/>
  <c r="M888" i="39"/>
  <c r="M891" i="39"/>
  <c r="M903" i="39"/>
  <c r="M892" i="39"/>
  <c r="M889" i="39"/>
  <c r="M890" i="39"/>
  <c r="L1394" i="39"/>
  <c r="L1391" i="39" s="1"/>
  <c r="L1432" i="39"/>
  <c r="M1552" i="39"/>
  <c r="M517" i="39"/>
  <c r="M613" i="39" s="1"/>
  <c r="M560" i="39"/>
  <c r="M546" i="39" a="1"/>
  <c r="M546" i="39" s="1"/>
  <c r="M552" i="39" a="1"/>
  <c r="M552" i="39" s="1"/>
  <c r="M551" i="39" a="1"/>
  <c r="M551" i="39" s="1"/>
  <c r="M553" i="39" a="1"/>
  <c r="M553" i="39" s="1"/>
  <c r="M539" i="39" a="1"/>
  <c r="M539" i="39" s="1"/>
  <c r="M566" i="39"/>
  <c r="M567" i="39"/>
  <c r="M577" i="39"/>
  <c r="M563" i="39"/>
  <c r="M565" i="39"/>
  <c r="M562" i="39"/>
  <c r="M564" i="39"/>
  <c r="O1003" i="39"/>
  <c r="N1005" i="39"/>
  <c r="N1012" i="39" s="1"/>
  <c r="N1032" i="39" s="1" a="1"/>
  <c r="N1032" i="39" s="1"/>
  <c r="L776" i="39"/>
  <c r="L774" i="39" s="1"/>
  <c r="L258" i="39"/>
  <c r="L296" i="39"/>
  <c r="L1192" i="39"/>
  <c r="L1190" i="39" s="1"/>
  <c r="L1223" i="39"/>
  <c r="L1261" i="39"/>
  <c r="M575" i="39"/>
  <c r="M412" i="39"/>
  <c r="X846" i="39"/>
  <c r="P521" i="39"/>
  <c r="O1498" i="39"/>
  <c r="M354" i="39"/>
  <c r="M450" i="39" s="1"/>
  <c r="M477" i="39"/>
  <c r="M397" i="39"/>
  <c r="M388" i="39" a="1"/>
  <c r="M388" i="39" s="1"/>
  <c r="M376" i="39" a="1"/>
  <c r="M376" i="39" s="1"/>
  <c r="M389" i="39" a="1"/>
  <c r="M389" i="39" s="1"/>
  <c r="M383" i="39" a="1"/>
  <c r="M383" i="39" s="1"/>
  <c r="M390" i="39" a="1"/>
  <c r="M390" i="39" s="1"/>
  <c r="M399" i="39"/>
  <c r="M401" i="39"/>
  <c r="M403" i="39"/>
  <c r="M414" i="39"/>
  <c r="M402" i="39"/>
  <c r="M359" i="39"/>
  <c r="M379" i="39" s="1" a="1"/>
  <c r="M379" i="39" s="1"/>
  <c r="M404" i="39"/>
  <c r="M400" i="39"/>
  <c r="L435" i="39"/>
  <c r="L440" i="39"/>
  <c r="L439" i="39"/>
  <c r="L438" i="39"/>
  <c r="L437" i="39"/>
  <c r="L441" i="39"/>
  <c r="L452" i="39"/>
  <c r="L442" i="39"/>
  <c r="L1413" i="39"/>
  <c r="L1420" i="39"/>
  <c r="L1418" i="39"/>
  <c r="L1415" i="39"/>
  <c r="L1416" i="39"/>
  <c r="L1430" i="39"/>
  <c r="L1417" i="39"/>
  <c r="L1419" i="39"/>
  <c r="M1495" i="39"/>
  <c r="M1590" i="39" s="1"/>
  <c r="M1618" i="39"/>
  <c r="M1538" i="39"/>
  <c r="M1524" i="39" a="1"/>
  <c r="M1524" i="39" s="1"/>
  <c r="M1529" i="39" a="1"/>
  <c r="M1529" i="39" s="1"/>
  <c r="M1517" i="39" a="1"/>
  <c r="M1517" i="39" s="1"/>
  <c r="M1531" i="39" a="1"/>
  <c r="M1531" i="39" s="1"/>
  <c r="M1530" i="39" a="1"/>
  <c r="M1530" i="39" s="1"/>
  <c r="M1543" i="39"/>
  <c r="M1541" i="39"/>
  <c r="M1542" i="39"/>
  <c r="M1555" i="39"/>
  <c r="M1545" i="39"/>
  <c r="M1544" i="39"/>
  <c r="M1501" i="39"/>
  <c r="M1521" i="39" s="1" a="1"/>
  <c r="M1521" i="39" s="1"/>
  <c r="M1519" i="39" s="1"/>
  <c r="M1540" i="39"/>
  <c r="L252" i="39"/>
  <c r="L290" i="39"/>
  <c r="L218" i="39"/>
  <c r="L622" i="39"/>
  <c r="L584" i="39"/>
  <c r="L249" i="39"/>
  <c r="L247" i="39" s="1"/>
  <c r="L287" i="39"/>
  <c r="L285" i="39" s="1"/>
  <c r="S35" i="41"/>
  <c r="S38" i="41" s="1"/>
  <c r="T35" i="41" s="1"/>
  <c r="O358" i="39"/>
  <c r="M1389" i="39"/>
  <c r="L1087" i="39"/>
  <c r="L1104" i="39"/>
  <c r="L1093" i="39"/>
  <c r="L1092" i="39"/>
  <c r="L1091" i="39"/>
  <c r="L1094" i="39"/>
  <c r="L1089" i="39"/>
  <c r="L1090" i="39"/>
  <c r="L1264" i="39"/>
  <c r="O351" i="39"/>
  <c r="N353" i="39"/>
  <c r="N360" i="39" s="1"/>
  <c r="N380" i="39" s="1" a="1"/>
  <c r="N380" i="39" s="1"/>
  <c r="L924" i="39"/>
  <c r="L926" i="39"/>
  <c r="L929" i="39"/>
  <c r="L928" i="39"/>
  <c r="L930" i="39"/>
  <c r="L941" i="39"/>
  <c r="L927" i="39"/>
  <c r="L931" i="39"/>
  <c r="L449" i="39"/>
  <c r="L411" i="39"/>
  <c r="L378" i="39"/>
  <c r="P1499" i="39"/>
  <c r="O1492" i="39"/>
  <c r="N1494" i="39"/>
  <c r="N1500" i="39" s="1"/>
  <c r="N1520" i="39" s="1" a="1"/>
  <c r="N1520" i="39" s="1"/>
  <c r="L283" i="39"/>
  <c r="L214" i="39"/>
  <c r="L212" i="39" s="1"/>
  <c r="L211" i="39" s="1"/>
  <c r="L223" i="39" s="1"/>
  <c r="L245" i="39"/>
  <c r="L722" i="39"/>
  <c r="O1335" i="39"/>
  <c r="M680" i="39"/>
  <c r="M776" i="39" s="1"/>
  <c r="M803" i="39"/>
  <c r="M723" i="39"/>
  <c r="M702" i="39" a="1"/>
  <c r="M702" i="39" s="1"/>
  <c r="M715" i="39" a="1"/>
  <c r="M715" i="39" s="1"/>
  <c r="M714" i="39" a="1"/>
  <c r="M714" i="39" s="1"/>
  <c r="M709" i="39" a="1"/>
  <c r="M709" i="39" s="1"/>
  <c r="M716" i="39" a="1"/>
  <c r="M716" i="39" s="1"/>
  <c r="M726" i="39"/>
  <c r="M727" i="39"/>
  <c r="M729" i="39"/>
  <c r="M730" i="39"/>
  <c r="M740" i="39"/>
  <c r="M725" i="39"/>
  <c r="M724" i="39" s="1"/>
  <c r="M728" i="39"/>
  <c r="L1590" i="39"/>
  <c r="L416" i="39"/>
  <c r="L454" i="39"/>
  <c r="L870" i="39"/>
  <c r="L905" i="39"/>
  <c r="L902" i="39" s="1"/>
  <c r="L943" i="39"/>
  <c r="M685" i="39"/>
  <c r="M705" i="39" s="1" a="1"/>
  <c r="M705" i="39" s="1"/>
  <c r="L1036" i="39" a="1"/>
  <c r="L1036" i="39" s="1"/>
  <c r="L257" i="39"/>
  <c r="L295" i="39"/>
  <c r="M1030" i="39"/>
  <c r="M1101" i="39"/>
  <c r="M1063" i="39"/>
  <c r="M1062" i="39" s="1"/>
  <c r="M612" i="39"/>
  <c r="M541" i="39"/>
  <c r="M574" i="39"/>
  <c r="L1556" i="39"/>
  <c r="L1554" i="39" s="1"/>
  <c r="L1594" i="39"/>
  <c r="L1522" i="39"/>
  <c r="O677" i="39"/>
  <c r="N679" i="39"/>
  <c r="N686" i="39" s="1"/>
  <c r="N706" i="39" s="1" a="1"/>
  <c r="N706" i="39" s="1"/>
  <c r="L747" i="39"/>
  <c r="L785" i="39"/>
  <c r="L1551" i="39"/>
  <c r="L1199" i="39" a="1"/>
  <c r="L1199" i="39" s="1"/>
  <c r="L1196" i="39" s="1"/>
  <c r="O683" i="39"/>
  <c r="P357" i="39"/>
  <c r="L1561" i="39"/>
  <c r="L1599" i="39"/>
  <c r="N196" i="39"/>
  <c r="N216" i="39" s="1" a="1"/>
  <c r="N216" i="39" s="1"/>
  <c r="O194" i="39"/>
  <c r="L741" i="39"/>
  <c r="L779" i="39"/>
  <c r="L1519" i="39"/>
  <c r="L1427" i="39"/>
  <c r="L1426" i="39" s="1"/>
  <c r="L1356" i="39"/>
  <c r="L1389" i="39"/>
  <c r="L1388" i="39" s="1"/>
  <c r="M1338" i="39"/>
  <c r="M1358" i="39" s="1" a="1"/>
  <c r="M1358" i="39" s="1"/>
  <c r="M1356" i="39" s="1"/>
  <c r="L583" i="39"/>
  <c r="L621" i="39"/>
  <c r="L1518" i="39"/>
  <c r="L1516" i="39" s="1"/>
  <c r="L1587" i="39"/>
  <c r="L1549" i="39"/>
  <c r="M197" i="39"/>
  <c r="M217" i="39" s="1" a="1"/>
  <c r="M217" i="39" s="1"/>
  <c r="M196" i="39"/>
  <c r="M216" i="39" s="1" a="1"/>
  <c r="M216" i="39" s="1"/>
  <c r="L703" i="39"/>
  <c r="L701" i="39" s="1"/>
  <c r="L772" i="39"/>
  <c r="L734" i="39"/>
  <c r="L710" i="39" a="1"/>
  <c r="L710" i="39" s="1"/>
  <c r="L707" i="39" s="1"/>
  <c r="L1376" i="39"/>
  <c r="L1374" i="39" s="1"/>
  <c r="O1336" i="39"/>
  <c r="L272" i="39"/>
  <c r="L276" i="39"/>
  <c r="L277" i="39"/>
  <c r="L278" i="39"/>
  <c r="L274" i="39"/>
  <c r="L275" i="39"/>
  <c r="L289" i="39"/>
  <c r="L279" i="39"/>
  <c r="L1562" i="39"/>
  <c r="L1600" i="39"/>
  <c r="N197" i="39"/>
  <c r="N217" i="39" s="1" a="1"/>
  <c r="N217" i="39" s="1"/>
  <c r="O195" i="39"/>
  <c r="L784" i="39"/>
  <c r="L746" i="39"/>
  <c r="L1227" i="39"/>
  <c r="L1225" i="39" s="1"/>
  <c r="L1265" i="39"/>
  <c r="L901" i="39"/>
  <c r="L939" i="39"/>
  <c r="L616" i="39"/>
  <c r="L578" i="39"/>
  <c r="L544" i="39"/>
  <c r="L1563" i="39"/>
  <c r="L1601" i="39"/>
  <c r="L613" i="39"/>
  <c r="L575" i="39"/>
  <c r="L573" i="39" s="1"/>
  <c r="L748" i="39"/>
  <c r="L786" i="39"/>
  <c r="L1064" i="39"/>
  <c r="L1102" i="39"/>
  <c r="M1169" i="39"/>
  <c r="M1265" i="39" s="1"/>
  <c r="M1292" i="39"/>
  <c r="M1212" i="39"/>
  <c r="M1204" i="39" a="1"/>
  <c r="M1204" i="39" s="1"/>
  <c r="M1203" i="39" a="1"/>
  <c r="M1203" i="39" s="1"/>
  <c r="M1205" i="39" a="1"/>
  <c r="M1205" i="39" s="1"/>
  <c r="M1191" i="39" a="1"/>
  <c r="M1191" i="39" s="1"/>
  <c r="M1198" i="39" a="1"/>
  <c r="M1198" i="39" s="1"/>
  <c r="M1217" i="39"/>
  <c r="M1214" i="39"/>
  <c r="M1215" i="39"/>
  <c r="M1219" i="39"/>
  <c r="M1216" i="39"/>
  <c r="M1218" i="39"/>
  <c r="M1229" i="39"/>
  <c r="L1236" i="39"/>
  <c r="L1274" i="39"/>
  <c r="L867" i="39"/>
  <c r="L900" i="39"/>
  <c r="L938" i="39"/>
  <c r="L450" i="39"/>
  <c r="L412" i="39"/>
  <c r="L410" i="39" s="1"/>
  <c r="N1175" i="39"/>
  <c r="N1195" i="39" s="1" a="1"/>
  <c r="N1195" i="39" s="1"/>
  <c r="O1173" i="39"/>
  <c r="L1048" i="39"/>
  <c r="Q31" i="41"/>
  <c r="Q33" i="41" s="1"/>
  <c r="R31" i="41" s="1"/>
  <c r="P26" i="41"/>
  <c r="P25" i="41"/>
  <c r="R40" i="41"/>
  <c r="R41" i="41"/>
  <c r="P10" i="41"/>
  <c r="P11" i="41"/>
  <c r="Q15" i="41"/>
  <c r="Q18" i="41" s="1"/>
  <c r="P23" i="41"/>
  <c r="Q21" i="41" s="1"/>
  <c r="P50" i="41"/>
  <c r="P51" i="41"/>
  <c r="Q45" i="41"/>
  <c r="Q46" i="41"/>
  <c r="J16" i="48"/>
  <c r="K16" i="48" s="1"/>
  <c r="P5" i="41"/>
  <c r="P8" i="41" s="1"/>
  <c r="M561" i="39" l="1"/>
  <c r="L1263" i="39"/>
  <c r="L1429" i="39"/>
  <c r="L1577" i="39"/>
  <c r="L451" i="39"/>
  <c r="M1539" i="39"/>
  <c r="L1515" i="39"/>
  <c r="L1527" i="39" s="1"/>
  <c r="N1337" i="39"/>
  <c r="N1357" i="39" s="1" a="1"/>
  <c r="N1357" i="39" s="1"/>
  <c r="N1427" i="39" s="1"/>
  <c r="L940" i="39"/>
  <c r="L1088" i="39"/>
  <c r="L1086" i="39" s="1"/>
  <c r="L762" i="39"/>
  <c r="L760" i="39" s="1"/>
  <c r="L937" i="39"/>
  <c r="T36" i="41"/>
  <c r="T38" i="41" s="1"/>
  <c r="L1414" i="39"/>
  <c r="L1412" i="39" s="1"/>
  <c r="M722" i="39"/>
  <c r="L413" i="39"/>
  <c r="L1589" i="39"/>
  <c r="M611" i="39"/>
  <c r="N1552" i="39"/>
  <c r="N1064" i="39"/>
  <c r="N738" i="39"/>
  <c r="N574" i="39"/>
  <c r="M704" i="39"/>
  <c r="M737" i="39"/>
  <c r="M736" i="39" s="1"/>
  <c r="M775" i="39"/>
  <c r="M774" i="39" s="1"/>
  <c r="M741" i="39"/>
  <c r="M779" i="39"/>
  <c r="M710" i="39" a="1"/>
  <c r="M710" i="39" s="1"/>
  <c r="M1562" i="39"/>
  <c r="M1600" i="39"/>
  <c r="Y846" i="39"/>
  <c r="M598" i="39"/>
  <c r="M600" i="39"/>
  <c r="M604" i="39"/>
  <c r="M605" i="39"/>
  <c r="M601" i="39"/>
  <c r="M615" i="39"/>
  <c r="M603" i="39"/>
  <c r="M602" i="39"/>
  <c r="M909" i="39"/>
  <c r="M947" i="39"/>
  <c r="N1332" i="39"/>
  <c r="N1455" i="39"/>
  <c r="N1375" i="39"/>
  <c r="N1366" i="39" a="1"/>
  <c r="N1366" i="39" s="1"/>
  <c r="N1361" i="39" a="1"/>
  <c r="N1361" i="39" s="1"/>
  <c r="N1367" i="39" a="1"/>
  <c r="N1367" i="39" s="1"/>
  <c r="N1354" i="39" a="1"/>
  <c r="N1354" i="39" s="1"/>
  <c r="N1368" i="39" a="1"/>
  <c r="N1368" i="39" s="1"/>
  <c r="N1381" i="39"/>
  <c r="N1378" i="39"/>
  <c r="N1380" i="39"/>
  <c r="N1379" i="39"/>
  <c r="N1377" i="39"/>
  <c r="N1392" i="39"/>
  <c r="N1382" i="39"/>
  <c r="P514" i="39"/>
  <c r="O516" i="39"/>
  <c r="N191" i="39"/>
  <c r="N287" i="39" s="1"/>
  <c r="N314" i="39"/>
  <c r="N234" i="39"/>
  <c r="N213" i="39" a="1"/>
  <c r="N213" i="39" s="1"/>
  <c r="N226" i="39" a="1"/>
  <c r="N226" i="39" s="1"/>
  <c r="N220" i="39" a="1"/>
  <c r="N220" i="39" s="1"/>
  <c r="N227" i="39" a="1"/>
  <c r="N227" i="39" s="1"/>
  <c r="N225" i="39" a="1"/>
  <c r="N225" i="39" s="1"/>
  <c r="N237" i="39"/>
  <c r="N239" i="39"/>
  <c r="N236" i="39"/>
  <c r="N241" i="39"/>
  <c r="N251" i="39"/>
  <c r="N238" i="39"/>
  <c r="N240" i="39"/>
  <c r="M748" i="39"/>
  <c r="M786" i="39"/>
  <c r="M911" i="39"/>
  <c r="M949" i="39"/>
  <c r="P1329" i="39"/>
  <c r="O1331" i="39"/>
  <c r="M1050" i="39"/>
  <c r="M1048" i="39" s="1"/>
  <c r="L611" i="39"/>
  <c r="M295" i="39"/>
  <c r="M257" i="39"/>
  <c r="N1169" i="39"/>
  <c r="N1265" i="39" s="1"/>
  <c r="N1292" i="39"/>
  <c r="N1212" i="39"/>
  <c r="N1203" i="39" a="1"/>
  <c r="N1203" i="39" s="1"/>
  <c r="N1204" i="39" a="1"/>
  <c r="N1204" i="39" s="1"/>
  <c r="N1205" i="39" a="1"/>
  <c r="N1205" i="39" s="1"/>
  <c r="N1191" i="39" a="1"/>
  <c r="N1191" i="39" s="1"/>
  <c r="N1198" i="39" a="1"/>
  <c r="N1198" i="39" s="1"/>
  <c r="N1216" i="39"/>
  <c r="N1217" i="39"/>
  <c r="N1215" i="39"/>
  <c r="N1218" i="39"/>
  <c r="N1214" i="39"/>
  <c r="N1229" i="39"/>
  <c r="N1219" i="39"/>
  <c r="M785" i="39"/>
  <c r="M747" i="39"/>
  <c r="M1518" i="39"/>
  <c r="M1549" i="39"/>
  <c r="M1587" i="39"/>
  <c r="M1516" i="39"/>
  <c r="M460" i="39"/>
  <c r="M422" i="39"/>
  <c r="P1003" i="39"/>
  <c r="O1005" i="39"/>
  <c r="M904" i="39"/>
  <c r="M942" i="39"/>
  <c r="M873" i="39" a="1"/>
  <c r="M873" i="39" s="1"/>
  <c r="M870" i="39" s="1"/>
  <c r="M252" i="39"/>
  <c r="M290" i="39"/>
  <c r="M221" i="39" a="1"/>
  <c r="M221" i="39" s="1"/>
  <c r="L863" i="39"/>
  <c r="L875" i="39" s="1"/>
  <c r="M1264" i="39"/>
  <c r="M1263" i="39" s="1"/>
  <c r="O1168" i="39"/>
  <c r="P1166" i="39"/>
  <c r="M746" i="39"/>
  <c r="M784" i="39"/>
  <c r="M703" i="39"/>
  <c r="M701" i="39" s="1"/>
  <c r="M734" i="39"/>
  <c r="M772" i="39"/>
  <c r="M1599" i="39"/>
  <c r="M1561" i="39"/>
  <c r="L436" i="39"/>
  <c r="L434" i="39" s="1"/>
  <c r="M453" i="39"/>
  <c r="M415" i="39"/>
  <c r="M384" i="39" a="1"/>
  <c r="M384" i="39" s="1"/>
  <c r="M283" i="39"/>
  <c r="M214" i="39"/>
  <c r="M212" i="39" s="1"/>
  <c r="M245" i="39"/>
  <c r="L1352" i="39"/>
  <c r="L1364" i="39" s="1"/>
  <c r="M1556" i="39"/>
  <c r="M1594" i="39"/>
  <c r="M1525" i="39" a="1"/>
  <c r="M1525" i="39" s="1"/>
  <c r="M421" i="39"/>
  <c r="M459" i="39"/>
  <c r="M559" i="39"/>
  <c r="M1072" i="39"/>
  <c r="M1110" i="39"/>
  <c r="M296" i="39"/>
  <c r="M258" i="39"/>
  <c r="L374" i="39"/>
  <c r="L386" i="39" s="1"/>
  <c r="L1387" i="39"/>
  <c r="L1385" i="39" s="1"/>
  <c r="L1384" i="39" s="1"/>
  <c r="L1396" i="39" s="1"/>
  <c r="L1425" i="39"/>
  <c r="L1423" i="39" s="1"/>
  <c r="L1422" i="39" s="1"/>
  <c r="L1434" i="39" s="1"/>
  <c r="P195" i="39"/>
  <c r="M249" i="39"/>
  <c r="M287" i="39"/>
  <c r="M1537" i="39"/>
  <c r="M377" i="39"/>
  <c r="M375" i="39" s="1"/>
  <c r="M446" i="39"/>
  <c r="M408" i="39"/>
  <c r="M924" i="39"/>
  <c r="M930" i="39"/>
  <c r="M926" i="39"/>
  <c r="M929" i="39"/>
  <c r="M941" i="39"/>
  <c r="M927" i="39"/>
  <c r="M928" i="39"/>
  <c r="M931" i="39"/>
  <c r="M1067" i="39"/>
  <c r="M1105" i="39"/>
  <c r="M1036" i="39" a="1"/>
  <c r="M1036" i="39" s="1"/>
  <c r="M1033" i="39" s="1"/>
  <c r="M259" i="39"/>
  <c r="M297" i="39"/>
  <c r="M1376" i="39"/>
  <c r="M1374" i="39" s="1"/>
  <c r="L936" i="39"/>
  <c r="L934" i="39" s="1"/>
  <c r="L933" i="39" s="1"/>
  <c r="L898" i="39"/>
  <c r="L896" i="39" s="1"/>
  <c r="M1230" i="39"/>
  <c r="M1268" i="39"/>
  <c r="M1199" i="39" a="1"/>
  <c r="M1199" i="39" s="1"/>
  <c r="P194" i="39"/>
  <c r="M458" i="39"/>
  <c r="M420" i="39"/>
  <c r="L1189" i="39"/>
  <c r="L1201" i="39" s="1"/>
  <c r="M938" i="39"/>
  <c r="M900" i="39"/>
  <c r="M899" i="39" s="1"/>
  <c r="M867" i="39"/>
  <c r="M1074" i="39"/>
  <c r="M1112" i="39"/>
  <c r="L599" i="39"/>
  <c r="L597" i="39" s="1"/>
  <c r="M866" i="39"/>
  <c r="M864" i="39" s="1"/>
  <c r="M935" i="39"/>
  <c r="M897" i="39"/>
  <c r="M1413" i="39"/>
  <c r="M1430" i="39"/>
  <c r="M1415" i="39"/>
  <c r="M1417" i="39"/>
  <c r="M1419" i="39"/>
  <c r="M1416" i="39"/>
  <c r="M1418" i="39"/>
  <c r="M1420" i="39"/>
  <c r="Q1499" i="39"/>
  <c r="N1227" i="39"/>
  <c r="M1192" i="39"/>
  <c r="M1190" i="39" s="1"/>
  <c r="M1261" i="39"/>
  <c r="M1223" i="39"/>
  <c r="N215" i="39"/>
  <c r="N248" i="39"/>
  <c r="M573" i="39"/>
  <c r="P1335" i="39"/>
  <c r="M1576" i="39"/>
  <c r="M1581" i="39"/>
  <c r="M1578" i="39"/>
  <c r="M1580" i="39"/>
  <c r="M1593" i="39"/>
  <c r="M1583" i="39"/>
  <c r="M1579" i="39"/>
  <c r="M1582" i="39"/>
  <c r="L1251" i="39"/>
  <c r="M1098" i="39"/>
  <c r="M1029" i="39"/>
  <c r="M1060" i="39"/>
  <c r="L1099" i="39"/>
  <c r="L1097" i="39" s="1"/>
  <c r="L1061" i="39"/>
  <c r="L1059" i="39" s="1"/>
  <c r="L288" i="39"/>
  <c r="L447" i="39"/>
  <c r="L445" i="39" s="1"/>
  <c r="L409" i="39"/>
  <c r="L407" i="39" s="1"/>
  <c r="L1575" i="39"/>
  <c r="P684" i="39"/>
  <c r="M286" i="39"/>
  <c r="M248" i="39"/>
  <c r="M215" i="39"/>
  <c r="M1213" i="39"/>
  <c r="L273" i="39"/>
  <c r="L271" i="39" s="1"/>
  <c r="M1427" i="39"/>
  <c r="M1073" i="39"/>
  <c r="M1111" i="39"/>
  <c r="M272" i="39"/>
  <c r="M289" i="39"/>
  <c r="M276" i="39"/>
  <c r="M279" i="39"/>
  <c r="M274" i="39"/>
  <c r="M278" i="39"/>
  <c r="M277" i="39"/>
  <c r="M275" i="39"/>
  <c r="M1437" i="39"/>
  <c r="M1399" i="39"/>
  <c r="O1012" i="39"/>
  <c r="O1032" i="39" s="1" a="1"/>
  <c r="O1032" i="39" s="1"/>
  <c r="P1010" i="39"/>
  <c r="L250" i="39"/>
  <c r="M1601" i="39"/>
  <c r="M1563" i="39"/>
  <c r="L773" i="39"/>
  <c r="L735" i="39"/>
  <c r="L733" i="39" s="1"/>
  <c r="P677" i="39"/>
  <c r="O679" i="39"/>
  <c r="O685" i="39" s="1"/>
  <c r="O705" i="39" s="1" a="1"/>
  <c r="O705" i="39" s="1"/>
  <c r="M761" i="39"/>
  <c r="M765" i="39"/>
  <c r="M764" i="39"/>
  <c r="M767" i="39"/>
  <c r="M778" i="39"/>
  <c r="M763" i="39"/>
  <c r="M768" i="39"/>
  <c r="M766" i="39"/>
  <c r="M1273" i="39"/>
  <c r="M1235" i="39"/>
  <c r="L1548" i="39"/>
  <c r="L1547" i="39" s="1"/>
  <c r="L1559" i="39" s="1"/>
  <c r="L1588" i="39"/>
  <c r="L1586" i="39" s="1"/>
  <c r="M1591" i="39"/>
  <c r="M1589" i="39" s="1"/>
  <c r="M1553" i="39"/>
  <c r="M1551" i="39" s="1"/>
  <c r="M435" i="39"/>
  <c r="M442" i="39"/>
  <c r="M439" i="39"/>
  <c r="M441" i="39"/>
  <c r="M452" i="39"/>
  <c r="M437" i="39"/>
  <c r="M440" i="39"/>
  <c r="M438" i="39"/>
  <c r="L1262" i="39"/>
  <c r="L1260" i="39" s="1"/>
  <c r="L1224" i="39"/>
  <c r="L1222" i="39" s="1"/>
  <c r="M1398" i="39"/>
  <c r="M1436" i="39"/>
  <c r="M1225" i="39"/>
  <c r="N249" i="39"/>
  <c r="N680" i="39"/>
  <c r="N803" i="39"/>
  <c r="N723" i="39"/>
  <c r="N716" i="39" a="1"/>
  <c r="N716" i="39" s="1"/>
  <c r="N702" i="39" a="1"/>
  <c r="N702" i="39" s="1"/>
  <c r="N714" i="39" a="1"/>
  <c r="N714" i="39" s="1"/>
  <c r="N715" i="39" a="1"/>
  <c r="N715" i="39" s="1"/>
  <c r="N709" i="39" a="1"/>
  <c r="N709" i="39" s="1"/>
  <c r="N725" i="39"/>
  <c r="N727" i="39"/>
  <c r="N730" i="39"/>
  <c r="N726" i="39"/>
  <c r="N740" i="39"/>
  <c r="N729" i="39"/>
  <c r="N728" i="39"/>
  <c r="O1175" i="39"/>
  <c r="O1195" i="39" s="1" a="1"/>
  <c r="O1195" i="39" s="1"/>
  <c r="P1173" i="39"/>
  <c r="L448" i="39"/>
  <c r="M571" i="39"/>
  <c r="M609" i="39"/>
  <c r="M540" i="39"/>
  <c r="P520" i="39"/>
  <c r="O522" i="39"/>
  <c r="O542" i="39" s="1" a="1"/>
  <c r="O542" i="39" s="1"/>
  <c r="M1393" i="39"/>
  <c r="M1431" i="39"/>
  <c r="M1362" i="39" a="1"/>
  <c r="M1362" i="39" s="1"/>
  <c r="N901" i="39"/>
  <c r="L1106" i="39"/>
  <c r="L1103" i="39" s="1"/>
  <c r="L1068" i="39"/>
  <c r="L1065" i="39" s="1"/>
  <c r="P1492" i="39"/>
  <c r="O1494" i="39"/>
  <c r="O1500" i="39" s="1"/>
  <c r="O1520" i="39" s="1" a="1"/>
  <c r="O1520" i="39" s="1"/>
  <c r="N523" i="39"/>
  <c r="N543" i="39" s="1" a="1"/>
  <c r="N543" i="39" s="1"/>
  <c r="N541" i="39" s="1"/>
  <c r="N517" i="39"/>
  <c r="N612" i="39" s="1"/>
  <c r="N560" i="39"/>
  <c r="N546" i="39" a="1"/>
  <c r="N546" i="39" s="1"/>
  <c r="N552" i="39" a="1"/>
  <c r="N552" i="39" s="1"/>
  <c r="N539" i="39" a="1"/>
  <c r="N539" i="39" s="1"/>
  <c r="N553" i="39" a="1"/>
  <c r="N553" i="39" s="1"/>
  <c r="N551" i="39" a="1"/>
  <c r="N551" i="39" s="1"/>
  <c r="N566" i="39"/>
  <c r="N563" i="39"/>
  <c r="N567" i="39"/>
  <c r="N562" i="39"/>
  <c r="N565" i="39"/>
  <c r="N564" i="39"/>
  <c r="N577" i="39"/>
  <c r="P188" i="39"/>
  <c r="O190" i="39"/>
  <c r="O197" i="39" s="1"/>
  <c r="O217" i="39" s="1" a="1"/>
  <c r="O217" i="39" s="1"/>
  <c r="N1006" i="39"/>
  <c r="N1129" i="39"/>
  <c r="N1049" i="39"/>
  <c r="N1035" i="39" a="1"/>
  <c r="N1035" i="39" s="1"/>
  <c r="N1040" i="39" a="1"/>
  <c r="N1040" i="39" s="1"/>
  <c r="N1041" i="39" a="1"/>
  <c r="N1041" i="39" s="1"/>
  <c r="N1042" i="39" a="1"/>
  <c r="N1042" i="39" s="1"/>
  <c r="N1028" i="39" a="1"/>
  <c r="N1028" i="39" s="1"/>
  <c r="N1055" i="39"/>
  <c r="N1051" i="39"/>
  <c r="N1053" i="39"/>
  <c r="N1066" i="39"/>
  <c r="N1054" i="39"/>
  <c r="N1056" i="39"/>
  <c r="N1052" i="39"/>
  <c r="M1236" i="39"/>
  <c r="M1274" i="39"/>
  <c r="M398" i="39"/>
  <c r="M396" i="39" s="1"/>
  <c r="L899" i="39"/>
  <c r="M1211" i="39"/>
  <c r="O1338" i="39"/>
  <c r="O1358" i="39" s="1" a="1"/>
  <c r="O1358" i="39" s="1"/>
  <c r="P1336" i="39"/>
  <c r="Q357" i="39"/>
  <c r="M1100" i="39"/>
  <c r="L925" i="39"/>
  <c r="P358" i="39"/>
  <c r="M623" i="39"/>
  <c r="M585" i="39"/>
  <c r="N1011" i="39"/>
  <c r="N1031" i="39" s="1" a="1"/>
  <c r="N1031" i="39" s="1"/>
  <c r="M1087" i="39"/>
  <c r="M1104" i="39"/>
  <c r="M1093" i="39"/>
  <c r="M1089" i="39"/>
  <c r="M1091" i="39"/>
  <c r="M1090" i="39"/>
  <c r="M1092" i="39"/>
  <c r="M1094" i="39"/>
  <c r="M1424" i="39"/>
  <c r="M1386" i="39"/>
  <c r="M1355" i="39"/>
  <c r="P847" i="39"/>
  <c r="O842" i="39"/>
  <c r="O849" i="39" s="1"/>
  <c r="O869" i="39" s="1" a="1"/>
  <c r="O869" i="39" s="1"/>
  <c r="P840" i="39"/>
  <c r="M1237" i="39"/>
  <c r="M1275" i="39"/>
  <c r="N412" i="39"/>
  <c r="M621" i="39"/>
  <c r="M583" i="39"/>
  <c r="M887" i="39"/>
  <c r="M885" i="39" s="1"/>
  <c r="O1011" i="39"/>
  <c r="O1031" i="39" s="1" a="1"/>
  <c r="O1031" i="39" s="1"/>
  <c r="P1009" i="39"/>
  <c r="L1249" i="39"/>
  <c r="L1033" i="39"/>
  <c r="L1026" i="39" s="1"/>
  <c r="L1038" i="39" s="1"/>
  <c r="M1400" i="39"/>
  <c r="M1438" i="39"/>
  <c r="L1100" i="39"/>
  <c r="N848" i="39"/>
  <c r="N868" i="39" s="1" a="1"/>
  <c r="N868" i="39" s="1"/>
  <c r="N843" i="39"/>
  <c r="N939" i="39" s="1"/>
  <c r="N966" i="39"/>
  <c r="N886" i="39"/>
  <c r="N879" i="39" a="1"/>
  <c r="N879" i="39" s="1"/>
  <c r="N878" i="39" a="1"/>
  <c r="N878" i="39" s="1"/>
  <c r="N865" i="39" a="1"/>
  <c r="N865" i="39" s="1"/>
  <c r="N872" i="39" a="1"/>
  <c r="N872" i="39" s="1"/>
  <c r="N877" i="39" a="1"/>
  <c r="N877" i="39" s="1"/>
  <c r="N888" i="39"/>
  <c r="N889" i="39"/>
  <c r="N890" i="39"/>
  <c r="N892" i="39"/>
  <c r="N903" i="39"/>
  <c r="N891" i="39"/>
  <c r="N893" i="39"/>
  <c r="L1592" i="39"/>
  <c r="M939" i="39"/>
  <c r="L742" i="39"/>
  <c r="L739" i="39" s="1"/>
  <c r="L780" i="39"/>
  <c r="L777" i="39" s="1"/>
  <c r="L700" i="39"/>
  <c r="L712" i="39" s="1"/>
  <c r="Q521" i="39"/>
  <c r="P1172" i="39"/>
  <c r="O1174" i="39"/>
  <c r="O1194" i="39" s="1" a="1"/>
  <c r="O1194" i="39" s="1"/>
  <c r="L771" i="39"/>
  <c r="N1428" i="39"/>
  <c r="N1390" i="39"/>
  <c r="P683" i="39"/>
  <c r="L246" i="39"/>
  <c r="L244" i="39" s="1"/>
  <c r="L284" i="39"/>
  <c r="L282" i="39" s="1"/>
  <c r="L923" i="39"/>
  <c r="M378" i="39"/>
  <c r="M411" i="39"/>
  <c r="M410" i="39" s="1"/>
  <c r="M449" i="39"/>
  <c r="M448" i="39" s="1"/>
  <c r="P1498" i="39"/>
  <c r="M1250" i="39"/>
  <c r="M1252" i="39"/>
  <c r="M1253" i="39"/>
  <c r="M1257" i="39"/>
  <c r="M1254" i="39"/>
  <c r="M1256" i="39"/>
  <c r="M1255" i="39"/>
  <c r="M1267" i="39"/>
  <c r="N685" i="39"/>
  <c r="N705" i="39" s="1" a="1"/>
  <c r="N705" i="39" s="1"/>
  <c r="N354" i="39"/>
  <c r="N450" i="39" s="1"/>
  <c r="N477" i="39"/>
  <c r="N397" i="39"/>
  <c r="N383" i="39" a="1"/>
  <c r="N383" i="39" s="1"/>
  <c r="N390" i="39" a="1"/>
  <c r="N390" i="39" s="1"/>
  <c r="N388" i="39" a="1"/>
  <c r="N388" i="39" s="1"/>
  <c r="N389" i="39" a="1"/>
  <c r="N389" i="39" s="1"/>
  <c r="N376" i="39" a="1"/>
  <c r="N376" i="39" s="1"/>
  <c r="N399" i="39"/>
  <c r="N404" i="39"/>
  <c r="N403" i="39"/>
  <c r="N400" i="39"/>
  <c r="N402" i="39"/>
  <c r="N414" i="39"/>
  <c r="N401" i="39"/>
  <c r="N359" i="39"/>
  <c r="N379" i="39" s="1" a="1"/>
  <c r="N379" i="39" s="1"/>
  <c r="M622" i="39"/>
  <c r="M584" i="39"/>
  <c r="L610" i="39"/>
  <c r="L608" i="39" s="1"/>
  <c r="L572" i="39"/>
  <c r="L570" i="39" s="1"/>
  <c r="L569" i="39" s="1"/>
  <c r="L581" i="39" s="1"/>
  <c r="L1062" i="39"/>
  <c r="L576" i="39"/>
  <c r="M1428" i="39"/>
  <c r="M1390" i="39"/>
  <c r="M1388" i="39" s="1"/>
  <c r="L1231" i="39"/>
  <c r="L1228" i="39" s="1"/>
  <c r="L1269" i="39"/>
  <c r="L1266" i="39" s="1"/>
  <c r="N1495" i="39"/>
  <c r="N1590" i="39" s="1"/>
  <c r="N1618" i="39"/>
  <c r="N1538" i="39"/>
  <c r="N1530" i="39" a="1"/>
  <c r="N1530" i="39" s="1"/>
  <c r="N1517" i="39" a="1"/>
  <c r="N1517" i="39" s="1"/>
  <c r="N1524" i="39" a="1"/>
  <c r="N1524" i="39" s="1"/>
  <c r="N1529" i="39" a="1"/>
  <c r="N1529" i="39" s="1"/>
  <c r="N1531" i="39" a="1"/>
  <c r="N1531" i="39" s="1"/>
  <c r="N1545" i="39"/>
  <c r="N1544" i="39"/>
  <c r="N1541" i="39"/>
  <c r="N1555" i="39"/>
  <c r="N1540" i="39"/>
  <c r="N1542" i="39"/>
  <c r="N1543" i="39"/>
  <c r="N1501" i="39"/>
  <c r="N1521" i="39" s="1" a="1"/>
  <c r="N1521" i="39" s="1"/>
  <c r="P351" i="39"/>
  <c r="O353" i="39"/>
  <c r="O360" i="39" s="1"/>
  <c r="O380" i="39" s="1" a="1"/>
  <c r="O380" i="39" s="1"/>
  <c r="M578" i="39"/>
  <c r="M616" i="39"/>
  <c r="M547" i="39" a="1"/>
  <c r="M547" i="39" s="1"/>
  <c r="M910" i="39"/>
  <c r="M948" i="39"/>
  <c r="M235" i="39"/>
  <c r="M233" i="39" s="1"/>
  <c r="L537" i="39"/>
  <c r="L549" i="39" s="1"/>
  <c r="N1174" i="39"/>
  <c r="N1194" i="39" s="1" a="1"/>
  <c r="N1194" i="39" s="1"/>
  <c r="L614" i="39"/>
  <c r="R30" i="41"/>
  <c r="R33" i="41" s="1"/>
  <c r="S30" i="41" s="1"/>
  <c r="P28" i="41"/>
  <c r="Q25" i="41" s="1"/>
  <c r="R43" i="41"/>
  <c r="P13" i="41"/>
  <c r="Q10" i="41" s="1"/>
  <c r="Q20" i="41"/>
  <c r="Q23" i="41" s="1"/>
  <c r="R20" i="41" s="1"/>
  <c r="P53" i="41"/>
  <c r="Q48" i="41"/>
  <c r="R15" i="41"/>
  <c r="R16" i="41"/>
  <c r="Q6" i="41"/>
  <c r="Q5" i="41"/>
  <c r="N286" i="39" l="1"/>
  <c r="N1389" i="39"/>
  <c r="N1356" i="39"/>
  <c r="N561" i="39"/>
  <c r="N559" i="39" s="1"/>
  <c r="L406" i="39"/>
  <c r="L418" i="39" s="1"/>
  <c r="M599" i="39"/>
  <c r="M925" i="39"/>
  <c r="L607" i="39"/>
  <c r="L619" i="39" s="1"/>
  <c r="L1259" i="39"/>
  <c r="L1271" i="39" s="1"/>
  <c r="L281" i="39"/>
  <c r="L293" i="39" s="1"/>
  <c r="M436" i="39"/>
  <c r="M434" i="39" s="1"/>
  <c r="M247" i="39"/>
  <c r="N1376" i="39"/>
  <c r="N1374" i="39" s="1"/>
  <c r="L444" i="39"/>
  <c r="L456" i="39" s="1"/>
  <c r="N398" i="39"/>
  <c r="N396" i="39" s="1"/>
  <c r="M1251" i="39"/>
  <c r="M1414" i="39"/>
  <c r="M1412" i="39" s="1"/>
  <c r="N887" i="39"/>
  <c r="N885" i="39" s="1"/>
  <c r="M937" i="39"/>
  <c r="M863" i="39"/>
  <c r="M875" i="39" s="1"/>
  <c r="N1426" i="39"/>
  <c r="L895" i="39"/>
  <c r="L907" i="39" s="1"/>
  <c r="L243" i="39"/>
  <c r="L255" i="39" s="1"/>
  <c r="N724" i="39"/>
  <c r="M273" i="39"/>
  <c r="M271" i="39" s="1"/>
  <c r="M1577" i="39"/>
  <c r="M1575" i="39" s="1"/>
  <c r="O249" i="39"/>
  <c r="O1552" i="39"/>
  <c r="M579" i="39"/>
  <c r="M576" i="39" s="1"/>
  <c r="M617" i="39"/>
  <c r="M614" i="39" s="1"/>
  <c r="N1591" i="39"/>
  <c r="N1589" i="39" s="1"/>
  <c r="N1553" i="39"/>
  <c r="N1551" i="39" s="1"/>
  <c r="O1226" i="39"/>
  <c r="O1193" i="39"/>
  <c r="N947" i="39"/>
  <c r="N909" i="39"/>
  <c r="Q1009" i="39"/>
  <c r="Q847" i="39"/>
  <c r="Q358" i="39"/>
  <c r="N722" i="39"/>
  <c r="O1169" i="39"/>
  <c r="O1264" i="39" s="1"/>
  <c r="O1292" i="39"/>
  <c r="O1212" i="39"/>
  <c r="O1191" i="39" a="1"/>
  <c r="O1191" i="39" s="1"/>
  <c r="O1205" i="39" a="1"/>
  <c r="O1205" i="39" s="1"/>
  <c r="O1198" i="39" a="1"/>
  <c r="O1198" i="39" s="1"/>
  <c r="O1204" i="39" a="1"/>
  <c r="O1204" i="39" s="1"/>
  <c r="O1203" i="39" a="1"/>
  <c r="O1203" i="39" s="1"/>
  <c r="O1229" i="39"/>
  <c r="O1217" i="39"/>
  <c r="O1219" i="39"/>
  <c r="O1214" i="39"/>
  <c r="O1218" i="39"/>
  <c r="O1216" i="39"/>
  <c r="O1215" i="39"/>
  <c r="N1274" i="39"/>
  <c r="N1236" i="39"/>
  <c r="O412" i="39"/>
  <c r="M1061" i="39"/>
  <c r="M1059" i="39" s="1"/>
  <c r="M1099" i="39"/>
  <c r="M1097" i="39" s="1"/>
  <c r="N285" i="39"/>
  <c r="M416" i="39"/>
  <c r="M413" i="39" s="1"/>
  <c r="M454" i="39"/>
  <c r="M451" i="39" s="1"/>
  <c r="N1273" i="39"/>
  <c r="N1235" i="39"/>
  <c r="O1030" i="39"/>
  <c r="O1063" i="39"/>
  <c r="M1387" i="39"/>
  <c r="M1385" i="39" s="1"/>
  <c r="M1425" i="39"/>
  <c r="M1423" i="39" s="1"/>
  <c r="N446" i="39"/>
  <c r="N408" i="39"/>
  <c r="N377" i="39"/>
  <c r="N375" i="39" s="1"/>
  <c r="M1249" i="39"/>
  <c r="R521" i="39"/>
  <c r="N866" i="39"/>
  <c r="N935" i="39"/>
  <c r="N897" i="39"/>
  <c r="N864" i="39"/>
  <c r="N1050" i="39"/>
  <c r="N1048" i="39" s="1"/>
  <c r="Q1173" i="39"/>
  <c r="N761" i="39"/>
  <c r="N767" i="39"/>
  <c r="N763" i="39"/>
  <c r="N765" i="39"/>
  <c r="N768" i="39"/>
  <c r="N778" i="39"/>
  <c r="N764" i="39"/>
  <c r="N766" i="39"/>
  <c r="N247" i="39"/>
  <c r="M381" i="39"/>
  <c r="N1193" i="39"/>
  <c r="N1264" i="39"/>
  <c r="N1263" i="39" s="1"/>
  <c r="N1226" i="39"/>
  <c r="N1225" i="39" s="1"/>
  <c r="N1539" i="39"/>
  <c r="N1537" i="39" s="1"/>
  <c r="N910" i="39"/>
  <c r="N948" i="39"/>
  <c r="M1353" i="39"/>
  <c r="M1432" i="39"/>
  <c r="M1429" i="39" s="1"/>
  <c r="M1394" i="39"/>
  <c r="M1391" i="39" s="1"/>
  <c r="O1227" i="39"/>
  <c r="O680" i="39"/>
  <c r="O775" i="39" s="1"/>
  <c r="O803" i="39"/>
  <c r="O723" i="39"/>
  <c r="O702" i="39" a="1"/>
  <c r="O702" i="39" s="1"/>
  <c r="O714" i="39" a="1"/>
  <c r="O714" i="39" s="1"/>
  <c r="O709" i="39" a="1"/>
  <c r="O709" i="39" s="1"/>
  <c r="O716" i="39" a="1"/>
  <c r="O716" i="39" s="1"/>
  <c r="O715" i="39" a="1"/>
  <c r="O715" i="39" s="1"/>
  <c r="O725" i="39"/>
  <c r="O727" i="39"/>
  <c r="O726" i="39"/>
  <c r="O728" i="39"/>
  <c r="O729" i="39"/>
  <c r="O730" i="39"/>
  <c r="O740" i="39"/>
  <c r="O196" i="39"/>
  <c r="O216" i="39" s="1" a="1"/>
  <c r="O216" i="39" s="1"/>
  <c r="M291" i="39"/>
  <c r="M288" i="39" s="1"/>
  <c r="M253" i="39"/>
  <c r="M250" i="39" s="1"/>
  <c r="M1588" i="39"/>
  <c r="M1586" i="39" s="1"/>
  <c r="M1550" i="39"/>
  <c r="M1548" i="39" s="1"/>
  <c r="N235" i="39"/>
  <c r="N233" i="39" s="1"/>
  <c r="N904" i="39"/>
  <c r="N942" i="39"/>
  <c r="N873" i="39" a="1"/>
  <c r="N873" i="39" s="1"/>
  <c r="N459" i="39"/>
  <c r="N421" i="39"/>
  <c r="Q1498" i="39"/>
  <c r="N458" i="39"/>
  <c r="N420" i="39"/>
  <c r="N949" i="39"/>
  <c r="N911" i="39"/>
  <c r="N1029" i="39"/>
  <c r="N1098" i="39"/>
  <c r="N1060" i="39"/>
  <c r="M1359" i="39"/>
  <c r="Q677" i="39"/>
  <c r="P679" i="39"/>
  <c r="P685" i="39" s="1"/>
  <c r="P705" i="39" s="1" a="1"/>
  <c r="P705" i="39" s="1"/>
  <c r="M285" i="39"/>
  <c r="Q194" i="39"/>
  <c r="M218" i="39"/>
  <c r="M211" i="39" s="1"/>
  <c r="M223" i="39" s="1"/>
  <c r="N1250" i="39"/>
  <c r="N1254" i="39"/>
  <c r="N1252" i="39"/>
  <c r="N1255" i="39"/>
  <c r="N1253" i="39"/>
  <c r="N1267" i="39"/>
  <c r="N1256" i="39"/>
  <c r="N1257" i="39"/>
  <c r="O1390" i="39"/>
  <c r="Q1172" i="39"/>
  <c r="N1074" i="39"/>
  <c r="N1112" i="39"/>
  <c r="N583" i="39"/>
  <c r="N621" i="39"/>
  <c r="L732" i="39"/>
  <c r="L744" i="39" s="1"/>
  <c r="Q684" i="39"/>
  <c r="M1269" i="39"/>
  <c r="M1266" i="39" s="1"/>
  <c r="M1231" i="39"/>
  <c r="M1228" i="39" s="1"/>
  <c r="Q195" i="39"/>
  <c r="M1557" i="39"/>
  <c r="M1554" i="39" s="1"/>
  <c r="M1595" i="39"/>
  <c r="M1592" i="39" s="1"/>
  <c r="N422" i="39"/>
  <c r="N460" i="39"/>
  <c r="R357" i="39"/>
  <c r="N453" i="39"/>
  <c r="N415" i="39"/>
  <c r="N384" i="39" a="1"/>
  <c r="N384" i="39" s="1"/>
  <c r="Q1336" i="39"/>
  <c r="N1111" i="39"/>
  <c r="N1073" i="39"/>
  <c r="N623" i="39"/>
  <c r="N585" i="39"/>
  <c r="L1585" i="39"/>
  <c r="L1597" i="39" s="1"/>
  <c r="O686" i="39"/>
  <c r="O706" i="39" s="1" a="1"/>
  <c r="O706" i="39" s="1"/>
  <c r="O704" i="39" s="1"/>
  <c r="M1196" i="39"/>
  <c r="M1189" i="39" s="1"/>
  <c r="M1201" i="39" s="1"/>
  <c r="M1522" i="39"/>
  <c r="M1515" i="39" s="1"/>
  <c r="M1527" i="39" s="1"/>
  <c r="N257" i="39"/>
  <c r="N295" i="39"/>
  <c r="N1072" i="39"/>
  <c r="N1110" i="39"/>
  <c r="N540" i="39"/>
  <c r="N538" i="39" s="1"/>
  <c r="N571" i="39"/>
  <c r="N609" i="39"/>
  <c r="M1224" i="39"/>
  <c r="M1222" i="39" s="1"/>
  <c r="M1262" i="39"/>
  <c r="M1260" i="39" s="1"/>
  <c r="M898" i="39"/>
  <c r="M896" i="39" s="1"/>
  <c r="M936" i="39"/>
  <c r="M934" i="39" s="1"/>
  <c r="N259" i="39"/>
  <c r="N297" i="39"/>
  <c r="N1438" i="39"/>
  <c r="N1400" i="39"/>
  <c r="N1067" i="39"/>
  <c r="N1105" i="39"/>
  <c r="N1036" i="39" a="1"/>
  <c r="N1036" i="39" s="1"/>
  <c r="N584" i="39"/>
  <c r="N622" i="39"/>
  <c r="M943" i="39"/>
  <c r="M940" i="39" s="1"/>
  <c r="M905" i="39"/>
  <c r="M902" i="39" s="1"/>
  <c r="N1213" i="39"/>
  <c r="N1211" i="39" s="1"/>
  <c r="N290" i="39"/>
  <c r="N252" i="39"/>
  <c r="N221" i="39" a="1"/>
  <c r="N221" i="39" s="1"/>
  <c r="N218" i="39" s="1"/>
  <c r="N1424" i="39"/>
  <c r="N1386" i="39"/>
  <c r="N1355" i="39"/>
  <c r="M597" i="39"/>
  <c r="O574" i="39"/>
  <c r="L1221" i="39"/>
  <c r="L1233" i="39" s="1"/>
  <c r="L1096" i="39"/>
  <c r="O1332" i="39"/>
  <c r="O1455" i="39"/>
  <c r="O1375" i="39"/>
  <c r="O1361" i="39" a="1"/>
  <c r="O1361" i="39" s="1"/>
  <c r="O1354" i="39" a="1"/>
  <c r="O1354" i="39" s="1"/>
  <c r="O1368" i="39" a="1"/>
  <c r="O1368" i="39" s="1"/>
  <c r="O1366" i="39" a="1"/>
  <c r="O1366" i="39" s="1"/>
  <c r="O1367" i="39" a="1"/>
  <c r="O1367" i="39" s="1"/>
  <c r="O1378" i="39"/>
  <c r="O1382" i="39"/>
  <c r="O1377" i="39"/>
  <c r="O1392" i="39"/>
  <c r="O1381" i="39"/>
  <c r="O1380" i="39"/>
  <c r="O1379" i="39"/>
  <c r="N296" i="39"/>
  <c r="N258" i="39"/>
  <c r="N1437" i="39"/>
  <c r="N1399" i="39"/>
  <c r="N924" i="39"/>
  <c r="N927" i="39"/>
  <c r="N941" i="39"/>
  <c r="N931" i="39"/>
  <c r="N928" i="39"/>
  <c r="N929" i="39"/>
  <c r="N926" i="39"/>
  <c r="N930" i="39"/>
  <c r="N737" i="39"/>
  <c r="N736" i="39" s="1"/>
  <c r="N704" i="39"/>
  <c r="N775" i="39"/>
  <c r="Q520" i="39"/>
  <c r="Q1010" i="39"/>
  <c r="M1426" i="39"/>
  <c r="R1499" i="39"/>
  <c r="M923" i="39"/>
  <c r="L945" i="39"/>
  <c r="Q1329" i="39"/>
  <c r="P1331" i="39"/>
  <c r="P1338" i="39" s="1"/>
  <c r="P1358" i="39" s="1" a="1"/>
  <c r="P1358" i="39" s="1"/>
  <c r="N214" i="39"/>
  <c r="N245" i="39"/>
  <c r="N283" i="39"/>
  <c r="N1393" i="39"/>
  <c r="N1431" i="39"/>
  <c r="N1362" i="39" a="1"/>
  <c r="N1362" i="39" s="1"/>
  <c r="Z846" i="39"/>
  <c r="N776" i="39"/>
  <c r="N1563" i="39"/>
  <c r="N1601" i="39"/>
  <c r="N1587" i="39"/>
  <c r="N1518" i="39"/>
  <c r="N1516" i="39" s="1"/>
  <c r="N1549" i="39"/>
  <c r="Q683" i="39"/>
  <c r="N1087" i="39"/>
  <c r="N1104" i="39"/>
  <c r="N1092" i="39"/>
  <c r="N1091" i="39"/>
  <c r="N1094" i="39"/>
  <c r="N1089" i="39"/>
  <c r="N1093" i="39"/>
  <c r="N1090" i="39"/>
  <c r="N598" i="39"/>
  <c r="N605" i="39"/>
  <c r="N603" i="39"/>
  <c r="N601" i="39"/>
  <c r="N600" i="39"/>
  <c r="N604" i="39"/>
  <c r="N615" i="39"/>
  <c r="N602" i="39"/>
  <c r="M610" i="39"/>
  <c r="M608" i="39" s="1"/>
  <c r="M572" i="39"/>
  <c r="M570" i="39" s="1"/>
  <c r="M569" i="39" s="1"/>
  <c r="M581" i="39" s="1"/>
  <c r="N779" i="39"/>
  <c r="N741" i="39"/>
  <c r="N710" i="39" a="1"/>
  <c r="N710" i="39" s="1"/>
  <c r="O1064" i="39"/>
  <c r="N1388" i="39"/>
  <c r="L1058" i="39"/>
  <c r="L1070" i="39" s="1"/>
  <c r="M773" i="39"/>
  <c r="M771" i="39" s="1"/>
  <c r="M735" i="39"/>
  <c r="M733" i="39" s="1"/>
  <c r="N1398" i="39"/>
  <c r="N1436" i="39"/>
  <c r="N1556" i="39"/>
  <c r="N1594" i="39"/>
  <c r="N1525" i="39" a="1"/>
  <c r="N1525" i="39" s="1"/>
  <c r="N613" i="39"/>
  <c r="N611" i="39" s="1"/>
  <c r="N575" i="39"/>
  <c r="N573" i="39" s="1"/>
  <c r="N747" i="39"/>
  <c r="N785" i="39"/>
  <c r="M762" i="39"/>
  <c r="M760" i="39" s="1"/>
  <c r="O1006" i="39"/>
  <c r="O1102" i="39" s="1"/>
  <c r="O1129" i="39"/>
  <c r="O1049" i="39"/>
  <c r="O1042" i="39" a="1"/>
  <c r="O1042" i="39" s="1"/>
  <c r="O1040" i="39" a="1"/>
  <c r="O1040" i="39" s="1"/>
  <c r="O1041" i="39" a="1"/>
  <c r="O1041" i="39" s="1"/>
  <c r="O1028" i="39" a="1"/>
  <c r="O1028" i="39" s="1"/>
  <c r="O1035" i="39" a="1"/>
  <c r="O1035" i="39" s="1"/>
  <c r="O1056" i="39"/>
  <c r="O1055" i="39"/>
  <c r="O1051" i="39"/>
  <c r="O1066" i="39"/>
  <c r="O1053" i="39"/>
  <c r="O1052" i="39"/>
  <c r="O1054" i="39"/>
  <c r="N1102" i="39"/>
  <c r="N867" i="39"/>
  <c r="N900" i="39"/>
  <c r="N899" i="39" s="1"/>
  <c r="N938" i="39"/>
  <c r="N937" i="39" s="1"/>
  <c r="N378" i="39"/>
  <c r="N411" i="39"/>
  <c r="N410" i="39" s="1"/>
  <c r="N449" i="39"/>
  <c r="N448" i="39" s="1"/>
  <c r="M544" i="39"/>
  <c r="N1101" i="39"/>
  <c r="N1063" i="39"/>
  <c r="N1062" i="39" s="1"/>
  <c r="N1030" i="39"/>
  <c r="P190" i="39"/>
  <c r="P196" i="39" s="1"/>
  <c r="P216" i="39" s="1" a="1"/>
  <c r="P216" i="39" s="1"/>
  <c r="Q188" i="39"/>
  <c r="O1495" i="39"/>
  <c r="O1590" i="39" s="1"/>
  <c r="O1618" i="39"/>
  <c r="O1538" i="39"/>
  <c r="O1531" i="39" a="1"/>
  <c r="O1531" i="39" s="1"/>
  <c r="O1517" i="39" a="1"/>
  <c r="O1517" i="39" s="1"/>
  <c r="O1530" i="39" a="1"/>
  <c r="O1530" i="39" s="1"/>
  <c r="O1524" i="39" a="1"/>
  <c r="O1524" i="39" s="1"/>
  <c r="O1529" i="39" a="1"/>
  <c r="O1529" i="39" s="1"/>
  <c r="O1545" i="39"/>
  <c r="O1540" i="39"/>
  <c r="O1555" i="39"/>
  <c r="O1544" i="39"/>
  <c r="O1541" i="39"/>
  <c r="O1543" i="39"/>
  <c r="O1542" i="39"/>
  <c r="O1501" i="39"/>
  <c r="O1521" i="39" s="1" a="1"/>
  <c r="O1521" i="39" s="1"/>
  <c r="O1519" i="39" s="1"/>
  <c r="M538" i="39"/>
  <c r="N1268" i="39"/>
  <c r="N1230" i="39"/>
  <c r="N1199" i="39" a="1"/>
  <c r="N1199" i="39" s="1"/>
  <c r="N272" i="39"/>
  <c r="N275" i="39"/>
  <c r="N277" i="39"/>
  <c r="N274" i="39"/>
  <c r="N276" i="39"/>
  <c r="N289" i="39"/>
  <c r="N278" i="39"/>
  <c r="N279" i="39"/>
  <c r="M742" i="39"/>
  <c r="M739" i="39" s="1"/>
  <c r="M780" i="39"/>
  <c r="M777" i="39" s="1"/>
  <c r="N616" i="39"/>
  <c r="N578" i="39"/>
  <c r="N547" i="39" a="1"/>
  <c r="N547" i="39" s="1"/>
  <c r="O737" i="39"/>
  <c r="O191" i="39"/>
  <c r="O287" i="39" s="1"/>
  <c r="O314" i="39"/>
  <c r="O234" i="39"/>
  <c r="O220" i="39" a="1"/>
  <c r="O220" i="39" s="1"/>
  <c r="O213" i="39" a="1"/>
  <c r="O213" i="39" s="1"/>
  <c r="O226" i="39" a="1"/>
  <c r="O226" i="39" s="1"/>
  <c r="O227" i="39" a="1"/>
  <c r="O227" i="39" s="1"/>
  <c r="O225" i="39" a="1"/>
  <c r="O225" i="39" s="1"/>
  <c r="O251" i="39"/>
  <c r="O241" i="39"/>
  <c r="O239" i="39"/>
  <c r="O237" i="39"/>
  <c r="O240" i="39"/>
  <c r="O238" i="39"/>
  <c r="O236" i="39"/>
  <c r="Q840" i="39"/>
  <c r="P842" i="39"/>
  <c r="P849" i="39" s="1"/>
  <c r="P869" i="39" s="1" a="1"/>
  <c r="P869" i="39" s="1"/>
  <c r="N746" i="39"/>
  <c r="N784" i="39"/>
  <c r="L1108" i="39"/>
  <c r="M284" i="39"/>
  <c r="M282" i="39" s="1"/>
  <c r="M246" i="39"/>
  <c r="M244" i="39" s="1"/>
  <c r="Q1003" i="39"/>
  <c r="P1005" i="39"/>
  <c r="P1012" i="39" s="1"/>
  <c r="P1032" i="39" s="1" a="1"/>
  <c r="P1032" i="39" s="1"/>
  <c r="O354" i="39"/>
  <c r="O477" i="39"/>
  <c r="O397" i="39"/>
  <c r="O383" i="39" a="1"/>
  <c r="O383" i="39" s="1"/>
  <c r="O376" i="39" a="1"/>
  <c r="O376" i="39" s="1"/>
  <c r="O389" i="39" a="1"/>
  <c r="O389" i="39" s="1"/>
  <c r="O390" i="39" a="1"/>
  <c r="O390" i="39" s="1"/>
  <c r="O388" i="39" a="1"/>
  <c r="O388" i="39" s="1"/>
  <c r="O403" i="39"/>
  <c r="O404" i="39"/>
  <c r="O400" i="39"/>
  <c r="O401" i="39"/>
  <c r="O414" i="39"/>
  <c r="O402" i="39"/>
  <c r="O399" i="39"/>
  <c r="O359" i="39"/>
  <c r="O379" i="39" s="1" a="1"/>
  <c r="O379" i="39" s="1"/>
  <c r="O848" i="39"/>
  <c r="O868" i="39" s="1" a="1"/>
  <c r="O868" i="39" s="1"/>
  <c r="O843" i="39"/>
  <c r="O939" i="39" s="1"/>
  <c r="O966" i="39"/>
  <c r="O886" i="39"/>
  <c r="O865" i="39" a="1"/>
  <c r="O865" i="39" s="1"/>
  <c r="O877" i="39" a="1"/>
  <c r="O877" i="39" s="1"/>
  <c r="O879" i="39" a="1"/>
  <c r="O879" i="39" s="1"/>
  <c r="O872" i="39" a="1"/>
  <c r="O872" i="39" s="1"/>
  <c r="O878" i="39" a="1"/>
  <c r="O878" i="39" s="1"/>
  <c r="O890" i="39"/>
  <c r="O893" i="39"/>
  <c r="O892" i="39"/>
  <c r="O891" i="39"/>
  <c r="O888" i="39"/>
  <c r="O903" i="39"/>
  <c r="O889" i="39"/>
  <c r="P1494" i="39"/>
  <c r="P1500" i="39" s="1"/>
  <c r="P1520" i="39" s="1" a="1"/>
  <c r="P1520" i="39" s="1"/>
  <c r="Q1492" i="39"/>
  <c r="N772" i="39"/>
  <c r="N703" i="39"/>
  <c r="N734" i="39"/>
  <c r="O1337" i="39"/>
  <c r="O1357" i="39" s="1" a="1"/>
  <c r="O1357" i="39" s="1"/>
  <c r="M374" i="39"/>
  <c r="M386" i="39" s="1"/>
  <c r="N1192" i="39"/>
  <c r="N1223" i="39"/>
  <c r="N1261" i="39"/>
  <c r="O517" i="39"/>
  <c r="O612" i="39" s="1"/>
  <c r="O560" i="39"/>
  <c r="O546" i="39" a="1"/>
  <c r="O546" i="39" s="1"/>
  <c r="O551" i="39" a="1"/>
  <c r="O551" i="39" s="1"/>
  <c r="O553" i="39" a="1"/>
  <c r="O553" i="39" s="1"/>
  <c r="O539" i="39" a="1"/>
  <c r="O539" i="39" s="1"/>
  <c r="O552" i="39" a="1"/>
  <c r="O552" i="39" s="1"/>
  <c r="O563" i="39"/>
  <c r="O567" i="39"/>
  <c r="O577" i="39"/>
  <c r="O566" i="39"/>
  <c r="O564" i="39"/>
  <c r="O562" i="39"/>
  <c r="O565" i="39"/>
  <c r="O523" i="39"/>
  <c r="O543" i="39" s="1" a="1"/>
  <c r="O543" i="39" s="1"/>
  <c r="O541" i="39" s="1"/>
  <c r="N1413" i="39"/>
  <c r="N1419" i="39"/>
  <c r="N1416" i="39"/>
  <c r="N1415" i="39"/>
  <c r="N1418" i="39"/>
  <c r="N1417" i="39"/>
  <c r="N1430" i="39"/>
  <c r="N1420" i="39"/>
  <c r="M707" i="39"/>
  <c r="M700" i="39" s="1"/>
  <c r="M712" i="39" s="1"/>
  <c r="N1599" i="39"/>
  <c r="N1561" i="39"/>
  <c r="N435" i="39"/>
  <c r="N437" i="39"/>
  <c r="N442" i="39"/>
  <c r="N441" i="39"/>
  <c r="N438" i="39"/>
  <c r="N440" i="39"/>
  <c r="N439" i="39"/>
  <c r="N452" i="39"/>
  <c r="M1088" i="39"/>
  <c r="M1086" i="39" s="1"/>
  <c r="N1600" i="39"/>
  <c r="N1562" i="39"/>
  <c r="S31" i="41"/>
  <c r="S33" i="41" s="1"/>
  <c r="T30" i="41" s="1"/>
  <c r="Q351" i="39"/>
  <c r="P353" i="39"/>
  <c r="P360" i="39" s="1"/>
  <c r="P380" i="39" s="1" a="1"/>
  <c r="P380" i="39" s="1"/>
  <c r="N1576" i="39"/>
  <c r="N1583" i="39"/>
  <c r="N1579" i="39"/>
  <c r="N1582" i="39"/>
  <c r="N1578" i="39"/>
  <c r="N1581" i="39"/>
  <c r="N1580" i="39"/>
  <c r="N1593" i="39"/>
  <c r="L770" i="39"/>
  <c r="L782" i="39" s="1"/>
  <c r="O901" i="39"/>
  <c r="N748" i="39"/>
  <c r="N786" i="39"/>
  <c r="M1027" i="39"/>
  <c r="M1026" i="39" s="1"/>
  <c r="M1038" i="39" s="1"/>
  <c r="Q1335" i="39"/>
  <c r="M1106" i="39"/>
  <c r="M1103" i="39" s="1"/>
  <c r="M1068" i="39"/>
  <c r="M1065" i="39" s="1"/>
  <c r="M409" i="39"/>
  <c r="M407" i="39" s="1"/>
  <c r="M406" i="39" s="1"/>
  <c r="M418" i="39" s="1"/>
  <c r="M447" i="39"/>
  <c r="M445" i="39" s="1"/>
  <c r="P1168" i="39"/>
  <c r="P1174" i="39" s="1"/>
  <c r="P1194" i="39" s="1" a="1"/>
  <c r="P1194" i="39" s="1"/>
  <c r="Q1166" i="39"/>
  <c r="N1237" i="39"/>
  <c r="N1275" i="39"/>
  <c r="Q514" i="39"/>
  <c r="P516" i="39"/>
  <c r="N1519" i="39"/>
  <c r="Q26" i="41"/>
  <c r="Q28" i="41"/>
  <c r="S41" i="41"/>
  <c r="S40" i="41"/>
  <c r="Q11" i="41"/>
  <c r="Q13" i="41" s="1"/>
  <c r="R10" i="41" s="1"/>
  <c r="R21" i="41"/>
  <c r="R23" i="41" s="1"/>
  <c r="R18" i="41"/>
  <c r="S15" i="41" s="1"/>
  <c r="R46" i="41"/>
  <c r="R45" i="41"/>
  <c r="Q50" i="41"/>
  <c r="Q51" i="41"/>
  <c r="Q8" i="41"/>
  <c r="R6" i="41" s="1"/>
  <c r="O398" i="39" l="1"/>
  <c r="O724" i="39"/>
  <c r="P1337" i="39"/>
  <c r="P1357" i="39" s="1" a="1"/>
  <c r="P1357" i="39" s="1"/>
  <c r="P1356" i="39" s="1"/>
  <c r="M1096" i="39"/>
  <c r="M1108" i="39" s="1"/>
  <c r="N599" i="39"/>
  <c r="N597" i="39" s="1"/>
  <c r="M1259" i="39"/>
  <c r="N1088" i="39"/>
  <c r="O561" i="39"/>
  <c r="O559" i="39" s="1"/>
  <c r="M444" i="39"/>
  <c r="M456" i="39" s="1"/>
  <c r="N925" i="39"/>
  <c r="N436" i="39"/>
  <c r="O1050" i="39"/>
  <c r="M607" i="39"/>
  <c r="O1265" i="39"/>
  <c r="O1263" i="39" s="1"/>
  <c r="M243" i="39"/>
  <c r="M255" i="39" s="1"/>
  <c r="M1384" i="39"/>
  <c r="M1396" i="39" s="1"/>
  <c r="O1213" i="39"/>
  <c r="O1211" i="39" s="1"/>
  <c r="N1414" i="39"/>
  <c r="M281" i="39"/>
  <c r="M293" i="39" s="1"/>
  <c r="N1100" i="39"/>
  <c r="M933" i="39"/>
  <c r="M945" i="39" s="1"/>
  <c r="M537" i="39"/>
  <c r="M549" i="39" s="1"/>
  <c r="M895" i="39"/>
  <c r="M907" i="39" s="1"/>
  <c r="M1271" i="39"/>
  <c r="O1225" i="39"/>
  <c r="M1058" i="39"/>
  <c r="M1070" i="39" s="1"/>
  <c r="P248" i="39"/>
  <c r="P901" i="39"/>
  <c r="P1226" i="39"/>
  <c r="P412" i="39"/>
  <c r="O460" i="39"/>
  <c r="O422" i="39"/>
  <c r="P517" i="39"/>
  <c r="P560" i="39"/>
  <c r="P551" i="39" a="1"/>
  <c r="P551" i="39" s="1"/>
  <c r="P546" i="39" a="1"/>
  <c r="P546" i="39" s="1"/>
  <c r="P553" i="39" a="1"/>
  <c r="P553" i="39" s="1"/>
  <c r="P539" i="39" a="1"/>
  <c r="P539" i="39" s="1"/>
  <c r="P552" i="39" a="1"/>
  <c r="P552" i="39" s="1"/>
  <c r="P562" i="39"/>
  <c r="P577" i="39"/>
  <c r="P566" i="39"/>
  <c r="P567" i="39"/>
  <c r="P564" i="39"/>
  <c r="P563" i="39"/>
  <c r="P565" i="39"/>
  <c r="P523" i="39"/>
  <c r="P543" i="39" s="1" a="1"/>
  <c r="P543" i="39" s="1"/>
  <c r="O435" i="39"/>
  <c r="O441" i="39"/>
  <c r="O442" i="39"/>
  <c r="O438" i="39"/>
  <c r="O452" i="39"/>
  <c r="O439" i="39"/>
  <c r="O440" i="39"/>
  <c r="O437" i="39"/>
  <c r="P1552" i="39"/>
  <c r="R514" i="39"/>
  <c r="Q516" i="39"/>
  <c r="O1587" i="39"/>
  <c r="O1549" i="39"/>
  <c r="O1518" i="39"/>
  <c r="O1516" i="39" s="1"/>
  <c r="O1074" i="39"/>
  <c r="O1112" i="39"/>
  <c r="P1332" i="39"/>
  <c r="P1428" i="39" s="1"/>
  <c r="P1455" i="39"/>
  <c r="P1375" i="39"/>
  <c r="P1361" i="39" a="1"/>
  <c r="P1361" i="39" s="1"/>
  <c r="P1354" i="39" a="1"/>
  <c r="P1354" i="39" s="1"/>
  <c r="P1368" i="39" a="1"/>
  <c r="P1368" i="39" s="1"/>
  <c r="P1366" i="39" a="1"/>
  <c r="P1366" i="39" s="1"/>
  <c r="P1367" i="39" a="1"/>
  <c r="P1367" i="39" s="1"/>
  <c r="P1392" i="39"/>
  <c r="P1381" i="39"/>
  <c r="P1380" i="39"/>
  <c r="P1377" i="39"/>
  <c r="P1382" i="39"/>
  <c r="P1378" i="39"/>
  <c r="P1379" i="39"/>
  <c r="O738" i="39"/>
  <c r="O776" i="39"/>
  <c r="O774" i="39" s="1"/>
  <c r="N617" i="39"/>
  <c r="N614" i="39" s="1"/>
  <c r="N579" i="39"/>
  <c r="N576" i="39" s="1"/>
  <c r="P737" i="39"/>
  <c r="N1412" i="39"/>
  <c r="N1231" i="39"/>
  <c r="N1228" i="39" s="1"/>
  <c r="N1269" i="39"/>
  <c r="N1266" i="39" s="1"/>
  <c r="O1601" i="39"/>
  <c r="O1563" i="39"/>
  <c r="O598" i="39"/>
  <c r="O601" i="39"/>
  <c r="O615" i="39"/>
  <c r="O604" i="39"/>
  <c r="O605" i="39"/>
  <c r="O602" i="39"/>
  <c r="O603" i="39"/>
  <c r="O600" i="39"/>
  <c r="M732" i="39"/>
  <c r="M744" i="39" s="1"/>
  <c r="N1588" i="39"/>
  <c r="N1586" i="39" s="1"/>
  <c r="N1550" i="39"/>
  <c r="N1548" i="39" s="1"/>
  <c r="R1329" i="39"/>
  <c r="Q1331" i="39"/>
  <c r="N943" i="39"/>
  <c r="N940" i="39" s="1"/>
  <c r="N905" i="39"/>
  <c r="N902" i="39" s="1"/>
  <c r="M1352" i="39"/>
  <c r="M1364" i="39" s="1"/>
  <c r="O458" i="39"/>
  <c r="O420" i="39"/>
  <c r="O1562" i="39"/>
  <c r="O1600" i="39"/>
  <c r="O616" i="39"/>
  <c r="O578" i="39"/>
  <c r="O547" i="39" a="1"/>
  <c r="O547" i="39" s="1"/>
  <c r="O887" i="39"/>
  <c r="O1110" i="39"/>
  <c r="O1072" i="39"/>
  <c r="N246" i="39"/>
  <c r="N244" i="39" s="1"/>
  <c r="N284" i="39"/>
  <c r="N282" i="39" s="1"/>
  <c r="N774" i="39"/>
  <c r="S357" i="39"/>
  <c r="R194" i="39"/>
  <c r="R358" i="39"/>
  <c r="Q1005" i="39"/>
  <c r="Q1011" i="39" s="1"/>
  <c r="Q1031" i="39" s="1" a="1"/>
  <c r="Q1031" i="39" s="1"/>
  <c r="R1003" i="39"/>
  <c r="N1196" i="39"/>
  <c r="R1166" i="39"/>
  <c r="Q1168" i="39"/>
  <c r="Q1174" i="39" s="1"/>
  <c r="Q1194" i="39" s="1" a="1"/>
  <c r="Q1194" i="39" s="1"/>
  <c r="O257" i="39"/>
  <c r="O295" i="39"/>
  <c r="M770" i="39"/>
  <c r="M782" i="39" s="1"/>
  <c r="P680" i="39"/>
  <c r="P775" i="39" s="1"/>
  <c r="P803" i="39"/>
  <c r="P723" i="39"/>
  <c r="P702" i="39" a="1"/>
  <c r="P702" i="39" s="1"/>
  <c r="P709" i="39" a="1"/>
  <c r="P709" i="39" s="1"/>
  <c r="P715" i="39" a="1"/>
  <c r="P715" i="39" s="1"/>
  <c r="P714" i="39" a="1"/>
  <c r="P714" i="39" s="1"/>
  <c r="P716" i="39" a="1"/>
  <c r="P716" i="39" s="1"/>
  <c r="P729" i="39"/>
  <c r="P730" i="39"/>
  <c r="P728" i="39"/>
  <c r="P727" i="39"/>
  <c r="P740" i="39"/>
  <c r="P726" i="39"/>
  <c r="P725" i="39"/>
  <c r="N870" i="39"/>
  <c r="N863" i="39" s="1"/>
  <c r="N875" i="39" s="1"/>
  <c r="N447" i="39"/>
  <c r="N445" i="39" s="1"/>
  <c r="N409" i="39"/>
  <c r="N407" i="39" s="1"/>
  <c r="R847" i="39"/>
  <c r="O621" i="39"/>
  <c r="O583" i="39"/>
  <c r="O1073" i="39"/>
  <c r="O1111" i="39"/>
  <c r="O1413" i="39"/>
  <c r="O1416" i="39"/>
  <c r="O1420" i="39"/>
  <c r="O1415" i="39"/>
  <c r="O1430" i="39"/>
  <c r="O1419" i="39"/>
  <c r="O1418" i="39"/>
  <c r="O1417" i="39"/>
  <c r="S521" i="39"/>
  <c r="O378" i="39"/>
  <c r="O411" i="39"/>
  <c r="O410" i="39" s="1"/>
  <c r="O449" i="39"/>
  <c r="P1006" i="39"/>
  <c r="P1102" i="39" s="1"/>
  <c r="P1129" i="39"/>
  <c r="P1049" i="39"/>
  <c r="P1042" i="39" a="1"/>
  <c r="P1042" i="39" s="1"/>
  <c r="P1040" i="39" a="1"/>
  <c r="P1040" i="39" s="1"/>
  <c r="P1028" i="39" a="1"/>
  <c r="P1028" i="39" s="1"/>
  <c r="P1041" i="39" a="1"/>
  <c r="P1041" i="39" s="1"/>
  <c r="P1035" i="39" a="1"/>
  <c r="P1035" i="39" s="1"/>
  <c r="P1054" i="39"/>
  <c r="P1066" i="39"/>
  <c r="P1053" i="39"/>
  <c r="P1056" i="39"/>
  <c r="P1051" i="39"/>
  <c r="P1052" i="39"/>
  <c r="P1055" i="39"/>
  <c r="N544" i="39"/>
  <c r="P1169" i="39"/>
  <c r="P1264" i="39" s="1"/>
  <c r="P1292" i="39"/>
  <c r="P1212" i="39"/>
  <c r="P1198" i="39" a="1"/>
  <c r="P1198" i="39" s="1"/>
  <c r="P1205" i="39" a="1"/>
  <c r="P1205" i="39" s="1"/>
  <c r="P1204" i="39" a="1"/>
  <c r="P1204" i="39" s="1"/>
  <c r="P1203" i="39" a="1"/>
  <c r="P1203" i="39" s="1"/>
  <c r="P1191" i="39" a="1"/>
  <c r="P1191" i="39" s="1"/>
  <c r="P1229" i="39"/>
  <c r="P1216" i="39"/>
  <c r="P1214" i="39"/>
  <c r="P1218" i="39"/>
  <c r="P1215" i="39"/>
  <c r="P1217" i="39"/>
  <c r="P1219" i="39"/>
  <c r="O575" i="39"/>
  <c r="O573" i="39" s="1"/>
  <c r="O613" i="39"/>
  <c r="O611" i="39" s="1"/>
  <c r="O297" i="39"/>
  <c r="O259" i="39"/>
  <c r="O1576" i="39"/>
  <c r="O1580" i="39"/>
  <c r="O1578" i="39"/>
  <c r="O1593" i="39"/>
  <c r="O1582" i="39"/>
  <c r="O1581" i="39"/>
  <c r="O1579" i="39"/>
  <c r="O1583" i="39"/>
  <c r="O1087" i="39"/>
  <c r="O1093" i="39"/>
  <c r="O1089" i="39"/>
  <c r="O1092" i="39"/>
  <c r="O1104" i="39"/>
  <c r="O1091" i="39"/>
  <c r="O1090" i="39"/>
  <c r="O1094" i="39"/>
  <c r="M1221" i="39"/>
  <c r="M1233" i="39" s="1"/>
  <c r="R1172" i="39"/>
  <c r="Q679" i="39"/>
  <c r="Q686" i="39" s="1"/>
  <c r="Q706" i="39" s="1" a="1"/>
  <c r="Q706" i="39" s="1"/>
  <c r="R677" i="39"/>
  <c r="N762" i="39"/>
  <c r="N760" i="39" s="1"/>
  <c r="P1011" i="39"/>
  <c r="P1031" i="39" s="1" a="1"/>
  <c r="P1031" i="39" s="1"/>
  <c r="N1577" i="39"/>
  <c r="N1575" i="39" s="1"/>
  <c r="N1190" i="39"/>
  <c r="N1224" i="39"/>
  <c r="N1222" i="39" s="1"/>
  <c r="N1262" i="39"/>
  <c r="N1260" i="39" s="1"/>
  <c r="O948" i="39"/>
  <c r="O910" i="39"/>
  <c r="O258" i="39"/>
  <c r="O296" i="39"/>
  <c r="O1591" i="39"/>
  <c r="O1589" i="39" s="1"/>
  <c r="O1553" i="39"/>
  <c r="O1551" i="39" s="1"/>
  <c r="R188" i="39"/>
  <c r="Q190" i="39"/>
  <c r="Q197" i="39" s="1"/>
  <c r="Q217" i="39" s="1" a="1"/>
  <c r="Q217" i="39" s="1"/>
  <c r="O1376" i="39"/>
  <c r="O1374" i="39" s="1"/>
  <c r="O1428" i="39"/>
  <c r="O1235" i="39"/>
  <c r="O1273" i="39"/>
  <c r="R1009" i="39"/>
  <c r="O904" i="39"/>
  <c r="O942" i="39"/>
  <c r="O873" i="39" a="1"/>
  <c r="O873" i="39" s="1"/>
  <c r="O245" i="39"/>
  <c r="O283" i="39"/>
  <c r="O214" i="39"/>
  <c r="O212" i="39" s="1"/>
  <c r="P191" i="39"/>
  <c r="P286" i="39" s="1"/>
  <c r="P314" i="39"/>
  <c r="P234" i="39"/>
  <c r="P226" i="39" a="1"/>
  <c r="P226" i="39" s="1"/>
  <c r="P213" i="39" a="1"/>
  <c r="P213" i="39" s="1"/>
  <c r="P225" i="39" a="1"/>
  <c r="P225" i="39" s="1"/>
  <c r="P220" i="39" a="1"/>
  <c r="P220" i="39" s="1"/>
  <c r="P227" i="39" a="1"/>
  <c r="P227" i="39" s="1"/>
  <c r="P237" i="39"/>
  <c r="P240" i="39"/>
  <c r="P238" i="39"/>
  <c r="P251" i="39"/>
  <c r="P241" i="39"/>
  <c r="P236" i="39"/>
  <c r="P239" i="39"/>
  <c r="S1499" i="39"/>
  <c r="N537" i="39"/>
  <c r="N549" i="39" s="1"/>
  <c r="O747" i="39"/>
  <c r="O785" i="39"/>
  <c r="M1422" i="39"/>
  <c r="M1434" i="39" s="1"/>
  <c r="O1236" i="39"/>
  <c r="O1274" i="39"/>
  <c r="O1356" i="39"/>
  <c r="O1389" i="39"/>
  <c r="O1388" i="39" s="1"/>
  <c r="O1427" i="39"/>
  <c r="O911" i="39"/>
  <c r="O949" i="39"/>
  <c r="O290" i="39"/>
  <c r="O252" i="39"/>
  <c r="O221" i="39" a="1"/>
  <c r="O221" i="39" s="1"/>
  <c r="R1336" i="39"/>
  <c r="Q1338" i="39"/>
  <c r="Q1358" i="39" s="1" a="1"/>
  <c r="Q1358" i="39" s="1"/>
  <c r="P197" i="39"/>
  <c r="P217" i="39" s="1" a="1"/>
  <c r="P217" i="39" s="1"/>
  <c r="O786" i="39"/>
  <c r="O748" i="39"/>
  <c r="R1173" i="39"/>
  <c r="O1268" i="39"/>
  <c r="O1230" i="39"/>
  <c r="O1199" i="39" a="1"/>
  <c r="O1199" i="39" s="1"/>
  <c r="N780" i="39"/>
  <c r="N777" i="39" s="1"/>
  <c r="N742" i="39"/>
  <c r="N739" i="39" s="1"/>
  <c r="O1399" i="39"/>
  <c r="O1437" i="39"/>
  <c r="P1390" i="39"/>
  <c r="R195" i="39"/>
  <c r="N1027" i="39"/>
  <c r="N1099" i="39"/>
  <c r="N1097" i="39" s="1"/>
  <c r="N1061" i="39"/>
  <c r="N1059" i="39" s="1"/>
  <c r="O741" i="39"/>
  <c r="O779" i="39"/>
  <c r="O710" i="39" a="1"/>
  <c r="O710" i="39" s="1"/>
  <c r="O707" i="39" s="1"/>
  <c r="P1175" i="39"/>
  <c r="P1195" i="39" s="1" a="1"/>
  <c r="P1195" i="39" s="1"/>
  <c r="O1062" i="39"/>
  <c r="O1237" i="39"/>
  <c r="O1275" i="39"/>
  <c r="O947" i="39"/>
  <c r="O909" i="39"/>
  <c r="R1335" i="39"/>
  <c r="Q1337" i="39"/>
  <c r="Q1357" i="39" s="1" a="1"/>
  <c r="Q1357" i="39" s="1"/>
  <c r="N735" i="39"/>
  <c r="N733" i="39" s="1"/>
  <c r="N732" i="39" s="1"/>
  <c r="N744" i="39" s="1"/>
  <c r="N773" i="39"/>
  <c r="N771" i="39" s="1"/>
  <c r="O1436" i="39"/>
  <c r="O1398" i="39"/>
  <c r="N1106" i="39"/>
  <c r="N1103" i="39" s="1"/>
  <c r="N1068" i="39"/>
  <c r="N1065" i="39" s="1"/>
  <c r="N610" i="39"/>
  <c r="N608" i="39" s="1"/>
  <c r="N572" i="39"/>
  <c r="N570" i="39" s="1"/>
  <c r="N569" i="39" s="1"/>
  <c r="N581" i="39" s="1"/>
  <c r="O784" i="39"/>
  <c r="O746" i="39"/>
  <c r="O1192" i="39"/>
  <c r="O1190" i="39" s="1"/>
  <c r="O1261" i="39"/>
  <c r="O1223" i="39"/>
  <c r="N1432" i="39"/>
  <c r="N1429" i="39" s="1"/>
  <c r="N1394" i="39"/>
  <c r="N1391" i="39" s="1"/>
  <c r="O421" i="39"/>
  <c r="O459" i="39"/>
  <c r="R840" i="39"/>
  <c r="Q842" i="39"/>
  <c r="O272" i="39"/>
  <c r="O279" i="39"/>
  <c r="O277" i="39"/>
  <c r="O275" i="39"/>
  <c r="O278" i="39"/>
  <c r="O289" i="39"/>
  <c r="O274" i="39"/>
  <c r="O276" i="39"/>
  <c r="O1048" i="39"/>
  <c r="N1359" i="39"/>
  <c r="R1010" i="39"/>
  <c r="Q1012" i="39"/>
  <c r="Q1032" i="39" s="1" a="1"/>
  <c r="Q1032" i="39" s="1"/>
  <c r="O1400" i="39"/>
  <c r="O1438" i="39"/>
  <c r="N1033" i="39"/>
  <c r="M1547" i="39"/>
  <c r="M1559" i="39" s="1"/>
  <c r="O703" i="39"/>
  <c r="O701" i="39" s="1"/>
  <c r="O772" i="39"/>
  <c r="O734" i="39"/>
  <c r="O1101" i="39"/>
  <c r="O1100" i="39" s="1"/>
  <c r="O450" i="39"/>
  <c r="P1064" i="39"/>
  <c r="R351" i="39"/>
  <c r="Q353" i="39"/>
  <c r="O377" i="39"/>
  <c r="O446" i="39"/>
  <c r="O408" i="39"/>
  <c r="O1539" i="39"/>
  <c r="O1537" i="39" s="1"/>
  <c r="P522" i="39"/>
  <c r="P542" i="39" s="1" a="1"/>
  <c r="P542" i="39" s="1"/>
  <c r="O1355" i="39"/>
  <c r="O1353" i="39" s="1"/>
  <c r="O1386" i="39"/>
  <c r="O1424" i="39"/>
  <c r="N1353" i="39"/>
  <c r="N1387" i="39"/>
  <c r="N1385" i="39" s="1"/>
  <c r="N1425" i="39"/>
  <c r="N1423" i="39" s="1"/>
  <c r="N416" i="39"/>
  <c r="N413" i="39" s="1"/>
  <c r="N454" i="39"/>
  <c r="N451" i="39" s="1"/>
  <c r="M1585" i="39"/>
  <c r="M1597" i="39" s="1"/>
  <c r="O722" i="39"/>
  <c r="N434" i="39"/>
  <c r="O622" i="39"/>
  <c r="O584" i="39"/>
  <c r="R1492" i="39"/>
  <c r="Q1494" i="39"/>
  <c r="Q1500" i="39" s="1"/>
  <c r="Q1520" i="39" s="1" a="1"/>
  <c r="Q1520" i="39" s="1"/>
  <c r="O924" i="39"/>
  <c r="O941" i="39"/>
  <c r="O931" i="39"/>
  <c r="O930" i="39"/>
  <c r="O928" i="39"/>
  <c r="O927" i="39"/>
  <c r="O926" i="39"/>
  <c r="O929" i="39"/>
  <c r="O415" i="39"/>
  <c r="O453" i="39"/>
  <c r="O384" i="39" a="1"/>
  <c r="O384" i="39" s="1"/>
  <c r="O381" i="39" s="1"/>
  <c r="O235" i="39"/>
  <c r="O233" i="39" s="1"/>
  <c r="N273" i="39"/>
  <c r="N271" i="39" s="1"/>
  <c r="N1557" i="39"/>
  <c r="N1554" i="39" s="1"/>
  <c r="N1595" i="39"/>
  <c r="N1592" i="39" s="1"/>
  <c r="Q522" i="39"/>
  <c r="Q542" i="39" s="1" a="1"/>
  <c r="Q542" i="39" s="1"/>
  <c r="R520" i="39"/>
  <c r="N923" i="39"/>
  <c r="O1431" i="39"/>
  <c r="O1393" i="39"/>
  <c r="O1362" i="39" a="1"/>
  <c r="O1362" i="39" s="1"/>
  <c r="N381" i="39"/>
  <c r="N374" i="39" s="1"/>
  <c r="N386" i="39" s="1"/>
  <c r="R684" i="39"/>
  <c r="N1251" i="39"/>
  <c r="N1249" i="39" s="1"/>
  <c r="O1250" i="39"/>
  <c r="O1267" i="39"/>
  <c r="O1257" i="39"/>
  <c r="O1252" i="39"/>
  <c r="O1255" i="39"/>
  <c r="O1256" i="39"/>
  <c r="O1253" i="39"/>
  <c r="O1254" i="39"/>
  <c r="P1427" i="39"/>
  <c r="P354" i="39"/>
  <c r="P477" i="39"/>
  <c r="P397" i="39"/>
  <c r="P383" i="39" a="1"/>
  <c r="P383" i="39" s="1"/>
  <c r="P390" i="39" a="1"/>
  <c r="P390" i="39" s="1"/>
  <c r="P388" i="39" a="1"/>
  <c r="P388" i="39" s="1"/>
  <c r="P376" i="39" a="1"/>
  <c r="P376" i="39" s="1"/>
  <c r="P389" i="39" a="1"/>
  <c r="P389" i="39" s="1"/>
  <c r="P403" i="39"/>
  <c r="P400" i="39"/>
  <c r="P399" i="39"/>
  <c r="P401" i="39"/>
  <c r="P402" i="39"/>
  <c r="P404" i="39"/>
  <c r="P414" i="39"/>
  <c r="P359" i="39"/>
  <c r="P379" i="39" s="1" a="1"/>
  <c r="P379" i="39" s="1"/>
  <c r="N701" i="39"/>
  <c r="O885" i="39"/>
  <c r="O540" i="39"/>
  <c r="O571" i="39"/>
  <c r="O609" i="39"/>
  <c r="P1495" i="39"/>
  <c r="P1618" i="39"/>
  <c r="P1538" i="39"/>
  <c r="P1531" i="39" a="1"/>
  <c r="P1531" i="39" s="1"/>
  <c r="P1524" i="39" a="1"/>
  <c r="P1524" i="39" s="1"/>
  <c r="P1530" i="39" a="1"/>
  <c r="P1530" i="39" s="1"/>
  <c r="P1529" i="39" a="1"/>
  <c r="P1529" i="39" s="1"/>
  <c r="P1517" i="39" a="1"/>
  <c r="P1517" i="39" s="1"/>
  <c r="P1544" i="39"/>
  <c r="P1540" i="39"/>
  <c r="P1555" i="39"/>
  <c r="P1545" i="39"/>
  <c r="P1541" i="39"/>
  <c r="P1542" i="39"/>
  <c r="P1543" i="39"/>
  <c r="P1501" i="39"/>
  <c r="P1521" i="39" s="1" a="1"/>
  <c r="P1521" i="39" s="1"/>
  <c r="P1519" i="39" s="1"/>
  <c r="O867" i="39"/>
  <c r="O900" i="39"/>
  <c r="O899" i="39" s="1"/>
  <c r="O938" i="39"/>
  <c r="O937" i="39" s="1"/>
  <c r="O396" i="39"/>
  <c r="O736" i="39"/>
  <c r="O1599" i="39"/>
  <c r="O1561" i="39"/>
  <c r="O1105" i="39"/>
  <c r="O1067" i="39"/>
  <c r="O1036" i="39" a="1"/>
  <c r="O1036" i="39" s="1"/>
  <c r="N1522" i="39"/>
  <c r="N1515" i="39" s="1"/>
  <c r="N1527" i="39" s="1"/>
  <c r="M619" i="39"/>
  <c r="N1086" i="39"/>
  <c r="N212" i="39"/>
  <c r="N211" i="39" s="1"/>
  <c r="N223" i="39" s="1"/>
  <c r="P686" i="39"/>
  <c r="P706" i="39" s="1" a="1"/>
  <c r="P706" i="39" s="1"/>
  <c r="O761" i="39"/>
  <c r="O763" i="39"/>
  <c r="O765" i="39"/>
  <c r="O766" i="39"/>
  <c r="O767" i="39"/>
  <c r="O764" i="39"/>
  <c r="O768" i="39"/>
  <c r="O778" i="39"/>
  <c r="O866" i="39"/>
  <c r="O864" i="39" s="1"/>
  <c r="O935" i="39"/>
  <c r="O897" i="39"/>
  <c r="P848" i="39"/>
  <c r="P868" i="39" s="1" a="1"/>
  <c r="P868" i="39" s="1"/>
  <c r="P843" i="39"/>
  <c r="P939" i="39" s="1"/>
  <c r="P966" i="39"/>
  <c r="P886" i="39"/>
  <c r="P877" i="39" a="1"/>
  <c r="P877" i="39" s="1"/>
  <c r="P865" i="39" a="1"/>
  <c r="P865" i="39" s="1"/>
  <c r="P878" i="39" a="1"/>
  <c r="P878" i="39" s="1"/>
  <c r="P879" i="39" a="1"/>
  <c r="P879" i="39" s="1"/>
  <c r="P872" i="39" a="1"/>
  <c r="P872" i="39" s="1"/>
  <c r="P892" i="39"/>
  <c r="P890" i="39"/>
  <c r="P888" i="39"/>
  <c r="P891" i="39"/>
  <c r="P903" i="39"/>
  <c r="P889" i="39"/>
  <c r="P893" i="39"/>
  <c r="N707" i="39"/>
  <c r="O585" i="39"/>
  <c r="O623" i="39"/>
  <c r="O1594" i="39"/>
  <c r="O1556" i="39"/>
  <c r="O1525" i="39" a="1"/>
  <c r="O1525" i="39" s="1"/>
  <c r="O1060" i="39"/>
  <c r="O1029" i="39"/>
  <c r="O1098" i="39"/>
  <c r="R683" i="39"/>
  <c r="N253" i="39"/>
  <c r="N250" i="39" s="1"/>
  <c r="N291" i="39"/>
  <c r="N288" i="39" s="1"/>
  <c r="R1498" i="39"/>
  <c r="O215" i="39"/>
  <c r="O286" i="39"/>
  <c r="O285" i="39" s="1"/>
  <c r="O248" i="39"/>
  <c r="O247" i="39" s="1"/>
  <c r="N936" i="39"/>
  <c r="N934" i="39" s="1"/>
  <c r="N898" i="39"/>
  <c r="N896" i="39" s="1"/>
  <c r="N895" i="39" s="1"/>
  <c r="N907" i="39" s="1"/>
  <c r="T31" i="41"/>
  <c r="T33" i="41" s="1"/>
  <c r="S43" i="41"/>
  <c r="T40" i="41" s="1"/>
  <c r="R25" i="41"/>
  <c r="R26" i="41"/>
  <c r="R11" i="41"/>
  <c r="R13" i="41" s="1"/>
  <c r="S16" i="41"/>
  <c r="S18" i="41" s="1"/>
  <c r="R48" i="41"/>
  <c r="S46" i="41" s="1"/>
  <c r="Q53" i="41"/>
  <c r="S20" i="41"/>
  <c r="S21" i="41"/>
  <c r="R5" i="41"/>
  <c r="R8" i="41" s="1"/>
  <c r="S6" i="41" s="1"/>
  <c r="P1389" i="39" l="1"/>
  <c r="N607" i="39"/>
  <c r="N1189" i="39"/>
  <c r="N1201" i="39" s="1"/>
  <c r="Q685" i="39"/>
  <c r="Q705" i="39" s="1" a="1"/>
  <c r="Q705" i="39" s="1"/>
  <c r="Q704" i="39" s="1"/>
  <c r="Q1175" i="39"/>
  <c r="Q1195" i="39" s="1" a="1"/>
  <c r="Q1195" i="39" s="1"/>
  <c r="Q1227" i="39" s="1"/>
  <c r="O1414" i="39"/>
  <c r="O1577" i="39"/>
  <c r="O1575" i="39" s="1"/>
  <c r="N619" i="39"/>
  <c r="P887" i="39"/>
  <c r="O762" i="39"/>
  <c r="N1259" i="39"/>
  <c r="O1088" i="39"/>
  <c r="N933" i="39"/>
  <c r="O925" i="39"/>
  <c r="O923" i="39" s="1"/>
  <c r="N1221" i="39"/>
  <c r="N1233" i="39" s="1"/>
  <c r="O1426" i="39"/>
  <c r="P1213" i="39"/>
  <c r="P1211" i="39" s="1"/>
  <c r="O1251" i="39"/>
  <c r="O1249" i="39" s="1"/>
  <c r="P1376" i="39"/>
  <c r="P1374" i="39" s="1"/>
  <c r="Q196" i="39"/>
  <c r="Q216" i="39" s="1" a="1"/>
  <c r="Q216" i="39" s="1"/>
  <c r="Q215" i="39" s="1"/>
  <c r="P235" i="39"/>
  <c r="P233" i="39" s="1"/>
  <c r="N700" i="39"/>
  <c r="N712" i="39" s="1"/>
  <c r="P1388" i="39"/>
  <c r="N1422" i="39"/>
  <c r="P1539" i="39"/>
  <c r="P1537" i="39" s="1"/>
  <c r="P459" i="39"/>
  <c r="P421" i="39"/>
  <c r="S683" i="39"/>
  <c r="P435" i="39"/>
  <c r="P441" i="39"/>
  <c r="P438" i="39"/>
  <c r="P437" i="39"/>
  <c r="P439" i="39"/>
  <c r="P442" i="39"/>
  <c r="P440" i="39"/>
  <c r="P452" i="39"/>
  <c r="S684" i="39"/>
  <c r="P541" i="39"/>
  <c r="P574" i="39"/>
  <c r="P612" i="39"/>
  <c r="O742" i="39"/>
  <c r="O739" i="39" s="1"/>
  <c r="O780" i="39"/>
  <c r="O777" i="39" s="1"/>
  <c r="O246" i="39"/>
  <c r="O244" i="39" s="1"/>
  <c r="O284" i="39"/>
  <c r="O282" i="39" s="1"/>
  <c r="R190" i="39"/>
  <c r="R196" i="39" s="1"/>
  <c r="R216" i="39" s="1" a="1"/>
  <c r="R216" i="39" s="1"/>
  <c r="S188" i="39"/>
  <c r="S677" i="39"/>
  <c r="R679" i="39"/>
  <c r="R686" i="39" s="1"/>
  <c r="R706" i="39" s="1" a="1"/>
  <c r="R706" i="39" s="1"/>
  <c r="P724" i="39"/>
  <c r="P722" i="39" s="1"/>
  <c r="S194" i="39"/>
  <c r="P609" i="39"/>
  <c r="P571" i="39"/>
  <c r="P540" i="39"/>
  <c r="P538" i="39" s="1"/>
  <c r="Q1552" i="39"/>
  <c r="O760" i="39"/>
  <c r="O1231" i="39"/>
  <c r="O1228" i="39" s="1"/>
  <c r="O1269" i="39"/>
  <c r="O1266" i="39" s="1"/>
  <c r="Q680" i="39"/>
  <c r="Q803" i="39"/>
  <c r="Q723" i="39"/>
  <c r="Q709" i="39" a="1"/>
  <c r="Q709" i="39" s="1"/>
  <c r="Q716" i="39" a="1"/>
  <c r="Q716" i="39" s="1"/>
  <c r="Q702" i="39" a="1"/>
  <c r="Q702" i="39" s="1"/>
  <c r="Q714" i="39" a="1"/>
  <c r="Q714" i="39" s="1"/>
  <c r="Q715" i="39" a="1"/>
  <c r="Q715" i="39" s="1"/>
  <c r="Q729" i="39"/>
  <c r="Q740" i="39"/>
  <c r="Q727" i="39"/>
  <c r="Q730" i="39"/>
  <c r="Q728" i="39"/>
  <c r="Q725" i="39"/>
  <c r="Q726" i="39"/>
  <c r="P585" i="39"/>
  <c r="P623" i="39"/>
  <c r="O1068" i="39"/>
  <c r="O1065" i="39" s="1"/>
  <c r="O1106" i="39"/>
  <c r="O1103" i="39" s="1"/>
  <c r="O1196" i="39"/>
  <c r="O1189" i="39" s="1"/>
  <c r="O1201" i="39" s="1"/>
  <c r="S1172" i="39"/>
  <c r="P1192" i="39"/>
  <c r="P1190" i="39" s="1"/>
  <c r="P1261" i="39"/>
  <c r="P1223" i="39"/>
  <c r="P1067" i="39"/>
  <c r="P1105" i="39"/>
  <c r="P1036" i="39" a="1"/>
  <c r="P1036" i="39" s="1"/>
  <c r="T357" i="39"/>
  <c r="P1413" i="39"/>
  <c r="P1430" i="39"/>
  <c r="P1415" i="39"/>
  <c r="P1419" i="39"/>
  <c r="P1420" i="39"/>
  <c r="P1416" i="39"/>
  <c r="P1417" i="39"/>
  <c r="P1418" i="39"/>
  <c r="P578" i="39"/>
  <c r="P616" i="39"/>
  <c r="P547" i="39" a="1"/>
  <c r="P547" i="39" s="1"/>
  <c r="P544" i="39" s="1"/>
  <c r="Q738" i="39"/>
  <c r="O1061" i="39"/>
  <c r="O1059" i="39" s="1"/>
  <c r="O1099" i="39"/>
  <c r="O1097" i="39" s="1"/>
  <c r="O898" i="39"/>
  <c r="O896" i="39" s="1"/>
  <c r="O936" i="39"/>
  <c r="O934" i="39" s="1"/>
  <c r="O1033" i="39"/>
  <c r="O1027" i="39"/>
  <c r="P885" i="39"/>
  <c r="P1426" i="39"/>
  <c r="N1384" i="39"/>
  <c r="N1396" i="39" s="1"/>
  <c r="O735" i="39"/>
  <c r="O733" i="39" s="1"/>
  <c r="O773" i="39"/>
  <c r="O771" i="39" s="1"/>
  <c r="Q1226" i="39"/>
  <c r="Q1193" i="39"/>
  <c r="P1273" i="39"/>
  <c r="P1235" i="39"/>
  <c r="P1073" i="39"/>
  <c r="P1111" i="39"/>
  <c r="P583" i="39"/>
  <c r="P621" i="39"/>
  <c r="P948" i="39"/>
  <c r="P910" i="39"/>
  <c r="S520" i="39"/>
  <c r="P1587" i="39"/>
  <c r="P1518" i="39"/>
  <c r="P1516" i="39" s="1"/>
  <c r="P1549" i="39"/>
  <c r="O1359" i="39"/>
  <c r="O1394" i="39"/>
  <c r="O1391" i="39" s="1"/>
  <c r="O1432" i="39"/>
  <c r="O1429" i="39" s="1"/>
  <c r="Q848" i="39"/>
  <c r="Q868" i="39" s="1" a="1"/>
  <c r="Q868" i="39" s="1"/>
  <c r="Q843" i="39"/>
  <c r="Q966" i="39"/>
  <c r="Q886" i="39"/>
  <c r="Q872" i="39" a="1"/>
  <c r="Q872" i="39" s="1"/>
  <c r="Q877" i="39" a="1"/>
  <c r="Q877" i="39" s="1"/>
  <c r="Q878" i="39" a="1"/>
  <c r="Q878" i="39" s="1"/>
  <c r="Q865" i="39" a="1"/>
  <c r="Q865" i="39" s="1"/>
  <c r="Q879" i="39" a="1"/>
  <c r="Q879" i="39" s="1"/>
  <c r="Q890" i="39"/>
  <c r="Q889" i="39"/>
  <c r="Q893" i="39"/>
  <c r="Q891" i="39"/>
  <c r="Q903" i="39"/>
  <c r="Q888" i="39"/>
  <c r="Q892" i="39"/>
  <c r="N1058" i="39"/>
  <c r="N1070" i="39" s="1"/>
  <c r="O870" i="39"/>
  <c r="O863" i="39" s="1"/>
  <c r="O875" i="39" s="1"/>
  <c r="O943" i="39"/>
  <c r="O940" i="39" s="1"/>
  <c r="O905" i="39"/>
  <c r="O902" i="39" s="1"/>
  <c r="P1236" i="39"/>
  <c r="P1274" i="39"/>
  <c r="P1060" i="39"/>
  <c r="P1098" i="39"/>
  <c r="P1029" i="39"/>
  <c r="P1027" i="39" s="1"/>
  <c r="Q1064" i="39"/>
  <c r="O1595" i="39"/>
  <c r="O1592" i="39" s="1"/>
  <c r="O1557" i="39"/>
  <c r="O1554" i="39" s="1"/>
  <c r="P1599" i="39"/>
  <c r="P1561" i="39"/>
  <c r="O375" i="39"/>
  <c r="O374" i="39" s="1"/>
  <c r="O386" i="39" s="1"/>
  <c r="O447" i="39"/>
  <c r="O445" i="39" s="1"/>
  <c r="O409" i="39"/>
  <c r="O407" i="39" s="1"/>
  <c r="S840" i="39"/>
  <c r="R842" i="39"/>
  <c r="N1096" i="39"/>
  <c r="N1108" i="39" s="1"/>
  <c r="P1237" i="39"/>
  <c r="P1275" i="39"/>
  <c r="P1110" i="39"/>
  <c r="P1072" i="39"/>
  <c r="P598" i="39"/>
  <c r="P615" i="39"/>
  <c r="P605" i="39"/>
  <c r="P600" i="39"/>
  <c r="P602" i="39"/>
  <c r="P601" i="39"/>
  <c r="P604" i="39"/>
  <c r="P603" i="39"/>
  <c r="P449" i="39"/>
  <c r="P378" i="39"/>
  <c r="P411" i="39"/>
  <c r="P410" i="39" s="1"/>
  <c r="O700" i="39"/>
  <c r="O712" i="39" s="1"/>
  <c r="O1522" i="39"/>
  <c r="O1515" i="39" s="1"/>
  <c r="O1527" i="39" s="1"/>
  <c r="P942" i="39"/>
  <c r="P904" i="39"/>
  <c r="P873" i="39" a="1"/>
  <c r="P873" i="39" s="1"/>
  <c r="P1600" i="39"/>
  <c r="P1562" i="39"/>
  <c r="P398" i="39"/>
  <c r="P396" i="39" s="1"/>
  <c r="N770" i="39"/>
  <c r="N782" i="39" s="1"/>
  <c r="N1026" i="39"/>
  <c r="N1038" i="39" s="1"/>
  <c r="S1173" i="39"/>
  <c r="P1230" i="39"/>
  <c r="P1268" i="39"/>
  <c r="P1199" i="39" a="1"/>
  <c r="P1199" i="39" s="1"/>
  <c r="P1112" i="39"/>
  <c r="P1074" i="39"/>
  <c r="O1412" i="39"/>
  <c r="Q1169" i="39"/>
  <c r="Q1265" i="39" s="1"/>
  <c r="Q1292" i="39"/>
  <c r="Q1212" i="39"/>
  <c r="Q1198" i="39" a="1"/>
  <c r="Q1198" i="39" s="1"/>
  <c r="Q1203" i="39" a="1"/>
  <c r="Q1203" i="39" s="1"/>
  <c r="Q1204" i="39" a="1"/>
  <c r="Q1204" i="39" s="1"/>
  <c r="Q1191" i="39" a="1"/>
  <c r="Q1191" i="39" s="1"/>
  <c r="Q1205" i="39" a="1"/>
  <c r="Q1205" i="39" s="1"/>
  <c r="Q1215" i="39"/>
  <c r="Q1218" i="39"/>
  <c r="Q1219" i="39"/>
  <c r="Q1229" i="39"/>
  <c r="Q1214" i="39"/>
  <c r="Q1213" i="39" s="1"/>
  <c r="Q1216" i="39"/>
  <c r="Q1217" i="39"/>
  <c r="N281" i="39"/>
  <c r="N293" i="39" s="1"/>
  <c r="Q1332" i="39"/>
  <c r="Q1455" i="39"/>
  <c r="Q1375" i="39"/>
  <c r="Q1368" i="39" a="1"/>
  <c r="Q1368" i="39" s="1"/>
  <c r="Q1354" i="39" a="1"/>
  <c r="Q1354" i="39" s="1"/>
  <c r="Q1361" i="39" a="1"/>
  <c r="Q1361" i="39" s="1"/>
  <c r="Q1367" i="39" a="1"/>
  <c r="Q1367" i="39" s="1"/>
  <c r="Q1366" i="39" a="1"/>
  <c r="Q1366" i="39" s="1"/>
  <c r="Q1392" i="39"/>
  <c r="Q1382" i="39"/>
  <c r="Q1378" i="39"/>
  <c r="Q1381" i="39"/>
  <c r="Q1380" i="39"/>
  <c r="Q1379" i="39"/>
  <c r="Q1377" i="39"/>
  <c r="O1550" i="39"/>
  <c r="O1588" i="39"/>
  <c r="O1586" i="39" s="1"/>
  <c r="P1601" i="39"/>
  <c r="P1563" i="39"/>
  <c r="Q354" i="39"/>
  <c r="Q477" i="39"/>
  <c r="Q397" i="39"/>
  <c r="Q388" i="39" a="1"/>
  <c r="Q388" i="39" s="1"/>
  <c r="Q390" i="39" a="1"/>
  <c r="Q390" i="39" s="1"/>
  <c r="Q389" i="39" a="1"/>
  <c r="Q389" i="39" s="1"/>
  <c r="Q376" i="39" a="1"/>
  <c r="Q376" i="39" s="1"/>
  <c r="Q383" i="39" a="1"/>
  <c r="Q383" i="39" s="1"/>
  <c r="Q404" i="39"/>
  <c r="Q403" i="39"/>
  <c r="Q401" i="39"/>
  <c r="Q400" i="39"/>
  <c r="Q399" i="39"/>
  <c r="Q414" i="39"/>
  <c r="Q402" i="39"/>
  <c r="Q359" i="39"/>
  <c r="Q379" i="39" s="1" a="1"/>
  <c r="Q379" i="39" s="1"/>
  <c r="P911" i="39"/>
  <c r="P949" i="39"/>
  <c r="P1594" i="39"/>
  <c r="P1556" i="39"/>
  <c r="P1525" i="39" a="1"/>
  <c r="P1525" i="39" s="1"/>
  <c r="N945" i="39"/>
  <c r="S195" i="39"/>
  <c r="R197" i="39"/>
  <c r="R217" i="39" s="1" a="1"/>
  <c r="R217" i="39" s="1"/>
  <c r="S1009" i="39"/>
  <c r="P786" i="39"/>
  <c r="P748" i="39"/>
  <c r="S1166" i="39"/>
  <c r="R1168" i="39"/>
  <c r="R1174" i="39" s="1"/>
  <c r="R1194" i="39" s="1" a="1"/>
  <c r="R1194" i="39" s="1"/>
  <c r="N243" i="39"/>
  <c r="N255" i="39" s="1"/>
  <c r="R1331" i="39"/>
  <c r="R1338" i="39" s="1"/>
  <c r="R1358" i="39" s="1" a="1"/>
  <c r="R1358" i="39" s="1"/>
  <c r="S1329" i="39"/>
  <c r="O1548" i="39"/>
  <c r="O1547" i="39" s="1"/>
  <c r="O1559" i="39" s="1"/>
  <c r="P613" i="39"/>
  <c r="P575" i="39"/>
  <c r="Q249" i="39"/>
  <c r="P259" i="39"/>
  <c r="P297" i="39"/>
  <c r="Q1030" i="39"/>
  <c r="Q1063" i="39"/>
  <c r="N1271" i="39"/>
  <c r="P784" i="39"/>
  <c r="P746" i="39"/>
  <c r="N1547" i="39"/>
  <c r="N1559" i="39" s="1"/>
  <c r="P866" i="39"/>
  <c r="P864" i="39" s="1"/>
  <c r="P897" i="39"/>
  <c r="P935" i="39"/>
  <c r="P290" i="39"/>
  <c r="P252" i="39"/>
  <c r="P221" i="39" a="1"/>
  <c r="P221" i="39" s="1"/>
  <c r="P1250" i="39"/>
  <c r="P1253" i="39"/>
  <c r="P1267" i="39"/>
  <c r="P1252" i="39"/>
  <c r="P1256" i="39"/>
  <c r="P1255" i="39"/>
  <c r="P1254" i="39"/>
  <c r="P1257" i="39"/>
  <c r="P1087" i="39"/>
  <c r="P1092" i="39"/>
  <c r="P1089" i="39"/>
  <c r="P1104" i="39"/>
  <c r="P1091" i="39"/>
  <c r="P1094" i="39"/>
  <c r="P1090" i="39"/>
  <c r="P1093" i="39"/>
  <c r="P747" i="39"/>
  <c r="P785" i="39"/>
  <c r="R1005" i="39"/>
  <c r="R1012" i="39" s="1"/>
  <c r="R1032" i="39" s="1" a="1"/>
  <c r="R1032" i="39" s="1"/>
  <c r="S1003" i="39"/>
  <c r="N1585" i="39"/>
  <c r="N1597" i="39" s="1"/>
  <c r="N1434" i="39"/>
  <c r="P377" i="39"/>
  <c r="P446" i="39"/>
  <c r="P408" i="39"/>
  <c r="P287" i="39"/>
  <c r="P285" i="39" s="1"/>
  <c r="P249" i="39"/>
  <c r="P247" i="39" s="1"/>
  <c r="P295" i="39"/>
  <c r="P257" i="39"/>
  <c r="O448" i="39"/>
  <c r="P741" i="39"/>
  <c r="P779" i="39"/>
  <c r="P710" i="39" a="1"/>
  <c r="P710" i="39" s="1"/>
  <c r="P707" i="39" s="1"/>
  <c r="Q1006" i="39"/>
  <c r="Q1129" i="39"/>
  <c r="Q1049" i="39"/>
  <c r="Q1040" i="39" a="1"/>
  <c r="Q1040" i="39" s="1"/>
  <c r="Q1028" i="39" a="1"/>
  <c r="Q1028" i="39" s="1"/>
  <c r="Q1042" i="39" a="1"/>
  <c r="Q1042" i="39" s="1"/>
  <c r="Q1035" i="39" a="1"/>
  <c r="Q1035" i="39" s="1"/>
  <c r="Q1041" i="39" a="1"/>
  <c r="Q1041" i="39" s="1"/>
  <c r="Q1055" i="39"/>
  <c r="Q1053" i="39"/>
  <c r="Q1051" i="39"/>
  <c r="Q1056" i="39"/>
  <c r="Q1052" i="39"/>
  <c r="Q1066" i="39"/>
  <c r="Q1054" i="39"/>
  <c r="Q517" i="39"/>
  <c r="Q612" i="39" s="1"/>
  <c r="Q560" i="39"/>
  <c r="Q539" i="39" a="1"/>
  <c r="Q539" i="39" s="1"/>
  <c r="Q552" i="39" a="1"/>
  <c r="Q552" i="39" s="1"/>
  <c r="Q551" i="39" a="1"/>
  <c r="Q551" i="39" s="1"/>
  <c r="Q546" i="39" a="1"/>
  <c r="Q546" i="39" s="1"/>
  <c r="Q553" i="39" a="1"/>
  <c r="Q553" i="39" s="1"/>
  <c r="Q565" i="39"/>
  <c r="Q563" i="39"/>
  <c r="Q577" i="39"/>
  <c r="Q564" i="39"/>
  <c r="Q567" i="39"/>
  <c r="Q562" i="39"/>
  <c r="Q566" i="39"/>
  <c r="Q523" i="39"/>
  <c r="Q543" i="39" s="1" a="1"/>
  <c r="Q543" i="39" s="1"/>
  <c r="P738" i="39"/>
  <c r="P736" i="39" s="1"/>
  <c r="P776" i="39"/>
  <c r="P774" i="39" s="1"/>
  <c r="P1576" i="39"/>
  <c r="P1582" i="39"/>
  <c r="P1593" i="39"/>
  <c r="P1583" i="39"/>
  <c r="P1579" i="39"/>
  <c r="P1580" i="39"/>
  <c r="P1581" i="39"/>
  <c r="P1578" i="39"/>
  <c r="P245" i="39"/>
  <c r="P283" i="39"/>
  <c r="P214" i="39"/>
  <c r="P212" i="39" s="1"/>
  <c r="N444" i="39"/>
  <c r="N456" i="39" s="1"/>
  <c r="Q849" i="39"/>
  <c r="Q869" i="39" s="1" a="1"/>
  <c r="Q869" i="39" s="1"/>
  <c r="P703" i="39"/>
  <c r="P701" i="39" s="1"/>
  <c r="P734" i="39"/>
  <c r="P772" i="39"/>
  <c r="P1399" i="39"/>
  <c r="P1437" i="39"/>
  <c r="S514" i="39"/>
  <c r="R516" i="39"/>
  <c r="R522" i="39" s="1"/>
  <c r="R542" i="39" s="1" a="1"/>
  <c r="R542" i="39" s="1"/>
  <c r="P450" i="39"/>
  <c r="Q1390" i="39"/>
  <c r="Q1428" i="39"/>
  <c r="P258" i="39"/>
  <c r="P296" i="39"/>
  <c r="O544" i="39"/>
  <c r="O617" i="39"/>
  <c r="O614" i="39" s="1"/>
  <c r="O579" i="39"/>
  <c r="O576" i="39" s="1"/>
  <c r="O599" i="39"/>
  <c r="O597" i="39" s="1"/>
  <c r="P1436" i="39"/>
  <c r="P1398" i="39"/>
  <c r="S1498" i="39"/>
  <c r="P909" i="39"/>
  <c r="P947" i="39"/>
  <c r="P1553" i="39"/>
  <c r="P1551" i="39" s="1"/>
  <c r="P1591" i="39"/>
  <c r="P1030" i="39"/>
  <c r="P1063" i="39"/>
  <c r="P1062" i="39" s="1"/>
  <c r="P1101" i="39"/>
  <c r="P1100" i="39" s="1"/>
  <c r="O1086" i="39"/>
  <c r="S847" i="39"/>
  <c r="R849" i="39"/>
  <c r="R869" i="39" s="1" a="1"/>
  <c r="R869" i="39" s="1"/>
  <c r="P924" i="39"/>
  <c r="P930" i="39"/>
  <c r="P928" i="39"/>
  <c r="P926" i="39"/>
  <c r="P929" i="39"/>
  <c r="P927" i="39"/>
  <c r="P931" i="39"/>
  <c r="P941" i="39"/>
  <c r="P453" i="39"/>
  <c r="P415" i="39"/>
  <c r="P384" i="39" a="1"/>
  <c r="P384" i="39" s="1"/>
  <c r="P381" i="39" s="1"/>
  <c r="O273" i="39"/>
  <c r="O271" i="39" s="1"/>
  <c r="O1224" i="39"/>
  <c r="O1222" i="39" s="1"/>
  <c r="O1262" i="39"/>
  <c r="P1050" i="39"/>
  <c r="P1048" i="39" s="1"/>
  <c r="P704" i="39"/>
  <c r="P1400" i="39"/>
  <c r="P1438" i="39"/>
  <c r="P1590" i="39"/>
  <c r="Q574" i="39"/>
  <c r="S351" i="39"/>
  <c r="R353" i="39"/>
  <c r="S1010" i="39"/>
  <c r="S1335" i="39"/>
  <c r="P460" i="39"/>
  <c r="P422" i="39"/>
  <c r="S1492" i="39"/>
  <c r="R1494" i="39"/>
  <c r="S1336" i="39"/>
  <c r="P900" i="39"/>
  <c r="P899" i="39" s="1"/>
  <c r="P938" i="39"/>
  <c r="P937" i="39" s="1"/>
  <c r="P867" i="39"/>
  <c r="O538" i="39"/>
  <c r="O610" i="39"/>
  <c r="O608" i="39" s="1"/>
  <c r="O572" i="39"/>
  <c r="O570" i="39" s="1"/>
  <c r="O1387" i="39"/>
  <c r="O1385" i="39" s="1"/>
  <c r="O1425" i="39"/>
  <c r="O1423" i="39" s="1"/>
  <c r="O218" i="39"/>
  <c r="O211" i="39" s="1"/>
  <c r="O223" i="39" s="1"/>
  <c r="O253" i="39"/>
  <c r="O250" i="39" s="1"/>
  <c r="O291" i="39"/>
  <c r="O288" i="39" s="1"/>
  <c r="N406" i="39"/>
  <c r="N418" i="39" s="1"/>
  <c r="T521" i="39"/>
  <c r="P761" i="39"/>
  <c r="P768" i="39"/>
  <c r="P763" i="39"/>
  <c r="P778" i="39"/>
  <c r="P764" i="39"/>
  <c r="P766" i="39"/>
  <c r="P765" i="39"/>
  <c r="P767" i="39"/>
  <c r="Q360" i="39"/>
  <c r="Q380" i="39" s="1" a="1"/>
  <c r="Q380" i="39" s="1"/>
  <c r="P1424" i="39"/>
  <c r="P1355" i="39"/>
  <c r="P1386" i="39"/>
  <c r="P561" i="39"/>
  <c r="P559" i="39" s="1"/>
  <c r="P215" i="39"/>
  <c r="Q1356" i="39"/>
  <c r="Q1427" i="39"/>
  <c r="Q1389" i="39"/>
  <c r="P458" i="39"/>
  <c r="P420" i="39"/>
  <c r="Q1495" i="39"/>
  <c r="Q1618" i="39"/>
  <c r="Q1538" i="39"/>
  <c r="Q1524" i="39" a="1"/>
  <c r="Q1524" i="39" s="1"/>
  <c r="Q1530" i="39" a="1"/>
  <c r="Q1530" i="39" s="1"/>
  <c r="Q1531" i="39" a="1"/>
  <c r="Q1531" i="39" s="1"/>
  <c r="Q1517" i="39" a="1"/>
  <c r="Q1517" i="39" s="1"/>
  <c r="Q1529" i="39" a="1"/>
  <c r="Q1529" i="39" s="1"/>
  <c r="Q1540" i="39"/>
  <c r="Q1555" i="39"/>
  <c r="Q1543" i="39"/>
  <c r="Q1545" i="39"/>
  <c r="Q1541" i="39"/>
  <c r="Q1542" i="39"/>
  <c r="Q1544" i="39"/>
  <c r="Q1501" i="39"/>
  <c r="Q1521" i="39" s="1" a="1"/>
  <c r="Q1521" i="39" s="1"/>
  <c r="N1352" i="39"/>
  <c r="N1364" i="39" s="1"/>
  <c r="O1260" i="39"/>
  <c r="O1259" i="39" s="1"/>
  <c r="O416" i="39"/>
  <c r="O413" i="39" s="1"/>
  <c r="O454" i="39"/>
  <c r="O451" i="39" s="1"/>
  <c r="O1352" i="39"/>
  <c r="O1364" i="39" s="1"/>
  <c r="P1227" i="39"/>
  <c r="P1225" i="39" s="1"/>
  <c r="P1265" i="39"/>
  <c r="P1263" i="39" s="1"/>
  <c r="T1499" i="39"/>
  <c r="P272" i="39"/>
  <c r="P275" i="39"/>
  <c r="P278" i="39"/>
  <c r="P289" i="39"/>
  <c r="P276" i="39"/>
  <c r="P279" i="39"/>
  <c r="P274" i="39"/>
  <c r="P277" i="39"/>
  <c r="Q191" i="39"/>
  <c r="Q286" i="39" s="1"/>
  <c r="Q314" i="39"/>
  <c r="Q234" i="39"/>
  <c r="Q226" i="39" a="1"/>
  <c r="Q226" i="39" s="1"/>
  <c r="Q225" i="39" a="1"/>
  <c r="Q225" i="39" s="1"/>
  <c r="Q220" i="39" a="1"/>
  <c r="Q220" i="39" s="1"/>
  <c r="Q227" i="39" a="1"/>
  <c r="Q227" i="39" s="1"/>
  <c r="Q213" i="39" a="1"/>
  <c r="Q213" i="39" s="1"/>
  <c r="Q236" i="39"/>
  <c r="Q251" i="39"/>
  <c r="Q241" i="39"/>
  <c r="Q240" i="39"/>
  <c r="Q239" i="39"/>
  <c r="Q238" i="39"/>
  <c r="Q237" i="39"/>
  <c r="S358" i="39"/>
  <c r="P1431" i="39"/>
  <c r="P1393" i="39"/>
  <c r="P1362" i="39" a="1"/>
  <c r="P1362" i="39" s="1"/>
  <c r="P1359" i="39" s="1"/>
  <c r="O436" i="39"/>
  <c r="O434" i="39" s="1"/>
  <c r="P584" i="39"/>
  <c r="P622" i="39"/>
  <c r="P1193" i="39"/>
  <c r="T41" i="41"/>
  <c r="T43" i="41" s="1"/>
  <c r="R28" i="41"/>
  <c r="S45" i="41"/>
  <c r="S48" i="41" s="1"/>
  <c r="T46" i="41" s="1"/>
  <c r="S10" i="41"/>
  <c r="S11" i="41"/>
  <c r="S23" i="41"/>
  <c r="T15" i="41"/>
  <c r="T16" i="41"/>
  <c r="R50" i="41"/>
  <c r="R51" i="41"/>
  <c r="S5" i="41"/>
  <c r="S8" i="41" s="1"/>
  <c r="T6" i="41" s="1"/>
  <c r="O1422" i="39" l="1"/>
  <c r="O1434" i="39" s="1"/>
  <c r="O1026" i="39"/>
  <c r="O1038" i="39" s="1"/>
  <c r="O732" i="39"/>
  <c r="O744" i="39" s="1"/>
  <c r="Q737" i="39"/>
  <c r="Q775" i="39"/>
  <c r="Q1062" i="39"/>
  <c r="Q248" i="39"/>
  <c r="Q1426" i="39"/>
  <c r="P1577" i="39"/>
  <c r="O1384" i="39"/>
  <c r="O1396" i="39" s="1"/>
  <c r="O406" i="39"/>
  <c r="O418" i="39" s="1"/>
  <c r="O895" i="39"/>
  <c r="O907" i="39" s="1"/>
  <c r="Q287" i="39"/>
  <c r="Q285" i="39" s="1"/>
  <c r="O1096" i="39"/>
  <c r="O1108" i="39" s="1"/>
  <c r="Q724" i="39"/>
  <c r="Q722" i="39" s="1"/>
  <c r="P611" i="39"/>
  <c r="Q1539" i="39"/>
  <c r="Q1537" i="39" s="1"/>
  <c r="Q561" i="39"/>
  <c r="Q559" i="39" s="1"/>
  <c r="Q776" i="39"/>
  <c r="Q774" i="39" s="1"/>
  <c r="P537" i="39"/>
  <c r="P549" i="39" s="1"/>
  <c r="Q1264" i="39"/>
  <c r="Q1263" i="39" s="1"/>
  <c r="O770" i="39"/>
  <c r="O782" i="39" s="1"/>
  <c r="Q398" i="39"/>
  <c r="O1271" i="39"/>
  <c r="P273" i="39"/>
  <c r="P1589" i="39"/>
  <c r="P1251" i="39"/>
  <c r="P1249" i="39" s="1"/>
  <c r="Q1211" i="39"/>
  <c r="P448" i="39"/>
  <c r="R1226" i="39"/>
  <c r="R574" i="39"/>
  <c r="Q214" i="39"/>
  <c r="Q283" i="39"/>
  <c r="Q245" i="39"/>
  <c r="U1499" i="39"/>
  <c r="U521" i="39"/>
  <c r="Q1561" i="39"/>
  <c r="Q1599" i="39"/>
  <c r="T351" i="39"/>
  <c r="S353" i="39"/>
  <c r="P416" i="39"/>
  <c r="P413" i="39" s="1"/>
  <c r="P454" i="39"/>
  <c r="P451" i="39" s="1"/>
  <c r="Q598" i="39"/>
  <c r="Q603" i="39"/>
  <c r="Q602" i="39"/>
  <c r="Q601" i="39"/>
  <c r="Q615" i="39"/>
  <c r="Q605" i="39"/>
  <c r="Q600" i="39"/>
  <c r="Q604" i="39"/>
  <c r="Q1087" i="39"/>
  <c r="Q1093" i="39"/>
  <c r="Q1094" i="39"/>
  <c r="Q1089" i="39"/>
  <c r="Q1092" i="39"/>
  <c r="Q1091" i="39"/>
  <c r="Q1090" i="39"/>
  <c r="Q1104" i="39"/>
  <c r="Q377" i="39"/>
  <c r="Q375" i="39" s="1"/>
  <c r="Q446" i="39"/>
  <c r="Q408" i="39"/>
  <c r="Q949" i="39"/>
  <c r="Q911" i="39"/>
  <c r="P1550" i="39"/>
  <c r="P1548" i="39" s="1"/>
  <c r="P1588" i="39"/>
  <c r="P1586" i="39" s="1"/>
  <c r="O1058" i="39"/>
  <c r="O1070" i="39" s="1"/>
  <c r="Q746" i="39"/>
  <c r="Q784" i="39"/>
  <c r="P573" i="39"/>
  <c r="P1231" i="39"/>
  <c r="P1228" i="39" s="1"/>
  <c r="P1269" i="39"/>
  <c r="P1266" i="39" s="1"/>
  <c r="P1595" i="39"/>
  <c r="P1592" i="39" s="1"/>
  <c r="P1557" i="39"/>
  <c r="P1554" i="39" s="1"/>
  <c r="Q459" i="39"/>
  <c r="Q421" i="39"/>
  <c r="Q866" i="39"/>
  <c r="Q864" i="39" s="1"/>
  <c r="Q935" i="39"/>
  <c r="Q897" i="39"/>
  <c r="Q1225" i="39"/>
  <c r="P1068" i="39"/>
  <c r="P1065" i="39" s="1"/>
  <c r="P1106" i="39"/>
  <c r="P1103" i="39" s="1"/>
  <c r="Q703" i="39"/>
  <c r="Q701" i="39" s="1"/>
  <c r="Q772" i="39"/>
  <c r="Q734" i="39"/>
  <c r="R901" i="39"/>
  <c r="P700" i="39"/>
  <c r="P712" i="39" s="1"/>
  <c r="T683" i="39"/>
  <c r="R354" i="39"/>
  <c r="R477" i="39"/>
  <c r="R397" i="39"/>
  <c r="R388" i="39" a="1"/>
  <c r="R388" i="39" s="1"/>
  <c r="R390" i="39" a="1"/>
  <c r="R390" i="39" s="1"/>
  <c r="R383" i="39" a="1"/>
  <c r="R383" i="39" s="1"/>
  <c r="R376" i="39" a="1"/>
  <c r="R376" i="39" s="1"/>
  <c r="R389" i="39" a="1"/>
  <c r="R389" i="39" s="1"/>
  <c r="R400" i="39"/>
  <c r="R404" i="39"/>
  <c r="R399" i="39"/>
  <c r="R402" i="39"/>
  <c r="R403" i="39"/>
  <c r="R414" i="39"/>
  <c r="R401" i="39"/>
  <c r="R359" i="39"/>
  <c r="R379" i="39" s="1" a="1"/>
  <c r="R379" i="39" s="1"/>
  <c r="P447" i="39"/>
  <c r="P445" i="39" s="1"/>
  <c r="P409" i="39"/>
  <c r="P407" i="39" s="1"/>
  <c r="P406" i="39" s="1"/>
  <c r="P418" i="39" s="1"/>
  <c r="P936" i="39"/>
  <c r="P934" i="39" s="1"/>
  <c r="P898" i="39"/>
  <c r="P896" i="39" s="1"/>
  <c r="T195" i="39"/>
  <c r="Q613" i="39"/>
  <c r="Q611" i="39" s="1"/>
  <c r="Q575" i="39"/>
  <c r="P1522" i="39"/>
  <c r="P1515" i="39" s="1"/>
  <c r="P1527" i="39" s="1"/>
  <c r="Q422" i="39"/>
  <c r="Q460" i="39"/>
  <c r="R1175" i="39"/>
  <c r="R1195" i="39" s="1" a="1"/>
  <c r="R1195" i="39" s="1"/>
  <c r="R848" i="39"/>
  <c r="R868" i="39" s="1" a="1"/>
  <c r="R868" i="39" s="1"/>
  <c r="R843" i="39"/>
  <c r="R939" i="39" s="1"/>
  <c r="R966" i="39"/>
  <c r="R886" i="39"/>
  <c r="R878" i="39" a="1"/>
  <c r="R878" i="39" s="1"/>
  <c r="R879" i="39" a="1"/>
  <c r="R879" i="39" s="1"/>
  <c r="R872" i="39" a="1"/>
  <c r="R872" i="39" s="1"/>
  <c r="R865" i="39" a="1"/>
  <c r="R865" i="39" s="1"/>
  <c r="R877" i="39" a="1"/>
  <c r="R877" i="39" s="1"/>
  <c r="R903" i="39"/>
  <c r="R889" i="39"/>
  <c r="R888" i="39"/>
  <c r="R891" i="39"/>
  <c r="R892" i="39"/>
  <c r="R893" i="39"/>
  <c r="R890" i="39"/>
  <c r="Q910" i="39"/>
  <c r="Q948" i="39"/>
  <c r="P1033" i="39"/>
  <c r="Q786" i="39"/>
  <c r="Q748" i="39"/>
  <c r="T194" i="39"/>
  <c r="T684" i="39"/>
  <c r="Q736" i="39"/>
  <c r="Q259" i="39"/>
  <c r="Q297" i="39"/>
  <c r="T847" i="39"/>
  <c r="P1196" i="39"/>
  <c r="P1189" i="39" s="1"/>
  <c r="P1201" i="39" s="1"/>
  <c r="Q939" i="39"/>
  <c r="Q901" i="39"/>
  <c r="S1005" i="39"/>
  <c r="S1012" i="39" s="1"/>
  <c r="S1032" i="39" s="1" a="1"/>
  <c r="S1032" i="39" s="1"/>
  <c r="T1003" i="39"/>
  <c r="Q741" i="39"/>
  <c r="Q779" i="39"/>
  <c r="Q710" i="39" a="1"/>
  <c r="Q710" i="39" s="1"/>
  <c r="R215" i="39"/>
  <c r="R248" i="39"/>
  <c r="R738" i="39"/>
  <c r="Q785" i="39"/>
  <c r="Q747" i="39"/>
  <c r="P572" i="39"/>
  <c r="P570" i="39" s="1"/>
  <c r="P610" i="39"/>
  <c r="P608" i="39" s="1"/>
  <c r="Q1437" i="39"/>
  <c r="Q1399" i="39"/>
  <c r="Q1223" i="39"/>
  <c r="Q1261" i="39"/>
  <c r="Q1192" i="39"/>
  <c r="Q1190" i="39" s="1"/>
  <c r="Q904" i="39"/>
  <c r="Q942" i="39"/>
  <c r="Q873" i="39" a="1"/>
  <c r="Q873" i="39" s="1"/>
  <c r="Q870" i="39" s="1"/>
  <c r="R1064" i="39"/>
  <c r="O1221" i="39"/>
  <c r="O1233" i="39" s="1"/>
  <c r="Q1563" i="39"/>
  <c r="Q1601" i="39"/>
  <c r="P1387" i="39"/>
  <c r="P1425" i="39"/>
  <c r="P1423" i="39" s="1"/>
  <c r="Q450" i="39"/>
  <c r="Q412" i="39"/>
  <c r="R1495" i="39"/>
  <c r="R1618" i="39"/>
  <c r="R1538" i="39"/>
  <c r="R1524" i="39" a="1"/>
  <c r="R1524" i="39" s="1"/>
  <c r="R1517" i="39" a="1"/>
  <c r="R1517" i="39" s="1"/>
  <c r="R1530" i="39" a="1"/>
  <c r="R1530" i="39" s="1"/>
  <c r="R1529" i="39" a="1"/>
  <c r="R1529" i="39" s="1"/>
  <c r="R1531" i="39" a="1"/>
  <c r="R1531" i="39" s="1"/>
  <c r="R1543" i="39"/>
  <c r="R1540" i="39"/>
  <c r="R1555" i="39"/>
  <c r="R1545" i="39"/>
  <c r="R1544" i="39"/>
  <c r="R1542" i="39"/>
  <c r="R1541" i="39"/>
  <c r="R1501" i="39"/>
  <c r="R1521" i="39" s="1" a="1"/>
  <c r="R1521" i="39" s="1"/>
  <c r="R1332" i="39"/>
  <c r="R1455" i="39"/>
  <c r="R1375" i="39"/>
  <c r="R1361" i="39" a="1"/>
  <c r="R1361" i="39" s="1"/>
  <c r="R1354" i="39" a="1"/>
  <c r="R1354" i="39" s="1"/>
  <c r="R1368" i="39" a="1"/>
  <c r="R1368" i="39" s="1"/>
  <c r="R1367" i="39" a="1"/>
  <c r="R1367" i="39" s="1"/>
  <c r="R1366" i="39" a="1"/>
  <c r="R1366" i="39" s="1"/>
  <c r="R1380" i="39"/>
  <c r="R1392" i="39"/>
  <c r="R1377" i="39"/>
  <c r="R1382" i="39"/>
  <c r="R1378" i="39"/>
  <c r="R1379" i="39"/>
  <c r="R1381" i="39"/>
  <c r="Q1393" i="39"/>
  <c r="Q1431" i="39"/>
  <c r="Q1362" i="39" a="1"/>
  <c r="Q1362" i="39" s="1"/>
  <c r="Q1359" i="39" s="1"/>
  <c r="Q1236" i="39"/>
  <c r="Q1274" i="39"/>
  <c r="O444" i="39"/>
  <c r="O456" i="39" s="1"/>
  <c r="Q290" i="39"/>
  <c r="Q252" i="39"/>
  <c r="Q221" i="39" a="1"/>
  <c r="Q221" i="39" s="1"/>
  <c r="Q1275" i="39"/>
  <c r="Q1237" i="39"/>
  <c r="T520" i="39"/>
  <c r="Q396" i="39"/>
  <c r="Q1050" i="39"/>
  <c r="Q1048" i="39" s="1"/>
  <c r="Q435" i="39"/>
  <c r="Q442" i="39"/>
  <c r="Q441" i="39"/>
  <c r="Q439" i="39"/>
  <c r="Q438" i="39"/>
  <c r="Q437" i="39"/>
  <c r="Q452" i="39"/>
  <c r="Q440" i="39"/>
  <c r="Q1355" i="39"/>
  <c r="Q1353" i="39" s="1"/>
  <c r="Q1424" i="39"/>
  <c r="Q1386" i="39"/>
  <c r="Q1235" i="39"/>
  <c r="Q1273" i="39"/>
  <c r="Q247" i="39"/>
  <c r="Q761" i="39"/>
  <c r="Q766" i="39"/>
  <c r="Q778" i="39"/>
  <c r="Q767" i="39"/>
  <c r="Q765" i="39"/>
  <c r="Q768" i="39"/>
  <c r="Q763" i="39"/>
  <c r="Q764" i="39"/>
  <c r="R680" i="39"/>
  <c r="R776" i="39" s="1"/>
  <c r="R803" i="39"/>
  <c r="R723" i="39"/>
  <c r="R715" i="39" a="1"/>
  <c r="R715" i="39" s="1"/>
  <c r="R716" i="39" a="1"/>
  <c r="R716" i="39" s="1"/>
  <c r="R702" i="39" a="1"/>
  <c r="R702" i="39" s="1"/>
  <c r="R714" i="39" a="1"/>
  <c r="R714" i="39" s="1"/>
  <c r="R709" i="39" a="1"/>
  <c r="R709" i="39" s="1"/>
  <c r="R725" i="39"/>
  <c r="R730" i="39"/>
  <c r="R740" i="39"/>
  <c r="R728" i="39"/>
  <c r="R726" i="39"/>
  <c r="R727" i="39"/>
  <c r="R729" i="39"/>
  <c r="R249" i="39"/>
  <c r="R1428" i="39"/>
  <c r="R1390" i="39"/>
  <c r="Q573" i="39"/>
  <c r="Q449" i="39"/>
  <c r="Q448" i="39" s="1"/>
  <c r="Q411" i="39"/>
  <c r="Q410" i="39" s="1"/>
  <c r="Q378" i="39"/>
  <c r="Q1438" i="39"/>
  <c r="Q1400" i="39"/>
  <c r="Q1268" i="39"/>
  <c r="Q1230" i="39"/>
  <c r="Q1199" i="39" a="1"/>
  <c r="Q1199" i="39" s="1"/>
  <c r="P599" i="39"/>
  <c r="P597" i="39" s="1"/>
  <c r="Q924" i="39"/>
  <c r="Q928" i="39"/>
  <c r="Q931" i="39"/>
  <c r="Q941" i="39"/>
  <c r="Q927" i="39"/>
  <c r="Q926" i="39"/>
  <c r="Q929" i="39"/>
  <c r="Q930" i="39"/>
  <c r="T677" i="39"/>
  <c r="S679" i="39"/>
  <c r="S685" i="39" s="1"/>
  <c r="S705" i="39" s="1" a="1"/>
  <c r="S705" i="39" s="1"/>
  <c r="Q295" i="39"/>
  <c r="Q257" i="39"/>
  <c r="Q458" i="39"/>
  <c r="Q420" i="39"/>
  <c r="T1173" i="39"/>
  <c r="P1353" i="39"/>
  <c r="P1352" i="39" s="1"/>
  <c r="P1364" i="39" s="1"/>
  <c r="T1329" i="39"/>
  <c r="S1331" i="39"/>
  <c r="Q272" i="39"/>
  <c r="Q289" i="39"/>
  <c r="Q279" i="39"/>
  <c r="Q278" i="39"/>
  <c r="Q274" i="39"/>
  <c r="Q277" i="39"/>
  <c r="Q276" i="39"/>
  <c r="Q275" i="39"/>
  <c r="P253" i="39"/>
  <c r="P250" i="39" s="1"/>
  <c r="P291" i="39"/>
  <c r="P288" i="39" s="1"/>
  <c r="T1166" i="39"/>
  <c r="S1168" i="39"/>
  <c r="Q867" i="39"/>
  <c r="Q938" i="39"/>
  <c r="Q937" i="39" s="1"/>
  <c r="Q900" i="39"/>
  <c r="P1262" i="39"/>
  <c r="P1260" i="39" s="1"/>
  <c r="P1259" i="39" s="1"/>
  <c r="P1224" i="39"/>
  <c r="P1222" i="39" s="1"/>
  <c r="T188" i="39"/>
  <c r="S190" i="39"/>
  <c r="S197" i="39" s="1"/>
  <c r="S217" i="39" s="1" a="1"/>
  <c r="S217" i="39" s="1"/>
  <c r="P436" i="39"/>
  <c r="P434" i="39" s="1"/>
  <c r="P742" i="39"/>
  <c r="P739" i="39" s="1"/>
  <c r="P780" i="39"/>
  <c r="P777" i="39" s="1"/>
  <c r="Q1556" i="39"/>
  <c r="Q1594" i="39"/>
  <c r="Q1525" i="39" a="1"/>
  <c r="Q1525" i="39" s="1"/>
  <c r="Q1073" i="39"/>
  <c r="Q1111" i="39"/>
  <c r="P218" i="39"/>
  <c r="P211" i="39" s="1"/>
  <c r="P223" i="39" s="1"/>
  <c r="Q1101" i="39"/>
  <c r="P943" i="39"/>
  <c r="P940" i="39" s="1"/>
  <c r="P905" i="39"/>
  <c r="P902" i="39" s="1"/>
  <c r="T1172" i="39"/>
  <c r="R191" i="39"/>
  <c r="R287" i="39" s="1"/>
  <c r="R314" i="39"/>
  <c r="R234" i="39"/>
  <c r="R227" i="39" a="1"/>
  <c r="R227" i="39" s="1"/>
  <c r="R213" i="39" a="1"/>
  <c r="R213" i="39" s="1"/>
  <c r="R220" i="39" a="1"/>
  <c r="R220" i="39" s="1"/>
  <c r="R225" i="39" a="1"/>
  <c r="R225" i="39" s="1"/>
  <c r="R226" i="39" a="1"/>
  <c r="R226" i="39" s="1"/>
  <c r="R240" i="39"/>
  <c r="R238" i="39"/>
  <c r="R241" i="39"/>
  <c r="R239" i="39"/>
  <c r="R236" i="39"/>
  <c r="R237" i="39"/>
  <c r="R251" i="39"/>
  <c r="Q1518" i="39"/>
  <c r="Q1549" i="39"/>
  <c r="Q1587" i="39"/>
  <c r="Q1398" i="39"/>
  <c r="Q1436" i="39"/>
  <c r="S842" i="39"/>
  <c r="T840" i="39"/>
  <c r="O607" i="39"/>
  <c r="O619" i="39" s="1"/>
  <c r="R360" i="39"/>
  <c r="R380" i="39" s="1" a="1"/>
  <c r="R380" i="39" s="1"/>
  <c r="Q623" i="39"/>
  <c r="Q585" i="39"/>
  <c r="Q1105" i="39"/>
  <c r="Q1067" i="39"/>
  <c r="Q1036" i="39" a="1"/>
  <c r="Q1036" i="39" s="1"/>
  <c r="Q1033" i="39" s="1"/>
  <c r="O1585" i="39"/>
  <c r="O1597" i="39" s="1"/>
  <c r="Q1413" i="39"/>
  <c r="Q1430" i="39"/>
  <c r="Q1420" i="39"/>
  <c r="Q1416" i="39"/>
  <c r="Q1419" i="39"/>
  <c r="Q1418" i="39"/>
  <c r="Q1417" i="39"/>
  <c r="Q1415" i="39"/>
  <c r="Q1414" i="39" s="1"/>
  <c r="Q1250" i="39"/>
  <c r="Q1253" i="39"/>
  <c r="Q1252" i="39"/>
  <c r="Q1257" i="39"/>
  <c r="Q1256" i="39"/>
  <c r="Q1267" i="39"/>
  <c r="Q1255" i="39"/>
  <c r="Q1254" i="39"/>
  <c r="P870" i="39"/>
  <c r="P863" i="39" s="1"/>
  <c r="P875" i="39" s="1"/>
  <c r="Q887" i="39"/>
  <c r="Q885" i="39" s="1"/>
  <c r="O281" i="39"/>
  <c r="O293" i="39" s="1"/>
  <c r="P1394" i="39"/>
  <c r="P1391" i="39" s="1"/>
  <c r="P1432" i="39"/>
  <c r="P1429" i="39" s="1"/>
  <c r="P1385" i="39"/>
  <c r="P1384" i="39" s="1"/>
  <c r="P1396" i="39" s="1"/>
  <c r="P735" i="39"/>
  <c r="P733" i="39" s="1"/>
  <c r="P732" i="39" s="1"/>
  <c r="P744" i="39" s="1"/>
  <c r="P773" i="39"/>
  <c r="P771" i="39" s="1"/>
  <c r="P770" i="39" s="1"/>
  <c r="P579" i="39"/>
  <c r="P576" i="39" s="1"/>
  <c r="P617" i="39"/>
  <c r="P614" i="39" s="1"/>
  <c r="T358" i="39"/>
  <c r="S360" i="39"/>
  <c r="S380" i="39" s="1" a="1"/>
  <c r="S380" i="39" s="1"/>
  <c r="Q1576" i="39"/>
  <c r="Q1583" i="39"/>
  <c r="Q1593" i="39"/>
  <c r="Q1578" i="39"/>
  <c r="Q1581" i="39"/>
  <c r="Q1580" i="39"/>
  <c r="Q1579" i="39"/>
  <c r="Q1582" i="39"/>
  <c r="Q578" i="39"/>
  <c r="Q616" i="39"/>
  <c r="Q547" i="39" a="1"/>
  <c r="Q547" i="39" s="1"/>
  <c r="Q544" i="39" s="1"/>
  <c r="Q1074" i="39"/>
  <c r="Q1112" i="39"/>
  <c r="Q1590" i="39"/>
  <c r="O243" i="39"/>
  <c r="O255" i="39" s="1"/>
  <c r="Q540" i="39"/>
  <c r="Q538" i="39" s="1"/>
  <c r="Q609" i="39"/>
  <c r="Q571" i="39"/>
  <c r="Q258" i="39"/>
  <c r="Q296" i="39"/>
  <c r="Q947" i="39"/>
  <c r="Q909" i="39"/>
  <c r="P246" i="39"/>
  <c r="P244" i="39" s="1"/>
  <c r="P284" i="39"/>
  <c r="P282" i="39" s="1"/>
  <c r="R1006" i="39"/>
  <c r="R1102" i="39" s="1"/>
  <c r="R1129" i="39"/>
  <c r="R1049" i="39"/>
  <c r="R1035" i="39" a="1"/>
  <c r="R1035" i="39" s="1"/>
  <c r="R1028" i="39" a="1"/>
  <c r="R1028" i="39" s="1"/>
  <c r="R1041" i="39" a="1"/>
  <c r="R1041" i="39" s="1"/>
  <c r="R1042" i="39" a="1"/>
  <c r="R1042" i="39" s="1"/>
  <c r="R1040" i="39" a="1"/>
  <c r="R1040" i="39" s="1"/>
  <c r="R1056" i="39"/>
  <c r="R1052" i="39"/>
  <c r="R1066" i="39"/>
  <c r="R1055" i="39"/>
  <c r="R1054" i="39"/>
  <c r="R1051" i="39"/>
  <c r="R1053" i="39"/>
  <c r="S1494" i="39"/>
  <c r="T1492" i="39"/>
  <c r="R1169" i="39"/>
  <c r="R1292" i="39"/>
  <c r="R1212" i="39"/>
  <c r="R1203" i="39" a="1"/>
  <c r="R1203" i="39" s="1"/>
  <c r="R1191" i="39" a="1"/>
  <c r="R1191" i="39" s="1"/>
  <c r="R1205" i="39" a="1"/>
  <c r="R1205" i="39" s="1"/>
  <c r="R1204" i="39" a="1"/>
  <c r="R1204" i="39" s="1"/>
  <c r="R1198" i="39" a="1"/>
  <c r="R1198" i="39" s="1"/>
  <c r="R1219" i="39"/>
  <c r="R1215" i="39"/>
  <c r="R1217" i="39"/>
  <c r="R1214" i="39"/>
  <c r="R1218" i="39"/>
  <c r="R1229" i="39"/>
  <c r="R1216" i="39"/>
  <c r="P925" i="39"/>
  <c r="P923" i="39" s="1"/>
  <c r="R1500" i="39"/>
  <c r="R1520" i="39" s="1" a="1"/>
  <c r="R1520" i="39" s="1"/>
  <c r="Q1388" i="39"/>
  <c r="O569" i="39"/>
  <c r="O581" i="39" s="1"/>
  <c r="T1498" i="39"/>
  <c r="T1335" i="39"/>
  <c r="R1337" i="39"/>
  <c r="R1357" i="39" s="1" a="1"/>
  <c r="R1357" i="39" s="1"/>
  <c r="Q621" i="39"/>
  <c r="Q583" i="39"/>
  <c r="Q1029" i="39"/>
  <c r="Q1027" i="39" s="1"/>
  <c r="Q1060" i="39"/>
  <c r="Q1098" i="39"/>
  <c r="P375" i="39"/>
  <c r="P374" i="39" s="1"/>
  <c r="P386" i="39" s="1"/>
  <c r="P1088" i="39"/>
  <c r="P1086" i="39" s="1"/>
  <c r="T1009" i="39"/>
  <c r="S1011" i="39"/>
  <c r="S1031" i="39" s="1" a="1"/>
  <c r="S1031" i="39" s="1"/>
  <c r="Q1376" i="39"/>
  <c r="Q1374" i="39" s="1"/>
  <c r="Q1102" i="39"/>
  <c r="P1414" i="39"/>
  <c r="P1412" i="39" s="1"/>
  <c r="Q415" i="39"/>
  <c r="Q453" i="39"/>
  <c r="Q384" i="39" a="1"/>
  <c r="Q384" i="39" s="1"/>
  <c r="Q381" i="39" s="1"/>
  <c r="P1026" i="39"/>
  <c r="P1038" i="39" s="1"/>
  <c r="U357" i="39"/>
  <c r="Q1600" i="39"/>
  <c r="Q1562" i="39"/>
  <c r="T1336" i="39"/>
  <c r="S1338" i="39"/>
  <c r="S1358" i="39" s="1" a="1"/>
  <c r="S1358" i="39" s="1"/>
  <c r="Q541" i="39"/>
  <c r="Q1591" i="39"/>
  <c r="Q1553" i="39"/>
  <c r="Q1551" i="39" s="1"/>
  <c r="P1575" i="39"/>
  <c r="R517" i="39"/>
  <c r="R612" i="39" s="1"/>
  <c r="R560" i="39"/>
  <c r="R552" i="39" a="1"/>
  <c r="R552" i="39" s="1"/>
  <c r="R546" i="39" a="1"/>
  <c r="R546" i="39" s="1"/>
  <c r="R539" i="39" a="1"/>
  <c r="R539" i="39" s="1"/>
  <c r="R551" i="39" a="1"/>
  <c r="R551" i="39" s="1"/>
  <c r="R553" i="39" a="1"/>
  <c r="R553" i="39" s="1"/>
  <c r="R562" i="39"/>
  <c r="R563" i="39"/>
  <c r="R566" i="39"/>
  <c r="R567" i="39"/>
  <c r="R577" i="39"/>
  <c r="R564" i="39"/>
  <c r="R565" i="39"/>
  <c r="R523" i="39"/>
  <c r="R543" i="39" s="1" a="1"/>
  <c r="R543" i="39" s="1"/>
  <c r="R541" i="39" s="1"/>
  <c r="T514" i="39"/>
  <c r="S516" i="39"/>
  <c r="S522" i="39" s="1"/>
  <c r="S542" i="39" s="1" a="1"/>
  <c r="S542" i="39" s="1"/>
  <c r="P762" i="39"/>
  <c r="O537" i="39"/>
  <c r="O549" i="39" s="1"/>
  <c r="Q235" i="39"/>
  <c r="Q233" i="39" s="1"/>
  <c r="P271" i="39"/>
  <c r="P760" i="39"/>
  <c r="T1010" i="39"/>
  <c r="Q622" i="39"/>
  <c r="Q584" i="39"/>
  <c r="Q1072" i="39"/>
  <c r="Q1110" i="39"/>
  <c r="R1011" i="39"/>
  <c r="R1031" i="39" s="1" a="1"/>
  <c r="R1031" i="39" s="1"/>
  <c r="P1061" i="39"/>
  <c r="P1059" i="39" s="1"/>
  <c r="P1099" i="39"/>
  <c r="P1097" i="39" s="1"/>
  <c r="O933" i="39"/>
  <c r="O945" i="39" s="1"/>
  <c r="Q1519" i="39"/>
  <c r="R685" i="39"/>
  <c r="R705" i="39" s="1" a="1"/>
  <c r="R705" i="39" s="1"/>
  <c r="S26" i="41"/>
  <c r="S25" i="41"/>
  <c r="T45" i="41"/>
  <c r="T48" i="41" s="1"/>
  <c r="S13" i="41"/>
  <c r="T11" i="41" s="1"/>
  <c r="T20" i="41"/>
  <c r="T21" i="41"/>
  <c r="T18" i="41"/>
  <c r="R53" i="41"/>
  <c r="T5" i="41"/>
  <c r="T8" i="41" s="1"/>
  <c r="P444" i="39" l="1"/>
  <c r="R1213" i="39"/>
  <c r="P1221" i="39"/>
  <c r="P1233" i="39" s="1"/>
  <c r="Q436" i="39"/>
  <c r="P243" i="39"/>
  <c r="P255" i="39" s="1"/>
  <c r="S196" i="39"/>
  <c r="S216" i="39" s="1" a="1"/>
  <c r="S216" i="39" s="1"/>
  <c r="S248" i="39" s="1"/>
  <c r="Q899" i="39"/>
  <c r="Q1589" i="39"/>
  <c r="R398" i="39"/>
  <c r="R396" i="39" s="1"/>
  <c r="P281" i="39"/>
  <c r="Q1412" i="39"/>
  <c r="P569" i="39"/>
  <c r="P581" i="39" s="1"/>
  <c r="R1376" i="39"/>
  <c r="R1374" i="39" s="1"/>
  <c r="P607" i="39"/>
  <c r="P619" i="39" s="1"/>
  <c r="Q273" i="39"/>
  <c r="R1539" i="39"/>
  <c r="R1537" i="39" s="1"/>
  <c r="R887" i="39"/>
  <c r="R885" i="39" s="1"/>
  <c r="P1585" i="39"/>
  <c r="Q925" i="39"/>
  <c r="P1547" i="39"/>
  <c r="P1559" i="39" s="1"/>
  <c r="Q599" i="39"/>
  <c r="Q597" i="39" s="1"/>
  <c r="S686" i="39"/>
  <c r="S706" i="39" s="1" a="1"/>
  <c r="S706" i="39" s="1"/>
  <c r="S738" i="39" s="1"/>
  <c r="Q863" i="39"/>
  <c r="Q875" i="39" s="1"/>
  <c r="R1211" i="39"/>
  <c r="Q1100" i="39"/>
  <c r="S1064" i="39"/>
  <c r="P1058" i="39"/>
  <c r="P1070" i="39" s="1"/>
  <c r="R377" i="39"/>
  <c r="R375" i="39" s="1"/>
  <c r="R408" i="39"/>
  <c r="R446" i="39"/>
  <c r="U1336" i="39"/>
  <c r="R252" i="39"/>
  <c r="R290" i="39"/>
  <c r="R221" i="39" a="1"/>
  <c r="R221" i="39" s="1"/>
  <c r="R786" i="39"/>
  <c r="R748" i="39"/>
  <c r="R911" i="39"/>
  <c r="R949" i="39"/>
  <c r="S249" i="39"/>
  <c r="R460" i="39"/>
  <c r="R422" i="39"/>
  <c r="Q284" i="39"/>
  <c r="Q282" i="39" s="1"/>
  <c r="Q246" i="39"/>
  <c r="Q244" i="39" s="1"/>
  <c r="R450" i="39"/>
  <c r="R412" i="39"/>
  <c r="T1005" i="39"/>
  <c r="T1011" i="39" s="1"/>
  <c r="T1031" i="39" s="1" a="1"/>
  <c r="T1031" i="39" s="1"/>
  <c r="U1003" i="39"/>
  <c r="U194" i="39"/>
  <c r="R1105" i="39"/>
  <c r="R1067" i="39"/>
  <c r="R1036" i="39" a="1"/>
  <c r="R1036" i="39" s="1"/>
  <c r="S848" i="39"/>
  <c r="S868" i="39" s="1" a="1"/>
  <c r="S868" i="39" s="1"/>
  <c r="S843" i="39"/>
  <c r="S966" i="39"/>
  <c r="S886" i="39"/>
  <c r="S878" i="39" a="1"/>
  <c r="S878" i="39" s="1"/>
  <c r="S879" i="39" a="1"/>
  <c r="S879" i="39" s="1"/>
  <c r="S865" i="39" a="1"/>
  <c r="S865" i="39" s="1"/>
  <c r="S877" i="39" a="1"/>
  <c r="S877" i="39" s="1"/>
  <c r="S872" i="39" a="1"/>
  <c r="S872" i="39" s="1"/>
  <c r="S891" i="39"/>
  <c r="S890" i="39"/>
  <c r="S888" i="39"/>
  <c r="S903" i="39"/>
  <c r="S892" i="39"/>
  <c r="S889" i="39"/>
  <c r="S893" i="39"/>
  <c r="R1398" i="39"/>
  <c r="R1436" i="39"/>
  <c r="R1601" i="39"/>
  <c r="R1563" i="39"/>
  <c r="R948" i="39"/>
  <c r="R910" i="39"/>
  <c r="P895" i="39"/>
  <c r="P907" i="39" s="1"/>
  <c r="R458" i="39"/>
  <c r="R420" i="39"/>
  <c r="R1073" i="39"/>
  <c r="R1111" i="39"/>
  <c r="Q537" i="39"/>
  <c r="Q549" i="39" s="1"/>
  <c r="R747" i="39"/>
  <c r="R785" i="39"/>
  <c r="S28" i="41"/>
  <c r="R561" i="39"/>
  <c r="Q572" i="39"/>
  <c r="Q570" i="39" s="1"/>
  <c r="Q610" i="39"/>
  <c r="Q608" i="39" s="1"/>
  <c r="R259" i="39"/>
  <c r="R297" i="39"/>
  <c r="S1332" i="39"/>
  <c r="S1428" i="39" s="1"/>
  <c r="S1455" i="39"/>
  <c r="S1375" i="39"/>
  <c r="S1361" i="39" a="1"/>
  <c r="S1361" i="39" s="1"/>
  <c r="S1367" i="39" a="1"/>
  <c r="S1367" i="39" s="1"/>
  <c r="S1354" i="39" a="1"/>
  <c r="S1354" i="39" s="1"/>
  <c r="S1368" i="39" a="1"/>
  <c r="S1368" i="39" s="1"/>
  <c r="S1366" i="39" a="1"/>
  <c r="S1366" i="39" s="1"/>
  <c r="S1381" i="39"/>
  <c r="S1392" i="39"/>
  <c r="S1380" i="39"/>
  <c r="S1382" i="39"/>
  <c r="S1379" i="39"/>
  <c r="S1377" i="39"/>
  <c r="S1378" i="39"/>
  <c r="R1399" i="39"/>
  <c r="R1437" i="39"/>
  <c r="R1599" i="39"/>
  <c r="R1561" i="39"/>
  <c r="P933" i="39"/>
  <c r="P945" i="39" s="1"/>
  <c r="Q735" i="39"/>
  <c r="Q733" i="39" s="1"/>
  <c r="Q773" i="39"/>
  <c r="Q771" i="39" s="1"/>
  <c r="R1519" i="39"/>
  <c r="R1552" i="39"/>
  <c r="R1590" i="39"/>
  <c r="R283" i="39"/>
  <c r="R214" i="39"/>
  <c r="R245" i="39"/>
  <c r="U1010" i="39"/>
  <c r="T1012" i="39"/>
  <c r="T1032" i="39" s="1" a="1"/>
  <c r="T1032" i="39" s="1"/>
  <c r="R623" i="39"/>
  <c r="R585" i="39"/>
  <c r="V357" i="39"/>
  <c r="Q1099" i="39"/>
  <c r="Q1097" i="39" s="1"/>
  <c r="Q1061" i="39"/>
  <c r="Q1059" i="39" s="1"/>
  <c r="T1494" i="39"/>
  <c r="U1492" i="39"/>
  <c r="T1331" i="39"/>
  <c r="T1338" i="39" s="1"/>
  <c r="T1358" i="39" s="1" a="1"/>
  <c r="T1358" i="39" s="1"/>
  <c r="U1329" i="39"/>
  <c r="R1438" i="39"/>
  <c r="R1400" i="39"/>
  <c r="R1562" i="39"/>
  <c r="R1600" i="39"/>
  <c r="S1390" i="39"/>
  <c r="U1009" i="39"/>
  <c r="R1029" i="39"/>
  <c r="R1027" i="39" s="1"/>
  <c r="R1098" i="39"/>
  <c r="R1060" i="39"/>
  <c r="R1087" i="39"/>
  <c r="R1104" i="39"/>
  <c r="R1094" i="39"/>
  <c r="R1090" i="39"/>
  <c r="R1093" i="39"/>
  <c r="R1091" i="39"/>
  <c r="R1092" i="39"/>
  <c r="R1089" i="39"/>
  <c r="Q1577" i="39"/>
  <c r="Q1575" i="39" s="1"/>
  <c r="S1169" i="39"/>
  <c r="S1292" i="39"/>
  <c r="S1212" i="39"/>
  <c r="S1191" i="39" a="1"/>
  <c r="S1191" i="39" s="1"/>
  <c r="S1205" i="39" a="1"/>
  <c r="S1205" i="39" s="1"/>
  <c r="S1203" i="39" a="1"/>
  <c r="S1203" i="39" s="1"/>
  <c r="S1204" i="39" a="1"/>
  <c r="S1204" i="39" s="1"/>
  <c r="S1198" i="39" a="1"/>
  <c r="S1198" i="39" s="1"/>
  <c r="S1214" i="39"/>
  <c r="S1217" i="39"/>
  <c r="S1216" i="39"/>
  <c r="S1215" i="39"/>
  <c r="S1218" i="39"/>
  <c r="S1229" i="39"/>
  <c r="S1219" i="39"/>
  <c r="Q1352" i="39"/>
  <c r="Q1364" i="39" s="1"/>
  <c r="R1424" i="39"/>
  <c r="R1355" i="39"/>
  <c r="R1353" i="39" s="1"/>
  <c r="R1386" i="39"/>
  <c r="R1518" i="39"/>
  <c r="R1587" i="39"/>
  <c r="R1549" i="39"/>
  <c r="Q943" i="39"/>
  <c r="Q940" i="39" s="1"/>
  <c r="Q905" i="39"/>
  <c r="Q902" i="39" s="1"/>
  <c r="R924" i="39"/>
  <c r="R931" i="39"/>
  <c r="R941" i="39"/>
  <c r="R926" i="39"/>
  <c r="R929" i="39"/>
  <c r="R928" i="39"/>
  <c r="R930" i="39"/>
  <c r="R927" i="39"/>
  <c r="P456" i="39"/>
  <c r="R435" i="39"/>
  <c r="R438" i="39"/>
  <c r="R441" i="39"/>
  <c r="R437" i="39"/>
  <c r="R440" i="39"/>
  <c r="R452" i="39"/>
  <c r="R442" i="39"/>
  <c r="R439" i="39"/>
  <c r="S354" i="39"/>
  <c r="S477" i="39"/>
  <c r="S397" i="39"/>
  <c r="S389" i="39" a="1"/>
  <c r="S389" i="39" s="1"/>
  <c r="S388" i="39" a="1"/>
  <c r="S388" i="39" s="1"/>
  <c r="S383" i="39" a="1"/>
  <c r="S383" i="39" s="1"/>
  <c r="S390" i="39" a="1"/>
  <c r="S390" i="39" s="1"/>
  <c r="S376" i="39" a="1"/>
  <c r="S376" i="39" s="1"/>
  <c r="S401" i="39"/>
  <c r="S414" i="39"/>
  <c r="S402" i="39"/>
  <c r="S399" i="39"/>
  <c r="S404" i="39"/>
  <c r="S403" i="39"/>
  <c r="S400" i="39"/>
  <c r="S359" i="39"/>
  <c r="S379" i="39" s="1" a="1"/>
  <c r="S379" i="39" s="1"/>
  <c r="S1030" i="39"/>
  <c r="S1063" i="39"/>
  <c r="R904" i="39"/>
  <c r="R942" i="39"/>
  <c r="R873" i="39" a="1"/>
  <c r="R873" i="39" s="1"/>
  <c r="U195" i="39"/>
  <c r="R1250" i="39"/>
  <c r="R1267" i="39"/>
  <c r="R1255" i="39"/>
  <c r="R1253" i="39"/>
  <c r="R1254" i="39"/>
  <c r="R1252" i="39"/>
  <c r="R1251" i="39" s="1"/>
  <c r="R1256" i="39"/>
  <c r="R1257" i="39"/>
  <c r="U840" i="39"/>
  <c r="T842" i="39"/>
  <c r="T849" i="39" s="1"/>
  <c r="T869" i="39" s="1" a="1"/>
  <c r="T869" i="39" s="1"/>
  <c r="Q1026" i="39"/>
  <c r="Q1038" i="39" s="1"/>
  <c r="S1495" i="39"/>
  <c r="S1618" i="39"/>
  <c r="S1538" i="39"/>
  <c r="S1531" i="39" a="1"/>
  <c r="S1531" i="39" s="1"/>
  <c r="S1530" i="39" a="1"/>
  <c r="S1530" i="39" s="1"/>
  <c r="S1529" i="39" a="1"/>
  <c r="S1529" i="39" s="1"/>
  <c r="S1524" i="39" a="1"/>
  <c r="S1524" i="39" s="1"/>
  <c r="S1517" i="39" a="1"/>
  <c r="S1517" i="39" s="1"/>
  <c r="S1542" i="39"/>
  <c r="S1540" i="39"/>
  <c r="S1541" i="39"/>
  <c r="S1543" i="39"/>
  <c r="S1544" i="39"/>
  <c r="S1545" i="39"/>
  <c r="S1555" i="39"/>
  <c r="S1501" i="39"/>
  <c r="S1521" i="39" s="1" a="1"/>
  <c r="S1521" i="39" s="1"/>
  <c r="R1556" i="39"/>
  <c r="R1594" i="39"/>
  <c r="R1525" i="39" a="1"/>
  <c r="R1525" i="39" s="1"/>
  <c r="R286" i="39"/>
  <c r="R285" i="39" s="1"/>
  <c r="R938" i="39"/>
  <c r="R937" i="39" s="1"/>
  <c r="R900" i="39"/>
  <c r="R899" i="39" s="1"/>
  <c r="R867" i="39"/>
  <c r="R411" i="39"/>
  <c r="R378" i="39"/>
  <c r="R449" i="39"/>
  <c r="R448" i="39" s="1"/>
  <c r="P1597" i="39"/>
  <c r="Q1088" i="39"/>
  <c r="Q1086" i="39" s="1"/>
  <c r="T353" i="39"/>
  <c r="T360" i="39" s="1"/>
  <c r="T380" i="39" s="1" a="1"/>
  <c r="T380" i="39" s="1"/>
  <c r="U351" i="39"/>
  <c r="R746" i="39"/>
  <c r="R784" i="39"/>
  <c r="Q1595" i="39"/>
  <c r="Q1557" i="39"/>
  <c r="Q1554" i="39" s="1"/>
  <c r="R761" i="39"/>
  <c r="R763" i="39"/>
  <c r="R778" i="39"/>
  <c r="R766" i="39"/>
  <c r="R764" i="39"/>
  <c r="R768" i="39"/>
  <c r="R767" i="39"/>
  <c r="R765" i="39"/>
  <c r="S574" i="39"/>
  <c r="R247" i="39"/>
  <c r="P782" i="39"/>
  <c r="R1265" i="39"/>
  <c r="R1227" i="39"/>
  <c r="R1225" i="39" s="1"/>
  <c r="S737" i="39"/>
  <c r="R257" i="39"/>
  <c r="R295" i="39"/>
  <c r="R540" i="39"/>
  <c r="R538" i="39" s="1"/>
  <c r="R571" i="39"/>
  <c r="R609" i="39"/>
  <c r="Q1522" i="39"/>
  <c r="U1166" i="39"/>
  <c r="T1168" i="39"/>
  <c r="T1174" i="39" s="1"/>
  <c r="T1194" i="39" s="1" a="1"/>
  <c r="T1194" i="39" s="1"/>
  <c r="Q923" i="39"/>
  <c r="Q1385" i="39"/>
  <c r="U520" i="39"/>
  <c r="Q1516" i="39"/>
  <c r="Q1550" i="39"/>
  <c r="Q1548" i="39" s="1"/>
  <c r="Q1588" i="39"/>
  <c r="Q1586" i="39" s="1"/>
  <c r="R704" i="39"/>
  <c r="R737" i="39"/>
  <c r="R736" i="39" s="1"/>
  <c r="R775" i="39"/>
  <c r="R774" i="39" s="1"/>
  <c r="R622" i="39"/>
  <c r="R584" i="39"/>
  <c r="R1050" i="39"/>
  <c r="R1048" i="39" s="1"/>
  <c r="U1172" i="39"/>
  <c r="Q1387" i="39"/>
  <c r="Q1425" i="39"/>
  <c r="Q1423" i="39" s="1"/>
  <c r="S849" i="39"/>
  <c r="S869" i="39" s="1" a="1"/>
  <c r="S869" i="39" s="1"/>
  <c r="U683" i="39"/>
  <c r="R258" i="39"/>
  <c r="R296" i="39"/>
  <c r="Q1432" i="39"/>
  <c r="Q1429" i="39" s="1"/>
  <c r="Q1394" i="39"/>
  <c r="Q1391" i="39" s="1"/>
  <c r="S412" i="39"/>
  <c r="Q1231" i="39"/>
  <c r="Q1228" i="39" s="1"/>
  <c r="Q1269" i="39"/>
  <c r="Q1266" i="39" s="1"/>
  <c r="R1413" i="39"/>
  <c r="R1417" i="39"/>
  <c r="R1418" i="39"/>
  <c r="R1416" i="39"/>
  <c r="R1430" i="39"/>
  <c r="R1420" i="39"/>
  <c r="R1415" i="39"/>
  <c r="R1419" i="39"/>
  <c r="R1576" i="39"/>
  <c r="R1581" i="39"/>
  <c r="R1578" i="39"/>
  <c r="R1582" i="39"/>
  <c r="R1593" i="39"/>
  <c r="R1583" i="39"/>
  <c r="R1580" i="39"/>
  <c r="R1579" i="39"/>
  <c r="Q742" i="39"/>
  <c r="Q739" i="39" s="1"/>
  <c r="Q780" i="39"/>
  <c r="Q777" i="39" s="1"/>
  <c r="U847" i="39"/>
  <c r="R1063" i="39"/>
  <c r="R1062" i="39" s="1"/>
  <c r="R1030" i="39"/>
  <c r="R1101" i="39"/>
  <c r="R1100" i="39" s="1"/>
  <c r="R453" i="39"/>
  <c r="R415" i="39"/>
  <c r="R384" i="39" a="1"/>
  <c r="R384" i="39" s="1"/>
  <c r="R616" i="39"/>
  <c r="R578" i="39"/>
  <c r="R547" i="39" a="1"/>
  <c r="R547" i="39" s="1"/>
  <c r="S1174" i="39"/>
  <c r="S1194" i="39" s="1" a="1"/>
  <c r="S1194" i="39" s="1"/>
  <c r="S1175" i="39"/>
  <c r="S1195" i="39" s="1" a="1"/>
  <c r="S1195" i="39" s="1"/>
  <c r="Q762" i="39"/>
  <c r="Q760" i="39" s="1"/>
  <c r="R559" i="39"/>
  <c r="Q253" i="39"/>
  <c r="Q250" i="39" s="1"/>
  <c r="Q243" i="39" s="1"/>
  <c r="Q255" i="39" s="1"/>
  <c r="Q291" i="39"/>
  <c r="Q288" i="39" s="1"/>
  <c r="R1591" i="39"/>
  <c r="R1553" i="39"/>
  <c r="Q707" i="39"/>
  <c r="Q700" i="39" s="1"/>
  <c r="Q712" i="39" s="1"/>
  <c r="Q898" i="39"/>
  <c r="Q896" i="39" s="1"/>
  <c r="Q936" i="39"/>
  <c r="Q934" i="39" s="1"/>
  <c r="R703" i="39"/>
  <c r="R701" i="39" s="1"/>
  <c r="R772" i="39"/>
  <c r="R734" i="39"/>
  <c r="S1006" i="39"/>
  <c r="S1129" i="39"/>
  <c r="S1049" i="39"/>
  <c r="S1040" i="39" a="1"/>
  <c r="S1040" i="39" s="1"/>
  <c r="S1028" i="39" a="1"/>
  <c r="S1028" i="39" s="1"/>
  <c r="S1041" i="39" a="1"/>
  <c r="S1041" i="39" s="1"/>
  <c r="S1035" i="39" a="1"/>
  <c r="S1035" i="39" s="1"/>
  <c r="S1042" i="39" a="1"/>
  <c r="S1042" i="39" s="1"/>
  <c r="S1054" i="39"/>
  <c r="S1055" i="39"/>
  <c r="S1051" i="39"/>
  <c r="S1052" i="39"/>
  <c r="S1053" i="39"/>
  <c r="S1056" i="39"/>
  <c r="S1066" i="39"/>
  <c r="R1393" i="39"/>
  <c r="R1431" i="39"/>
  <c r="R1362" i="39" a="1"/>
  <c r="R1362" i="39" s="1"/>
  <c r="R1230" i="39"/>
  <c r="R1268" i="39"/>
  <c r="R1199" i="39" a="1"/>
  <c r="R1199" i="39" s="1"/>
  <c r="R1196" i="39" s="1"/>
  <c r="U358" i="39"/>
  <c r="R235" i="39"/>
  <c r="R233" i="39" s="1"/>
  <c r="Q1196" i="39"/>
  <c r="Q1189" i="39" s="1"/>
  <c r="Q1201" i="39" s="1"/>
  <c r="U514" i="39"/>
  <c r="T516" i="39"/>
  <c r="T522" i="39" s="1"/>
  <c r="T542" i="39" s="1" a="1"/>
  <c r="T542" i="39" s="1"/>
  <c r="T1337" i="39"/>
  <c r="T1357" i="39" s="1" a="1"/>
  <c r="T1357" i="39" s="1"/>
  <c r="U1335" i="39"/>
  <c r="R1236" i="39"/>
  <c r="R1274" i="39"/>
  <c r="Q434" i="39"/>
  <c r="Q218" i="39"/>
  <c r="Q1262" i="39"/>
  <c r="Q1260" i="39" s="1"/>
  <c r="Q1224" i="39"/>
  <c r="Q1222" i="39" s="1"/>
  <c r="Q374" i="39"/>
  <c r="Q386" i="39" s="1"/>
  <c r="V521" i="39"/>
  <c r="R897" i="39"/>
  <c r="R935" i="39"/>
  <c r="R866" i="39"/>
  <c r="R864" i="39" s="1"/>
  <c r="R621" i="39"/>
  <c r="R583" i="39"/>
  <c r="R1427" i="39"/>
  <c r="R1426" i="39" s="1"/>
  <c r="R1389" i="39"/>
  <c r="R1388" i="39" s="1"/>
  <c r="R1356" i="39"/>
  <c r="R575" i="39"/>
  <c r="R573" i="39" s="1"/>
  <c r="R613" i="39"/>
  <c r="R611" i="39" s="1"/>
  <c r="S1500" i="39"/>
  <c r="S1520" i="39" s="1" a="1"/>
  <c r="S1520" i="39" s="1"/>
  <c r="R1237" i="39"/>
  <c r="R1275" i="39"/>
  <c r="P1422" i="39"/>
  <c r="P1434" i="39" s="1"/>
  <c r="V1499" i="39"/>
  <c r="R1074" i="39"/>
  <c r="R1112" i="39"/>
  <c r="S215" i="39"/>
  <c r="Q416" i="39"/>
  <c r="Q413" i="39" s="1"/>
  <c r="Q454" i="39"/>
  <c r="Q451" i="39" s="1"/>
  <c r="P293" i="39"/>
  <c r="Q1592" i="39"/>
  <c r="Q1585" i="39" s="1"/>
  <c r="R272" i="39"/>
  <c r="R278" i="39"/>
  <c r="R279" i="39"/>
  <c r="R277" i="39"/>
  <c r="R274" i="39"/>
  <c r="R289" i="39"/>
  <c r="R276" i="39"/>
  <c r="R275" i="39"/>
  <c r="U1173" i="39"/>
  <c r="Q1068" i="39"/>
  <c r="Q1065" i="39" s="1"/>
  <c r="Q1106" i="39"/>
  <c r="Q1103" i="39" s="1"/>
  <c r="S517" i="39"/>
  <c r="S560" i="39"/>
  <c r="S539" i="39" a="1"/>
  <c r="S539" i="39" s="1"/>
  <c r="S551" i="39" a="1"/>
  <c r="S551" i="39" s="1"/>
  <c r="S552" i="39" a="1"/>
  <c r="S552" i="39" s="1"/>
  <c r="S553" i="39" a="1"/>
  <c r="S553" i="39" s="1"/>
  <c r="S546" i="39" a="1"/>
  <c r="S546" i="39" s="1"/>
  <c r="S564" i="39"/>
  <c r="S563" i="39"/>
  <c r="S562" i="39"/>
  <c r="S577" i="39"/>
  <c r="S567" i="39"/>
  <c r="S565" i="39"/>
  <c r="S566" i="39"/>
  <c r="S523" i="39"/>
  <c r="S543" i="39" s="1" a="1"/>
  <c r="S543" i="39" s="1"/>
  <c r="R598" i="39"/>
  <c r="R601" i="39"/>
  <c r="R600" i="39"/>
  <c r="R603" i="39"/>
  <c r="R605" i="39"/>
  <c r="R615" i="39"/>
  <c r="R602" i="39"/>
  <c r="R604" i="39"/>
  <c r="S1337" i="39"/>
  <c r="S1357" i="39" s="1" a="1"/>
  <c r="S1357" i="39" s="1"/>
  <c r="P1096" i="39"/>
  <c r="P1108" i="39" s="1"/>
  <c r="U1498" i="39"/>
  <c r="T1500" i="39"/>
  <c r="T1520" i="39" s="1" a="1"/>
  <c r="T1520" i="39" s="1"/>
  <c r="R1192" i="39"/>
  <c r="R1261" i="39"/>
  <c r="R1223" i="39"/>
  <c r="Q579" i="39"/>
  <c r="Q576" i="39" s="1"/>
  <c r="Q617" i="39"/>
  <c r="Q614" i="39" s="1"/>
  <c r="Q1251" i="39"/>
  <c r="Q1249" i="39" s="1"/>
  <c r="S191" i="39"/>
  <c r="S314" i="39"/>
  <c r="S234" i="39"/>
  <c r="S225" i="39" a="1"/>
  <c r="S225" i="39" s="1"/>
  <c r="S220" i="39" a="1"/>
  <c r="S220" i="39" s="1"/>
  <c r="S227" i="39" a="1"/>
  <c r="S227" i="39" s="1"/>
  <c r="S226" i="39" a="1"/>
  <c r="S226" i="39" s="1"/>
  <c r="S213" i="39" a="1"/>
  <c r="S213" i="39" s="1"/>
  <c r="S236" i="39"/>
  <c r="S238" i="39"/>
  <c r="S239" i="39"/>
  <c r="S237" i="39"/>
  <c r="S240" i="39"/>
  <c r="S251" i="39"/>
  <c r="S241" i="39"/>
  <c r="S680" i="39"/>
  <c r="S775" i="39" s="1"/>
  <c r="S803" i="39"/>
  <c r="S723" i="39"/>
  <c r="S716" i="39" a="1"/>
  <c r="S716" i="39" s="1"/>
  <c r="S702" i="39" a="1"/>
  <c r="S702" i="39" s="1"/>
  <c r="S715" i="39" a="1"/>
  <c r="S715" i="39" s="1"/>
  <c r="S709" i="39" a="1"/>
  <c r="S709" i="39" s="1"/>
  <c r="S714" i="39" a="1"/>
  <c r="S714" i="39" s="1"/>
  <c r="S725" i="39"/>
  <c r="S729" i="39"/>
  <c r="S727" i="39"/>
  <c r="S740" i="39"/>
  <c r="S728" i="39"/>
  <c r="S726" i="39"/>
  <c r="S730" i="39"/>
  <c r="R724" i="39"/>
  <c r="R722" i="39" s="1"/>
  <c r="U684" i="39"/>
  <c r="R1264" i="39"/>
  <c r="R1273" i="39"/>
  <c r="R1235" i="39"/>
  <c r="R1072" i="39"/>
  <c r="R1110" i="39"/>
  <c r="T190" i="39"/>
  <c r="T196" i="39" s="1"/>
  <c r="T216" i="39" s="1" a="1"/>
  <c r="T216" i="39" s="1"/>
  <c r="U188" i="39"/>
  <c r="Q271" i="39"/>
  <c r="U677" i="39"/>
  <c r="T679" i="39"/>
  <c r="T686" i="39" s="1"/>
  <c r="T706" i="39" s="1" a="1"/>
  <c r="T706" i="39" s="1"/>
  <c r="R779" i="39"/>
  <c r="R741" i="39"/>
  <c r="R710" i="39" a="1"/>
  <c r="R710" i="39" s="1"/>
  <c r="P1271" i="39"/>
  <c r="R947" i="39"/>
  <c r="R909" i="39"/>
  <c r="R459" i="39"/>
  <c r="R421" i="39"/>
  <c r="Q409" i="39"/>
  <c r="Q407" i="39" s="1"/>
  <c r="Q447" i="39"/>
  <c r="Q445" i="39" s="1"/>
  <c r="Q444" i="39" s="1"/>
  <c r="Q212" i="39"/>
  <c r="Q211" i="39" s="1"/>
  <c r="Q223" i="39" s="1"/>
  <c r="R1193" i="39"/>
  <c r="T25" i="41"/>
  <c r="T26" i="41"/>
  <c r="T10" i="41"/>
  <c r="T13" i="41" s="1"/>
  <c r="S51" i="41"/>
  <c r="S50" i="41"/>
  <c r="T23" i="41"/>
  <c r="S561" i="39" l="1"/>
  <c r="S559" i="39" s="1"/>
  <c r="S704" i="39"/>
  <c r="Q1384" i="39"/>
  <c r="Q1396" i="39" s="1"/>
  <c r="Q1547" i="39"/>
  <c r="Q1559" i="39" s="1"/>
  <c r="Q456" i="39"/>
  <c r="Q1221" i="39"/>
  <c r="Q1233" i="39" s="1"/>
  <c r="Q933" i="39"/>
  <c r="Q1597" i="39"/>
  <c r="Q895" i="39"/>
  <c r="Q907" i="39" s="1"/>
  <c r="S398" i="39"/>
  <c r="Q569" i="39"/>
  <c r="Q581" i="39" s="1"/>
  <c r="R1088" i="39"/>
  <c r="S1062" i="39"/>
  <c r="Q732" i="39"/>
  <c r="Q744" i="39" s="1"/>
  <c r="S247" i="39"/>
  <c r="R1414" i="39"/>
  <c r="T738" i="39"/>
  <c r="T248" i="39"/>
  <c r="T1390" i="39"/>
  <c r="T1226" i="39"/>
  <c r="T574" i="39"/>
  <c r="S297" i="39"/>
  <c r="S259" i="39"/>
  <c r="V1335" i="39"/>
  <c r="S1087" i="39"/>
  <c r="S1090" i="39"/>
  <c r="S1089" i="39"/>
  <c r="S1093" i="39"/>
  <c r="S1091" i="39"/>
  <c r="S1104" i="39"/>
  <c r="S1092" i="39"/>
  <c r="S1094" i="39"/>
  <c r="Q1422" i="39"/>
  <c r="Q1434" i="39" s="1"/>
  <c r="S435" i="39"/>
  <c r="S439" i="39"/>
  <c r="S452" i="39"/>
  <c r="S437" i="39"/>
  <c r="S442" i="39"/>
  <c r="S440" i="39"/>
  <c r="S441" i="39"/>
  <c r="S438" i="39"/>
  <c r="T1389" i="39"/>
  <c r="T1388" i="39" s="1"/>
  <c r="T1356" i="39"/>
  <c r="S1193" i="39"/>
  <c r="S1226" i="39"/>
  <c r="S1264" i="39"/>
  <c r="R410" i="39"/>
  <c r="S1539" i="39"/>
  <c r="S1537" i="39" s="1"/>
  <c r="S378" i="39"/>
  <c r="S449" i="39"/>
  <c r="S411" i="39"/>
  <c r="S410" i="39" s="1"/>
  <c r="S910" i="39"/>
  <c r="S948" i="39"/>
  <c r="S1265" i="39"/>
  <c r="S1227" i="39"/>
  <c r="Q1259" i="39"/>
  <c r="Q1271" i="39" s="1"/>
  <c r="S1356" i="39"/>
  <c r="S1427" i="39"/>
  <c r="S1426" i="39" s="1"/>
  <c r="S1389" i="39"/>
  <c r="S1388" i="39" s="1"/>
  <c r="S776" i="39"/>
  <c r="S774" i="39" s="1"/>
  <c r="S703" i="39"/>
  <c r="S701" i="39" s="1"/>
  <c r="S734" i="39"/>
  <c r="S772" i="39"/>
  <c r="S295" i="39"/>
  <c r="S257" i="39"/>
  <c r="R936" i="39"/>
  <c r="R934" i="39" s="1"/>
  <c r="R898" i="39"/>
  <c r="R896" i="39" s="1"/>
  <c r="R544" i="39"/>
  <c r="R579" i="39"/>
  <c r="R576" i="39" s="1"/>
  <c r="R617" i="39"/>
  <c r="R614" i="39" s="1"/>
  <c r="V1172" i="39"/>
  <c r="S1376" i="39"/>
  <c r="S1374" i="39" s="1"/>
  <c r="V1336" i="39"/>
  <c r="S911" i="39"/>
  <c r="S949" i="39"/>
  <c r="S252" i="39"/>
  <c r="S290" i="39"/>
  <c r="S221" i="39" a="1"/>
  <c r="S221" i="39" s="1"/>
  <c r="R1263" i="39"/>
  <c r="S786" i="39"/>
  <c r="S748" i="39"/>
  <c r="S578" i="39"/>
  <c r="S616" i="39"/>
  <c r="S547" i="39" a="1"/>
  <c r="S547" i="39" s="1"/>
  <c r="R273" i="39"/>
  <c r="T517" i="39"/>
  <c r="T560" i="39"/>
  <c r="T539" i="39" a="1"/>
  <c r="T539" i="39" s="1"/>
  <c r="T546" i="39" a="1"/>
  <c r="T546" i="39" s="1"/>
  <c r="T551" i="39" a="1"/>
  <c r="T551" i="39" s="1"/>
  <c r="T553" i="39" a="1"/>
  <c r="T553" i="39" s="1"/>
  <c r="T552" i="39" a="1"/>
  <c r="T552" i="39" s="1"/>
  <c r="T563" i="39"/>
  <c r="T562" i="39"/>
  <c r="T566" i="39"/>
  <c r="T564" i="39"/>
  <c r="T565" i="39"/>
  <c r="T577" i="39"/>
  <c r="T567" i="39"/>
  <c r="T523" i="39"/>
  <c r="T543" i="39" s="1" a="1"/>
  <c r="T543" i="39" s="1"/>
  <c r="S450" i="39"/>
  <c r="V520" i="39"/>
  <c r="S736" i="39"/>
  <c r="R762" i="39"/>
  <c r="R760" i="39" s="1"/>
  <c r="S1587" i="39"/>
  <c r="S1518" i="39"/>
  <c r="S1516" i="39" s="1"/>
  <c r="S1549" i="39"/>
  <c r="S1213" i="39"/>
  <c r="S1211" i="39" s="1"/>
  <c r="V1492" i="39"/>
  <c r="U1494" i="39"/>
  <c r="U1500" i="39" s="1"/>
  <c r="U1520" i="39" s="1" a="1"/>
  <c r="U1520" i="39" s="1"/>
  <c r="R1589" i="39"/>
  <c r="Q607" i="39"/>
  <c r="Q619" i="39" s="1"/>
  <c r="Q281" i="39"/>
  <c r="Q293" i="39" s="1"/>
  <c r="S741" i="39"/>
  <c r="S779" i="39"/>
  <c r="S710" i="39" a="1"/>
  <c r="S710" i="39" s="1"/>
  <c r="S747" i="39"/>
  <c r="S785" i="39"/>
  <c r="S585" i="39"/>
  <c r="S623" i="39"/>
  <c r="W1499" i="39"/>
  <c r="U516" i="39"/>
  <c r="U522" i="39" s="1"/>
  <c r="U542" i="39" s="1" a="1"/>
  <c r="U542" i="39" s="1"/>
  <c r="V514" i="39"/>
  <c r="S1594" i="39"/>
  <c r="S1556" i="39"/>
  <c r="S1525" i="39" a="1"/>
  <c r="S1525" i="39" s="1"/>
  <c r="S1268" i="39"/>
  <c r="S1230" i="39"/>
  <c r="S1199" i="39" a="1"/>
  <c r="S1199" i="39" s="1"/>
  <c r="T1495" i="39"/>
  <c r="T1590" i="39" s="1"/>
  <c r="T1618" i="39"/>
  <c r="T1538" i="39"/>
  <c r="T1517" i="39" a="1"/>
  <c r="T1517" i="39" s="1"/>
  <c r="T1524" i="39" a="1"/>
  <c r="T1524" i="39" s="1"/>
  <c r="T1529" i="39" a="1"/>
  <c r="T1529" i="39" s="1"/>
  <c r="T1530" i="39" a="1"/>
  <c r="T1530" i="39" s="1"/>
  <c r="T1531" i="39" a="1"/>
  <c r="T1531" i="39" s="1"/>
  <c r="T1545" i="39"/>
  <c r="T1555" i="39"/>
  <c r="T1541" i="39"/>
  <c r="T1540" i="39"/>
  <c r="T1544" i="39"/>
  <c r="T1542" i="39"/>
  <c r="T1543" i="39"/>
  <c r="T1501" i="39"/>
  <c r="T1521" i="39" s="1" a="1"/>
  <c r="T1521" i="39" s="1"/>
  <c r="R1551" i="39"/>
  <c r="S924" i="39"/>
  <c r="S929" i="39"/>
  <c r="S928" i="39"/>
  <c r="S941" i="39"/>
  <c r="S931" i="39"/>
  <c r="S926" i="39"/>
  <c r="S930" i="39"/>
  <c r="S927" i="39"/>
  <c r="S584" i="39"/>
  <c r="S622" i="39"/>
  <c r="W521" i="39"/>
  <c r="R773" i="39"/>
  <c r="R771" i="39" s="1"/>
  <c r="R735" i="39"/>
  <c r="R733" i="39" s="1"/>
  <c r="R416" i="39"/>
  <c r="R413" i="39" s="1"/>
  <c r="R454" i="39"/>
  <c r="R451" i="39" s="1"/>
  <c r="R1577" i="39"/>
  <c r="R1575" i="39" s="1"/>
  <c r="Q945" i="39"/>
  <c r="S1561" i="39"/>
  <c r="S1599" i="39"/>
  <c r="R1249" i="39"/>
  <c r="S1274" i="39"/>
  <c r="S1236" i="39"/>
  <c r="Q1058" i="39"/>
  <c r="Q1070" i="39" s="1"/>
  <c r="S938" i="39"/>
  <c r="S900" i="39"/>
  <c r="S867" i="39"/>
  <c r="S583" i="39"/>
  <c r="S621" i="39"/>
  <c r="S1050" i="39"/>
  <c r="R381" i="39"/>
  <c r="R374" i="39" s="1"/>
  <c r="R386" i="39" s="1"/>
  <c r="T1169" i="39"/>
  <c r="T1292" i="39"/>
  <c r="T1212" i="39"/>
  <c r="T1205" i="39" a="1"/>
  <c r="T1205" i="39" s="1"/>
  <c r="T1204" i="39" a="1"/>
  <c r="T1204" i="39" s="1"/>
  <c r="T1203" i="39" a="1"/>
  <c r="T1203" i="39" s="1"/>
  <c r="T1191" i="39" a="1"/>
  <c r="T1191" i="39" s="1"/>
  <c r="T1198" i="39" a="1"/>
  <c r="T1198" i="39" s="1"/>
  <c r="T1219" i="39"/>
  <c r="T1216" i="39"/>
  <c r="T1217" i="39"/>
  <c r="T1214" i="39"/>
  <c r="T1229" i="39"/>
  <c r="T1215" i="39"/>
  <c r="T1218" i="39"/>
  <c r="R1557" i="39"/>
  <c r="R1554" i="39" s="1"/>
  <c r="R1595" i="39"/>
  <c r="R1592" i="39" s="1"/>
  <c r="S1562" i="39"/>
  <c r="S1600" i="39"/>
  <c r="R436" i="39"/>
  <c r="R434" i="39" s="1"/>
  <c r="S1235" i="39"/>
  <c r="S1273" i="39"/>
  <c r="Q1096" i="39"/>
  <c r="Q1108" i="39" s="1"/>
  <c r="Q770" i="39"/>
  <c r="Q782" i="39" s="1"/>
  <c r="R409" i="39"/>
  <c r="R407" i="39" s="1"/>
  <c r="R447" i="39"/>
  <c r="R445" i="39" s="1"/>
  <c r="V684" i="39"/>
  <c r="S272" i="39"/>
  <c r="S276" i="39"/>
  <c r="S274" i="39"/>
  <c r="S277" i="39"/>
  <c r="S275" i="39"/>
  <c r="S278" i="39"/>
  <c r="S279" i="39"/>
  <c r="S289" i="39"/>
  <c r="S609" i="39"/>
  <c r="S571" i="39"/>
  <c r="S540" i="39"/>
  <c r="S538" i="39" s="1"/>
  <c r="R271" i="39"/>
  <c r="V358" i="39"/>
  <c r="U1168" i="39"/>
  <c r="U1175" i="39" s="1"/>
  <c r="U1195" i="39" s="1" a="1"/>
  <c r="U1195" i="39" s="1"/>
  <c r="V1166" i="39"/>
  <c r="R1522" i="39"/>
  <c r="S1563" i="39"/>
  <c r="S1601" i="39"/>
  <c r="V195" i="39"/>
  <c r="R1516" i="39"/>
  <c r="R1550" i="39"/>
  <c r="R1548" i="39" s="1"/>
  <c r="R1588" i="39"/>
  <c r="R1586" i="39" s="1"/>
  <c r="S1275" i="39"/>
  <c r="S1237" i="39"/>
  <c r="R1068" i="39"/>
  <c r="R1065" i="39" s="1"/>
  <c r="R1106" i="39"/>
  <c r="R1103" i="39" s="1"/>
  <c r="S287" i="39"/>
  <c r="R780" i="39"/>
  <c r="R777" i="39" s="1"/>
  <c r="R742" i="39"/>
  <c r="R739" i="39" s="1"/>
  <c r="S761" i="39"/>
  <c r="S763" i="39"/>
  <c r="S767" i="39"/>
  <c r="S765" i="39"/>
  <c r="S778" i="39"/>
  <c r="S766" i="39"/>
  <c r="S768" i="39"/>
  <c r="S764" i="39"/>
  <c r="R707" i="39"/>
  <c r="R700" i="39" s="1"/>
  <c r="R712" i="39" s="1"/>
  <c r="R599" i="39"/>
  <c r="R597" i="39" s="1"/>
  <c r="T412" i="39"/>
  <c r="Q1515" i="39"/>
  <c r="Q1527" i="39" s="1"/>
  <c r="T197" i="39"/>
  <c r="T217" i="39" s="1" a="1"/>
  <c r="T217" i="39" s="1"/>
  <c r="S1223" i="39"/>
  <c r="S1261" i="39"/>
  <c r="S1192" i="39"/>
  <c r="W357" i="39"/>
  <c r="S1398" i="39"/>
  <c r="S1436" i="39"/>
  <c r="R1033" i="39"/>
  <c r="R1026" i="39" s="1"/>
  <c r="R1038" i="39" s="1"/>
  <c r="S1590" i="39"/>
  <c r="S1519" i="39"/>
  <c r="S1552" i="39"/>
  <c r="S1112" i="39"/>
  <c r="S1074" i="39"/>
  <c r="V683" i="39"/>
  <c r="R905" i="39"/>
  <c r="R902" i="39" s="1"/>
  <c r="R943" i="39"/>
  <c r="R940" i="39" s="1"/>
  <c r="S377" i="39"/>
  <c r="S375" i="39" s="1"/>
  <c r="S446" i="39"/>
  <c r="S408" i="39"/>
  <c r="S1400" i="39"/>
  <c r="S1438" i="39"/>
  <c r="S598" i="39"/>
  <c r="S601" i="39"/>
  <c r="S600" i="39"/>
  <c r="S599" i="39" s="1"/>
  <c r="S605" i="39"/>
  <c r="S603" i="39"/>
  <c r="S602" i="39"/>
  <c r="S615" i="39"/>
  <c r="S604" i="39"/>
  <c r="T680" i="39"/>
  <c r="T803" i="39"/>
  <c r="T723" i="39"/>
  <c r="T702" i="39" a="1"/>
  <c r="T702" i="39" s="1"/>
  <c r="T709" i="39" a="1"/>
  <c r="T709" i="39" s="1"/>
  <c r="T715" i="39" a="1"/>
  <c r="T715" i="39" s="1"/>
  <c r="T716" i="39" a="1"/>
  <c r="T716" i="39" s="1"/>
  <c r="T714" i="39" a="1"/>
  <c r="T714" i="39" s="1"/>
  <c r="T729" i="39"/>
  <c r="T725" i="39"/>
  <c r="T728" i="39"/>
  <c r="T740" i="39"/>
  <c r="T727" i="39"/>
  <c r="T726" i="39"/>
  <c r="T730" i="39"/>
  <c r="R1269" i="39"/>
  <c r="R1266" i="39" s="1"/>
  <c r="R1231" i="39"/>
  <c r="R1228" i="39" s="1"/>
  <c r="S1067" i="39"/>
  <c r="S1105" i="39"/>
  <c r="S1036" i="39" a="1"/>
  <c r="S1036" i="39" s="1"/>
  <c r="T685" i="39"/>
  <c r="T705" i="39" s="1" a="1"/>
  <c r="T705" i="39" s="1"/>
  <c r="S1576" i="39"/>
  <c r="S1578" i="39"/>
  <c r="S1580" i="39"/>
  <c r="S1582" i="39"/>
  <c r="S1579" i="39"/>
  <c r="S1583" i="39"/>
  <c r="S1581" i="39"/>
  <c r="S1593" i="39"/>
  <c r="R870" i="39"/>
  <c r="R863" i="39" s="1"/>
  <c r="R875" i="39" s="1"/>
  <c r="S460" i="39"/>
  <c r="S422" i="39"/>
  <c r="R1425" i="39"/>
  <c r="R1423" i="39" s="1"/>
  <c r="R1387" i="39"/>
  <c r="R1385" i="39" s="1"/>
  <c r="S1355" i="39"/>
  <c r="S1386" i="39"/>
  <c r="S1424" i="39"/>
  <c r="S887" i="39"/>
  <c r="S885" i="39" s="1"/>
  <c r="S1591" i="39"/>
  <c r="S1553" i="39"/>
  <c r="S1250" i="39"/>
  <c r="S1255" i="39"/>
  <c r="S1254" i="39"/>
  <c r="S1267" i="39"/>
  <c r="S1253" i="39"/>
  <c r="S1256" i="39"/>
  <c r="S1257" i="39"/>
  <c r="S1252" i="39"/>
  <c r="T1064" i="39"/>
  <c r="S1437" i="39"/>
  <c r="S1399" i="39"/>
  <c r="U196" i="39"/>
  <c r="U216" i="39" s="1" a="1"/>
  <c r="U216" i="39" s="1"/>
  <c r="V194" i="39"/>
  <c r="S1073" i="39"/>
  <c r="S1111" i="39"/>
  <c r="S1029" i="39"/>
  <c r="S1098" i="39"/>
  <c r="S1060" i="39"/>
  <c r="T901" i="39"/>
  <c r="S612" i="39"/>
  <c r="T354" i="39"/>
  <c r="T450" i="39" s="1"/>
  <c r="T477" i="39"/>
  <c r="T397" i="39"/>
  <c r="T390" i="39" a="1"/>
  <c r="T390" i="39" s="1"/>
  <c r="T388" i="39" a="1"/>
  <c r="T388" i="39" s="1"/>
  <c r="T389" i="39" a="1"/>
  <c r="T389" i="39" s="1"/>
  <c r="T383" i="39" a="1"/>
  <c r="T383" i="39" s="1"/>
  <c r="T376" i="39" a="1"/>
  <c r="T376" i="39" s="1"/>
  <c r="T414" i="39"/>
  <c r="T402" i="39"/>
  <c r="T401" i="39"/>
  <c r="T399" i="39"/>
  <c r="T404" i="39"/>
  <c r="T400" i="39"/>
  <c r="T403" i="39"/>
  <c r="T359" i="39"/>
  <c r="T379" i="39" s="1" a="1"/>
  <c r="T379" i="39" s="1"/>
  <c r="T848" i="39"/>
  <c r="T868" i="39" s="1" a="1"/>
  <c r="T868" i="39" s="1"/>
  <c r="T843" i="39"/>
  <c r="T939" i="39" s="1"/>
  <c r="T966" i="39"/>
  <c r="T886" i="39"/>
  <c r="T877" i="39" a="1"/>
  <c r="T877" i="39" s="1"/>
  <c r="T878" i="39" a="1"/>
  <c r="T878" i="39" s="1"/>
  <c r="T865" i="39" a="1"/>
  <c r="T865" i="39" s="1"/>
  <c r="T872" i="39" a="1"/>
  <c r="T872" i="39" s="1"/>
  <c r="T879" i="39" a="1"/>
  <c r="T879" i="39" s="1"/>
  <c r="T890" i="39"/>
  <c r="T903" i="39"/>
  <c r="T891" i="39"/>
  <c r="T888" i="39"/>
  <c r="T889" i="39"/>
  <c r="T893" i="39"/>
  <c r="T892" i="39"/>
  <c r="S458" i="39"/>
  <c r="S420" i="39"/>
  <c r="V1010" i="39"/>
  <c r="S1431" i="39"/>
  <c r="S1393" i="39"/>
  <c r="S1362" i="39" a="1"/>
  <c r="S1362" i="39" s="1"/>
  <c r="S613" i="39"/>
  <c r="S575" i="39"/>
  <c r="S573" i="39" s="1"/>
  <c r="T1552" i="39"/>
  <c r="S286" i="39"/>
  <c r="S1072" i="39"/>
  <c r="S1110" i="39"/>
  <c r="V847" i="39"/>
  <c r="U842" i="39"/>
  <c r="U849" i="39" s="1"/>
  <c r="U869" i="39" s="1" a="1"/>
  <c r="U869" i="39" s="1"/>
  <c r="V840" i="39"/>
  <c r="S459" i="39"/>
  <c r="S421" i="39"/>
  <c r="V1009" i="39"/>
  <c r="S942" i="39"/>
  <c r="S904" i="39"/>
  <c r="S873" i="39" a="1"/>
  <c r="S873" i="39" s="1"/>
  <c r="S870" i="39" s="1"/>
  <c r="V1003" i="39"/>
  <c r="U1005" i="39"/>
  <c r="U1011" i="39" s="1"/>
  <c r="U1031" i="39" s="1" a="1"/>
  <c r="U1031" i="39" s="1"/>
  <c r="U679" i="39"/>
  <c r="U686" i="39" s="1"/>
  <c r="U706" i="39" s="1" a="1"/>
  <c r="U706" i="39" s="1"/>
  <c r="V677" i="39"/>
  <c r="R1262" i="39"/>
  <c r="R1260" i="39" s="1"/>
  <c r="R1224" i="39"/>
  <c r="R1222" i="39" s="1"/>
  <c r="S415" i="39"/>
  <c r="S453" i="39"/>
  <c r="S384" i="39" a="1"/>
  <c r="S384" i="39" s="1"/>
  <c r="S381" i="39" s="1"/>
  <c r="R1099" i="39"/>
  <c r="R1097" i="39" s="1"/>
  <c r="R1061" i="39"/>
  <c r="R1059" i="39" s="1"/>
  <c r="R1190" i="39"/>
  <c r="R1189" i="39" s="1"/>
  <c r="R1201" i="39" s="1"/>
  <c r="Q406" i="39"/>
  <c r="Q418" i="39" s="1"/>
  <c r="V188" i="39"/>
  <c r="U190" i="39"/>
  <c r="U197" i="39" s="1"/>
  <c r="U217" i="39" s="1" a="1"/>
  <c r="U217" i="39" s="1"/>
  <c r="S235" i="39"/>
  <c r="S233" i="39" s="1"/>
  <c r="T191" i="39"/>
  <c r="T286" i="39" s="1"/>
  <c r="T314" i="39"/>
  <c r="T234" i="39"/>
  <c r="T227" i="39" a="1"/>
  <c r="T227" i="39" s="1"/>
  <c r="T226" i="39" a="1"/>
  <c r="T226" i="39" s="1"/>
  <c r="T225" i="39" a="1"/>
  <c r="T225" i="39" s="1"/>
  <c r="T220" i="39" a="1"/>
  <c r="T220" i="39" s="1"/>
  <c r="T213" i="39" a="1"/>
  <c r="T213" i="39" s="1"/>
  <c r="T241" i="39"/>
  <c r="T237" i="39"/>
  <c r="T239" i="39"/>
  <c r="T240" i="39"/>
  <c r="T251" i="39"/>
  <c r="T238" i="39"/>
  <c r="T236" i="39"/>
  <c r="S724" i="39"/>
  <c r="S722" i="39" s="1"/>
  <c r="R1432" i="39"/>
  <c r="R1429" i="39" s="1"/>
  <c r="R1394" i="39"/>
  <c r="R1391" i="39" s="1"/>
  <c r="S1048" i="39"/>
  <c r="R572" i="39"/>
  <c r="R570" i="39" s="1"/>
  <c r="R569" i="39" s="1"/>
  <c r="R581" i="39" s="1"/>
  <c r="R610" i="39"/>
  <c r="R608" i="39" s="1"/>
  <c r="R607" i="39" s="1"/>
  <c r="S396" i="39"/>
  <c r="T1030" i="39"/>
  <c r="T1063" i="39"/>
  <c r="U1331" i="39"/>
  <c r="U1337" i="39" s="1"/>
  <c r="U1357" i="39" s="1" a="1"/>
  <c r="U1357" i="39" s="1"/>
  <c r="V1329" i="39"/>
  <c r="S909" i="39"/>
  <c r="S947" i="39"/>
  <c r="T1006" i="39"/>
  <c r="T1101" i="39" s="1"/>
  <c r="T1129" i="39"/>
  <c r="T1049" i="39"/>
  <c r="T1042" i="39" a="1"/>
  <c r="T1042" i="39" s="1"/>
  <c r="T1035" i="39" a="1"/>
  <c r="T1035" i="39" s="1"/>
  <c r="T1041" i="39" a="1"/>
  <c r="T1041" i="39" s="1"/>
  <c r="T1040" i="39" a="1"/>
  <c r="T1040" i="39" s="1"/>
  <c r="T1028" i="39" a="1"/>
  <c r="T1028" i="39" s="1"/>
  <c r="T1066" i="39"/>
  <c r="T1051" i="39"/>
  <c r="T1056" i="39"/>
  <c r="T1054" i="39"/>
  <c r="T1055" i="39"/>
  <c r="T1052" i="39"/>
  <c r="T1053" i="39"/>
  <c r="R218" i="39"/>
  <c r="R253" i="39"/>
  <c r="R250" i="39" s="1"/>
  <c r="R291" i="39"/>
  <c r="R288" i="39" s="1"/>
  <c r="S1102" i="39"/>
  <c r="S901" i="39"/>
  <c r="S899" i="39" s="1"/>
  <c r="S939" i="39"/>
  <c r="R537" i="39"/>
  <c r="R549" i="39" s="1"/>
  <c r="S541" i="39"/>
  <c r="V351" i="39"/>
  <c r="U353" i="39"/>
  <c r="S214" i="39"/>
  <c r="S245" i="39"/>
  <c r="S283" i="39"/>
  <c r="V1498" i="39"/>
  <c r="T1175" i="39"/>
  <c r="T1195" i="39" s="1" a="1"/>
  <c r="T1195" i="39" s="1"/>
  <c r="T1193" i="39" s="1"/>
  <c r="S784" i="39"/>
  <c r="S746" i="39"/>
  <c r="S258" i="39"/>
  <c r="S296" i="39"/>
  <c r="V1173" i="39"/>
  <c r="R1359" i="39"/>
  <c r="R1352" i="39" s="1"/>
  <c r="R1364" i="39" s="1"/>
  <c r="R1412" i="39"/>
  <c r="S1101" i="39"/>
  <c r="R925" i="39"/>
  <c r="R923" i="39" s="1"/>
  <c r="R1086" i="39"/>
  <c r="T1332" i="39"/>
  <c r="T1427" i="39" s="1"/>
  <c r="T1455" i="39"/>
  <c r="T1375" i="39"/>
  <c r="T1366" i="39" a="1"/>
  <c r="T1366" i="39" s="1"/>
  <c r="T1354" i="39" a="1"/>
  <c r="T1354" i="39" s="1"/>
  <c r="T1361" i="39" a="1"/>
  <c r="T1361" i="39" s="1"/>
  <c r="T1368" i="39" a="1"/>
  <c r="T1368" i="39" s="1"/>
  <c r="T1367" i="39" a="1"/>
  <c r="T1367" i="39" s="1"/>
  <c r="T1379" i="39"/>
  <c r="T1378" i="39"/>
  <c r="T1380" i="39"/>
  <c r="T1377" i="39"/>
  <c r="T1392" i="39"/>
  <c r="T1381" i="39"/>
  <c r="T1382" i="39"/>
  <c r="R212" i="39"/>
  <c r="R284" i="39"/>
  <c r="R282" i="39" s="1"/>
  <c r="R246" i="39"/>
  <c r="R244" i="39" s="1"/>
  <c r="S1413" i="39"/>
  <c r="S1420" i="39"/>
  <c r="S1430" i="39"/>
  <c r="S1419" i="39"/>
  <c r="S1417" i="39"/>
  <c r="S1418" i="39"/>
  <c r="S1415" i="39"/>
  <c r="S1416" i="39"/>
  <c r="S866" i="39"/>
  <c r="S897" i="39"/>
  <c r="S935" i="39"/>
  <c r="T28" i="41"/>
  <c r="S53" i="41"/>
  <c r="S1263" i="39" l="1"/>
  <c r="S1088" i="39"/>
  <c r="S1551" i="39"/>
  <c r="S1589" i="39"/>
  <c r="T724" i="39"/>
  <c r="T722" i="39" s="1"/>
  <c r="T398" i="39"/>
  <c r="T396" i="39" s="1"/>
  <c r="S436" i="39"/>
  <c r="R1058" i="39"/>
  <c r="R1070" i="39" s="1"/>
  <c r="R1096" i="39"/>
  <c r="R1108" i="39" s="1"/>
  <c r="R619" i="39"/>
  <c r="R1221" i="39"/>
  <c r="R1233" i="39" s="1"/>
  <c r="R1585" i="39"/>
  <c r="R1547" i="39"/>
  <c r="R1559" i="39" s="1"/>
  <c r="S611" i="39"/>
  <c r="T1050" i="39"/>
  <c r="T1048" i="39" s="1"/>
  <c r="R1422" i="39"/>
  <c r="R1434" i="39" s="1"/>
  <c r="R243" i="39"/>
  <c r="R255" i="39" s="1"/>
  <c r="R211" i="39"/>
  <c r="R223" i="39" s="1"/>
  <c r="S285" i="39"/>
  <c r="S1577" i="39"/>
  <c r="R732" i="39"/>
  <c r="R744" i="39" s="1"/>
  <c r="T1539" i="39"/>
  <c r="T1537" i="39" s="1"/>
  <c r="R444" i="39"/>
  <c r="R456" i="39" s="1"/>
  <c r="S1225" i="39"/>
  <c r="S925" i="39"/>
  <c r="R281" i="39"/>
  <c r="R293" i="39" s="1"/>
  <c r="T1062" i="39"/>
  <c r="U574" i="39"/>
  <c r="U1389" i="39"/>
  <c r="U901" i="39"/>
  <c r="U738" i="39"/>
  <c r="U1063" i="39"/>
  <c r="T378" i="39"/>
  <c r="T411" i="39"/>
  <c r="T410" i="39" s="1"/>
  <c r="T449" i="39"/>
  <c r="T448" i="39" s="1"/>
  <c r="T1591" i="39"/>
  <c r="T1553" i="39"/>
  <c r="T1551" i="39" s="1"/>
  <c r="S1196" i="39"/>
  <c r="S1269" i="39"/>
  <c r="S1266" i="39" s="1"/>
  <c r="S1231" i="39"/>
  <c r="S1228" i="39" s="1"/>
  <c r="T622" i="39"/>
  <c r="T584" i="39"/>
  <c r="S291" i="39"/>
  <c r="S288" i="39" s="1"/>
  <c r="S253" i="39"/>
  <c r="S250" i="39" s="1"/>
  <c r="R895" i="39"/>
  <c r="R907" i="39" s="1"/>
  <c r="T287" i="39"/>
  <c r="T285" i="39" s="1"/>
  <c r="T249" i="39"/>
  <c r="T247" i="39" s="1"/>
  <c r="V1168" i="39"/>
  <c r="V1175" i="39" s="1"/>
  <c r="V1195" i="39" s="1" a="1"/>
  <c r="V1195" i="39" s="1"/>
  <c r="W1166" i="39"/>
  <c r="S1414" i="39"/>
  <c r="S1412" i="39" s="1"/>
  <c r="U1332" i="39"/>
  <c r="U1455" i="39"/>
  <c r="U1375" i="39"/>
  <c r="U1366" i="39" a="1"/>
  <c r="U1366" i="39" s="1"/>
  <c r="U1368" i="39" a="1"/>
  <c r="U1368" i="39" s="1"/>
  <c r="U1367" i="39" a="1"/>
  <c r="U1367" i="39" s="1"/>
  <c r="U1354" i="39" a="1"/>
  <c r="U1354" i="39" s="1"/>
  <c r="U1361" i="39" a="1"/>
  <c r="U1361" i="39" s="1"/>
  <c r="U1380" i="39"/>
  <c r="U1381" i="39"/>
  <c r="U1392" i="39"/>
  <c r="U1382" i="39"/>
  <c r="U1378" i="39"/>
  <c r="U1377" i="39"/>
  <c r="U1379" i="39"/>
  <c r="T1519" i="39"/>
  <c r="T703" i="39"/>
  <c r="T734" i="39"/>
  <c r="T772" i="39"/>
  <c r="U1169" i="39"/>
  <c r="U1265" i="39" s="1"/>
  <c r="U1292" i="39"/>
  <c r="U1212" i="39"/>
  <c r="U1191" i="39" a="1"/>
  <c r="U1191" i="39" s="1"/>
  <c r="U1205" i="39" a="1"/>
  <c r="U1205" i="39" s="1"/>
  <c r="U1203" i="39" a="1"/>
  <c r="U1203" i="39" s="1"/>
  <c r="U1204" i="39" a="1"/>
  <c r="U1204" i="39" s="1"/>
  <c r="U1198" i="39" a="1"/>
  <c r="U1198" i="39" s="1"/>
  <c r="U1216" i="39"/>
  <c r="U1217" i="39"/>
  <c r="U1229" i="39"/>
  <c r="U1219" i="39"/>
  <c r="U1214" i="39"/>
  <c r="U1215" i="39"/>
  <c r="U1218" i="39"/>
  <c r="S1588" i="39"/>
  <c r="S1586" i="39" s="1"/>
  <c r="S1550" i="39"/>
  <c r="T585" i="39"/>
  <c r="T623" i="39"/>
  <c r="S218" i="39"/>
  <c r="R933" i="39"/>
  <c r="R945" i="39" s="1"/>
  <c r="W1335" i="39"/>
  <c r="T779" i="39"/>
  <c r="T741" i="39"/>
  <c r="T710" i="39" a="1"/>
  <c r="T710" i="39" s="1"/>
  <c r="T707" i="39" s="1"/>
  <c r="T1399" i="39"/>
  <c r="T1437" i="39"/>
  <c r="U354" i="39"/>
  <c r="U477" i="39"/>
  <c r="U397" i="39"/>
  <c r="U388" i="39" a="1"/>
  <c r="U388" i="39" s="1"/>
  <c r="U383" i="39" a="1"/>
  <c r="U383" i="39" s="1"/>
  <c r="U390" i="39" a="1"/>
  <c r="U390" i="39" s="1"/>
  <c r="U376" i="39" a="1"/>
  <c r="U376" i="39" s="1"/>
  <c r="U389" i="39" a="1"/>
  <c r="U389" i="39" s="1"/>
  <c r="U403" i="39"/>
  <c r="U400" i="39"/>
  <c r="U404" i="39"/>
  <c r="U414" i="39"/>
  <c r="U401" i="39"/>
  <c r="U399" i="39"/>
  <c r="U402" i="39"/>
  <c r="U359" i="39"/>
  <c r="U379" i="39" s="1" a="1"/>
  <c r="U379" i="39" s="1"/>
  <c r="R1384" i="39"/>
  <c r="R1396" i="39" s="1"/>
  <c r="U360" i="39"/>
  <c r="U380" i="39" s="1" a="1"/>
  <c r="U380" i="39" s="1"/>
  <c r="R770" i="39"/>
  <c r="R782" i="39" s="1"/>
  <c r="T621" i="39"/>
  <c r="T583" i="39"/>
  <c r="T296" i="39"/>
  <c r="T258" i="39"/>
  <c r="W840" i="39"/>
  <c r="V842" i="39"/>
  <c r="V849" i="39" s="1"/>
  <c r="V869" i="39" s="1" a="1"/>
  <c r="V869" i="39" s="1"/>
  <c r="R1259" i="39"/>
  <c r="W194" i="39"/>
  <c r="T1438" i="39"/>
  <c r="T1400" i="39"/>
  <c r="V353" i="39"/>
  <c r="V360" i="39" s="1"/>
  <c r="V380" i="39" s="1" a="1"/>
  <c r="V380" i="39" s="1"/>
  <c r="W351" i="39"/>
  <c r="T1060" i="39"/>
  <c r="T1029" i="39"/>
  <c r="T1098" i="39"/>
  <c r="S416" i="39"/>
  <c r="S413" i="39" s="1"/>
  <c r="S454" i="39"/>
  <c r="S451" i="39" s="1"/>
  <c r="T887" i="39"/>
  <c r="T885" i="39" s="1"/>
  <c r="W358" i="39"/>
  <c r="W684" i="39"/>
  <c r="T1213" i="39"/>
  <c r="T1211" i="39" s="1"/>
  <c r="T616" i="39"/>
  <c r="T578" i="39"/>
  <c r="T547" i="39" a="1"/>
  <c r="T547" i="39" s="1"/>
  <c r="S448" i="39"/>
  <c r="T1393" i="39"/>
  <c r="T1431" i="39"/>
  <c r="T1362" i="39" a="1"/>
  <c r="T1362" i="39" s="1"/>
  <c r="T1359" i="39" s="1"/>
  <c r="W1173" i="39"/>
  <c r="T214" i="39"/>
  <c r="T245" i="39"/>
  <c r="T283" i="39"/>
  <c r="S374" i="39"/>
  <c r="S386" i="39" s="1"/>
  <c r="W1009" i="39"/>
  <c r="T761" i="39"/>
  <c r="T767" i="39"/>
  <c r="T768" i="39"/>
  <c r="T763" i="39"/>
  <c r="T766" i="39"/>
  <c r="T778" i="39"/>
  <c r="T764" i="39"/>
  <c r="T765" i="39"/>
  <c r="X521" i="39"/>
  <c r="S1522" i="39"/>
  <c r="S1515" i="39" s="1"/>
  <c r="S1527" i="39" s="1"/>
  <c r="S1595" i="39"/>
  <c r="S1592" i="39" s="1"/>
  <c r="S1557" i="39"/>
  <c r="S1554" i="39" s="1"/>
  <c r="S707" i="39"/>
  <c r="S700" i="39" s="1"/>
  <c r="S712" i="39" s="1"/>
  <c r="S780" i="39"/>
  <c r="S777" i="39" s="1"/>
  <c r="S742" i="39"/>
  <c r="S739" i="39" s="1"/>
  <c r="T540" i="39"/>
  <c r="T609" i="39"/>
  <c r="T571" i="39"/>
  <c r="T942" i="39"/>
  <c r="T904" i="39"/>
  <c r="T873" i="39" a="1"/>
  <c r="T873" i="39" s="1"/>
  <c r="T870" i="39" s="1"/>
  <c r="V1331" i="39"/>
  <c r="V1338" i="39" s="1"/>
  <c r="V1358" i="39" s="1" a="1"/>
  <c r="V1358" i="39" s="1"/>
  <c r="W1329" i="39"/>
  <c r="T1072" i="39"/>
  <c r="T1110" i="39"/>
  <c r="U1227" i="39"/>
  <c r="T1073" i="39"/>
  <c r="T1111" i="39"/>
  <c r="T252" i="39"/>
  <c r="T290" i="39"/>
  <c r="T221" i="39" a="1"/>
  <c r="T221" i="39" s="1"/>
  <c r="S1027" i="39"/>
  <c r="S1061" i="39"/>
  <c r="S1059" i="39" s="1"/>
  <c r="S1099" i="39"/>
  <c r="S1097" i="39" s="1"/>
  <c r="S610" i="39"/>
  <c r="S608" i="39" s="1"/>
  <c r="S572" i="39"/>
  <c r="S570" i="39" s="1"/>
  <c r="W520" i="39"/>
  <c r="T377" i="39"/>
  <c r="T408" i="39"/>
  <c r="T446" i="39"/>
  <c r="S284" i="39"/>
  <c r="S282" i="39" s="1"/>
  <c r="S246" i="39"/>
  <c r="S244" i="39" s="1"/>
  <c r="T1355" i="39"/>
  <c r="T1424" i="39"/>
  <c r="T1386" i="39"/>
  <c r="T1398" i="39"/>
  <c r="T1436" i="39"/>
  <c r="T1105" i="39"/>
  <c r="T1067" i="39"/>
  <c r="T1036" i="39" a="1"/>
  <c r="T1036" i="39" s="1"/>
  <c r="T1033" i="39" s="1"/>
  <c r="T295" i="39"/>
  <c r="T257" i="39"/>
  <c r="R406" i="39"/>
  <c r="R418" i="39" s="1"/>
  <c r="S937" i="39"/>
  <c r="T598" i="39"/>
  <c r="T602" i="39"/>
  <c r="T601" i="39"/>
  <c r="T600" i="39"/>
  <c r="T604" i="39"/>
  <c r="T615" i="39"/>
  <c r="T605" i="39"/>
  <c r="T603" i="39"/>
  <c r="W1336" i="39"/>
  <c r="S434" i="39"/>
  <c r="S1394" i="39"/>
  <c r="S1391" i="39" s="1"/>
  <c r="S1432" i="39"/>
  <c r="S1429" i="39" s="1"/>
  <c r="T949" i="39"/>
  <c r="T911" i="39"/>
  <c r="S409" i="39"/>
  <c r="S407" i="39" s="1"/>
  <c r="S406" i="39" s="1"/>
  <c r="S418" i="39" s="1"/>
  <c r="S447" i="39"/>
  <c r="S445" i="39" s="1"/>
  <c r="T1268" i="39"/>
  <c r="T1230" i="39"/>
  <c r="T1199" i="39" a="1"/>
  <c r="T1199" i="39" s="1"/>
  <c r="T1196" i="39" s="1"/>
  <c r="U1338" i="39"/>
  <c r="U1358" i="39" s="1" a="1"/>
  <c r="U1358" i="39" s="1"/>
  <c r="U1356" i="39" s="1"/>
  <c r="S773" i="39"/>
  <c r="S771" i="39" s="1"/>
  <c r="S735" i="39"/>
  <c r="S733" i="39" s="1"/>
  <c r="T1428" i="39"/>
  <c r="T1426" i="39" s="1"/>
  <c r="T1192" i="39"/>
  <c r="T1261" i="39"/>
  <c r="T1223" i="39"/>
  <c r="T1563" i="39"/>
  <c r="T1601" i="39"/>
  <c r="V516" i="39"/>
  <c r="V522" i="39" s="1"/>
  <c r="V542" i="39" s="1" a="1"/>
  <c r="V542" i="39" s="1"/>
  <c r="W514" i="39"/>
  <c r="T575" i="39"/>
  <c r="T613" i="39"/>
  <c r="S579" i="39"/>
  <c r="S576" i="39" s="1"/>
  <c r="S617" i="39"/>
  <c r="S614" i="39" s="1"/>
  <c r="T866" i="39"/>
  <c r="T935" i="39"/>
  <c r="T897" i="39"/>
  <c r="U248" i="39"/>
  <c r="U215" i="39"/>
  <c r="X357" i="39"/>
  <c r="T1273" i="39"/>
  <c r="T1235" i="39"/>
  <c r="T1562" i="39"/>
  <c r="T1600" i="39"/>
  <c r="U517" i="39"/>
  <c r="U560" i="39"/>
  <c r="U546" i="39" a="1"/>
  <c r="U546" i="39" s="1"/>
  <c r="U551" i="39" a="1"/>
  <c r="U551" i="39" s="1"/>
  <c r="U553" i="39" a="1"/>
  <c r="U553" i="39" s="1"/>
  <c r="U539" i="39" a="1"/>
  <c r="U539" i="39" s="1"/>
  <c r="U552" i="39" a="1"/>
  <c r="U552" i="39" s="1"/>
  <c r="U564" i="39"/>
  <c r="U562" i="39"/>
  <c r="U565" i="39"/>
  <c r="U563" i="39"/>
  <c r="U567" i="39"/>
  <c r="U577" i="39"/>
  <c r="U566" i="39"/>
  <c r="U523" i="39"/>
  <c r="U543" i="39" s="1" a="1"/>
  <c r="U543" i="39" s="1"/>
  <c r="S544" i="39"/>
  <c r="S537" i="39" s="1"/>
  <c r="S549" i="39" s="1"/>
  <c r="T421" i="39"/>
  <c r="T459" i="39"/>
  <c r="S1575" i="39"/>
  <c r="W195" i="39"/>
  <c r="T1274" i="39"/>
  <c r="T1236" i="39"/>
  <c r="R1271" i="39"/>
  <c r="T1599" i="39"/>
  <c r="T1561" i="39"/>
  <c r="T1227" i="39"/>
  <c r="T1265" i="39"/>
  <c r="T1087" i="39"/>
  <c r="T1089" i="39"/>
  <c r="T1104" i="39"/>
  <c r="T1094" i="39"/>
  <c r="T1092" i="39"/>
  <c r="T1090" i="39"/>
  <c r="T1093" i="39"/>
  <c r="T1091" i="39"/>
  <c r="U680" i="39"/>
  <c r="U803" i="39"/>
  <c r="U723" i="39"/>
  <c r="U709" i="39" a="1"/>
  <c r="U709" i="39" s="1"/>
  <c r="U716" i="39" a="1"/>
  <c r="U716" i="39" s="1"/>
  <c r="U715" i="39" a="1"/>
  <c r="U715" i="39" s="1"/>
  <c r="U702" i="39" a="1"/>
  <c r="U702" i="39" s="1"/>
  <c r="U714" i="39" a="1"/>
  <c r="U714" i="39" s="1"/>
  <c r="U726" i="39"/>
  <c r="U725" i="39"/>
  <c r="U740" i="39"/>
  <c r="U728" i="39"/>
  <c r="U727" i="39"/>
  <c r="U730" i="39"/>
  <c r="U729" i="39"/>
  <c r="T272" i="39"/>
  <c r="T275" i="39"/>
  <c r="T277" i="39"/>
  <c r="T276" i="39"/>
  <c r="T274" i="39"/>
  <c r="T278" i="39"/>
  <c r="T289" i="39"/>
  <c r="T279" i="39"/>
  <c r="W847" i="39"/>
  <c r="W1010" i="39"/>
  <c r="T1237" i="39"/>
  <c r="T1275" i="39"/>
  <c r="T1594" i="39"/>
  <c r="T1556" i="39"/>
  <c r="T1525" i="39" a="1"/>
  <c r="T1525" i="39" s="1"/>
  <c r="T1522" i="39" s="1"/>
  <c r="X1499" i="39"/>
  <c r="U1174" i="39"/>
  <c r="U1194" i="39" s="1" a="1"/>
  <c r="U1194" i="39" s="1"/>
  <c r="T612" i="39"/>
  <c r="T420" i="39"/>
  <c r="T458" i="39"/>
  <c r="S1353" i="39"/>
  <c r="S1387" i="39"/>
  <c r="S1385" i="39" s="1"/>
  <c r="S1425" i="39"/>
  <c r="S1423" i="39" s="1"/>
  <c r="S1262" i="39"/>
  <c r="S1260" i="39" s="1"/>
  <c r="S1259" i="39" s="1"/>
  <c r="S1224" i="39"/>
  <c r="S1222" i="39" s="1"/>
  <c r="S1221" i="39" s="1"/>
  <c r="S1233" i="39" s="1"/>
  <c r="U1552" i="39"/>
  <c r="U1006" i="39"/>
  <c r="U1129" i="39"/>
  <c r="U1049" i="39"/>
  <c r="U1042" i="39" a="1"/>
  <c r="U1042" i="39" s="1"/>
  <c r="U1035" i="39" a="1"/>
  <c r="U1035" i="39" s="1"/>
  <c r="U1041" i="39" a="1"/>
  <c r="U1041" i="39" s="1"/>
  <c r="U1040" i="39" a="1"/>
  <c r="U1040" i="39" s="1"/>
  <c r="U1028" i="39" a="1"/>
  <c r="U1028" i="39" s="1"/>
  <c r="U1055" i="39"/>
  <c r="U1054" i="39"/>
  <c r="U1052" i="39"/>
  <c r="U1056" i="39"/>
  <c r="U1066" i="39"/>
  <c r="U1051" i="39"/>
  <c r="U1053" i="39"/>
  <c r="U1012" i="39"/>
  <c r="U1032" i="39" s="1" a="1"/>
  <c r="U1032" i="39" s="1"/>
  <c r="T1518" i="39"/>
  <c r="T1516" i="39" s="1"/>
  <c r="T1549" i="39"/>
  <c r="T1587" i="39"/>
  <c r="U1495" i="39"/>
  <c r="U1618" i="39"/>
  <c r="U1538" i="39"/>
  <c r="U1531" i="39" a="1"/>
  <c r="U1531" i="39" s="1"/>
  <c r="U1524" i="39" a="1"/>
  <c r="U1524" i="39" s="1"/>
  <c r="U1529" i="39" a="1"/>
  <c r="U1529" i="39" s="1"/>
  <c r="U1530" i="39" a="1"/>
  <c r="U1530" i="39" s="1"/>
  <c r="U1517" i="39" a="1"/>
  <c r="U1517" i="39" s="1"/>
  <c r="U1555" i="39"/>
  <c r="U1540" i="39"/>
  <c r="U1545" i="39"/>
  <c r="U1543" i="39"/>
  <c r="U1542" i="39"/>
  <c r="U1541" i="39"/>
  <c r="U1544" i="39"/>
  <c r="U1501" i="39"/>
  <c r="U1521" i="39" s="1" a="1"/>
  <c r="U1521" i="39" s="1"/>
  <c r="W1172" i="39"/>
  <c r="T541" i="39"/>
  <c r="T215" i="39"/>
  <c r="T415" i="39"/>
  <c r="T453" i="39"/>
  <c r="T384" i="39" a="1"/>
  <c r="T384" i="39" s="1"/>
  <c r="T381" i="39" s="1"/>
  <c r="U249" i="39"/>
  <c r="T422" i="39"/>
  <c r="T460" i="39"/>
  <c r="S212" i="39"/>
  <c r="T235" i="39"/>
  <c r="T233" i="39" s="1"/>
  <c r="U191" i="39"/>
  <c r="U314" i="39"/>
  <c r="U234" i="39"/>
  <c r="U213" i="39" a="1"/>
  <c r="U213" i="39" s="1"/>
  <c r="U226" i="39" a="1"/>
  <c r="U226" i="39" s="1"/>
  <c r="U227" i="39" a="1"/>
  <c r="U227" i="39" s="1"/>
  <c r="U220" i="39" a="1"/>
  <c r="U220" i="39" s="1"/>
  <c r="U225" i="39" a="1"/>
  <c r="U225" i="39" s="1"/>
  <c r="U237" i="39"/>
  <c r="U236" i="39"/>
  <c r="U235" i="39" s="1"/>
  <c r="U240" i="39"/>
  <c r="U241" i="39"/>
  <c r="U239" i="39"/>
  <c r="U238" i="39"/>
  <c r="U251" i="39"/>
  <c r="W1003" i="39"/>
  <c r="V1005" i="39"/>
  <c r="V1011" i="39" s="1"/>
  <c r="V1031" i="39" s="1" a="1"/>
  <c r="V1031" i="39" s="1"/>
  <c r="T1102" i="39"/>
  <c r="T1100" i="39" s="1"/>
  <c r="T746" i="39"/>
  <c r="T784" i="39"/>
  <c r="S597" i="39"/>
  <c r="U685" i="39"/>
  <c r="U705" i="39" s="1" a="1"/>
  <c r="U705" i="39" s="1"/>
  <c r="S762" i="39"/>
  <c r="S760" i="39" s="1"/>
  <c r="W1492" i="39"/>
  <c r="V1494" i="39"/>
  <c r="T573" i="39"/>
  <c r="T1112" i="39"/>
  <c r="T1074" i="39"/>
  <c r="U843" i="39"/>
  <c r="U939" i="39" s="1"/>
  <c r="U966" i="39"/>
  <c r="U886" i="39"/>
  <c r="U865" i="39" a="1"/>
  <c r="U865" i="39" s="1"/>
  <c r="U878" i="39" a="1"/>
  <c r="U878" i="39" s="1"/>
  <c r="U879" i="39" a="1"/>
  <c r="U879" i="39" s="1"/>
  <c r="U877" i="39" a="1"/>
  <c r="U877" i="39" s="1"/>
  <c r="U872" i="39" a="1"/>
  <c r="U872" i="39" s="1"/>
  <c r="U889" i="39"/>
  <c r="U893" i="39"/>
  <c r="U892" i="39"/>
  <c r="U903" i="39"/>
  <c r="U891" i="39"/>
  <c r="U890" i="39"/>
  <c r="U888" i="39"/>
  <c r="U848" i="39"/>
  <c r="U868" i="39" s="1" a="1"/>
  <c r="U868" i="39" s="1"/>
  <c r="T1413" i="39"/>
  <c r="T1417" i="39"/>
  <c r="T1416" i="39"/>
  <c r="T1415" i="39"/>
  <c r="T1414" i="39" s="1"/>
  <c r="T1430" i="39"/>
  <c r="T1419" i="39"/>
  <c r="T1418" i="39"/>
  <c r="T1420" i="39"/>
  <c r="W677" i="39"/>
  <c r="V679" i="39"/>
  <c r="V685" i="39" s="1"/>
  <c r="V705" i="39" s="1" a="1"/>
  <c r="V705" i="39" s="1"/>
  <c r="T947" i="39"/>
  <c r="T909" i="39"/>
  <c r="S864" i="39"/>
  <c r="S863" i="39" s="1"/>
  <c r="S875" i="39" s="1"/>
  <c r="S936" i="39"/>
  <c r="S934" i="39" s="1"/>
  <c r="S898" i="39"/>
  <c r="S896" i="39" s="1"/>
  <c r="T1376" i="39"/>
  <c r="T1374" i="39" s="1"/>
  <c r="S1100" i="39"/>
  <c r="V190" i="39"/>
  <c r="V196" i="39" s="1"/>
  <c r="V216" i="39" s="1" a="1"/>
  <c r="V216" i="39" s="1"/>
  <c r="W188" i="39"/>
  <c r="S905" i="39"/>
  <c r="S902" i="39" s="1"/>
  <c r="S943" i="39"/>
  <c r="S940" i="39" s="1"/>
  <c r="T924" i="39"/>
  <c r="T926" i="39"/>
  <c r="T930" i="39"/>
  <c r="T929" i="39"/>
  <c r="T927" i="39"/>
  <c r="T928" i="39"/>
  <c r="T931" i="39"/>
  <c r="T941" i="39"/>
  <c r="S1251" i="39"/>
  <c r="S1249" i="39" s="1"/>
  <c r="T737" i="39"/>
  <c r="T736" i="39" s="1"/>
  <c r="T704" i="39"/>
  <c r="T775" i="39"/>
  <c r="T786" i="39"/>
  <c r="T748" i="39"/>
  <c r="W683" i="39"/>
  <c r="S1190" i="39"/>
  <c r="R1515" i="39"/>
  <c r="R1527" i="39" s="1"/>
  <c r="S273" i="39"/>
  <c r="S271" i="39" s="1"/>
  <c r="T1250" i="39"/>
  <c r="T1257" i="39"/>
  <c r="T1254" i="39"/>
  <c r="T1255" i="39"/>
  <c r="T1252" i="39"/>
  <c r="T1267" i="39"/>
  <c r="T1253" i="39"/>
  <c r="T1256" i="39"/>
  <c r="R1597" i="39"/>
  <c r="S923" i="39"/>
  <c r="T561" i="39"/>
  <c r="T559" i="39" s="1"/>
  <c r="T1264" i="39"/>
  <c r="T1263" i="39" s="1"/>
  <c r="T776" i="39"/>
  <c r="T297" i="39"/>
  <c r="T259" i="39"/>
  <c r="S1359" i="39"/>
  <c r="T948" i="39"/>
  <c r="T910" i="39"/>
  <c r="W1498" i="39"/>
  <c r="T1589" i="39"/>
  <c r="T867" i="39"/>
  <c r="T900" i="39"/>
  <c r="T899" i="39" s="1"/>
  <c r="T938" i="39"/>
  <c r="T937" i="39" s="1"/>
  <c r="T435" i="39"/>
  <c r="T452" i="39"/>
  <c r="T438" i="39"/>
  <c r="T440" i="39"/>
  <c r="T437" i="39"/>
  <c r="T439" i="39"/>
  <c r="T442" i="39"/>
  <c r="T441" i="39"/>
  <c r="S1033" i="39"/>
  <c r="S1106" i="39"/>
  <c r="S1103" i="39" s="1"/>
  <c r="S1068" i="39"/>
  <c r="S1065" i="39" s="1"/>
  <c r="T747" i="39"/>
  <c r="T785" i="39"/>
  <c r="T1576" i="39"/>
  <c r="T1578" i="39"/>
  <c r="T1583" i="39"/>
  <c r="T1593" i="39"/>
  <c r="T1580" i="39"/>
  <c r="T1579" i="39"/>
  <c r="T1581" i="39"/>
  <c r="T1582" i="39"/>
  <c r="S1548" i="39"/>
  <c r="S1086" i="39"/>
  <c r="T1225" i="39"/>
  <c r="T51" i="41"/>
  <c r="T50" i="41"/>
  <c r="S243" i="39" l="1"/>
  <c r="S255" i="39" s="1"/>
  <c r="V1174" i="39"/>
  <c r="V1194" i="39" s="1" a="1"/>
  <c r="V1194" i="39" s="1"/>
  <c r="T1088" i="39"/>
  <c r="T1086" i="39" s="1"/>
  <c r="U1539" i="39"/>
  <c r="S1422" i="39"/>
  <c r="S1434" i="39" s="1"/>
  <c r="U398" i="39"/>
  <c r="S1271" i="39"/>
  <c r="V1337" i="39"/>
  <c r="V1357" i="39" s="1" a="1"/>
  <c r="V1357" i="39" s="1"/>
  <c r="S895" i="39"/>
  <c r="S907" i="39" s="1"/>
  <c r="S1585" i="39"/>
  <c r="V197" i="39"/>
  <c r="V217" i="39" s="1" a="1"/>
  <c r="V217" i="39" s="1"/>
  <c r="S569" i="39"/>
  <c r="S581" i="39" s="1"/>
  <c r="S281" i="39"/>
  <c r="S1547" i="39"/>
  <c r="S1559" i="39" s="1"/>
  <c r="U887" i="39"/>
  <c r="U885" i="39" s="1"/>
  <c r="U233" i="39"/>
  <c r="S1096" i="39"/>
  <c r="S1108" i="39" s="1"/>
  <c r="U1376" i="39"/>
  <c r="S1058" i="39"/>
  <c r="S1070" i="39" s="1"/>
  <c r="U247" i="39"/>
  <c r="T599" i="39"/>
  <c r="T597" i="39" s="1"/>
  <c r="S607" i="39"/>
  <c r="T774" i="39"/>
  <c r="S211" i="39"/>
  <c r="S223" i="39" s="1"/>
  <c r="V1063" i="39"/>
  <c r="V412" i="39"/>
  <c r="X194" i="39"/>
  <c r="T735" i="39"/>
  <c r="T733" i="39" s="1"/>
  <c r="T773" i="39"/>
  <c r="T771" i="39" s="1"/>
  <c r="V1495" i="39"/>
  <c r="V1618" i="39"/>
  <c r="V1538" i="39"/>
  <c r="V1529" i="39" a="1"/>
  <c r="V1529" i="39" s="1"/>
  <c r="V1531" i="39" a="1"/>
  <c r="V1531" i="39" s="1"/>
  <c r="V1524" i="39" a="1"/>
  <c r="V1524" i="39" s="1"/>
  <c r="V1530" i="39" a="1"/>
  <c r="V1530" i="39" s="1"/>
  <c r="V1517" i="39" a="1"/>
  <c r="V1517" i="39" s="1"/>
  <c r="V1545" i="39"/>
  <c r="V1544" i="39"/>
  <c r="V1543" i="39"/>
  <c r="V1555" i="39"/>
  <c r="V1542" i="39"/>
  <c r="V1541" i="39"/>
  <c r="V1540" i="39"/>
  <c r="V1501" i="39"/>
  <c r="V1521" i="39" s="1" a="1"/>
  <c r="V1521" i="39" s="1"/>
  <c r="W1005" i="39"/>
  <c r="W1011" i="39" s="1"/>
  <c r="W1031" i="39" s="1" a="1"/>
  <c r="W1031" i="39" s="1"/>
  <c r="X1003" i="39"/>
  <c r="U1576" i="39"/>
  <c r="U1578" i="39"/>
  <c r="U1593" i="39"/>
  <c r="U1583" i="39"/>
  <c r="U1581" i="39"/>
  <c r="U1579" i="39"/>
  <c r="U1582" i="39"/>
  <c r="U1580" i="39"/>
  <c r="U904" i="39"/>
  <c r="U942" i="39"/>
  <c r="U873" i="39" a="1"/>
  <c r="U873" i="39" s="1"/>
  <c r="X1492" i="39"/>
  <c r="W1494" i="39"/>
  <c r="W1500" i="39" s="1"/>
  <c r="W1520" i="39" s="1" a="1"/>
  <c r="W1520" i="39" s="1"/>
  <c r="U1591" i="39"/>
  <c r="U1553" i="39"/>
  <c r="U1551" i="39" s="1"/>
  <c r="T1515" i="39"/>
  <c r="T1527" i="39" s="1"/>
  <c r="U1067" i="39"/>
  <c r="U1105" i="39"/>
  <c r="U1036" i="39" a="1"/>
  <c r="U1036" i="39" s="1"/>
  <c r="U703" i="39"/>
  <c r="U734" i="39"/>
  <c r="U772" i="39"/>
  <c r="S1026" i="39"/>
  <c r="S1038" i="39" s="1"/>
  <c r="V1227" i="39"/>
  <c r="U1111" i="39"/>
  <c r="U1073" i="39"/>
  <c r="U947" i="39"/>
  <c r="U909" i="39"/>
  <c r="U785" i="39"/>
  <c r="U747" i="39"/>
  <c r="U575" i="39"/>
  <c r="U613" i="39"/>
  <c r="W516" i="39"/>
  <c r="X514" i="39"/>
  <c r="T1353" i="39"/>
  <c r="T1352" i="39" s="1"/>
  <c r="T1364" i="39" s="1"/>
  <c r="T1387" i="39"/>
  <c r="T1385" i="39" s="1"/>
  <c r="T1425" i="39"/>
  <c r="T1423" i="39" s="1"/>
  <c r="T291" i="39"/>
  <c r="T288" i="39" s="1"/>
  <c r="T253" i="39"/>
  <c r="T250" i="39" s="1"/>
  <c r="T1432" i="39"/>
  <c r="T1429" i="39" s="1"/>
  <c r="T1394" i="39"/>
  <c r="T1391" i="39" s="1"/>
  <c r="V848" i="39"/>
  <c r="V868" i="39" s="1" a="1"/>
  <c r="V868" i="39" s="1"/>
  <c r="V843" i="39"/>
  <c r="V939" i="39" s="1"/>
  <c r="V966" i="39"/>
  <c r="V886" i="39"/>
  <c r="V865" i="39" a="1"/>
  <c r="V865" i="39" s="1"/>
  <c r="V877" i="39" a="1"/>
  <c r="V877" i="39" s="1"/>
  <c r="V872" i="39" a="1"/>
  <c r="V872" i="39" s="1"/>
  <c r="V878" i="39" a="1"/>
  <c r="V878" i="39" s="1"/>
  <c r="V879" i="39" a="1"/>
  <c r="V879" i="39" s="1"/>
  <c r="V892" i="39"/>
  <c r="V893" i="39"/>
  <c r="V890" i="39"/>
  <c r="V889" i="39"/>
  <c r="V903" i="39"/>
  <c r="V888" i="39"/>
  <c r="V891" i="39"/>
  <c r="U1072" i="39"/>
  <c r="U1110" i="39"/>
  <c r="X847" i="39"/>
  <c r="T212" i="39"/>
  <c r="T284" i="39"/>
  <c r="T282" i="39" s="1"/>
  <c r="T246" i="39"/>
  <c r="T244" i="39" s="1"/>
  <c r="T943" i="39"/>
  <c r="T940" i="39" s="1"/>
  <c r="T905" i="39"/>
  <c r="T902" i="39" s="1"/>
  <c r="U911" i="39"/>
  <c r="U949" i="39"/>
  <c r="U1226" i="39"/>
  <c r="U1264" i="39"/>
  <c r="U1193" i="39"/>
  <c r="T273" i="39"/>
  <c r="U748" i="39"/>
  <c r="U786" i="39"/>
  <c r="V517" i="39"/>
  <c r="V612" i="39" s="1"/>
  <c r="V560" i="39"/>
  <c r="V539" i="39" a="1"/>
  <c r="V539" i="39" s="1"/>
  <c r="V546" i="39" a="1"/>
  <c r="V546" i="39" s="1"/>
  <c r="V551" i="39" a="1"/>
  <c r="V551" i="39" s="1"/>
  <c r="V552" i="39" a="1"/>
  <c r="V552" i="39" s="1"/>
  <c r="V553" i="39" a="1"/>
  <c r="V553" i="39" s="1"/>
  <c r="V564" i="39"/>
  <c r="V563" i="39"/>
  <c r="V567" i="39"/>
  <c r="V577" i="39"/>
  <c r="V562" i="39"/>
  <c r="V566" i="39"/>
  <c r="V565" i="39"/>
  <c r="V523" i="39"/>
  <c r="V543" i="39" s="1" a="1"/>
  <c r="V543" i="39" s="1"/>
  <c r="V541" i="39" s="1"/>
  <c r="T218" i="39"/>
  <c r="T762" i="39"/>
  <c r="T760" i="39" s="1"/>
  <c r="X840" i="39"/>
  <c r="W842" i="39"/>
  <c r="U1230" i="39"/>
  <c r="U1268" i="39"/>
  <c r="U1199" i="39" a="1"/>
  <c r="U1199" i="39" s="1"/>
  <c r="X1166" i="39"/>
  <c r="W1168" i="39"/>
  <c r="W1175" i="39" s="1"/>
  <c r="W1195" i="39" s="1" a="1"/>
  <c r="W1195" i="39" s="1"/>
  <c r="U272" i="39"/>
  <c r="U275" i="39"/>
  <c r="U274" i="39"/>
  <c r="U278" i="39"/>
  <c r="U277" i="39"/>
  <c r="U276" i="39"/>
  <c r="U279" i="39"/>
  <c r="U289" i="39"/>
  <c r="U746" i="39"/>
  <c r="U784" i="39"/>
  <c r="U598" i="39"/>
  <c r="U600" i="39"/>
  <c r="U602" i="39"/>
  <c r="U601" i="39"/>
  <c r="U603" i="39"/>
  <c r="U604" i="39"/>
  <c r="U615" i="39"/>
  <c r="U605" i="39"/>
  <c r="U1112" i="39"/>
  <c r="U1074" i="39"/>
  <c r="T611" i="39"/>
  <c r="V1500" i="39"/>
  <c r="V1520" i="39" s="1" a="1"/>
  <c r="V1520" i="39" s="1"/>
  <c r="V191" i="39"/>
  <c r="V286" i="39" s="1"/>
  <c r="V314" i="39"/>
  <c r="V234" i="39"/>
  <c r="V220" i="39" a="1"/>
  <c r="V220" i="39" s="1"/>
  <c r="V226" i="39" a="1"/>
  <c r="V226" i="39" s="1"/>
  <c r="V227" i="39" a="1"/>
  <c r="V227" i="39" s="1"/>
  <c r="V225" i="39" a="1"/>
  <c r="V225" i="39" s="1"/>
  <c r="V213" i="39" a="1"/>
  <c r="V213" i="39" s="1"/>
  <c r="V251" i="39"/>
  <c r="V241" i="39"/>
  <c r="V237" i="39"/>
  <c r="V238" i="39"/>
  <c r="V236" i="39"/>
  <c r="V239" i="39"/>
  <c r="V240" i="39"/>
  <c r="X1498" i="39"/>
  <c r="T1412" i="39"/>
  <c r="U779" i="39"/>
  <c r="U741" i="39"/>
  <c r="U710" i="39" a="1"/>
  <c r="U710" i="39" s="1"/>
  <c r="S619" i="39"/>
  <c r="S293" i="39"/>
  <c r="V1389" i="39"/>
  <c r="V1356" i="39"/>
  <c r="U1274" i="39"/>
  <c r="U1236" i="39"/>
  <c r="V1169" i="39"/>
  <c r="V1292" i="39"/>
  <c r="V1212" i="39"/>
  <c r="V1205" i="39" a="1"/>
  <c r="V1205" i="39" s="1"/>
  <c r="V1203" i="39" a="1"/>
  <c r="V1203" i="39" s="1"/>
  <c r="V1191" i="39" a="1"/>
  <c r="V1191" i="39" s="1"/>
  <c r="V1204" i="39" a="1"/>
  <c r="V1204" i="39" s="1"/>
  <c r="V1198" i="39" a="1"/>
  <c r="V1198" i="39" s="1"/>
  <c r="V1229" i="39"/>
  <c r="V1218" i="39"/>
  <c r="V1217" i="39"/>
  <c r="V1219" i="39"/>
  <c r="V1216" i="39"/>
  <c r="V1215" i="39"/>
  <c r="V1214" i="39"/>
  <c r="V215" i="39"/>
  <c r="V248" i="39"/>
  <c r="U1413" i="39"/>
  <c r="U1418" i="39"/>
  <c r="U1419" i="39"/>
  <c r="U1417" i="39"/>
  <c r="U1430" i="39"/>
  <c r="U1416" i="39"/>
  <c r="U1420" i="39"/>
  <c r="U1415" i="39"/>
  <c r="U948" i="39"/>
  <c r="U910" i="39"/>
  <c r="T1588" i="39"/>
  <c r="T1586" i="39" s="1"/>
  <c r="T1550" i="39"/>
  <c r="T1548" i="39" s="1"/>
  <c r="T1251" i="39"/>
  <c r="T1249" i="39" s="1"/>
  <c r="U866" i="39"/>
  <c r="U864" i="39" s="1"/>
  <c r="U935" i="39"/>
  <c r="U897" i="39"/>
  <c r="U1087" i="39"/>
  <c r="U1092" i="39"/>
  <c r="U1090" i="39"/>
  <c r="U1093" i="39"/>
  <c r="U1104" i="39"/>
  <c r="U1091" i="39"/>
  <c r="U1094" i="39"/>
  <c r="U1089" i="39"/>
  <c r="Y1499" i="39"/>
  <c r="S444" i="39"/>
  <c r="S456" i="39" s="1"/>
  <c r="X1335" i="39"/>
  <c r="U1235" i="39"/>
  <c r="U1273" i="39"/>
  <c r="V1226" i="39"/>
  <c r="V1225" i="39" s="1"/>
  <c r="V1193" i="39"/>
  <c r="U1064" i="39"/>
  <c r="U1062" i="39" s="1"/>
  <c r="U1102" i="39"/>
  <c r="T1595" i="39"/>
  <c r="T1592" i="39" s="1"/>
  <c r="T1557" i="39"/>
  <c r="T1554" i="39" s="1"/>
  <c r="Y357" i="39"/>
  <c r="T538" i="39"/>
  <c r="T610" i="39"/>
  <c r="T608" i="39" s="1"/>
  <c r="T572" i="39"/>
  <c r="T570" i="39" s="1"/>
  <c r="U421" i="39"/>
  <c r="U459" i="39"/>
  <c r="U1275" i="39"/>
  <c r="U1237" i="39"/>
  <c r="T742" i="39"/>
  <c r="T739" i="39" s="1"/>
  <c r="T780" i="39"/>
  <c r="T777" i="39" s="1"/>
  <c r="U1590" i="39"/>
  <c r="T271" i="39"/>
  <c r="U761" i="39"/>
  <c r="U764" i="39"/>
  <c r="U778" i="39"/>
  <c r="U766" i="39"/>
  <c r="U765" i="39"/>
  <c r="U768" i="39"/>
  <c r="U767" i="39"/>
  <c r="U763" i="39"/>
  <c r="T375" i="39"/>
  <c r="T374" i="39" s="1"/>
  <c r="T386" i="39" s="1"/>
  <c r="T447" i="39"/>
  <c r="T445" i="39" s="1"/>
  <c r="T409" i="39"/>
  <c r="T407" i="39" s="1"/>
  <c r="T617" i="39"/>
  <c r="T614" i="39" s="1"/>
  <c r="T579" i="39"/>
  <c r="T576" i="39" s="1"/>
  <c r="U377" i="39"/>
  <c r="U408" i="39"/>
  <c r="U446" i="39"/>
  <c r="U1192" i="39"/>
  <c r="U1190" i="39" s="1"/>
  <c r="U1223" i="39"/>
  <c r="U1261" i="39"/>
  <c r="U1427" i="39"/>
  <c r="T1269" i="39"/>
  <c r="T1266" i="39" s="1"/>
  <c r="T1231" i="39"/>
  <c r="T1228" i="39" s="1"/>
  <c r="X1173" i="39"/>
  <c r="X358" i="39"/>
  <c r="U396" i="39"/>
  <c r="W190" i="39"/>
  <c r="W196" i="39" s="1"/>
  <c r="W216" i="39" s="1" a="1"/>
  <c r="W216" i="39" s="1"/>
  <c r="X188" i="39"/>
  <c r="U287" i="39"/>
  <c r="S933" i="39"/>
  <c r="S945" i="39" s="1"/>
  <c r="U1537" i="39"/>
  <c r="T436" i="39"/>
  <c r="T434" i="39" s="1"/>
  <c r="U924" i="39"/>
  <c r="U931" i="39"/>
  <c r="U927" i="39"/>
  <c r="U930" i="39"/>
  <c r="U941" i="39"/>
  <c r="U929" i="39"/>
  <c r="U926" i="39"/>
  <c r="U925" i="39" s="1"/>
  <c r="U928" i="39"/>
  <c r="U737" i="39"/>
  <c r="U736" i="39" s="1"/>
  <c r="U775" i="39"/>
  <c r="U704" i="39"/>
  <c r="U257" i="39"/>
  <c r="U295" i="39"/>
  <c r="U1050" i="39"/>
  <c r="U1048" i="39" s="1"/>
  <c r="U1519" i="39"/>
  <c r="U561" i="39"/>
  <c r="U559" i="39" s="1"/>
  <c r="U286" i="39"/>
  <c r="T1190" i="39"/>
  <c r="T1189" i="39" s="1"/>
  <c r="T1201" i="39" s="1"/>
  <c r="T1224" i="39"/>
  <c r="T1222" i="39" s="1"/>
  <c r="T1262" i="39"/>
  <c r="T1260" i="39" s="1"/>
  <c r="T544" i="39"/>
  <c r="T1027" i="39"/>
  <c r="T1026" i="39" s="1"/>
  <c r="T1038" i="39" s="1"/>
  <c r="T1099" i="39"/>
  <c r="T1097" i="39" s="1"/>
  <c r="T1061" i="39"/>
  <c r="T1059" i="39" s="1"/>
  <c r="U422" i="39"/>
  <c r="U460" i="39"/>
  <c r="U290" i="39"/>
  <c r="U252" i="39"/>
  <c r="U221" i="39" a="1"/>
  <c r="U221" i="39" s="1"/>
  <c r="U218" i="39" s="1"/>
  <c r="T416" i="39"/>
  <c r="T413" i="39" s="1"/>
  <c r="T454" i="39"/>
  <c r="T451" i="39" s="1"/>
  <c r="U1518" i="39"/>
  <c r="U1587" i="39"/>
  <c r="U1549" i="39"/>
  <c r="U1263" i="39"/>
  <c r="U415" i="39"/>
  <c r="U453" i="39"/>
  <c r="U384" i="39" a="1"/>
  <c r="U384" i="39" s="1"/>
  <c r="U1431" i="39"/>
  <c r="U1393" i="39"/>
  <c r="U1362" i="39" a="1"/>
  <c r="U1362" i="39" s="1"/>
  <c r="U584" i="39"/>
  <c r="U622" i="39"/>
  <c r="V574" i="39"/>
  <c r="U1225" i="39"/>
  <c r="X1009" i="39"/>
  <c r="X351" i="39"/>
  <c r="W353" i="39"/>
  <c r="W360" i="39" s="1"/>
  <c r="W380" i="39" s="1" a="1"/>
  <c r="W380" i="39" s="1"/>
  <c r="U450" i="39"/>
  <c r="U412" i="39"/>
  <c r="U420" i="39"/>
  <c r="U458" i="39"/>
  <c r="U1250" i="39"/>
  <c r="U1256" i="39"/>
  <c r="U1257" i="39"/>
  <c r="U1267" i="39"/>
  <c r="U1255" i="39"/>
  <c r="U1254" i="39"/>
  <c r="U1253" i="39"/>
  <c r="U1252" i="39"/>
  <c r="U1355" i="39"/>
  <c r="U1353" i="39" s="1"/>
  <c r="U1386" i="39"/>
  <c r="U1424" i="39"/>
  <c r="U1101" i="39"/>
  <c r="U1100" i="39" s="1"/>
  <c r="U1562" i="39"/>
  <c r="U1600" i="39"/>
  <c r="U258" i="39"/>
  <c r="U296" i="39"/>
  <c r="U1599" i="39"/>
  <c r="U1561" i="39"/>
  <c r="X195" i="39"/>
  <c r="U540" i="39"/>
  <c r="U538" i="39" s="1"/>
  <c r="U609" i="39"/>
  <c r="U571" i="39"/>
  <c r="S732" i="39"/>
  <c r="S744" i="39" s="1"/>
  <c r="W522" i="39"/>
  <c r="W542" i="39" s="1" a="1"/>
  <c r="W542" i="39" s="1"/>
  <c r="X520" i="39"/>
  <c r="V354" i="39"/>
  <c r="V450" i="39" s="1"/>
  <c r="V477" i="39"/>
  <c r="V397" i="39"/>
  <c r="V383" i="39" a="1"/>
  <c r="V383" i="39" s="1"/>
  <c r="V389" i="39" a="1"/>
  <c r="V389" i="39" s="1"/>
  <c r="V376" i="39" a="1"/>
  <c r="V376" i="39" s="1"/>
  <c r="V390" i="39" a="1"/>
  <c r="V390" i="39" s="1"/>
  <c r="V388" i="39" a="1"/>
  <c r="V388" i="39" s="1"/>
  <c r="V401" i="39"/>
  <c r="V402" i="39"/>
  <c r="V399" i="39"/>
  <c r="V404" i="39"/>
  <c r="V403" i="39"/>
  <c r="V400" i="39"/>
  <c r="V414" i="39"/>
  <c r="V359" i="39"/>
  <c r="V379" i="39" s="1" a="1"/>
  <c r="V379" i="39" s="1"/>
  <c r="U1399" i="39"/>
  <c r="U1437" i="39"/>
  <c r="U1030" i="39"/>
  <c r="U573" i="39"/>
  <c r="U297" i="39"/>
  <c r="U259" i="39"/>
  <c r="U214" i="39"/>
  <c r="U212" i="39" s="1"/>
  <c r="U283" i="39"/>
  <c r="U245" i="39"/>
  <c r="U1556" i="39"/>
  <c r="U1594" i="39"/>
  <c r="U1525" i="39" a="1"/>
  <c r="U1525" i="39" s="1"/>
  <c r="U1522" i="39" s="1"/>
  <c r="S1384" i="39"/>
  <c r="S1396" i="39" s="1"/>
  <c r="X1010" i="39"/>
  <c r="U623" i="39"/>
  <c r="U585" i="39"/>
  <c r="S770" i="39"/>
  <c r="S782" i="39" s="1"/>
  <c r="X1336" i="39"/>
  <c r="T701" i="39"/>
  <c r="T700" i="39" s="1"/>
  <c r="T712" i="39" s="1"/>
  <c r="U1400" i="39"/>
  <c r="U1438" i="39"/>
  <c r="U612" i="39"/>
  <c r="V737" i="39"/>
  <c r="V1006" i="39"/>
  <c r="V1101" i="39" s="1"/>
  <c r="V1129" i="39"/>
  <c r="V1049" i="39"/>
  <c r="V1035" i="39" a="1"/>
  <c r="V1035" i="39" s="1"/>
  <c r="V1040" i="39" a="1"/>
  <c r="V1040" i="39" s="1"/>
  <c r="V1041" i="39" a="1"/>
  <c r="V1041" i="39" s="1"/>
  <c r="V1028" i="39" a="1"/>
  <c r="V1028" i="39" s="1"/>
  <c r="V1042" i="39" a="1"/>
  <c r="V1042" i="39" s="1"/>
  <c r="V1066" i="39"/>
  <c r="V1052" i="39"/>
  <c r="V1051" i="39"/>
  <c r="V1055" i="39"/>
  <c r="V1053" i="39"/>
  <c r="V1056" i="39"/>
  <c r="V1054" i="39"/>
  <c r="X1172" i="39"/>
  <c r="V249" i="39"/>
  <c r="V287" i="39"/>
  <c r="U1601" i="39"/>
  <c r="U1563" i="39"/>
  <c r="S1352" i="39"/>
  <c r="S1364" i="39" s="1"/>
  <c r="V1012" i="39"/>
  <c r="V1032" i="39" s="1" a="1"/>
  <c r="V1032" i="39" s="1"/>
  <c r="V1030" i="39" s="1"/>
  <c r="S1597" i="39"/>
  <c r="U621" i="39"/>
  <c r="U583" i="39"/>
  <c r="T864" i="39"/>
  <c r="T863" i="39" s="1"/>
  <c r="T875" i="39" s="1"/>
  <c r="T936" i="39"/>
  <c r="T934" i="39" s="1"/>
  <c r="T898" i="39"/>
  <c r="T896" i="39" s="1"/>
  <c r="U1390" i="39"/>
  <c r="U1388" i="39" s="1"/>
  <c r="U1428" i="39"/>
  <c r="V1390" i="39"/>
  <c r="X1329" i="39"/>
  <c r="W1331" i="39"/>
  <c r="W1337" i="39" s="1"/>
  <c r="W1357" i="39" s="1" a="1"/>
  <c r="W1357" i="39" s="1"/>
  <c r="X684" i="39"/>
  <c r="U435" i="39"/>
  <c r="U438" i="39"/>
  <c r="U441" i="39"/>
  <c r="U452" i="39"/>
  <c r="U442" i="39"/>
  <c r="U439" i="39"/>
  <c r="U437" i="39"/>
  <c r="U440" i="39"/>
  <c r="U1398" i="39"/>
  <c r="U1436" i="39"/>
  <c r="U776" i="39"/>
  <c r="U541" i="39"/>
  <c r="U900" i="39"/>
  <c r="U899" i="39" s="1"/>
  <c r="U867" i="39"/>
  <c r="U938" i="39"/>
  <c r="U937" i="39" s="1"/>
  <c r="T1068" i="39"/>
  <c r="T1065" i="39" s="1"/>
  <c r="T1106" i="39"/>
  <c r="T1103" i="39" s="1"/>
  <c r="V680" i="39"/>
  <c r="V775" i="39" s="1"/>
  <c r="V803" i="39"/>
  <c r="V723" i="39"/>
  <c r="V714" i="39" a="1"/>
  <c r="V714" i="39" s="1"/>
  <c r="V702" i="39" a="1"/>
  <c r="V702" i="39" s="1"/>
  <c r="V715" i="39" a="1"/>
  <c r="V715" i="39" s="1"/>
  <c r="V709" i="39" a="1"/>
  <c r="V709" i="39" s="1"/>
  <c r="V716" i="39" a="1"/>
  <c r="V716" i="39" s="1"/>
  <c r="V730" i="39"/>
  <c r="V740" i="39"/>
  <c r="V727" i="39"/>
  <c r="V729" i="39"/>
  <c r="V728" i="39"/>
  <c r="V725" i="39"/>
  <c r="V726" i="39"/>
  <c r="W679" i="39"/>
  <c r="W685" i="39" s="1"/>
  <c r="W705" i="39" s="1" a="1"/>
  <c r="W705" i="39" s="1"/>
  <c r="X677" i="39"/>
  <c r="S1189" i="39"/>
  <c r="S1201" i="39" s="1"/>
  <c r="T1577" i="39"/>
  <c r="T1575" i="39" s="1"/>
  <c r="X683" i="39"/>
  <c r="T925" i="39"/>
  <c r="T923" i="39" s="1"/>
  <c r="U1060" i="39"/>
  <c r="U1029" i="39"/>
  <c r="U1027" i="39" s="1"/>
  <c r="U1098" i="39"/>
  <c r="V901" i="39"/>
  <c r="U724" i="39"/>
  <c r="U722" i="39" s="1"/>
  <c r="U578" i="39"/>
  <c r="U616" i="39"/>
  <c r="U547" i="39" a="1"/>
  <c r="U547" i="39" s="1"/>
  <c r="V1332" i="39"/>
  <c r="V1428" i="39" s="1"/>
  <c r="V1455" i="39"/>
  <c r="V1375" i="39"/>
  <c r="V1366" i="39" a="1"/>
  <c r="V1366" i="39" s="1"/>
  <c r="V1361" i="39" a="1"/>
  <c r="V1361" i="39" s="1"/>
  <c r="V1368" i="39" a="1"/>
  <c r="V1368" i="39" s="1"/>
  <c r="V1367" i="39" a="1"/>
  <c r="V1367" i="39" s="1"/>
  <c r="V1354" i="39" a="1"/>
  <c r="V1354" i="39" s="1"/>
  <c r="V1377" i="39"/>
  <c r="V1392" i="39"/>
  <c r="V1381" i="39"/>
  <c r="V1379" i="39"/>
  <c r="V1380" i="39"/>
  <c r="V1378" i="39"/>
  <c r="V1382" i="39"/>
  <c r="Y521" i="39"/>
  <c r="V686" i="39"/>
  <c r="V706" i="39" s="1" a="1"/>
  <c r="V706" i="39" s="1"/>
  <c r="U449" i="39"/>
  <c r="U448" i="39" s="1"/>
  <c r="U378" i="39"/>
  <c r="U411" i="39"/>
  <c r="U1213" i="39"/>
  <c r="U1211" i="39" s="1"/>
  <c r="U1374" i="39"/>
  <c r="T53" i="41"/>
  <c r="W1012" i="39" l="1"/>
  <c r="W1032" i="39" s="1" a="1"/>
  <c r="W1032" i="39" s="1"/>
  <c r="W1064" i="39" s="1"/>
  <c r="T243" i="39"/>
  <c r="T255" i="39" s="1"/>
  <c r="V1539" i="39"/>
  <c r="V1537" i="39" s="1"/>
  <c r="V887" i="39"/>
  <c r="W686" i="39"/>
  <c r="W706" i="39" s="1" a="1"/>
  <c r="W706" i="39" s="1"/>
  <c r="W197" i="39"/>
  <c r="W217" i="39" s="1" a="1"/>
  <c r="W217" i="39" s="1"/>
  <c r="T607" i="39"/>
  <c r="T619" i="39" s="1"/>
  <c r="T732" i="39"/>
  <c r="T744" i="39" s="1"/>
  <c r="T211" i="39"/>
  <c r="T223" i="39" s="1"/>
  <c r="U436" i="39"/>
  <c r="U285" i="39"/>
  <c r="U410" i="39"/>
  <c r="T1221" i="39"/>
  <c r="T1233" i="39" s="1"/>
  <c r="V285" i="39"/>
  <c r="W1174" i="39"/>
  <c r="W1194" i="39" s="1" a="1"/>
  <c r="W1194" i="39" s="1"/>
  <c r="W1193" i="39" s="1"/>
  <c r="V398" i="39"/>
  <c r="V396" i="39" s="1"/>
  <c r="U1589" i="39"/>
  <c r="V561" i="39"/>
  <c r="T895" i="39"/>
  <c r="T907" i="39" s="1"/>
  <c r="V235" i="39"/>
  <c r="V233" i="39" s="1"/>
  <c r="U273" i="39"/>
  <c r="V1213" i="39"/>
  <c r="V1211" i="39" s="1"/>
  <c r="T537" i="39"/>
  <c r="T549" i="39" s="1"/>
  <c r="T569" i="39"/>
  <c r="T581" i="39" s="1"/>
  <c r="T281" i="39"/>
  <c r="T293" i="39" s="1"/>
  <c r="U599" i="39"/>
  <c r="U597" i="39" s="1"/>
  <c r="W1389" i="39"/>
  <c r="V252" i="39"/>
  <c r="V290" i="39"/>
  <c r="V221" i="39" a="1"/>
  <c r="V221" i="39" s="1"/>
  <c r="V459" i="39"/>
  <c r="V421" i="39"/>
  <c r="W412" i="39"/>
  <c r="U447" i="39"/>
  <c r="U445" i="39" s="1"/>
  <c r="U409" i="39"/>
  <c r="U407" i="39" s="1"/>
  <c r="Y1335" i="39"/>
  <c r="V1235" i="39"/>
  <c r="V1273" i="39"/>
  <c r="W843" i="39"/>
  <c r="W966" i="39"/>
  <c r="W886" i="39"/>
  <c r="W872" i="39" a="1"/>
  <c r="W872" i="39" s="1"/>
  <c r="W878" i="39" a="1"/>
  <c r="W878" i="39" s="1"/>
  <c r="W877" i="39" a="1"/>
  <c r="W877" i="39" s="1"/>
  <c r="W865" i="39" a="1"/>
  <c r="W865" i="39" s="1"/>
  <c r="W879" i="39" a="1"/>
  <c r="W879" i="39" s="1"/>
  <c r="W890" i="39"/>
  <c r="W892" i="39"/>
  <c r="W888" i="39"/>
  <c r="W903" i="39"/>
  <c r="W893" i="39"/>
  <c r="W889" i="39"/>
  <c r="W891" i="39"/>
  <c r="W848" i="39"/>
  <c r="W868" i="39" s="1" a="1"/>
  <c r="W868" i="39" s="1"/>
  <c r="V578" i="39"/>
  <c r="V616" i="39"/>
  <c r="V547" i="39" a="1"/>
  <c r="V547" i="39" s="1"/>
  <c r="V948" i="39"/>
  <c r="V910" i="39"/>
  <c r="W517" i="39"/>
  <c r="W612" i="39" s="1"/>
  <c r="W560" i="39"/>
  <c r="W551" i="39" a="1"/>
  <c r="W551" i="39" s="1"/>
  <c r="W553" i="39" a="1"/>
  <c r="W553" i="39" s="1"/>
  <c r="W552" i="39" a="1"/>
  <c r="W552" i="39" s="1"/>
  <c r="W546" i="39" a="1"/>
  <c r="W546" i="39" s="1"/>
  <c r="W539" i="39" a="1"/>
  <c r="W539" i="39" s="1"/>
  <c r="W566" i="39"/>
  <c r="W567" i="39"/>
  <c r="W564" i="39"/>
  <c r="W562" i="39"/>
  <c r="W563" i="39"/>
  <c r="W565" i="39"/>
  <c r="W577" i="39"/>
  <c r="W523" i="39"/>
  <c r="W543" i="39" s="1" a="1"/>
  <c r="W543" i="39" s="1"/>
  <c r="W541" i="39" s="1"/>
  <c r="U735" i="39"/>
  <c r="U733" i="39" s="1"/>
  <c r="U773" i="39"/>
  <c r="U771" i="39" s="1"/>
  <c r="Y194" i="39"/>
  <c r="V408" i="39"/>
  <c r="V446" i="39"/>
  <c r="V377" i="39"/>
  <c r="V375" i="39" s="1"/>
  <c r="U1516" i="39"/>
  <c r="U1515" i="39" s="1"/>
  <c r="U1527" i="39" s="1"/>
  <c r="U1550" i="39"/>
  <c r="U1548" i="39" s="1"/>
  <c r="U1588" i="39"/>
  <c r="U1586" i="39" s="1"/>
  <c r="V415" i="39"/>
  <c r="V453" i="39"/>
  <c r="V384" i="39" a="1"/>
  <c r="V384" i="39" s="1"/>
  <c r="U1394" i="39"/>
  <c r="U1391" i="39" s="1"/>
  <c r="U1432" i="39"/>
  <c r="U1429" i="39" s="1"/>
  <c r="Y358" i="39"/>
  <c r="V1237" i="39"/>
  <c r="V1275" i="39"/>
  <c r="Y1498" i="39"/>
  <c r="Y840" i="39"/>
  <c r="X842" i="39"/>
  <c r="X849" i="39" s="1"/>
  <c r="X869" i="39" s="1" a="1"/>
  <c r="X869" i="39" s="1"/>
  <c r="V540" i="39"/>
  <c r="V538" i="39" s="1"/>
  <c r="V571" i="39"/>
  <c r="V609" i="39"/>
  <c r="V942" i="39"/>
  <c r="V904" i="39"/>
  <c r="V873" i="39" a="1"/>
  <c r="V873" i="39" s="1"/>
  <c r="U611" i="39"/>
  <c r="V621" i="39"/>
  <c r="V583" i="39"/>
  <c r="V772" i="39"/>
  <c r="V703" i="39"/>
  <c r="V701" i="39" s="1"/>
  <c r="V734" i="39"/>
  <c r="Y1010" i="39"/>
  <c r="U1359" i="39"/>
  <c r="U1352" i="39" s="1"/>
  <c r="U1364" i="39" s="1"/>
  <c r="V909" i="39"/>
  <c r="V947" i="39"/>
  <c r="U1068" i="39"/>
  <c r="U1065" i="39" s="1"/>
  <c r="U1106" i="39"/>
  <c r="U1103" i="39" s="1"/>
  <c r="V1518" i="39"/>
  <c r="V1516" i="39" s="1"/>
  <c r="V1549" i="39"/>
  <c r="V1587" i="39"/>
  <c r="V1236" i="39"/>
  <c r="V1274" i="39"/>
  <c r="Y1172" i="39"/>
  <c r="V779" i="39"/>
  <c r="V741" i="39"/>
  <c r="V710" i="39" a="1"/>
  <c r="V710" i="39" s="1"/>
  <c r="V707" i="39" s="1"/>
  <c r="V1413" i="39"/>
  <c r="V1415" i="39"/>
  <c r="V1430" i="39"/>
  <c r="V1419" i="39"/>
  <c r="V1417" i="39"/>
  <c r="V1418" i="39"/>
  <c r="V1416" i="39"/>
  <c r="V1420" i="39"/>
  <c r="Y683" i="39"/>
  <c r="T406" i="39"/>
  <c r="T418" i="39" s="1"/>
  <c r="Z357" i="39"/>
  <c r="V866" i="39"/>
  <c r="V864" i="39" s="1"/>
  <c r="V897" i="39"/>
  <c r="V935" i="39"/>
  <c r="U1033" i="39"/>
  <c r="V1600" i="39"/>
  <c r="V1562" i="39"/>
  <c r="W215" i="39"/>
  <c r="W248" i="39"/>
  <c r="W1552" i="39"/>
  <c r="V1590" i="39"/>
  <c r="V1519" i="39"/>
  <c r="V1552" i="39"/>
  <c r="V598" i="39"/>
  <c r="V602" i="39"/>
  <c r="V601" i="39"/>
  <c r="V605" i="39"/>
  <c r="V615" i="39"/>
  <c r="V600" i="39"/>
  <c r="V604" i="39"/>
  <c r="V603" i="39"/>
  <c r="V1050" i="39"/>
  <c r="V435" i="39"/>
  <c r="V440" i="39"/>
  <c r="V439" i="39"/>
  <c r="V452" i="39"/>
  <c r="V442" i="39"/>
  <c r="V441" i="39"/>
  <c r="V438" i="39"/>
  <c r="V437" i="39"/>
  <c r="T444" i="39"/>
  <c r="T456" i="39" s="1"/>
  <c r="V247" i="39"/>
  <c r="V1250" i="39"/>
  <c r="V1255" i="39"/>
  <c r="V1267" i="39"/>
  <c r="V1256" i="39"/>
  <c r="V1257" i="39"/>
  <c r="V1253" i="39"/>
  <c r="V1254" i="39"/>
  <c r="V1252" i="39"/>
  <c r="V1251" i="39" s="1"/>
  <c r="W849" i="39"/>
  <c r="W869" i="39" s="1" a="1"/>
  <c r="W869" i="39" s="1"/>
  <c r="V885" i="39"/>
  <c r="V1594" i="39"/>
  <c r="V1556" i="39"/>
  <c r="V1525" i="39" a="1"/>
  <c r="V1525" i="39" s="1"/>
  <c r="V786" i="39"/>
  <c r="V748" i="39"/>
  <c r="U579" i="39"/>
  <c r="U576" i="39" s="1"/>
  <c r="U617" i="39"/>
  <c r="V378" i="39"/>
  <c r="V411" i="39"/>
  <c r="V410" i="39" s="1"/>
  <c r="V449" i="39"/>
  <c r="V448" i="39" s="1"/>
  <c r="Y520" i="39"/>
  <c r="V575" i="39"/>
  <c r="V573" i="39" s="1"/>
  <c r="V613" i="39"/>
  <c r="V611" i="39" s="1"/>
  <c r="Y847" i="39"/>
  <c r="U1592" i="39"/>
  <c r="V1563" i="39"/>
  <c r="V1601" i="39"/>
  <c r="V738" i="39"/>
  <c r="V736" i="39" s="1"/>
  <c r="V776" i="39"/>
  <c r="V774" i="39" s="1"/>
  <c r="W1227" i="39"/>
  <c r="V272" i="39"/>
  <c r="V275" i="39"/>
  <c r="V279" i="39"/>
  <c r="V277" i="39"/>
  <c r="V289" i="39"/>
  <c r="V278" i="39"/>
  <c r="V274" i="39"/>
  <c r="V276" i="39"/>
  <c r="U544" i="39"/>
  <c r="U537" i="39" s="1"/>
  <c r="U549" i="39" s="1"/>
  <c r="Y1173" i="39"/>
  <c r="Y677" i="39"/>
  <c r="X679" i="39"/>
  <c r="X686" i="39" s="1"/>
  <c r="X706" i="39" s="1" a="1"/>
  <c r="X706" i="39" s="1"/>
  <c r="W574" i="39"/>
  <c r="T1259" i="39"/>
  <c r="T1271" i="39" s="1"/>
  <c r="Z1499" i="39"/>
  <c r="T1547" i="39"/>
  <c r="T1559" i="39" s="1"/>
  <c r="U271" i="39"/>
  <c r="V924" i="39"/>
  <c r="V930" i="39"/>
  <c r="V931" i="39"/>
  <c r="V929" i="39"/>
  <c r="V928" i="39"/>
  <c r="V927" i="39"/>
  <c r="V941" i="39"/>
  <c r="V926" i="39"/>
  <c r="V925" i="39" s="1"/>
  <c r="U1577" i="39"/>
  <c r="U1575" i="39" s="1"/>
  <c r="V1599" i="39"/>
  <c r="V1561" i="39"/>
  <c r="V258" i="39"/>
  <c r="V296" i="39"/>
  <c r="V785" i="39"/>
  <c r="V747" i="39"/>
  <c r="V704" i="39"/>
  <c r="Z521" i="39"/>
  <c r="U1595" i="39"/>
  <c r="U1557" i="39"/>
  <c r="U1554" i="39" s="1"/>
  <c r="V761" i="39"/>
  <c r="V768" i="39"/>
  <c r="V778" i="39"/>
  <c r="V765" i="39"/>
  <c r="V767" i="39"/>
  <c r="V766" i="39"/>
  <c r="V763" i="39"/>
  <c r="V764" i="39"/>
  <c r="W680" i="39"/>
  <c r="W775" i="39" s="1"/>
  <c r="W803" i="39"/>
  <c r="W723" i="39"/>
  <c r="W714" i="39" a="1"/>
  <c r="W714" i="39" s="1"/>
  <c r="W715" i="39" a="1"/>
  <c r="W715" i="39" s="1"/>
  <c r="W709" i="39" a="1"/>
  <c r="W709" i="39" s="1"/>
  <c r="W702" i="39" a="1"/>
  <c r="W702" i="39" s="1"/>
  <c r="W716" i="39" a="1"/>
  <c r="W716" i="39" s="1"/>
  <c r="W740" i="39"/>
  <c r="W729" i="39"/>
  <c r="W730" i="39"/>
  <c r="W726" i="39"/>
  <c r="W728" i="39"/>
  <c r="W727" i="39"/>
  <c r="W725" i="39"/>
  <c r="U416" i="39"/>
  <c r="U413" i="39" s="1"/>
  <c r="U454" i="39"/>
  <c r="U1426" i="39"/>
  <c r="U1088" i="39"/>
  <c r="U1086" i="39" s="1"/>
  <c r="T1585" i="39"/>
  <c r="T1597" i="39" s="1"/>
  <c r="V867" i="39"/>
  <c r="V938" i="39"/>
  <c r="V937" i="39" s="1"/>
  <c r="V900" i="39"/>
  <c r="V899" i="39" s="1"/>
  <c r="V949" i="39"/>
  <c r="V911" i="39"/>
  <c r="Y514" i="39"/>
  <c r="X516" i="39"/>
  <c r="X522" i="39" s="1"/>
  <c r="X542" i="39" s="1" a="1"/>
  <c r="X542" i="39" s="1"/>
  <c r="U253" i="39"/>
  <c r="U250" i="39" s="1"/>
  <c r="U291" i="39"/>
  <c r="U288" i="39" s="1"/>
  <c r="U923" i="39"/>
  <c r="U898" i="39"/>
  <c r="U896" i="39" s="1"/>
  <c r="U936" i="39"/>
  <c r="U934" i="39" s="1"/>
  <c r="V1074" i="39"/>
  <c r="V1112" i="39"/>
  <c r="W354" i="39"/>
  <c r="W450" i="39" s="1"/>
  <c r="W477" i="39"/>
  <c r="W397" i="39"/>
  <c r="W376" i="39" a="1"/>
  <c r="W376" i="39" s="1"/>
  <c r="W390" i="39" a="1"/>
  <c r="W390" i="39" s="1"/>
  <c r="W388" i="39" a="1"/>
  <c r="W388" i="39" s="1"/>
  <c r="W383" i="39" a="1"/>
  <c r="W383" i="39" s="1"/>
  <c r="W389" i="39" a="1"/>
  <c r="W389" i="39" s="1"/>
  <c r="W414" i="39"/>
  <c r="W402" i="39"/>
  <c r="W399" i="39"/>
  <c r="W404" i="39"/>
  <c r="W401" i="39"/>
  <c r="W400" i="39"/>
  <c r="W403" i="39"/>
  <c r="W359" i="39"/>
  <c r="W379" i="39" s="1" a="1"/>
  <c r="W379" i="39" s="1"/>
  <c r="U434" i="39"/>
  <c r="V1029" i="39"/>
  <c r="V1027" i="39" s="1"/>
  <c r="V1098" i="39"/>
  <c r="V1060" i="39"/>
  <c r="Y351" i="39"/>
  <c r="X353" i="39"/>
  <c r="U381" i="39"/>
  <c r="U762" i="39"/>
  <c r="U760" i="39" s="1"/>
  <c r="V1388" i="39"/>
  <c r="U614" i="39"/>
  <c r="V559" i="39"/>
  <c r="Y1003" i="39"/>
  <c r="X1005" i="39"/>
  <c r="X1011" i="39" s="1"/>
  <c r="X1031" i="39" s="1" a="1"/>
  <c r="X1031" i="39" s="1"/>
  <c r="V1087" i="39"/>
  <c r="V1104" i="39"/>
  <c r="V1093" i="39"/>
  <c r="V1089" i="39"/>
  <c r="V1094" i="39"/>
  <c r="V1090" i="39"/>
  <c r="V1092" i="39"/>
  <c r="V1091" i="39"/>
  <c r="W704" i="39"/>
  <c r="W737" i="39"/>
  <c r="V746" i="39"/>
  <c r="V784" i="39"/>
  <c r="U451" i="39"/>
  <c r="V1064" i="39"/>
  <c r="V1062" i="39" s="1"/>
  <c r="V1102" i="39"/>
  <c r="V1100" i="39" s="1"/>
  <c r="V1376" i="39"/>
  <c r="V1374" i="39" s="1"/>
  <c r="V724" i="39"/>
  <c r="V722" i="39" s="1"/>
  <c r="V1073" i="39"/>
  <c r="V1111" i="39"/>
  <c r="Y1009" i="39"/>
  <c r="T1058" i="39"/>
  <c r="T1070" i="39" s="1"/>
  <c r="U774" i="39"/>
  <c r="V1427" i="39"/>
  <c r="V1426" i="39" s="1"/>
  <c r="V1265" i="39"/>
  <c r="W1006" i="39"/>
  <c r="W1101" i="39" s="1"/>
  <c r="W1129" i="39"/>
  <c r="W1049" i="39"/>
  <c r="W1042" i="39" a="1"/>
  <c r="W1042" i="39" s="1"/>
  <c r="W1040" i="39" a="1"/>
  <c r="W1040" i="39" s="1"/>
  <c r="W1028" i="39" a="1"/>
  <c r="W1028" i="39" s="1"/>
  <c r="W1035" i="39" a="1"/>
  <c r="W1035" i="39" s="1"/>
  <c r="W1041" i="39" a="1"/>
  <c r="W1041" i="39" s="1"/>
  <c r="W1066" i="39"/>
  <c r="W1051" i="39"/>
  <c r="W1052" i="39"/>
  <c r="W1056" i="39"/>
  <c r="W1053" i="39"/>
  <c r="W1055" i="39"/>
  <c r="W1054" i="39"/>
  <c r="V1576" i="39"/>
  <c r="V1583" i="39"/>
  <c r="V1582" i="39"/>
  <c r="V1581" i="39"/>
  <c r="V1593" i="39"/>
  <c r="V1580" i="39"/>
  <c r="V1579" i="39"/>
  <c r="V1578" i="39"/>
  <c r="V1223" i="39"/>
  <c r="V1192" i="39"/>
  <c r="V1190" i="39" s="1"/>
  <c r="V1261" i="39"/>
  <c r="V1424" i="39"/>
  <c r="V1355" i="39"/>
  <c r="V1386" i="39"/>
  <c r="U1061" i="39"/>
  <c r="U1059" i="39" s="1"/>
  <c r="U1099" i="39"/>
  <c r="U1097" i="39" s="1"/>
  <c r="Y684" i="39"/>
  <c r="V1072" i="39"/>
  <c r="V1110" i="39"/>
  <c r="U1425" i="39"/>
  <c r="U1423" i="39" s="1"/>
  <c r="U1387" i="39"/>
  <c r="U1385" i="39" s="1"/>
  <c r="W1030" i="39"/>
  <c r="W1063" i="39"/>
  <c r="T1096" i="39"/>
  <c r="T1108" i="39" s="1"/>
  <c r="W1169" i="39"/>
  <c r="W1292" i="39"/>
  <c r="W1212" i="39"/>
  <c r="W1205" i="39" a="1"/>
  <c r="W1205" i="39" s="1"/>
  <c r="W1198" i="39" a="1"/>
  <c r="W1198" i="39" s="1"/>
  <c r="W1191" i="39" a="1"/>
  <c r="W1191" i="39" s="1"/>
  <c r="W1203" i="39" a="1"/>
  <c r="W1203" i="39" s="1"/>
  <c r="W1204" i="39" a="1"/>
  <c r="W1204" i="39" s="1"/>
  <c r="W1229" i="39"/>
  <c r="W1216" i="39"/>
  <c r="W1218" i="39"/>
  <c r="W1215" i="39"/>
  <c r="W1217" i="39"/>
  <c r="W1219" i="39"/>
  <c r="W1214" i="39"/>
  <c r="W1495" i="39"/>
  <c r="W1618" i="39"/>
  <c r="W1538" i="39"/>
  <c r="W1529" i="39" a="1"/>
  <c r="W1529" i="39" s="1"/>
  <c r="W1530" i="39" a="1"/>
  <c r="W1530" i="39" s="1"/>
  <c r="W1517" i="39" a="1"/>
  <c r="W1517" i="39" s="1"/>
  <c r="W1531" i="39" a="1"/>
  <c r="W1531" i="39" s="1"/>
  <c r="W1524" i="39" a="1"/>
  <c r="W1524" i="39" s="1"/>
  <c r="W1542" i="39"/>
  <c r="W1541" i="39"/>
  <c r="W1543" i="39"/>
  <c r="W1540" i="39"/>
  <c r="W1545" i="39"/>
  <c r="W1544" i="39"/>
  <c r="W1555" i="39"/>
  <c r="W1501" i="39"/>
  <c r="W1521" i="39" s="1" a="1"/>
  <c r="W1521" i="39" s="1"/>
  <c r="V1553" i="39"/>
  <c r="V1591" i="39"/>
  <c r="V584" i="39"/>
  <c r="V622" i="39"/>
  <c r="T933" i="39"/>
  <c r="T945" i="39" s="1"/>
  <c r="V1399" i="39"/>
  <c r="V1437" i="39"/>
  <c r="U1026" i="39"/>
  <c r="U1038" i="39" s="1"/>
  <c r="W776" i="39"/>
  <c r="W738" i="39"/>
  <c r="V1105" i="39"/>
  <c r="V1067" i="39"/>
  <c r="V1036" i="39" a="1"/>
  <c r="V1036" i="39" s="1"/>
  <c r="U284" i="39"/>
  <c r="U282" i="39" s="1"/>
  <c r="U246" i="39"/>
  <c r="U244" i="39" s="1"/>
  <c r="U610" i="39"/>
  <c r="U608" i="39" s="1"/>
  <c r="U572" i="39"/>
  <c r="U570" i="39" s="1"/>
  <c r="U1251" i="39"/>
  <c r="U1249" i="39" s="1"/>
  <c r="V1264" i="39"/>
  <c r="U1414" i="39"/>
  <c r="U1412" i="39" s="1"/>
  <c r="V214" i="39"/>
  <c r="V212" i="39" s="1"/>
  <c r="V283" i="39"/>
  <c r="V245" i="39"/>
  <c r="Y1166" i="39"/>
  <c r="X1168" i="39"/>
  <c r="Y1492" i="39"/>
  <c r="X1494" i="39"/>
  <c r="X1500" i="39" s="1"/>
  <c r="X1520" i="39" s="1" a="1"/>
  <c r="X1520" i="39" s="1"/>
  <c r="V460" i="39"/>
  <c r="V422" i="39"/>
  <c r="V1400" i="39"/>
  <c r="V1438" i="39"/>
  <c r="W1332" i="39"/>
  <c r="W1455" i="39"/>
  <c r="W1375" i="39"/>
  <c r="W1354" i="39" a="1"/>
  <c r="W1354" i="39" s="1"/>
  <c r="W1368" i="39" a="1"/>
  <c r="W1368" i="39" s="1"/>
  <c r="W1361" i="39" a="1"/>
  <c r="W1361" i="39" s="1"/>
  <c r="W1367" i="39" a="1"/>
  <c r="W1367" i="39" s="1"/>
  <c r="W1366" i="39" a="1"/>
  <c r="W1366" i="39" s="1"/>
  <c r="W1380" i="39"/>
  <c r="W1381" i="39"/>
  <c r="W1377" i="39"/>
  <c r="W1392" i="39"/>
  <c r="W1379" i="39"/>
  <c r="W1382" i="39"/>
  <c r="W1378" i="39"/>
  <c r="V1048" i="39"/>
  <c r="W1338" i="39"/>
  <c r="W1358" i="39" s="1" a="1"/>
  <c r="W1358" i="39" s="1"/>
  <c r="U211" i="39"/>
  <c r="U223" i="39" s="1"/>
  <c r="Y195" i="39"/>
  <c r="X190" i="39"/>
  <c r="X196" i="39" s="1"/>
  <c r="X216" i="39" s="1" a="1"/>
  <c r="X216" i="39" s="1"/>
  <c r="Y188" i="39"/>
  <c r="U1224" i="39"/>
  <c r="U1222" i="39" s="1"/>
  <c r="U1221" i="39" s="1"/>
  <c r="U1233" i="39" s="1"/>
  <c r="U1262" i="39"/>
  <c r="U1260" i="39" s="1"/>
  <c r="U780" i="39"/>
  <c r="U777" i="39" s="1"/>
  <c r="U742" i="39"/>
  <c r="U739" i="39" s="1"/>
  <c r="V257" i="39"/>
  <c r="V295" i="39"/>
  <c r="U1231" i="39"/>
  <c r="U1228" i="39" s="1"/>
  <c r="U1269" i="39"/>
  <c r="U1266" i="39" s="1"/>
  <c r="T1422" i="39"/>
  <c r="T1434" i="39" s="1"/>
  <c r="U943" i="39"/>
  <c r="U940" i="39" s="1"/>
  <c r="U905" i="39"/>
  <c r="U902" i="39" s="1"/>
  <c r="V1398" i="39"/>
  <c r="V1436" i="39"/>
  <c r="V1393" i="39"/>
  <c r="V1431" i="39"/>
  <c r="V1362" i="39" a="1"/>
  <c r="V1362" i="39" s="1"/>
  <c r="X1331" i="39"/>
  <c r="X1337" i="39" s="1"/>
  <c r="X1357" i="39" s="1" a="1"/>
  <c r="X1357" i="39" s="1"/>
  <c r="Y1329" i="39"/>
  <c r="Y1336" i="39"/>
  <c r="V458" i="39"/>
  <c r="V420" i="39"/>
  <c r="W249" i="39"/>
  <c r="W191" i="39"/>
  <c r="W287" i="39" s="1"/>
  <c r="W314" i="39"/>
  <c r="W234" i="39"/>
  <c r="W225" i="39" a="1"/>
  <c r="W225" i="39" s="1"/>
  <c r="W213" i="39" a="1"/>
  <c r="W213" i="39" s="1"/>
  <c r="W220" i="39" a="1"/>
  <c r="W220" i="39" s="1"/>
  <c r="W226" i="39" a="1"/>
  <c r="W226" i="39" s="1"/>
  <c r="W227" i="39" a="1"/>
  <c r="W227" i="39" s="1"/>
  <c r="W236" i="39"/>
  <c r="W251" i="39"/>
  <c r="W241" i="39"/>
  <c r="W239" i="39"/>
  <c r="W237" i="39"/>
  <c r="W240" i="39"/>
  <c r="W238" i="39"/>
  <c r="U375" i="39"/>
  <c r="V1230" i="39"/>
  <c r="V1268" i="39"/>
  <c r="V1199" i="39" a="1"/>
  <c r="V1199" i="39" s="1"/>
  <c r="U707" i="39"/>
  <c r="V297" i="39"/>
  <c r="V259" i="39"/>
  <c r="U1196" i="39"/>
  <c r="U1189" i="39" s="1"/>
  <c r="U1201" i="39" s="1"/>
  <c r="V623" i="39"/>
  <c r="V585" i="39"/>
  <c r="T1384" i="39"/>
  <c r="T1396" i="39" s="1"/>
  <c r="U701" i="39"/>
  <c r="U870" i="39"/>
  <c r="U863" i="39" s="1"/>
  <c r="U875" i="39" s="1"/>
  <c r="T770" i="39"/>
  <c r="T782" i="39" s="1"/>
  <c r="V762" i="39" l="1"/>
  <c r="U1096" i="39"/>
  <c r="U1058" i="39"/>
  <c r="U1070" i="39" s="1"/>
  <c r="U569" i="39"/>
  <c r="U581" i="39" s="1"/>
  <c r="W561" i="39"/>
  <c r="V1414" i="39"/>
  <c r="W1226" i="39"/>
  <c r="W1225" i="39" s="1"/>
  <c r="U1259" i="39"/>
  <c r="U243" i="39"/>
  <c r="U255" i="39" s="1"/>
  <c r="W724" i="39"/>
  <c r="X685" i="39"/>
  <c r="X705" i="39" s="1" a="1"/>
  <c r="X705" i="39" s="1"/>
  <c r="X737" i="39" s="1"/>
  <c r="X197" i="39"/>
  <c r="X217" i="39" s="1" a="1"/>
  <c r="X217" i="39" s="1"/>
  <c r="X215" i="39" s="1"/>
  <c r="V1249" i="39"/>
  <c r="U1547" i="39"/>
  <c r="U1559" i="39" s="1"/>
  <c r="V1263" i="39"/>
  <c r="W887" i="39"/>
  <c r="W885" i="39" s="1"/>
  <c r="W1062" i="39"/>
  <c r="U607" i="39"/>
  <c r="U619" i="39" s="1"/>
  <c r="W1213" i="39"/>
  <c r="W1211" i="39" s="1"/>
  <c r="U374" i="39"/>
  <c r="U386" i="39" s="1"/>
  <c r="U281" i="39"/>
  <c r="U293" i="39" s="1"/>
  <c r="V599" i="39"/>
  <c r="V597" i="39" s="1"/>
  <c r="X1338" i="39"/>
  <c r="X1358" i="39" s="1" a="1"/>
  <c r="X1358" i="39" s="1"/>
  <c r="X1356" i="39" s="1"/>
  <c r="U895" i="39"/>
  <c r="U907" i="39" s="1"/>
  <c r="X1389" i="39"/>
  <c r="X738" i="39"/>
  <c r="X248" i="39"/>
  <c r="X1552" i="39"/>
  <c r="W1355" i="39"/>
  <c r="W1353" i="39" s="1"/>
  <c r="W1424" i="39"/>
  <c r="W1386" i="39"/>
  <c r="Y1168" i="39"/>
  <c r="Y1175" i="39" s="1"/>
  <c r="Y1195" i="39" s="1" a="1"/>
  <c r="Y1195" i="39" s="1"/>
  <c r="Z1166" i="39"/>
  <c r="W1098" i="39"/>
  <c r="W1029" i="39"/>
  <c r="W1060" i="39"/>
  <c r="W761" i="39"/>
  <c r="W778" i="39"/>
  <c r="W767" i="39"/>
  <c r="W768" i="39"/>
  <c r="W764" i="39"/>
  <c r="W765" i="39"/>
  <c r="W763" i="39"/>
  <c r="W766" i="39"/>
  <c r="Z1173" i="39"/>
  <c r="Z1172" i="39"/>
  <c r="V700" i="39"/>
  <c r="V712" i="39" s="1"/>
  <c r="Z840" i="39"/>
  <c r="Y842" i="39"/>
  <c r="Z195" i="39"/>
  <c r="W1072" i="39"/>
  <c r="W1110" i="39"/>
  <c r="W398" i="39"/>
  <c r="V436" i="39"/>
  <c r="V434" i="39" s="1"/>
  <c r="Z683" i="39"/>
  <c r="U1585" i="39"/>
  <c r="U1597" i="39" s="1"/>
  <c r="W924" i="39"/>
  <c r="W928" i="39"/>
  <c r="W930" i="39"/>
  <c r="W926" i="39"/>
  <c r="W941" i="39"/>
  <c r="W931" i="39"/>
  <c r="W927" i="39"/>
  <c r="W929" i="39"/>
  <c r="W1274" i="39"/>
  <c r="W1236" i="39"/>
  <c r="W1074" i="39"/>
  <c r="W1112" i="39"/>
  <c r="V1522" i="39"/>
  <c r="V1515" i="39" s="1"/>
  <c r="V1527" i="39" s="1"/>
  <c r="V1557" i="39"/>
  <c r="V1554" i="39" s="1"/>
  <c r="V1595" i="39"/>
  <c r="V1592" i="39" s="1"/>
  <c r="V773" i="39"/>
  <c r="V771" i="39" s="1"/>
  <c r="V735" i="39"/>
  <c r="V733" i="39" s="1"/>
  <c r="W867" i="39"/>
  <c r="W938" i="39"/>
  <c r="W900" i="39"/>
  <c r="V1432" i="39"/>
  <c r="V1429" i="39" s="1"/>
  <c r="V1394" i="39"/>
  <c r="V1391" i="39" s="1"/>
  <c r="W1428" i="39"/>
  <c r="W1390" i="39"/>
  <c r="W1388" i="39" s="1"/>
  <c r="W1413" i="39"/>
  <c r="W1418" i="39"/>
  <c r="W1419" i="39"/>
  <c r="W1415" i="39"/>
  <c r="W1430" i="39"/>
  <c r="W1416" i="39"/>
  <c r="W1420" i="39"/>
  <c r="W1417" i="39"/>
  <c r="W1556" i="39"/>
  <c r="W1594" i="39"/>
  <c r="W1525" i="39" a="1"/>
  <c r="W1525" i="39" s="1"/>
  <c r="W1522" i="39" s="1"/>
  <c r="W1273" i="39"/>
  <c r="W1235" i="39"/>
  <c r="V273" i="39"/>
  <c r="V271" i="39" s="1"/>
  <c r="X901" i="39"/>
  <c r="Z1498" i="39"/>
  <c r="U700" i="39"/>
  <c r="U712" i="39" s="1"/>
  <c r="V246" i="39"/>
  <c r="V244" i="39" s="1"/>
  <c r="V284" i="39"/>
  <c r="V282" i="39" s="1"/>
  <c r="W1563" i="39"/>
  <c r="W1601" i="39"/>
  <c r="W1223" i="39"/>
  <c r="W1192" i="39"/>
  <c r="W1261" i="39"/>
  <c r="Z684" i="39"/>
  <c r="U444" i="39"/>
  <c r="U456" i="39" s="1"/>
  <c r="V1088" i="39"/>
  <c r="V1086" i="39" s="1"/>
  <c r="W459" i="39"/>
  <c r="W421" i="39"/>
  <c r="X517" i="39"/>
  <c r="X560" i="39"/>
  <c r="X553" i="39" a="1"/>
  <c r="X553" i="39" s="1"/>
  <c r="X552" i="39" a="1"/>
  <c r="X552" i="39" s="1"/>
  <c r="X551" i="39" a="1"/>
  <c r="X551" i="39" s="1"/>
  <c r="X546" i="39" a="1"/>
  <c r="X546" i="39" s="1"/>
  <c r="X539" i="39" a="1"/>
  <c r="X539" i="39" s="1"/>
  <c r="X563" i="39"/>
  <c r="X565" i="39"/>
  <c r="X562" i="39"/>
  <c r="X564" i="39"/>
  <c r="X577" i="39"/>
  <c r="X566" i="39"/>
  <c r="X567" i="39"/>
  <c r="X523" i="39"/>
  <c r="X543" i="39" s="1" a="1"/>
  <c r="X543" i="39" s="1"/>
  <c r="X541" i="39" s="1"/>
  <c r="Z847" i="39"/>
  <c r="Y849" i="39"/>
  <c r="Y869" i="39" s="1" a="1"/>
  <c r="Y869" i="39" s="1"/>
  <c r="W540" i="39"/>
  <c r="W538" i="39" s="1"/>
  <c r="W571" i="39"/>
  <c r="W609" i="39"/>
  <c r="W1553" i="39"/>
  <c r="W1551" i="39" s="1"/>
  <c r="W1591" i="39"/>
  <c r="Z1336" i="39"/>
  <c r="W1587" i="39"/>
  <c r="W1518" i="39"/>
  <c r="W1549" i="39"/>
  <c r="W1230" i="39"/>
  <c r="W1268" i="39"/>
  <c r="W1199" i="39" a="1"/>
  <c r="W1199" i="39" s="1"/>
  <c r="W1196" i="39" s="1"/>
  <c r="U1108" i="39"/>
  <c r="W1087" i="39"/>
  <c r="W1089" i="39"/>
  <c r="W1093" i="39"/>
  <c r="W1104" i="39"/>
  <c r="W1090" i="39"/>
  <c r="W1094" i="39"/>
  <c r="W1091" i="39"/>
  <c r="W1092" i="39"/>
  <c r="X354" i="39"/>
  <c r="X477" i="39"/>
  <c r="X397" i="39"/>
  <c r="X376" i="39" a="1"/>
  <c r="X376" i="39" s="1"/>
  <c r="X390" i="39" a="1"/>
  <c r="X390" i="39" s="1"/>
  <c r="X389" i="39" a="1"/>
  <c r="X389" i="39" s="1"/>
  <c r="X383" i="39" a="1"/>
  <c r="X383" i="39" s="1"/>
  <c r="X388" i="39" a="1"/>
  <c r="X388" i="39" s="1"/>
  <c r="X400" i="39"/>
  <c r="X414" i="39"/>
  <c r="X401" i="39"/>
  <c r="X402" i="39"/>
  <c r="X404" i="39"/>
  <c r="X403" i="39"/>
  <c r="X399" i="39"/>
  <c r="X359" i="39"/>
  <c r="X379" i="39" s="1" a="1"/>
  <c r="X379" i="39" s="1"/>
  <c r="W415" i="39"/>
  <c r="W453" i="39"/>
  <c r="W384" i="39" a="1"/>
  <c r="W384" i="39" s="1"/>
  <c r="Y516" i="39"/>
  <c r="Y522" i="39" s="1"/>
  <c r="Y542" i="39" s="1" a="1"/>
  <c r="Y542" i="39" s="1"/>
  <c r="Z514" i="39"/>
  <c r="V409" i="39"/>
  <c r="V407" i="39" s="1"/>
  <c r="V447" i="39"/>
  <c r="V445" i="39" s="1"/>
  <c r="W616" i="39"/>
  <c r="W578" i="39"/>
  <c r="W547" i="39" a="1"/>
  <c r="W547" i="39" s="1"/>
  <c r="Z1335" i="39"/>
  <c r="W1275" i="39"/>
  <c r="W1237" i="39"/>
  <c r="Y353" i="39"/>
  <c r="Y360" i="39" s="1"/>
  <c r="Y380" i="39" s="1" a="1"/>
  <c r="Y380" i="39" s="1"/>
  <c r="Z351" i="39"/>
  <c r="W420" i="39"/>
  <c r="W458" i="39"/>
  <c r="W939" i="39"/>
  <c r="W901" i="39"/>
  <c r="V1551" i="39"/>
  <c r="W622" i="39"/>
  <c r="W584" i="39"/>
  <c r="U406" i="39"/>
  <c r="U418" i="39" s="1"/>
  <c r="W1561" i="39"/>
  <c r="W1599" i="39"/>
  <c r="X574" i="39"/>
  <c r="V898" i="39"/>
  <c r="V896" i="39" s="1"/>
  <c r="V936" i="39"/>
  <c r="V934" i="39" s="1"/>
  <c r="V1550" i="39"/>
  <c r="V1548" i="39" s="1"/>
  <c r="V1588" i="39"/>
  <c r="V1586" i="39" s="1"/>
  <c r="V943" i="39"/>
  <c r="V940" i="39" s="1"/>
  <c r="V905" i="39"/>
  <c r="V902" i="39" s="1"/>
  <c r="U933" i="39"/>
  <c r="U945" i="39" s="1"/>
  <c r="W623" i="39"/>
  <c r="W585" i="39"/>
  <c r="W1600" i="39"/>
  <c r="W1562" i="39"/>
  <c r="W235" i="39"/>
  <c r="W233" i="39" s="1"/>
  <c r="W297" i="39"/>
  <c r="W259" i="39"/>
  <c r="U1271" i="39"/>
  <c r="V1387" i="39"/>
  <c r="V1385" i="39" s="1"/>
  <c r="V1384" i="39" s="1"/>
  <c r="V1396" i="39" s="1"/>
  <c r="V1425" i="39"/>
  <c r="V1423" i="39" s="1"/>
  <c r="V1422" i="39" s="1"/>
  <c r="W377" i="39"/>
  <c r="W408" i="39"/>
  <c r="W446" i="39"/>
  <c r="V760" i="39"/>
  <c r="Z520" i="39"/>
  <c r="V1589" i="39"/>
  <c r="V1412" i="39"/>
  <c r="V870" i="39"/>
  <c r="V863" i="39" s="1"/>
  <c r="V875" i="39" s="1"/>
  <c r="X360" i="39"/>
  <c r="X380" i="39" s="1" a="1"/>
  <c r="X380" i="39" s="1"/>
  <c r="W621" i="39"/>
  <c r="W583" i="39"/>
  <c r="W460" i="39"/>
  <c r="W422" i="39"/>
  <c r="W296" i="39"/>
  <c r="W258" i="39"/>
  <c r="Y1331" i="39"/>
  <c r="Y1338" i="39" s="1"/>
  <c r="Y1358" i="39" s="1" a="1"/>
  <c r="Y1358" i="39" s="1"/>
  <c r="Z1329" i="39"/>
  <c r="W1376" i="39"/>
  <c r="W1374" i="39" s="1"/>
  <c r="W1250" i="39"/>
  <c r="W1256" i="39"/>
  <c r="W1267" i="39"/>
  <c r="W1254" i="39"/>
  <c r="W1252" i="39"/>
  <c r="W1253" i="39"/>
  <c r="W1257" i="39"/>
  <c r="W1255" i="39"/>
  <c r="V1353" i="39"/>
  <c r="W736" i="39"/>
  <c r="W1264" i="39"/>
  <c r="W396" i="39"/>
  <c r="W786" i="39"/>
  <c r="W748" i="39"/>
  <c r="Z358" i="39"/>
  <c r="Z194" i="39"/>
  <c r="W559" i="39"/>
  <c r="W1427" i="39"/>
  <c r="W1426" i="39" s="1"/>
  <c r="W283" i="39"/>
  <c r="W245" i="39"/>
  <c r="W214" i="39"/>
  <c r="W212" i="39" s="1"/>
  <c r="W290" i="39"/>
  <c r="W252" i="39"/>
  <c r="W221" i="39" a="1"/>
  <c r="W221" i="39" s="1"/>
  <c r="X1332" i="39"/>
  <c r="X1455" i="39"/>
  <c r="X1375" i="39"/>
  <c r="X1354" i="39" a="1"/>
  <c r="X1354" i="39" s="1"/>
  <c r="X1368" i="39" a="1"/>
  <c r="X1368" i="39" s="1"/>
  <c r="X1361" i="39" a="1"/>
  <c r="X1361" i="39" s="1"/>
  <c r="X1367" i="39" a="1"/>
  <c r="X1367" i="39" s="1"/>
  <c r="X1366" i="39" a="1"/>
  <c r="X1366" i="39" s="1"/>
  <c r="X1379" i="39"/>
  <c r="X1377" i="39"/>
  <c r="X1392" i="39"/>
  <c r="X1378" i="39"/>
  <c r="X1382" i="39"/>
  <c r="X1381" i="39"/>
  <c r="X1380" i="39"/>
  <c r="W1576" i="39"/>
  <c r="W1579" i="39"/>
  <c r="W1580" i="39"/>
  <c r="W1582" i="39"/>
  <c r="W1578" i="39"/>
  <c r="W1583" i="39"/>
  <c r="W1581" i="39"/>
  <c r="W1593" i="39"/>
  <c r="Z1009" i="39"/>
  <c r="W774" i="39"/>
  <c r="V1099" i="39"/>
  <c r="V1097" i="39" s="1"/>
  <c r="V1061" i="39"/>
  <c r="V1059" i="39" s="1"/>
  <c r="W703" i="39"/>
  <c r="W701" i="39" s="1"/>
  <c r="W734" i="39"/>
  <c r="W772" i="39"/>
  <c r="X680" i="39"/>
  <c r="X803" i="39"/>
  <c r="X723" i="39"/>
  <c r="X709" i="39" a="1"/>
  <c r="X709" i="39" s="1"/>
  <c r="X702" i="39" a="1"/>
  <c r="X702" i="39" s="1"/>
  <c r="X715" i="39" a="1"/>
  <c r="X715" i="39" s="1"/>
  <c r="X714" i="39" a="1"/>
  <c r="X714" i="39" s="1"/>
  <c r="X716" i="39" a="1"/>
  <c r="X716" i="39" s="1"/>
  <c r="X729" i="39"/>
  <c r="X725" i="39"/>
  <c r="X730" i="39"/>
  <c r="X727" i="39"/>
  <c r="X726" i="39"/>
  <c r="X740" i="39"/>
  <c r="X728" i="39"/>
  <c r="W1265" i="39"/>
  <c r="W1590" i="39"/>
  <c r="U770" i="39"/>
  <c r="U782" i="39" s="1"/>
  <c r="W598" i="39"/>
  <c r="W600" i="39"/>
  <c r="W604" i="39"/>
  <c r="W602" i="39"/>
  <c r="W605" i="39"/>
  <c r="W601" i="39"/>
  <c r="W603" i="39"/>
  <c r="W615" i="39"/>
  <c r="W949" i="39"/>
  <c r="W911" i="39"/>
  <c r="W1356" i="39"/>
  <c r="X1063" i="39"/>
  <c r="W435" i="39"/>
  <c r="W440" i="39"/>
  <c r="W437" i="39"/>
  <c r="W439" i="39"/>
  <c r="W438" i="39"/>
  <c r="W441" i="39"/>
  <c r="W442" i="39"/>
  <c r="W452" i="39"/>
  <c r="W741" i="39"/>
  <c r="W779" i="39"/>
  <c r="W710" i="39" a="1"/>
  <c r="W710" i="39" s="1"/>
  <c r="W707" i="39" s="1"/>
  <c r="Z677" i="39"/>
  <c r="Y679" i="39"/>
  <c r="W1519" i="39"/>
  <c r="V780" i="39"/>
  <c r="V777" i="39" s="1"/>
  <c r="V742" i="39"/>
  <c r="V739" i="39" s="1"/>
  <c r="U732" i="39"/>
  <c r="U744" i="39" s="1"/>
  <c r="W866" i="39"/>
  <c r="W897" i="39"/>
  <c r="W935" i="39"/>
  <c r="W378" i="39"/>
  <c r="W411" i="39"/>
  <c r="W410" i="39" s="1"/>
  <c r="W449" i="39"/>
  <c r="W448" i="39" s="1"/>
  <c r="W747" i="39"/>
  <c r="W785" i="39"/>
  <c r="V381" i="39"/>
  <c r="V374" i="39" s="1"/>
  <c r="V386" i="39" s="1"/>
  <c r="V416" i="39"/>
  <c r="V413" i="39" s="1"/>
  <c r="V454" i="39"/>
  <c r="V451" i="39" s="1"/>
  <c r="W613" i="39"/>
  <c r="W611" i="39" s="1"/>
  <c r="W575" i="39"/>
  <c r="W573" i="39" s="1"/>
  <c r="W909" i="39"/>
  <c r="W947" i="39"/>
  <c r="W257" i="39"/>
  <c r="W295" i="39"/>
  <c r="V1359" i="39"/>
  <c r="Z188" i="39"/>
  <c r="Y190" i="39"/>
  <c r="Y197" i="39" s="1"/>
  <c r="Y217" i="39" s="1" a="1"/>
  <c r="Y217" i="39" s="1"/>
  <c r="V1106" i="39"/>
  <c r="V1103" i="39" s="1"/>
  <c r="V1068" i="39"/>
  <c r="V1065" i="39" s="1"/>
  <c r="V1262" i="39"/>
  <c r="V1260" i="39" s="1"/>
  <c r="V1224" i="39"/>
  <c r="V1222" i="39" s="1"/>
  <c r="X1006" i="39"/>
  <c r="X1101" i="39" s="1"/>
  <c r="X1129" i="39"/>
  <c r="X1049" i="39"/>
  <c r="X1035" i="39" a="1"/>
  <c r="X1035" i="39" s="1"/>
  <c r="X1028" i="39" a="1"/>
  <c r="X1028" i="39" s="1"/>
  <c r="X1040" i="39" a="1"/>
  <c r="X1040" i="39" s="1"/>
  <c r="X1042" i="39" a="1"/>
  <c r="X1042" i="39" s="1"/>
  <c r="X1041" i="39" a="1"/>
  <c r="X1041" i="39" s="1"/>
  <c r="X1055" i="39"/>
  <c r="X1051" i="39"/>
  <c r="X1053" i="39"/>
  <c r="X1066" i="39"/>
  <c r="X1056" i="39"/>
  <c r="X1054" i="39"/>
  <c r="X1052" i="39"/>
  <c r="W746" i="39"/>
  <c r="W784" i="39"/>
  <c r="W910" i="39"/>
  <c r="W948" i="39"/>
  <c r="W1398" i="39"/>
  <c r="W1436" i="39"/>
  <c r="X1495" i="39"/>
  <c r="X1590" i="39" s="1"/>
  <c r="X1618" i="39"/>
  <c r="X1538" i="39"/>
  <c r="X1529" i="39" a="1"/>
  <c r="X1529" i="39" s="1"/>
  <c r="X1517" i="39" a="1"/>
  <c r="X1517" i="39" s="1"/>
  <c r="X1530" i="39" a="1"/>
  <c r="X1530" i="39" s="1"/>
  <c r="X1524" i="39" a="1"/>
  <c r="X1524" i="39" s="1"/>
  <c r="X1531" i="39" a="1"/>
  <c r="X1531" i="39" s="1"/>
  <c r="X1545" i="39"/>
  <c r="X1543" i="39"/>
  <c r="X1541" i="39"/>
  <c r="X1540" i="39"/>
  <c r="X1555" i="39"/>
  <c r="X1544" i="39"/>
  <c r="X1542" i="39"/>
  <c r="X1501" i="39"/>
  <c r="X1521" i="39" s="1" a="1"/>
  <c r="X1521" i="39" s="1"/>
  <c r="X1519" i="39" s="1"/>
  <c r="W1050" i="39"/>
  <c r="W1048" i="39" s="1"/>
  <c r="X191" i="39"/>
  <c r="X314" i="39"/>
  <c r="X234" i="39"/>
  <c r="X225" i="39" a="1"/>
  <c r="X225" i="39" s="1"/>
  <c r="X226" i="39" a="1"/>
  <c r="X226" i="39" s="1"/>
  <c r="X227" i="39" a="1"/>
  <c r="X227" i="39" s="1"/>
  <c r="X220" i="39" a="1"/>
  <c r="X220" i="39" s="1"/>
  <c r="X213" i="39" a="1"/>
  <c r="X213" i="39" s="1"/>
  <c r="X251" i="39"/>
  <c r="X241" i="39"/>
  <c r="X236" i="39"/>
  <c r="X237" i="39"/>
  <c r="X238" i="39"/>
  <c r="X240" i="39"/>
  <c r="X239" i="39"/>
  <c r="W1393" i="39"/>
  <c r="W1431" i="39"/>
  <c r="W1362" i="39" a="1"/>
  <c r="W1362" i="39" s="1"/>
  <c r="V1033" i="39"/>
  <c r="V1026" i="39" s="1"/>
  <c r="V1038" i="39" s="1"/>
  <c r="V617" i="39"/>
  <c r="V614" i="39" s="1"/>
  <c r="V579" i="39"/>
  <c r="V576" i="39" s="1"/>
  <c r="W904" i="39"/>
  <c r="W942" i="39"/>
  <c r="W873" i="39" a="1"/>
  <c r="W873" i="39" s="1"/>
  <c r="V291" i="39"/>
  <c r="V288" i="39" s="1"/>
  <c r="V253" i="39"/>
  <c r="V250" i="39" s="1"/>
  <c r="V1231" i="39"/>
  <c r="V1228" i="39" s="1"/>
  <c r="V1269" i="39"/>
  <c r="V1266" i="39" s="1"/>
  <c r="V1196" i="39"/>
  <c r="V1189" i="39" s="1"/>
  <c r="V1201" i="39" s="1"/>
  <c r="W1437" i="39"/>
  <c r="W1399" i="39"/>
  <c r="Y1494" i="39"/>
  <c r="Z1492" i="39"/>
  <c r="W1111" i="39"/>
  <c r="W1073" i="39"/>
  <c r="Z1003" i="39"/>
  <c r="Y1005" i="39"/>
  <c r="Y1012" i="39" s="1"/>
  <c r="Y1032" i="39" s="1" a="1"/>
  <c r="Y1032" i="39" s="1"/>
  <c r="U1422" i="39"/>
  <c r="U1434" i="39" s="1"/>
  <c r="W722" i="39"/>
  <c r="V923" i="39"/>
  <c r="W247" i="39"/>
  <c r="Z1010" i="39"/>
  <c r="V572" i="39"/>
  <c r="V570" i="39" s="1"/>
  <c r="V610" i="39"/>
  <c r="V608" i="39" s="1"/>
  <c r="W272" i="39"/>
  <c r="W279" i="39"/>
  <c r="W277" i="39"/>
  <c r="W278" i="39"/>
  <c r="W289" i="39"/>
  <c r="W275" i="39"/>
  <c r="W276" i="39"/>
  <c r="W274" i="39"/>
  <c r="W1438" i="39"/>
  <c r="W1400" i="39"/>
  <c r="X1169" i="39"/>
  <c r="X1292" i="39"/>
  <c r="X1212" i="39"/>
  <c r="X1204" i="39" a="1"/>
  <c r="X1204" i="39" s="1"/>
  <c r="X1198" i="39" a="1"/>
  <c r="X1198" i="39" s="1"/>
  <c r="X1191" i="39" a="1"/>
  <c r="X1191" i="39" s="1"/>
  <c r="X1205" i="39" a="1"/>
  <c r="X1205" i="39" s="1"/>
  <c r="X1203" i="39" a="1"/>
  <c r="X1203" i="39" s="1"/>
  <c r="X1215" i="39"/>
  <c r="X1229" i="39"/>
  <c r="X1219" i="39"/>
  <c r="X1216" i="39"/>
  <c r="X1218" i="39"/>
  <c r="X1217" i="39"/>
  <c r="X1214" i="39"/>
  <c r="W1539" i="39"/>
  <c r="W1537" i="39" s="1"/>
  <c r="U1384" i="39"/>
  <c r="U1396" i="39" s="1"/>
  <c r="V1577" i="39"/>
  <c r="V1575" i="39" s="1"/>
  <c r="W1067" i="39"/>
  <c r="W1105" i="39"/>
  <c r="W1036" i="39" a="1"/>
  <c r="W1036" i="39" s="1"/>
  <c r="X1175" i="39"/>
  <c r="X1195" i="39" s="1" a="1"/>
  <c r="X1195" i="39" s="1"/>
  <c r="W286" i="39"/>
  <c r="W285" i="39" s="1"/>
  <c r="W1102" i="39"/>
  <c r="W1100" i="39" s="1"/>
  <c r="X1174" i="39"/>
  <c r="X1194" i="39" s="1" a="1"/>
  <c r="X1194" i="39" s="1"/>
  <c r="X1012" i="39"/>
  <c r="X1032" i="39" s="1" a="1"/>
  <c r="X1032" i="39" s="1"/>
  <c r="X1030" i="39" s="1"/>
  <c r="X843" i="39"/>
  <c r="X966" i="39"/>
  <c r="X886" i="39"/>
  <c r="X877" i="39" a="1"/>
  <c r="X877" i="39" s="1"/>
  <c r="X879" i="39" a="1"/>
  <c r="X879" i="39" s="1"/>
  <c r="X865" i="39" a="1"/>
  <c r="X865" i="39" s="1"/>
  <c r="X872" i="39" a="1"/>
  <c r="X872" i="39" s="1"/>
  <c r="X878" i="39" a="1"/>
  <c r="X878" i="39" s="1"/>
  <c r="X891" i="39"/>
  <c r="X890" i="39"/>
  <c r="X903" i="39"/>
  <c r="X892" i="39"/>
  <c r="X888" i="39"/>
  <c r="X893" i="39"/>
  <c r="X889" i="39"/>
  <c r="X848" i="39"/>
  <c r="X868" i="39" s="1" a="1"/>
  <c r="X868" i="39" s="1"/>
  <c r="V544" i="39"/>
  <c r="V537" i="39" s="1"/>
  <c r="V549" i="39" s="1"/>
  <c r="V218" i="39"/>
  <c r="V211" i="39" s="1"/>
  <c r="V223" i="39" s="1"/>
  <c r="W899" i="39" l="1"/>
  <c r="V1259" i="39"/>
  <c r="V1271" i="39" s="1"/>
  <c r="X249" i="39"/>
  <c r="X247" i="39" s="1"/>
  <c r="X287" i="39"/>
  <c r="X1390" i="39"/>
  <c r="X1388" i="39" s="1"/>
  <c r="V1096" i="39"/>
  <c r="X1539" i="39"/>
  <c r="X1537" i="39" s="1"/>
  <c r="V406" i="39"/>
  <c r="V418" i="39" s="1"/>
  <c r="X704" i="39"/>
  <c r="V895" i="39"/>
  <c r="V907" i="39" s="1"/>
  <c r="X561" i="39"/>
  <c r="V607" i="39"/>
  <c r="V619" i="39" s="1"/>
  <c r="W762" i="39"/>
  <c r="W760" i="39" s="1"/>
  <c r="V1547" i="39"/>
  <c r="V1559" i="39" s="1"/>
  <c r="X736" i="39"/>
  <c r="X1428" i="39"/>
  <c r="W599" i="39"/>
  <c r="W597" i="39" s="1"/>
  <c r="V933" i="39"/>
  <c r="V945" i="39" s="1"/>
  <c r="W1589" i="39"/>
  <c r="X775" i="39"/>
  <c r="W1263" i="39"/>
  <c r="V569" i="39"/>
  <c r="V581" i="39" s="1"/>
  <c r="X235" i="39"/>
  <c r="W700" i="39"/>
  <c r="W712" i="39" s="1"/>
  <c r="V1058" i="39"/>
  <c r="V1070" i="39" s="1"/>
  <c r="V1221" i="39"/>
  <c r="V1233" i="39" s="1"/>
  <c r="Y1337" i="39"/>
  <c r="Y1357" i="39" s="1" a="1"/>
  <c r="Y1357" i="39" s="1"/>
  <c r="Y1389" i="39" s="1"/>
  <c r="W1088" i="39"/>
  <c r="W1086" i="39" s="1"/>
  <c r="Y1390" i="39"/>
  <c r="Y412" i="39"/>
  <c r="Y1064" i="39"/>
  <c r="Y249" i="39"/>
  <c r="X459" i="39"/>
  <c r="X421" i="39"/>
  <c r="X741" i="39"/>
  <c r="X779" i="39"/>
  <c r="X710" i="39" a="1"/>
  <c r="X710" i="39" s="1"/>
  <c r="X1399" i="39"/>
  <c r="X1437" i="39"/>
  <c r="W1251" i="39"/>
  <c r="Y517" i="39"/>
  <c r="Y612" i="39" s="1"/>
  <c r="Y560" i="39"/>
  <c r="Y553" i="39" a="1"/>
  <c r="Y553" i="39" s="1"/>
  <c r="Y551" i="39" a="1"/>
  <c r="Y551" i="39" s="1"/>
  <c r="Y552" i="39" a="1"/>
  <c r="Y552" i="39" s="1"/>
  <c r="Y546" i="39" a="1"/>
  <c r="Y546" i="39" s="1"/>
  <c r="Y539" i="39" a="1"/>
  <c r="Y539" i="39" s="1"/>
  <c r="Y562" i="39"/>
  <c r="Y566" i="39"/>
  <c r="Y565" i="39"/>
  <c r="Y567" i="39"/>
  <c r="Y563" i="39"/>
  <c r="Y564" i="39"/>
  <c r="Y577" i="39"/>
  <c r="Y523" i="39"/>
  <c r="Y543" i="39" s="1" a="1"/>
  <c r="Y543" i="39" s="1"/>
  <c r="X422" i="39"/>
  <c r="X460" i="39"/>
  <c r="W1027" i="39"/>
  <c r="W1099" i="39"/>
  <c r="W1097" i="39" s="1"/>
  <c r="W1061" i="39"/>
  <c r="W1059" i="39" s="1"/>
  <c r="X1105" i="39"/>
  <c r="X1067" i="39"/>
  <c r="X1036" i="39" a="1"/>
  <c r="X1036" i="39" s="1"/>
  <c r="Z516" i="39"/>
  <c r="X598" i="39"/>
  <c r="X601" i="39"/>
  <c r="X603" i="39"/>
  <c r="X605" i="39"/>
  <c r="X600" i="39"/>
  <c r="X602" i="39"/>
  <c r="X615" i="39"/>
  <c r="X604" i="39"/>
  <c r="X1431" i="39"/>
  <c r="X1393" i="39"/>
  <c r="X1362" i="39" a="1"/>
  <c r="X1362" i="39" s="1"/>
  <c r="W375" i="39"/>
  <c r="W409" i="39"/>
  <c r="W407" i="39" s="1"/>
  <c r="W406" i="39" s="1"/>
  <c r="W418" i="39" s="1"/>
  <c r="W447" i="39"/>
  <c r="W445" i="39" s="1"/>
  <c r="W416" i="39"/>
  <c r="W413" i="39" s="1"/>
  <c r="W454" i="39"/>
  <c r="X377" i="39"/>
  <c r="X375" i="39"/>
  <c r="X408" i="39"/>
  <c r="X446" i="39"/>
  <c r="X575" i="39"/>
  <c r="X573" i="39" s="1"/>
  <c r="X613" i="39"/>
  <c r="X703" i="39"/>
  <c r="X734" i="39"/>
  <c r="X772" i="39"/>
  <c r="W1106" i="39"/>
  <c r="W1103" i="39" s="1"/>
  <c r="W1068" i="39"/>
  <c r="W1065" i="39" s="1"/>
  <c r="X1192" i="39"/>
  <c r="X1190" i="39" s="1"/>
  <c r="X1261" i="39"/>
  <c r="X1223" i="39"/>
  <c r="Y1495" i="39"/>
  <c r="Y1618" i="39"/>
  <c r="Y1538" i="39"/>
  <c r="Y1529" i="39" a="1"/>
  <c r="Y1529" i="39" s="1"/>
  <c r="Y1531" i="39" a="1"/>
  <c r="Y1531" i="39" s="1"/>
  <c r="Y1517" i="39" a="1"/>
  <c r="Y1517" i="39" s="1"/>
  <c r="Y1524" i="39" a="1"/>
  <c r="Y1524" i="39" s="1"/>
  <c r="Y1530" i="39" a="1"/>
  <c r="Y1530" i="39" s="1"/>
  <c r="Y1544" i="39"/>
  <c r="Y1542" i="39"/>
  <c r="Y1541" i="39"/>
  <c r="Y1540" i="39"/>
  <c r="Y1539" i="39" s="1"/>
  <c r="Y1555" i="39"/>
  <c r="Y1545" i="39"/>
  <c r="Y1543" i="39"/>
  <c r="Y1501" i="39"/>
  <c r="Y1521" i="39" s="1" a="1"/>
  <c r="Y1521" i="39" s="1"/>
  <c r="X295" i="39"/>
  <c r="X257" i="39"/>
  <c r="X1087" i="39"/>
  <c r="X1091" i="39"/>
  <c r="X1092" i="39"/>
  <c r="X1093" i="39"/>
  <c r="X1104" i="39"/>
  <c r="X1094" i="39"/>
  <c r="X1089" i="39"/>
  <c r="X1090" i="39"/>
  <c r="W1577" i="39"/>
  <c r="W1575" i="39" s="1"/>
  <c r="X1400" i="39"/>
  <c r="X1438" i="39"/>
  <c r="Y196" i="39"/>
  <c r="Y216" i="39" s="1" a="1"/>
  <c r="Y216" i="39" s="1"/>
  <c r="W381" i="39"/>
  <c r="V1108" i="39"/>
  <c r="V1585" i="39"/>
  <c r="V1597" i="39" s="1"/>
  <c r="Z1168" i="39"/>
  <c r="Z1175" i="39" s="1"/>
  <c r="Z1195" i="39" s="1" a="1"/>
  <c r="Z1195" i="39" s="1"/>
  <c r="X297" i="39"/>
  <c r="X259" i="39"/>
  <c r="X1230" i="39"/>
  <c r="X1268" i="39"/>
  <c r="X1199" i="39" a="1"/>
  <c r="X1199" i="39" s="1"/>
  <c r="W1394" i="39"/>
  <c r="W1391" i="39" s="1"/>
  <c r="W1432" i="39"/>
  <c r="W1429" i="39" s="1"/>
  <c r="X761" i="39"/>
  <c r="X763" i="39"/>
  <c r="X764" i="39"/>
  <c r="X765" i="39"/>
  <c r="X768" i="39"/>
  <c r="X778" i="39"/>
  <c r="X767" i="39"/>
  <c r="X766" i="39"/>
  <c r="X1355" i="39"/>
  <c r="X1353" i="39" s="1"/>
  <c r="X1424" i="39"/>
  <c r="X1386" i="39"/>
  <c r="W1588" i="39"/>
  <c r="W1586" i="39" s="1"/>
  <c r="W1550" i="39"/>
  <c r="W1548" i="39" s="1"/>
  <c r="W1557" i="39"/>
  <c r="W1554" i="39" s="1"/>
  <c r="W1595" i="39"/>
  <c r="W1592" i="39" s="1"/>
  <c r="Y1169" i="39"/>
  <c r="Y1265" i="39" s="1"/>
  <c r="Y1292" i="39"/>
  <c r="Y1212" i="39"/>
  <c r="Y1204" i="39" a="1"/>
  <c r="Y1204" i="39" s="1"/>
  <c r="Y1205" i="39" a="1"/>
  <c r="Y1205" i="39" s="1"/>
  <c r="Y1198" i="39" a="1"/>
  <c r="Y1198" i="39" s="1"/>
  <c r="Y1203" i="39" a="1"/>
  <c r="Y1203" i="39" s="1"/>
  <c r="Y1191" i="39" a="1"/>
  <c r="Y1191" i="39" s="1"/>
  <c r="Y1219" i="39"/>
  <c r="Y1217" i="39"/>
  <c r="Y1218" i="39"/>
  <c r="Y1229" i="39"/>
  <c r="Y1214" i="39"/>
  <c r="Y1216" i="39"/>
  <c r="Y1215" i="39"/>
  <c r="X948" i="39"/>
  <c r="X910" i="39"/>
  <c r="X1601" i="39"/>
  <c r="X1563" i="39"/>
  <c r="Y680" i="39"/>
  <c r="Y803" i="39"/>
  <c r="Y723" i="39"/>
  <c r="Y702" i="39" a="1"/>
  <c r="Y702" i="39" s="1"/>
  <c r="Y716" i="39" a="1"/>
  <c r="Y716" i="39" s="1"/>
  <c r="Y715" i="39" a="1"/>
  <c r="Y715" i="39" s="1"/>
  <c r="Y714" i="39" a="1"/>
  <c r="Y714" i="39" s="1"/>
  <c r="Y709" i="39" a="1"/>
  <c r="Y709" i="39" s="1"/>
  <c r="Y730" i="39"/>
  <c r="Y727" i="39"/>
  <c r="Y729" i="39"/>
  <c r="Y728" i="39"/>
  <c r="Y740" i="39"/>
  <c r="Y726" i="39"/>
  <c r="Y725" i="39"/>
  <c r="Y724" i="39" s="1"/>
  <c r="W1249" i="39"/>
  <c r="Y1356" i="39"/>
  <c r="X435" i="39"/>
  <c r="X440" i="39"/>
  <c r="X452" i="39"/>
  <c r="X437" i="39"/>
  <c r="X441" i="39"/>
  <c r="X439" i="39"/>
  <c r="X442" i="39"/>
  <c r="X438" i="39"/>
  <c r="Y1227" i="39"/>
  <c r="Y901" i="39"/>
  <c r="X1594" i="39"/>
  <c r="X1556" i="39"/>
  <c r="X1525" i="39" a="1"/>
  <c r="X1525" i="39" s="1"/>
  <c r="Z679" i="39"/>
  <c r="Z685" i="39" s="1"/>
  <c r="Z705" i="39" s="1" a="1"/>
  <c r="Z705" i="39" s="1"/>
  <c r="X412" i="39"/>
  <c r="X450" i="39"/>
  <c r="X449" i="39"/>
  <c r="X378" i="39"/>
  <c r="X411" i="39"/>
  <c r="W1516" i="39"/>
  <c r="W1515" i="39" s="1"/>
  <c r="W1527" i="39" s="1"/>
  <c r="X286" i="39"/>
  <c r="X285" i="39" s="1"/>
  <c r="X1237" i="39"/>
  <c r="X1275" i="39"/>
  <c r="Z1494" i="39"/>
  <c r="W436" i="39"/>
  <c r="W434" i="39" s="1"/>
  <c r="X911" i="39"/>
  <c r="X949" i="39"/>
  <c r="X1562" i="39"/>
  <c r="X1600" i="39"/>
  <c r="X1413" i="39"/>
  <c r="X1417" i="39"/>
  <c r="X1430" i="39"/>
  <c r="X1416" i="39"/>
  <c r="X1420" i="39"/>
  <c r="X1415" i="39"/>
  <c r="X1419" i="39"/>
  <c r="X1418" i="39"/>
  <c r="W579" i="39"/>
  <c r="W576" i="39" s="1"/>
  <c r="W617" i="39"/>
  <c r="W614" i="39" s="1"/>
  <c r="X398" i="39"/>
  <c r="X396" i="39" s="1"/>
  <c r="X559" i="39"/>
  <c r="Y686" i="39"/>
  <c r="Y706" i="39" s="1" a="1"/>
  <c r="Y706" i="39" s="1"/>
  <c r="X258" i="39"/>
  <c r="X296" i="39"/>
  <c r="X1274" i="39"/>
  <c r="X1236" i="39"/>
  <c r="X1549" i="39"/>
  <c r="X1587" i="39"/>
  <c r="X1518" i="39"/>
  <c r="X1516" i="39" s="1"/>
  <c r="Y191" i="39"/>
  <c r="Y314" i="39"/>
  <c r="Y234" i="39"/>
  <c r="Y213" i="39" a="1"/>
  <c r="Y213" i="39" s="1"/>
  <c r="Y220" i="39" a="1"/>
  <c r="Y220" i="39" s="1"/>
  <c r="Y227" i="39" a="1"/>
  <c r="Y227" i="39" s="1"/>
  <c r="Y226" i="39" a="1"/>
  <c r="Y226" i="39" s="1"/>
  <c r="Y225" i="39" a="1"/>
  <c r="Y225" i="39" s="1"/>
  <c r="Y241" i="39"/>
  <c r="Y240" i="39"/>
  <c r="Y238" i="39"/>
  <c r="Y236" i="39"/>
  <c r="Y239" i="39"/>
  <c r="Y237" i="39"/>
  <c r="Y251" i="39"/>
  <c r="W773" i="39"/>
  <c r="W771" i="39" s="1"/>
  <c r="W735" i="39"/>
  <c r="W733" i="39" s="1"/>
  <c r="W291" i="39"/>
  <c r="W288" i="39" s="1"/>
  <c r="W253" i="39"/>
  <c r="W250" i="39" s="1"/>
  <c r="V1434" i="39"/>
  <c r="W544" i="39"/>
  <c r="W537" i="39" s="1"/>
  <c r="W549" i="39" s="1"/>
  <c r="W937" i="39"/>
  <c r="W1425" i="39"/>
  <c r="W1423" i="39" s="1"/>
  <c r="W1387" i="39"/>
  <c r="W1385" i="39" s="1"/>
  <c r="X290" i="39"/>
  <c r="X252" i="39"/>
  <c r="X221" i="39" a="1"/>
  <c r="X221" i="39" s="1"/>
  <c r="X866" i="39"/>
  <c r="X935" i="39"/>
  <c r="X897" i="39"/>
  <c r="W1359" i="39"/>
  <c r="W1352" i="39" s="1"/>
  <c r="W1364" i="39" s="1"/>
  <c r="X272" i="39"/>
  <c r="X279" i="39"/>
  <c r="X289" i="39"/>
  <c r="X277" i="39"/>
  <c r="X275" i="39"/>
  <c r="X276" i="39"/>
  <c r="X278" i="39"/>
  <c r="X274" i="39"/>
  <c r="X1561" i="39"/>
  <c r="X1599" i="39"/>
  <c r="Z190" i="39"/>
  <c r="Z197" i="39" s="1"/>
  <c r="Z217" i="39" s="1" a="1"/>
  <c r="Z217" i="39" s="1"/>
  <c r="W780" i="39"/>
  <c r="W777" i="39" s="1"/>
  <c r="W742" i="39"/>
  <c r="W739" i="39" s="1"/>
  <c r="W218" i="39"/>
  <c r="W211" i="39" s="1"/>
  <c r="W223" i="39" s="1"/>
  <c r="Y1500" i="39"/>
  <c r="Y1520" i="39" s="1" a="1"/>
  <c r="Y1520" i="39" s="1"/>
  <c r="X1398" i="39"/>
  <c r="X1436" i="39"/>
  <c r="X942" i="39"/>
  <c r="X904" i="39"/>
  <c r="X873" i="39" a="1"/>
  <c r="X873" i="39" s="1"/>
  <c r="X870" i="39" s="1"/>
  <c r="W1033" i="39"/>
  <c r="X909" i="39"/>
  <c r="X947" i="39"/>
  <c r="X1250" i="39"/>
  <c r="X1256" i="39"/>
  <c r="X1257" i="39"/>
  <c r="X1254" i="39"/>
  <c r="X1252" i="39"/>
  <c r="X1255" i="39"/>
  <c r="X1267" i="39"/>
  <c r="X1253" i="39"/>
  <c r="X924" i="39"/>
  <c r="X941" i="39"/>
  <c r="X930" i="39"/>
  <c r="X929" i="39"/>
  <c r="X926" i="39"/>
  <c r="X931" i="39"/>
  <c r="X928" i="39"/>
  <c r="X927" i="39"/>
  <c r="X1213" i="39"/>
  <c r="X1211" i="39" s="1"/>
  <c r="X1050" i="39"/>
  <c r="X1048" i="39" s="1"/>
  <c r="Z1331" i="39"/>
  <c r="Z1338" i="39" s="1"/>
  <c r="Z1358" i="39" s="1" a="1"/>
  <c r="Z1358" i="39" s="1"/>
  <c r="X612" i="39"/>
  <c r="X540" i="39"/>
  <c r="X538" i="39" s="1"/>
  <c r="X609" i="39"/>
  <c r="X571" i="39"/>
  <c r="W1190" i="39"/>
  <c r="W1189" i="39" s="1"/>
  <c r="W1201" i="39" s="1"/>
  <c r="W1262" i="39"/>
  <c r="W1260" i="39" s="1"/>
  <c r="W1224" i="39"/>
  <c r="W1222" i="39" s="1"/>
  <c r="W925" i="39"/>
  <c r="X1273" i="39"/>
  <c r="X1235" i="39"/>
  <c r="X900" i="39"/>
  <c r="X938" i="39"/>
  <c r="X867" i="39"/>
  <c r="X1064" i="39"/>
  <c r="X1062" i="39" s="1"/>
  <c r="X1102" i="39"/>
  <c r="X1100" i="39" s="1"/>
  <c r="W273" i="39"/>
  <c r="W271" i="39" s="1"/>
  <c r="X724" i="39"/>
  <c r="X722" i="39" s="1"/>
  <c r="Y1332" i="39"/>
  <c r="Y1427" i="39" s="1"/>
  <c r="Y1455" i="39"/>
  <c r="Y1375" i="39"/>
  <c r="Y1366" i="39" a="1"/>
  <c r="Y1366" i="39" s="1"/>
  <c r="Y1367" i="39" a="1"/>
  <c r="Y1367" i="39" s="1"/>
  <c r="Y1354" i="39" a="1"/>
  <c r="Y1354" i="39" s="1"/>
  <c r="Y1368" i="39" a="1"/>
  <c r="Y1368" i="39" s="1"/>
  <c r="Y1361" i="39" a="1"/>
  <c r="Y1361" i="39" s="1"/>
  <c r="Y1379" i="39"/>
  <c r="Y1378" i="39"/>
  <c r="Y1380" i="39"/>
  <c r="Y1377" i="39"/>
  <c r="Y1392" i="39"/>
  <c r="Y1381" i="39"/>
  <c r="Y1382" i="39"/>
  <c r="Z522" i="39"/>
  <c r="Z542" i="39" s="1" a="1"/>
  <c r="Z542" i="39" s="1"/>
  <c r="V444" i="39"/>
  <c r="V456" i="39" s="1"/>
  <c r="X578" i="39"/>
  <c r="X616" i="39"/>
  <c r="X547" i="39" a="1"/>
  <c r="X547" i="39" s="1"/>
  <c r="X544" i="39" s="1"/>
  <c r="X899" i="39"/>
  <c r="V732" i="39"/>
  <c r="V744" i="39" s="1"/>
  <c r="Y843" i="39"/>
  <c r="Y966" i="39"/>
  <c r="Y886" i="39"/>
  <c r="Y865" i="39" a="1"/>
  <c r="Y865" i="39" s="1"/>
  <c r="Y877" i="39" a="1"/>
  <c r="Y877" i="39" s="1"/>
  <c r="Y878" i="39" a="1"/>
  <c r="Y878" i="39" s="1"/>
  <c r="Y879" i="39" a="1"/>
  <c r="Y879" i="39" s="1"/>
  <c r="Y872" i="39" a="1"/>
  <c r="Y872" i="39" s="1"/>
  <c r="Y903" i="39"/>
  <c r="Y889" i="39"/>
  <c r="Y891" i="39"/>
  <c r="Y893" i="39"/>
  <c r="Y890" i="39"/>
  <c r="Y888" i="39"/>
  <c r="Y887" i="39" s="1"/>
  <c r="Y892" i="39"/>
  <c r="Y848" i="39"/>
  <c r="Y868" i="39" s="1" a="1"/>
  <c r="Y868" i="39" s="1"/>
  <c r="X776" i="39"/>
  <c r="X774" i="39" s="1"/>
  <c r="X1193" i="39"/>
  <c r="X1226" i="39"/>
  <c r="X1264" i="39"/>
  <c r="Y1006" i="39"/>
  <c r="Y1102" i="39" s="1"/>
  <c r="Y1129" i="39"/>
  <c r="Y1049" i="39"/>
  <c r="Y1041" i="39" a="1"/>
  <c r="Y1041" i="39" s="1"/>
  <c r="Y1035" i="39" a="1"/>
  <c r="Y1035" i="39" s="1"/>
  <c r="Y1042" i="39" a="1"/>
  <c r="Y1042" i="39" s="1"/>
  <c r="Y1028" i="39" a="1"/>
  <c r="Y1028" i="39" s="1"/>
  <c r="Y1040" i="39" a="1"/>
  <c r="Y1040" i="39" s="1"/>
  <c r="Y1056" i="39"/>
  <c r="Y1053" i="39"/>
  <c r="Y1066" i="39"/>
  <c r="Y1051" i="39"/>
  <c r="Y1054" i="39"/>
  <c r="Y1055" i="39"/>
  <c r="Y1052" i="39"/>
  <c r="X233" i="39"/>
  <c r="X1576" i="39"/>
  <c r="X1583" i="39"/>
  <c r="X1581" i="39"/>
  <c r="X1579" i="39"/>
  <c r="X1578" i="39"/>
  <c r="X1577" i="39" s="1"/>
  <c r="X1593" i="39"/>
  <c r="X1582" i="39"/>
  <c r="X1580" i="39"/>
  <c r="X1073" i="39"/>
  <c r="X1111" i="39"/>
  <c r="W936" i="39"/>
  <c r="W934" i="39" s="1"/>
  <c r="W898" i="39"/>
  <c r="W896" i="39" s="1"/>
  <c r="Y574" i="39"/>
  <c r="Y541" i="39"/>
  <c r="X583" i="39"/>
  <c r="X621" i="39"/>
  <c r="X939" i="39"/>
  <c r="V770" i="39"/>
  <c r="V782" i="39" s="1"/>
  <c r="Z842" i="39"/>
  <c r="Z849" i="39" s="1"/>
  <c r="Z869" i="39" s="1" a="1"/>
  <c r="Z869" i="39" s="1"/>
  <c r="X1591" i="39"/>
  <c r="X1589" i="39" s="1"/>
  <c r="X1553" i="39"/>
  <c r="X1551" i="39" s="1"/>
  <c r="X1112" i="39"/>
  <c r="X1074" i="39"/>
  <c r="W864" i="39"/>
  <c r="W451" i="39"/>
  <c r="X748" i="39"/>
  <c r="X786" i="39"/>
  <c r="W246" i="39"/>
  <c r="W244" i="39" s="1"/>
  <c r="W284" i="39"/>
  <c r="W282" i="39" s="1"/>
  <c r="W281" i="39" s="1"/>
  <c r="V1352" i="39"/>
  <c r="V1364" i="39" s="1"/>
  <c r="X584" i="39"/>
  <c r="X622" i="39"/>
  <c r="W1414" i="39"/>
  <c r="W1412" i="39" s="1"/>
  <c r="W923" i="39"/>
  <c r="Z1005" i="39"/>
  <c r="Z1011" i="39" s="1"/>
  <c r="Z1031" i="39" s="1" a="1"/>
  <c r="Z1031" i="39" s="1"/>
  <c r="W905" i="39"/>
  <c r="W902" i="39" s="1"/>
  <c r="W943" i="39"/>
  <c r="W940" i="39" s="1"/>
  <c r="X887" i="39"/>
  <c r="X885" i="39" s="1"/>
  <c r="W870" i="39"/>
  <c r="X1110" i="39"/>
  <c r="X1072" i="39"/>
  <c r="X746" i="39"/>
  <c r="X784" i="39"/>
  <c r="X1376" i="39"/>
  <c r="X1374" i="39" s="1"/>
  <c r="Z353" i="39"/>
  <c r="X420" i="39"/>
  <c r="X458" i="39"/>
  <c r="W570" i="39"/>
  <c r="W569" i="39" s="1"/>
  <c r="W581" i="39" s="1"/>
  <c r="X623" i="39"/>
  <c r="X585" i="39"/>
  <c r="V281" i="39"/>
  <c r="V293" i="39" s="1"/>
  <c r="Z1174" i="39"/>
  <c r="Z1194" i="39" s="1" a="1"/>
  <c r="Z1194" i="39" s="1"/>
  <c r="X1427" i="39"/>
  <c r="X1426" i="39" s="1"/>
  <c r="X1227" i="39"/>
  <c r="X1265" i="39"/>
  <c r="X214" i="39"/>
  <c r="X212" i="39" s="1"/>
  <c r="X283" i="39"/>
  <c r="X245" i="39"/>
  <c r="X1029" i="39"/>
  <c r="X1060" i="39"/>
  <c r="X1098" i="39"/>
  <c r="X747" i="39"/>
  <c r="X785" i="39"/>
  <c r="Y1011" i="39"/>
  <c r="Y1031" i="39" s="1" a="1"/>
  <c r="Y1031" i="39" s="1"/>
  <c r="Y354" i="39"/>
  <c r="Y450" i="39" s="1"/>
  <c r="Y477" i="39"/>
  <c r="Y397" i="39"/>
  <c r="Y383" i="39" a="1"/>
  <c r="Y383" i="39" s="1"/>
  <c r="Y389" i="39" a="1"/>
  <c r="Y389" i="39" s="1"/>
  <c r="Y388" i="39" a="1"/>
  <c r="Y388" i="39" s="1"/>
  <c r="Y390" i="39" a="1"/>
  <c r="Y390" i="39" s="1"/>
  <c r="Y376" i="39" a="1"/>
  <c r="Y376" i="39" s="1"/>
  <c r="Y399" i="39"/>
  <c r="Y401" i="39"/>
  <c r="Y400" i="39"/>
  <c r="Y403" i="39"/>
  <c r="Y414" i="39"/>
  <c r="Y402" i="39"/>
  <c r="Y404" i="39"/>
  <c r="Y359" i="39"/>
  <c r="Y379" i="39" s="1" a="1"/>
  <c r="Y379" i="39" s="1"/>
  <c r="X415" i="39"/>
  <c r="X453" i="39"/>
  <c r="X384" i="39" a="1"/>
  <c r="X384" i="39" s="1"/>
  <c r="W1231" i="39"/>
  <c r="W1228" i="39" s="1"/>
  <c r="W1269" i="39"/>
  <c r="W1266" i="39" s="1"/>
  <c r="W572" i="39"/>
  <c r="W610" i="39"/>
  <c r="W608" i="39" s="1"/>
  <c r="V243" i="39"/>
  <c r="V255" i="39" s="1"/>
  <c r="Y685" i="39"/>
  <c r="Y705" i="39" s="1" a="1"/>
  <c r="Y705" i="39" s="1"/>
  <c r="Y1174" i="39"/>
  <c r="Y1194" i="39" s="1" a="1"/>
  <c r="Y1194" i="39" s="1"/>
  <c r="Y1388" i="39" l="1"/>
  <c r="W607" i="39"/>
  <c r="W1384" i="39"/>
  <c r="W1396" i="39" s="1"/>
  <c r="X1414" i="39"/>
  <c r="X273" i="39"/>
  <c r="Z686" i="39"/>
  <c r="Z706" i="39" s="1" a="1"/>
  <c r="Z706" i="39" s="1"/>
  <c r="Z704" i="39" s="1"/>
  <c r="W374" i="39"/>
  <c r="W386" i="39" s="1"/>
  <c r="W1058" i="39"/>
  <c r="W1070" i="39" s="1"/>
  <c r="X537" i="39"/>
  <c r="X549" i="39" s="1"/>
  <c r="W1422" i="39"/>
  <c r="W1434" i="39" s="1"/>
  <c r="W619" i="39"/>
  <c r="W1547" i="39"/>
  <c r="W1559" i="39" s="1"/>
  <c r="Y1213" i="39"/>
  <c r="W863" i="39"/>
  <c r="W875" i="39" s="1"/>
  <c r="W895" i="39"/>
  <c r="W907" i="39" s="1"/>
  <c r="Y1050" i="39"/>
  <c r="Y1048" i="39" s="1"/>
  <c r="W1585" i="39"/>
  <c r="W1597" i="39" s="1"/>
  <c r="X410" i="39"/>
  <c r="Y398" i="39"/>
  <c r="Y885" i="39"/>
  <c r="Y1537" i="39"/>
  <c r="W1096" i="39"/>
  <c r="Z901" i="39"/>
  <c r="Z737" i="39"/>
  <c r="Z1390" i="39"/>
  <c r="Z249" i="39"/>
  <c r="Y1561" i="39"/>
  <c r="Y1599" i="39"/>
  <c r="Y704" i="39"/>
  <c r="Y775" i="39"/>
  <c r="Y737" i="39"/>
  <c r="X610" i="39"/>
  <c r="X608" i="39" s="1"/>
  <c r="X572" i="39"/>
  <c r="W243" i="39"/>
  <c r="W255" i="39" s="1"/>
  <c r="Y290" i="39"/>
  <c r="Y252" i="39"/>
  <c r="Y221" i="39" a="1"/>
  <c r="Y221" i="39" s="1"/>
  <c r="X1595" i="39"/>
  <c r="X1592" i="39" s="1"/>
  <c r="X1557" i="39"/>
  <c r="X1554" i="39" s="1"/>
  <c r="X436" i="39"/>
  <c r="Y578" i="39"/>
  <c r="Y616" i="39"/>
  <c r="Y547" i="39" a="1"/>
  <c r="Y547" i="39" s="1"/>
  <c r="Y544" i="39" s="1"/>
  <c r="Y540" i="39"/>
  <c r="Y538" i="39" s="1"/>
  <c r="Y571" i="39"/>
  <c r="Y609" i="39"/>
  <c r="X1027" i="39"/>
  <c r="X1099" i="39"/>
  <c r="X1097" i="39" s="1"/>
  <c r="X1061" i="39"/>
  <c r="X1059" i="39" s="1"/>
  <c r="Z1006" i="39"/>
  <c r="Z1129" i="39"/>
  <c r="Z1049" i="39"/>
  <c r="Z1035" i="39" a="1"/>
  <c r="Z1035" i="39" s="1"/>
  <c r="Z1041" i="39" a="1"/>
  <c r="Z1041" i="39" s="1"/>
  <c r="Z1042" i="39" a="1"/>
  <c r="Z1042" i="39" s="1"/>
  <c r="Z1028" i="39" a="1"/>
  <c r="Z1028" i="39" s="1"/>
  <c r="Z1040" i="39" a="1"/>
  <c r="Z1040" i="39" s="1"/>
  <c r="Z1055" i="39"/>
  <c r="Z1066" i="39"/>
  <c r="Z1053" i="39"/>
  <c r="Z1051" i="39"/>
  <c r="Z1056" i="39"/>
  <c r="Z1052" i="39"/>
  <c r="Z1054" i="39"/>
  <c r="Y924" i="39"/>
  <c r="Y927" i="39"/>
  <c r="Y929" i="39"/>
  <c r="Y941" i="39"/>
  <c r="Y931" i="39"/>
  <c r="Y926" i="39"/>
  <c r="Y930" i="39"/>
  <c r="Y928" i="39"/>
  <c r="X611" i="39"/>
  <c r="X898" i="39"/>
  <c r="X896" i="39" s="1"/>
  <c r="X936" i="39"/>
  <c r="X934" i="39" s="1"/>
  <c r="Y214" i="39"/>
  <c r="Y212" i="39" s="1"/>
  <c r="Y283" i="39"/>
  <c r="Y245" i="39"/>
  <c r="X1522" i="39"/>
  <c r="X1515" i="39" s="1"/>
  <c r="X1527" i="39" s="1"/>
  <c r="Y584" i="39"/>
  <c r="Y622" i="39"/>
  <c r="Y297" i="39"/>
  <c r="Y259" i="39"/>
  <c r="Y1393" i="39"/>
  <c r="Y1431" i="39"/>
  <c r="Y1362" i="39" a="1"/>
  <c r="Y1362" i="39" s="1"/>
  <c r="X943" i="39"/>
  <c r="X940" i="39" s="1"/>
  <c r="X905" i="39"/>
  <c r="X902" i="39" s="1"/>
  <c r="W732" i="39"/>
  <c r="W744" i="39" s="1"/>
  <c r="Y779" i="39"/>
  <c r="Y741" i="39"/>
  <c r="Y710" i="39" a="1"/>
  <c r="Y710" i="39" s="1"/>
  <c r="Y215" i="39"/>
  <c r="Y286" i="39"/>
  <c r="Y248" i="39"/>
  <c r="Y247" i="39" s="1"/>
  <c r="Y1576" i="39"/>
  <c r="Y1578" i="39"/>
  <c r="Y1580" i="39"/>
  <c r="Y1582" i="39"/>
  <c r="Y1579" i="39"/>
  <c r="Y1593" i="39"/>
  <c r="Y1583" i="39"/>
  <c r="Y1581" i="39"/>
  <c r="W1026" i="39"/>
  <c r="W1038" i="39" s="1"/>
  <c r="Y621" i="39"/>
  <c r="Y583" i="39"/>
  <c r="Z191" i="39"/>
  <c r="Z314" i="39"/>
  <c r="Z234" i="39"/>
  <c r="Z220" i="39" a="1"/>
  <c r="Z220" i="39" s="1"/>
  <c r="Z227" i="39" a="1"/>
  <c r="Z227" i="39" s="1"/>
  <c r="Z213" i="39" a="1"/>
  <c r="Z213" i="39" s="1"/>
  <c r="Z226" i="39" a="1"/>
  <c r="Z226" i="39" s="1"/>
  <c r="Z225" i="39" a="1"/>
  <c r="Z225" i="39" s="1"/>
  <c r="Z241" i="39"/>
  <c r="Z240" i="39"/>
  <c r="Z236" i="39"/>
  <c r="Z239" i="39"/>
  <c r="Z251" i="39"/>
  <c r="Z237" i="39"/>
  <c r="Z238" i="39"/>
  <c r="X291" i="39"/>
  <c r="X288" i="39" s="1"/>
  <c r="X253" i="39"/>
  <c r="X250" i="39" s="1"/>
  <c r="X434" i="39"/>
  <c r="Y784" i="39"/>
  <c r="Y746" i="39"/>
  <c r="X1269" i="39"/>
  <c r="X1266" i="39" s="1"/>
  <c r="X1231" i="39"/>
  <c r="X1228" i="39" s="1"/>
  <c r="Y1591" i="39"/>
  <c r="Y1553" i="39"/>
  <c r="Y623" i="39"/>
  <c r="Y585" i="39"/>
  <c r="Y1400" i="39"/>
  <c r="Y1438" i="39"/>
  <c r="Z1332" i="39"/>
  <c r="Z1455" i="39"/>
  <c r="Z1375" i="39"/>
  <c r="Z1354" i="39" a="1"/>
  <c r="Z1354" i="39" s="1"/>
  <c r="Z1367" i="39" a="1"/>
  <c r="Z1367" i="39" s="1"/>
  <c r="Z1366" i="39" a="1"/>
  <c r="Z1366" i="39" s="1"/>
  <c r="Z1361" i="39" a="1"/>
  <c r="Z1361" i="39" s="1"/>
  <c r="Z1368" i="39" a="1"/>
  <c r="Z1368" i="39" s="1"/>
  <c r="Z1392" i="39"/>
  <c r="Z1380" i="39"/>
  <c r="Z1378" i="39"/>
  <c r="Z1381" i="39"/>
  <c r="Z1377" i="39"/>
  <c r="Z1379" i="39"/>
  <c r="Z1382" i="39"/>
  <c r="Y408" i="39"/>
  <c r="Y377" i="39"/>
  <c r="Y375" i="39" s="1"/>
  <c r="Y446" i="39"/>
  <c r="Z354" i="39"/>
  <c r="Z477" i="39"/>
  <c r="Z397" i="39"/>
  <c r="Z383" i="39" a="1"/>
  <c r="Z383" i="39" s="1"/>
  <c r="Z388" i="39" a="1"/>
  <c r="Z388" i="39" s="1"/>
  <c r="Z390" i="39" a="1"/>
  <c r="Z390" i="39" s="1"/>
  <c r="Z389" i="39" a="1"/>
  <c r="Z389" i="39" s="1"/>
  <c r="Z376" i="39" a="1"/>
  <c r="Z376" i="39" s="1"/>
  <c r="Z401" i="39"/>
  <c r="Z399" i="39"/>
  <c r="Z414" i="39"/>
  <c r="Z400" i="39"/>
  <c r="Z402" i="39"/>
  <c r="Z403" i="39"/>
  <c r="Z404" i="39"/>
  <c r="Z359" i="39"/>
  <c r="Z379" i="39" s="1" a="1"/>
  <c r="Z379" i="39" s="1"/>
  <c r="X579" i="39"/>
  <c r="X576" i="39" s="1"/>
  <c r="X617" i="39"/>
  <c r="X614" i="39" s="1"/>
  <c r="Y1355" i="39"/>
  <c r="Y1353" i="39" s="1"/>
  <c r="Y1386" i="39"/>
  <c r="Y1424" i="39"/>
  <c r="X1251" i="39"/>
  <c r="X1249" i="39" s="1"/>
  <c r="X218" i="39"/>
  <c r="X211" i="39" s="1"/>
  <c r="X223" i="39" s="1"/>
  <c r="Y272" i="39"/>
  <c r="Y289" i="39"/>
  <c r="Y279" i="39"/>
  <c r="Y278" i="39"/>
  <c r="Y274" i="39"/>
  <c r="Y276" i="39"/>
  <c r="Y277" i="39"/>
  <c r="Y275" i="39"/>
  <c r="X448" i="39"/>
  <c r="Y785" i="39"/>
  <c r="Y747" i="39"/>
  <c r="X1196" i="39"/>
  <c r="X1189" i="39" s="1"/>
  <c r="X1201" i="39" s="1"/>
  <c r="X409" i="39"/>
  <c r="X407" i="39" s="1"/>
  <c r="X447" i="39"/>
  <c r="X445" i="39" s="1"/>
  <c r="X599" i="39"/>
  <c r="X597" i="39" s="1"/>
  <c r="Y1226" i="39"/>
  <c r="Y1264" i="39"/>
  <c r="Y1263" i="39" s="1"/>
  <c r="Y1193" i="39"/>
  <c r="Y460" i="39"/>
  <c r="Y422" i="39"/>
  <c r="X246" i="39"/>
  <c r="X244" i="39" s="1"/>
  <c r="X284" i="39"/>
  <c r="X282" i="39" s="1"/>
  <c r="Y1110" i="39"/>
  <c r="Y1072" i="39"/>
  <c r="Y1437" i="39"/>
  <c r="Y1399" i="39"/>
  <c r="Z1337" i="39"/>
  <c r="Z1357" i="39" s="1" a="1"/>
  <c r="Z1357" i="39" s="1"/>
  <c r="Y786" i="39"/>
  <c r="Y748" i="39"/>
  <c r="Y1192" i="39"/>
  <c r="Y1190" i="39" s="1"/>
  <c r="Y1261" i="39"/>
  <c r="Y1223" i="39"/>
  <c r="Y598" i="39"/>
  <c r="Y601" i="39"/>
  <c r="Y600" i="39"/>
  <c r="Y603" i="39"/>
  <c r="Y605" i="39"/>
  <c r="Y604" i="39"/>
  <c r="Y602" i="39"/>
  <c r="Y615" i="39"/>
  <c r="Y1029" i="39"/>
  <c r="Y1027" i="39"/>
  <c r="Y1060" i="39"/>
  <c r="Y1098" i="39"/>
  <c r="Y1436" i="39"/>
  <c r="Y1398" i="39"/>
  <c r="X1550" i="39"/>
  <c r="X1548" i="39" s="1"/>
  <c r="X1547" i="39" s="1"/>
  <c r="X1559" i="39" s="1"/>
  <c r="X1588" i="39"/>
  <c r="X1586" i="39" s="1"/>
  <c r="X1585" i="39" s="1"/>
  <c r="Y703" i="39"/>
  <c r="Y734" i="39"/>
  <c r="Y772" i="39"/>
  <c r="Y701" i="39"/>
  <c r="Y1273" i="39"/>
  <c r="Y1235" i="39"/>
  <c r="X1224" i="39"/>
  <c r="X1222" i="39" s="1"/>
  <c r="X1262" i="39"/>
  <c r="X1260" i="39" s="1"/>
  <c r="Z1063" i="39"/>
  <c r="Z1101" i="39"/>
  <c r="Y1074" i="39"/>
  <c r="Y1112" i="39"/>
  <c r="Y939" i="39"/>
  <c r="Y722" i="39"/>
  <c r="Y1268" i="39"/>
  <c r="Y1230" i="39"/>
  <c r="Y1199" i="39" a="1"/>
  <c r="Y1199" i="39" s="1"/>
  <c r="X1425" i="39"/>
  <c r="X1423" i="39" s="1"/>
  <c r="X1387" i="39"/>
  <c r="X1385" i="39" s="1"/>
  <c r="Y575" i="39"/>
  <c r="Y573" i="39" s="1"/>
  <c r="Y613" i="39"/>
  <c r="Y611" i="39" s="1"/>
  <c r="Y458" i="39"/>
  <c r="Y420" i="39"/>
  <c r="Y453" i="39"/>
  <c r="Y415" i="39"/>
  <c r="Y384" i="39" a="1"/>
  <c r="Y384" i="39" s="1"/>
  <c r="Y381" i="39" s="1"/>
  <c r="Y1519" i="39"/>
  <c r="Y1552" i="39"/>
  <c r="Y1590" i="39"/>
  <c r="Z1495" i="39"/>
  <c r="Z1618" i="39"/>
  <c r="Z1538" i="39"/>
  <c r="Z1531" i="39" a="1"/>
  <c r="Z1531" i="39" s="1"/>
  <c r="Z1530" i="39" a="1"/>
  <c r="Z1530" i="39" s="1"/>
  <c r="Z1517" i="39" a="1"/>
  <c r="Z1517" i="39" s="1"/>
  <c r="Z1524" i="39" a="1"/>
  <c r="Z1524" i="39" s="1"/>
  <c r="Z1529" i="39" a="1"/>
  <c r="Z1529" i="39" s="1"/>
  <c r="Z1543" i="39"/>
  <c r="Z1545" i="39"/>
  <c r="Z1542" i="39"/>
  <c r="Z1541" i="39"/>
  <c r="Z1555" i="39"/>
  <c r="Z1540" i="39"/>
  <c r="Z1544" i="39"/>
  <c r="Z1501" i="39"/>
  <c r="Z1521" i="39" s="1" a="1"/>
  <c r="Z1521" i="39" s="1"/>
  <c r="Z360" i="39"/>
  <c r="Z380" i="39" s="1" a="1"/>
  <c r="Z380" i="39" s="1"/>
  <c r="Y1275" i="39"/>
  <c r="Y1237" i="39"/>
  <c r="W444" i="39"/>
  <c r="W456" i="39" s="1"/>
  <c r="Y287" i="39"/>
  <c r="X454" i="39"/>
  <c r="X451" i="39" s="1"/>
  <c r="X416" i="39"/>
  <c r="X413" i="39" s="1"/>
  <c r="Z1193" i="39"/>
  <c r="Z1226" i="39"/>
  <c r="Z1225" i="39" s="1"/>
  <c r="W1108" i="39"/>
  <c r="Z574" i="39"/>
  <c r="Y1413" i="39"/>
  <c r="Y1418" i="39"/>
  <c r="Y1415" i="39"/>
  <c r="Y1417" i="39"/>
  <c r="Y1416" i="39"/>
  <c r="Y1419" i="39"/>
  <c r="Y1430" i="39"/>
  <c r="Y1420" i="39"/>
  <c r="Z1500" i="39"/>
  <c r="Z1520" i="39" s="1" a="1"/>
  <c r="Z1520" i="39" s="1"/>
  <c r="X925" i="39"/>
  <c r="X923" i="39" s="1"/>
  <c r="X271" i="39"/>
  <c r="Y235" i="39"/>
  <c r="Y233" i="39" s="1"/>
  <c r="Y761" i="39"/>
  <c r="Y765" i="39"/>
  <c r="Y768" i="39"/>
  <c r="Y767" i="39"/>
  <c r="Y766" i="39"/>
  <c r="Y778" i="39"/>
  <c r="Y764" i="39"/>
  <c r="Y763" i="39"/>
  <c r="Y762" i="39" s="1"/>
  <c r="Y1236" i="39"/>
  <c r="Y1274" i="39"/>
  <c r="Z1169" i="39"/>
  <c r="Z1292" i="39"/>
  <c r="Z1212" i="39"/>
  <c r="Z1204" i="39" a="1"/>
  <c r="Z1204" i="39" s="1"/>
  <c r="Z1191" i="39" a="1"/>
  <c r="Z1191" i="39" s="1"/>
  <c r="Z1205" i="39" a="1"/>
  <c r="Z1205" i="39" s="1"/>
  <c r="Z1198" i="39" a="1"/>
  <c r="Z1198" i="39" s="1"/>
  <c r="Z1203" i="39" a="1"/>
  <c r="Z1203" i="39" s="1"/>
  <c r="Z1215" i="39"/>
  <c r="Z1216" i="39"/>
  <c r="Z1219" i="39"/>
  <c r="Z1214" i="39"/>
  <c r="Z1229" i="39"/>
  <c r="Z1218" i="39"/>
  <c r="Z1217" i="39"/>
  <c r="Z517" i="39"/>
  <c r="Z560" i="39"/>
  <c r="Z552" i="39" a="1"/>
  <c r="Z552" i="39" s="1"/>
  <c r="Z553" i="39" a="1"/>
  <c r="Z553" i="39" s="1"/>
  <c r="Z551" i="39" a="1"/>
  <c r="Z551" i="39" s="1"/>
  <c r="Z546" i="39" a="1"/>
  <c r="Z546" i="39" s="1"/>
  <c r="Z539" i="39" a="1"/>
  <c r="Z539" i="39" s="1"/>
  <c r="Z565" i="39"/>
  <c r="Z567" i="39"/>
  <c r="Z566" i="39"/>
  <c r="Z564" i="39"/>
  <c r="Z563" i="39"/>
  <c r="Z577" i="39"/>
  <c r="Z562" i="39"/>
  <c r="Z523" i="39"/>
  <c r="Z543" i="39" s="1" a="1"/>
  <c r="Z543" i="39" s="1"/>
  <c r="Y421" i="39"/>
  <c r="Y459" i="39"/>
  <c r="Z843" i="39"/>
  <c r="Z966" i="39"/>
  <c r="Z886" i="39"/>
  <c r="Z872" i="39" a="1"/>
  <c r="Z872" i="39" s="1"/>
  <c r="Z879" i="39" a="1"/>
  <c r="Z879" i="39" s="1"/>
  <c r="Z865" i="39" a="1"/>
  <c r="Z865" i="39" s="1"/>
  <c r="Z877" i="39" a="1"/>
  <c r="Z877" i="39" s="1"/>
  <c r="Z878" i="39" a="1"/>
  <c r="Z878" i="39" s="1"/>
  <c r="Z893" i="39"/>
  <c r="Z892" i="39"/>
  <c r="Z888" i="39"/>
  <c r="Z903" i="39"/>
  <c r="Z890" i="39"/>
  <c r="Z889" i="39"/>
  <c r="Z891" i="39"/>
  <c r="Z848" i="39"/>
  <c r="Z868" i="39" s="1" a="1"/>
  <c r="Z868" i="39" s="1"/>
  <c r="Y1105" i="39"/>
  <c r="Y1067" i="39"/>
  <c r="Y1036" i="39" a="1"/>
  <c r="Y1036" i="39" s="1"/>
  <c r="X381" i="39"/>
  <c r="X374" i="39" s="1"/>
  <c r="X386" i="39" s="1"/>
  <c r="Y396" i="39"/>
  <c r="Y1111" i="39"/>
  <c r="Y1073" i="39"/>
  <c r="X937" i="39"/>
  <c r="Y904" i="39"/>
  <c r="Y942" i="39"/>
  <c r="Y873" i="39" a="1"/>
  <c r="Y873" i="39" s="1"/>
  <c r="W1221" i="39"/>
  <c r="W1233" i="39" s="1"/>
  <c r="Y1211" i="39"/>
  <c r="X1088" i="39"/>
  <c r="X1086" i="39" s="1"/>
  <c r="Y938" i="39"/>
  <c r="Y937" i="39" s="1"/>
  <c r="Y867" i="39"/>
  <c r="Y900" i="39"/>
  <c r="Y899" i="39" s="1"/>
  <c r="Y435" i="39"/>
  <c r="Y438" i="39"/>
  <c r="Y437" i="39"/>
  <c r="Y436" i="39" s="1"/>
  <c r="Y442" i="39"/>
  <c r="Y441" i="39"/>
  <c r="Y439" i="39"/>
  <c r="Y452" i="39"/>
  <c r="Y440" i="39"/>
  <c r="W293" i="39"/>
  <c r="Y949" i="39"/>
  <c r="Y911" i="39"/>
  <c r="W1259" i="39"/>
  <c r="W1271" i="39" s="1"/>
  <c r="Z1012" i="39"/>
  <c r="Z1032" i="39" s="1" a="1"/>
  <c r="Z1032" i="39" s="1"/>
  <c r="Z1030" i="39" s="1"/>
  <c r="Y1225" i="39"/>
  <c r="Y1600" i="39"/>
  <c r="Y1562" i="39"/>
  <c r="Z196" i="39"/>
  <c r="Z216" i="39" s="1" a="1"/>
  <c r="Z216" i="39" s="1"/>
  <c r="X742" i="39"/>
  <c r="X739" i="39" s="1"/>
  <c r="X780" i="39"/>
  <c r="X777" i="39" s="1"/>
  <c r="Y1030" i="39"/>
  <c r="Y1063" i="39"/>
  <c r="Y1062" i="39" s="1"/>
  <c r="Y1101" i="39"/>
  <c r="Y1100" i="39" s="1"/>
  <c r="X1575" i="39"/>
  <c r="Y1087" i="39"/>
  <c r="Y1092" i="39"/>
  <c r="Y1090" i="39"/>
  <c r="Y1094" i="39"/>
  <c r="Y1091" i="39"/>
  <c r="Y1104" i="39"/>
  <c r="Y1093" i="39"/>
  <c r="Y1089" i="39"/>
  <c r="Y910" i="39"/>
  <c r="Y948" i="39"/>
  <c r="Y1250" i="39"/>
  <c r="Y1253" i="39"/>
  <c r="Y1255" i="39"/>
  <c r="Y1256" i="39"/>
  <c r="Y1257" i="39"/>
  <c r="Y1252" i="39"/>
  <c r="Y1251" i="39" s="1"/>
  <c r="Y1254" i="39"/>
  <c r="Y1267" i="39"/>
  <c r="Y1556" i="39"/>
  <c r="Y1594" i="39"/>
  <c r="Y1525" i="39" a="1"/>
  <c r="Y1525" i="39" s="1"/>
  <c r="X1106" i="39"/>
  <c r="X1103" i="39" s="1"/>
  <c r="X1068" i="39"/>
  <c r="X1065" i="39" s="1"/>
  <c r="X707" i="39"/>
  <c r="Y776" i="39"/>
  <c r="Y738" i="39"/>
  <c r="W933" i="39"/>
  <c r="W945" i="39" s="1"/>
  <c r="Y909" i="39"/>
  <c r="Y947" i="39"/>
  <c r="W770" i="39"/>
  <c r="W782" i="39" s="1"/>
  <c r="Y257" i="39"/>
  <c r="Y295" i="39"/>
  <c r="X1412" i="39"/>
  <c r="Z1227" i="39"/>
  <c r="Y1518" i="39"/>
  <c r="Y1549" i="39"/>
  <c r="Y1587" i="39"/>
  <c r="X701" i="39"/>
  <c r="X773" i="39"/>
  <c r="X771" i="39" s="1"/>
  <c r="X735" i="39"/>
  <c r="X733" i="39" s="1"/>
  <c r="X1394" i="39"/>
  <c r="X1391" i="39" s="1"/>
  <c r="X1432" i="39"/>
  <c r="X1429" i="39" s="1"/>
  <c r="X1033" i="39"/>
  <c r="Y1428" i="39"/>
  <c r="Y1426" i="39" s="1"/>
  <c r="Y378" i="39"/>
  <c r="Y411" i="39"/>
  <c r="Y410" i="39" s="1"/>
  <c r="Y449" i="39"/>
  <c r="Y448" i="39" s="1"/>
  <c r="X1263" i="39"/>
  <c r="Z738" i="39"/>
  <c r="X1225" i="39"/>
  <c r="Y866" i="39"/>
  <c r="Y897" i="39"/>
  <c r="Y935" i="39"/>
  <c r="Y1376" i="39"/>
  <c r="Y1374" i="39" s="1"/>
  <c r="X570" i="39"/>
  <c r="X569" i="39" s="1"/>
  <c r="X581" i="39" s="1"/>
  <c r="X864" i="39"/>
  <c r="X863" i="39" s="1"/>
  <c r="X875" i="39" s="1"/>
  <c r="Y296" i="39"/>
  <c r="Y258" i="39"/>
  <c r="Z680" i="39"/>
  <c r="Z775" i="39" s="1"/>
  <c r="Z803" i="39"/>
  <c r="Z723" i="39"/>
  <c r="Z702" i="39" a="1"/>
  <c r="Z702" i="39" s="1"/>
  <c r="Z715" i="39" a="1"/>
  <c r="Z715" i="39" s="1"/>
  <c r="Z714" i="39" a="1"/>
  <c r="Z714" i="39" s="1"/>
  <c r="Z716" i="39" a="1"/>
  <c r="Z716" i="39" s="1"/>
  <c r="Z709" i="39" a="1"/>
  <c r="Z709" i="39" s="1"/>
  <c r="Z740" i="39"/>
  <c r="Z727" i="39"/>
  <c r="Z726" i="39"/>
  <c r="Z729" i="39"/>
  <c r="Z725" i="39"/>
  <c r="Z724" i="39" s="1"/>
  <c r="Z730" i="39"/>
  <c r="Z728" i="39"/>
  <c r="X762" i="39"/>
  <c r="X760" i="39" s="1"/>
  <c r="Y1563" i="39"/>
  <c r="Y1601" i="39"/>
  <c r="X1359" i="39"/>
  <c r="X1352" i="39" s="1"/>
  <c r="X1364" i="39" s="1"/>
  <c r="Y561" i="39"/>
  <c r="Y559" i="39" s="1"/>
  <c r="Z398" i="39" l="1"/>
  <c r="X1259" i="39"/>
  <c r="Y599" i="39"/>
  <c r="Z235" i="39"/>
  <c r="Y925" i="39"/>
  <c r="Z396" i="39"/>
  <c r="X1058" i="39"/>
  <c r="X1070" i="39" s="1"/>
  <c r="Y1249" i="39"/>
  <c r="Y374" i="39"/>
  <c r="Y386" i="39" s="1"/>
  <c r="Z561" i="39"/>
  <c r="Z559" i="39" s="1"/>
  <c r="Y1551" i="39"/>
  <c r="X243" i="39"/>
  <c r="X255" i="39" s="1"/>
  <c r="Z1050" i="39"/>
  <c r="Z1048" i="39" s="1"/>
  <c r="Y1088" i="39"/>
  <c r="Y1086" i="39" s="1"/>
  <c r="Z1213" i="39"/>
  <c r="X933" i="39"/>
  <c r="X945" i="39" s="1"/>
  <c r="X895" i="39"/>
  <c r="X907" i="39" s="1"/>
  <c r="Z584" i="39"/>
  <c r="Z622" i="39"/>
  <c r="Z422" i="39"/>
  <c r="Z460" i="39"/>
  <c r="Z1105" i="39"/>
  <c r="Z1067" i="39"/>
  <c r="Z1036" i="39" a="1"/>
  <c r="Z1036" i="39" s="1"/>
  <c r="Z748" i="39"/>
  <c r="Z786" i="39"/>
  <c r="Z420" i="39"/>
  <c r="Z458" i="39"/>
  <c r="Z1438" i="39"/>
  <c r="Z1400" i="39"/>
  <c r="Z257" i="39"/>
  <c r="Z295" i="39"/>
  <c r="Y1106" i="39"/>
  <c r="Y1103" i="39" s="1"/>
  <c r="Y1068" i="39"/>
  <c r="Y1065" i="39" s="1"/>
  <c r="Z415" i="39"/>
  <c r="Z453" i="39"/>
  <c r="Z384" i="39" a="1"/>
  <c r="Z384" i="39" s="1"/>
  <c r="Z1393" i="39"/>
  <c r="Z1431" i="39"/>
  <c r="Z1362" i="39" a="1"/>
  <c r="Z1362" i="39" s="1"/>
  <c r="Z296" i="39"/>
  <c r="Z258" i="39"/>
  <c r="Z867" i="39"/>
  <c r="Z938" i="39"/>
  <c r="Z900" i="39"/>
  <c r="Z899" i="39" s="1"/>
  <c r="X770" i="39"/>
  <c r="X782" i="39" s="1"/>
  <c r="Z1398" i="39"/>
  <c r="Z1436" i="39"/>
  <c r="Z245" i="39"/>
  <c r="Z214" i="39"/>
  <c r="Z212" i="39" s="1"/>
  <c r="Z283" i="39"/>
  <c r="Z1087" i="39"/>
  <c r="Z1089" i="39"/>
  <c r="Z1104" i="39"/>
  <c r="Z1093" i="39"/>
  <c r="Z1094" i="39"/>
  <c r="Z1091" i="39"/>
  <c r="Z1090" i="39"/>
  <c r="Z1092" i="39"/>
  <c r="Z942" i="39"/>
  <c r="Z904" i="39"/>
  <c r="Z873" i="39" a="1"/>
  <c r="Z873" i="39" s="1"/>
  <c r="Z747" i="39"/>
  <c r="Z785" i="39"/>
  <c r="Z1399" i="39"/>
  <c r="Z1437" i="39"/>
  <c r="Z297" i="39"/>
  <c r="Z259" i="39"/>
  <c r="Y1577" i="39"/>
  <c r="Y1575" i="39" s="1"/>
  <c r="Y736" i="39"/>
  <c r="Y1595" i="39"/>
  <c r="Y1592" i="39" s="1"/>
  <c r="Y1557" i="39"/>
  <c r="Y1554" i="39" s="1"/>
  <c r="Z215" i="39"/>
  <c r="Z248" i="39"/>
  <c r="Z247" i="39" s="1"/>
  <c r="Z286" i="39"/>
  <c r="Z598" i="39"/>
  <c r="Z603" i="39"/>
  <c r="Z605" i="39"/>
  <c r="Z604" i="39"/>
  <c r="Z615" i="39"/>
  <c r="Z602" i="39"/>
  <c r="Z601" i="39"/>
  <c r="Z600" i="39"/>
  <c r="Y597" i="39"/>
  <c r="Z290" i="39"/>
  <c r="Z252" i="39"/>
  <c r="Z221" i="39" a="1"/>
  <c r="Z221" i="39" s="1"/>
  <c r="Y1432" i="39"/>
  <c r="Y1429" i="39" s="1"/>
  <c r="Y1394" i="39"/>
  <c r="Y1391" i="39" s="1"/>
  <c r="X1096" i="39"/>
  <c r="X1108" i="39" s="1"/>
  <c r="Y774" i="39"/>
  <c r="Z746" i="39"/>
  <c r="Z784" i="39"/>
  <c r="X732" i="39"/>
  <c r="X744" i="39" s="1"/>
  <c r="Z1594" i="39"/>
  <c r="Z1556" i="39"/>
  <c r="Z1525" i="39" a="1"/>
  <c r="Z1525" i="39" s="1"/>
  <c r="X281" i="39"/>
  <c r="X293" i="39" s="1"/>
  <c r="Z722" i="39"/>
  <c r="Z1562" i="39"/>
  <c r="Z1600" i="39"/>
  <c r="X1597" i="39"/>
  <c r="Y273" i="39"/>
  <c r="Z378" i="39"/>
  <c r="Z411" i="39"/>
  <c r="Z449" i="39"/>
  <c r="Z233" i="39"/>
  <c r="Y1359" i="39"/>
  <c r="Y1352" i="39" s="1"/>
  <c r="Y1364" i="39" s="1"/>
  <c r="X1026" i="39"/>
  <c r="X1038" i="39" s="1"/>
  <c r="Z736" i="39"/>
  <c r="Z585" i="39"/>
  <c r="Z623" i="39"/>
  <c r="Z1599" i="39"/>
  <c r="Z1561" i="39"/>
  <c r="Y735" i="39"/>
  <c r="Y733" i="39" s="1"/>
  <c r="Y773" i="39"/>
  <c r="Y771" i="39" s="1"/>
  <c r="Y864" i="39"/>
  <c r="Y898" i="39"/>
  <c r="Y896" i="39" s="1"/>
  <c r="Y936" i="39"/>
  <c r="Y934" i="39" s="1"/>
  <c r="Z1563" i="39"/>
  <c r="Z1601" i="39"/>
  <c r="Y285" i="39"/>
  <c r="Z1519" i="39"/>
  <c r="Z1590" i="39"/>
  <c r="Z1552" i="39"/>
  <c r="Z703" i="39"/>
  <c r="Z701" i="39" s="1"/>
  <c r="Z772" i="39"/>
  <c r="Z734" i="39"/>
  <c r="Z1518" i="39"/>
  <c r="Z1549" i="39"/>
  <c r="Z1587" i="39"/>
  <c r="Z435" i="39"/>
  <c r="Z438" i="39"/>
  <c r="Z439" i="39"/>
  <c r="Z437" i="39"/>
  <c r="Z452" i="39"/>
  <c r="Z441" i="39"/>
  <c r="Z440" i="39"/>
  <c r="Z442" i="39"/>
  <c r="Z1211" i="39"/>
  <c r="Z761" i="39"/>
  <c r="Z765" i="39"/>
  <c r="Z778" i="39"/>
  <c r="Z764" i="39"/>
  <c r="Z767" i="39"/>
  <c r="Z763" i="39"/>
  <c r="Z766" i="39"/>
  <c r="Z768" i="39"/>
  <c r="Z776" i="39"/>
  <c r="Z774" i="39" s="1"/>
  <c r="Y1516" i="39"/>
  <c r="Y1588" i="39"/>
  <c r="Y1586" i="39" s="1"/>
  <c r="Y1550" i="39"/>
  <c r="Y1548" i="39" s="1"/>
  <c r="Y1547" i="39" s="1"/>
  <c r="Y1559" i="39" s="1"/>
  <c r="Y434" i="39"/>
  <c r="Z887" i="39"/>
  <c r="Z885" i="39" s="1"/>
  <c r="Y1414" i="39"/>
  <c r="Y1412" i="39" s="1"/>
  <c r="Y447" i="39"/>
  <c r="Y445" i="39" s="1"/>
  <c r="Y409" i="39"/>
  <c r="Y407" i="39" s="1"/>
  <c r="Z1413" i="39"/>
  <c r="Z1430" i="39"/>
  <c r="Z1416" i="39"/>
  <c r="Z1419" i="39"/>
  <c r="Z1415" i="39"/>
  <c r="Z1417" i="39"/>
  <c r="Z1418" i="39"/>
  <c r="Z1420" i="39"/>
  <c r="Z272" i="39"/>
  <c r="Z277" i="39"/>
  <c r="Z279" i="39"/>
  <c r="Z278" i="39"/>
  <c r="Z274" i="39"/>
  <c r="Z289" i="39"/>
  <c r="Z276" i="39"/>
  <c r="Z275" i="39"/>
  <c r="Y246" i="39"/>
  <c r="Y244" i="39" s="1"/>
  <c r="Y284" i="39"/>
  <c r="Y282" i="39" s="1"/>
  <c r="Y291" i="39"/>
  <c r="Y288" i="39" s="1"/>
  <c r="Y253" i="39"/>
  <c r="Y250" i="39" s="1"/>
  <c r="Z924" i="39"/>
  <c r="Z928" i="39"/>
  <c r="Z931" i="39"/>
  <c r="Z930" i="39"/>
  <c r="Z926" i="39"/>
  <c r="Z929" i="39"/>
  <c r="Z941" i="39"/>
  <c r="Z927" i="39"/>
  <c r="Z1250" i="39"/>
  <c r="Z1253" i="39"/>
  <c r="Z1254" i="39"/>
  <c r="Z1255" i="39"/>
  <c r="Z1257" i="39"/>
  <c r="Z1252" i="39"/>
  <c r="Z1267" i="39"/>
  <c r="Z1256" i="39"/>
  <c r="Y1387" i="39"/>
  <c r="Y1385" i="39" s="1"/>
  <c r="Y1425" i="39"/>
  <c r="Y1423" i="39" s="1"/>
  <c r="Z613" i="39"/>
  <c r="Z575" i="39"/>
  <c r="Z573" i="39" s="1"/>
  <c r="Z1386" i="39"/>
  <c r="Z1355" i="39"/>
  <c r="Z1353" i="39" s="1"/>
  <c r="Z1424" i="39"/>
  <c r="Z1265" i="39"/>
  <c r="X700" i="39"/>
  <c r="X712" i="39" s="1"/>
  <c r="Y1224" i="39"/>
  <c r="Y1222" i="39" s="1"/>
  <c r="Y1262" i="39"/>
  <c r="Y1260" i="39" s="1"/>
  <c r="X607" i="39"/>
  <c r="X619" i="39" s="1"/>
  <c r="Y742" i="39"/>
  <c r="Y739" i="39" s="1"/>
  <c r="Y780" i="39"/>
  <c r="Y777" i="39" s="1"/>
  <c r="Y537" i="39"/>
  <c r="Y549" i="39" s="1"/>
  <c r="Y218" i="39"/>
  <c r="Y211" i="39" s="1"/>
  <c r="Y223" i="39" s="1"/>
  <c r="Z779" i="39"/>
  <c r="Z741" i="39"/>
  <c r="Z710" i="39" a="1"/>
  <c r="Z710" i="39" s="1"/>
  <c r="Y943" i="39"/>
  <c r="Y940" i="39" s="1"/>
  <c r="Y905" i="39"/>
  <c r="Y902" i="39" s="1"/>
  <c r="Z948" i="39"/>
  <c r="Z910" i="39"/>
  <c r="Z1235" i="39"/>
  <c r="Z1273" i="39"/>
  <c r="Z612" i="39"/>
  <c r="Z412" i="39"/>
  <c r="Z450" i="39"/>
  <c r="Z1576" i="39"/>
  <c r="Z1578" i="39"/>
  <c r="Z1580" i="39"/>
  <c r="Z1581" i="39"/>
  <c r="Z1583" i="39"/>
  <c r="Z1579" i="39"/>
  <c r="Z1593" i="39"/>
  <c r="Z1582" i="39"/>
  <c r="X1384" i="39"/>
  <c r="X1396" i="39" s="1"/>
  <c r="Y271" i="39"/>
  <c r="Y707" i="39"/>
  <c r="Y700" i="39" s="1"/>
  <c r="Y712" i="39" s="1"/>
  <c r="Z287" i="39"/>
  <c r="Z939" i="39"/>
  <c r="Z621" i="39"/>
  <c r="Z583" i="39"/>
  <c r="Y1522" i="39"/>
  <c r="Y1033" i="39"/>
  <c r="Y1026" i="39" s="1"/>
  <c r="Y1038" i="39" s="1"/>
  <c r="Z1064" i="39"/>
  <c r="Z1062" i="39" s="1"/>
  <c r="Z1102" i="39"/>
  <c r="Z1100" i="39" s="1"/>
  <c r="Y870" i="39"/>
  <c r="Z947" i="39"/>
  <c r="Z909" i="39"/>
  <c r="Z1230" i="39"/>
  <c r="Z1268" i="39"/>
  <c r="Z1199" i="39" a="1"/>
  <c r="Z1199" i="39" s="1"/>
  <c r="Y760" i="39"/>
  <c r="Z1591" i="39"/>
  <c r="Z1553" i="39"/>
  <c r="Y1589" i="39"/>
  <c r="X1422" i="39"/>
  <c r="X1434" i="39" s="1"/>
  <c r="Z540" i="39"/>
  <c r="Z609" i="39"/>
  <c r="Z571" i="39"/>
  <c r="Z1237" i="39"/>
  <c r="Z1275" i="39"/>
  <c r="Z541" i="39"/>
  <c r="Y1269" i="39"/>
  <c r="Y1266" i="39" s="1"/>
  <c r="Y1231" i="39"/>
  <c r="Y1228" i="39" s="1"/>
  <c r="X1271" i="39"/>
  <c r="Z1356" i="39"/>
  <c r="Z1389" i="39"/>
  <c r="Z1388" i="39" s="1"/>
  <c r="Z1427" i="39"/>
  <c r="Z1376" i="39"/>
  <c r="Z1374" i="39" s="1"/>
  <c r="Z1110" i="39"/>
  <c r="Z1072" i="39"/>
  <c r="Y610" i="39"/>
  <c r="Y608" i="39" s="1"/>
  <c r="Y572" i="39"/>
  <c r="Y570" i="39" s="1"/>
  <c r="Z935" i="39"/>
  <c r="Z897" i="39"/>
  <c r="Z866" i="39"/>
  <c r="Z864" i="39" s="1"/>
  <c r="Z911" i="39"/>
  <c r="Z949" i="39"/>
  <c r="Z578" i="39"/>
  <c r="Z616" i="39"/>
  <c r="Z547" i="39" a="1"/>
  <c r="Z547" i="39" s="1"/>
  <c r="Z1223" i="39"/>
  <c r="Z1261" i="39"/>
  <c r="Z1192" i="39"/>
  <c r="Z1539" i="39"/>
  <c r="Z1537" i="39" s="1"/>
  <c r="Y1196" i="39"/>
  <c r="Y1189" i="39" s="1"/>
  <c r="Y1201" i="39" s="1"/>
  <c r="X1221" i="39"/>
  <c r="X1233" i="39" s="1"/>
  <c r="Y1099" i="39"/>
  <c r="Y1097" i="39" s="1"/>
  <c r="Y1061" i="39"/>
  <c r="Y1059" i="39" s="1"/>
  <c r="Y1058" i="39" s="1"/>
  <c r="Y1070" i="39" s="1"/>
  <c r="X444" i="39"/>
  <c r="X456" i="39" s="1"/>
  <c r="Z1060" i="39"/>
  <c r="Z1098" i="39"/>
  <c r="Z1029" i="39"/>
  <c r="Z1274" i="39"/>
  <c r="Z1236" i="39"/>
  <c r="Z1264" i="39"/>
  <c r="X406" i="39"/>
  <c r="X418" i="39" s="1"/>
  <c r="Z408" i="39"/>
  <c r="Z446" i="39"/>
  <c r="Z377" i="39"/>
  <c r="Z375" i="39" s="1"/>
  <c r="Y923" i="39"/>
  <c r="Z1112" i="39"/>
  <c r="Z1074" i="39"/>
  <c r="Y454" i="39"/>
  <c r="Y451" i="39" s="1"/>
  <c r="Y416" i="39"/>
  <c r="Y413" i="39" s="1"/>
  <c r="Z459" i="39"/>
  <c r="Z421" i="39"/>
  <c r="Z1111" i="39"/>
  <c r="Z1073" i="39"/>
  <c r="Y579" i="39"/>
  <c r="Y576" i="39" s="1"/>
  <c r="Y617" i="39"/>
  <c r="Y614" i="39" s="1"/>
  <c r="Z1428" i="39"/>
  <c r="Y1384" i="39" l="1"/>
  <c r="Y1396" i="39" s="1"/>
  <c r="Z436" i="39"/>
  <c r="Y1259" i="39"/>
  <c r="Y1271" i="39" s="1"/>
  <c r="Y1515" i="39"/>
  <c r="Y1527" i="39" s="1"/>
  <c r="Z611" i="39"/>
  <c r="Y1221" i="39"/>
  <c r="Y1233" i="39" s="1"/>
  <c r="Y895" i="39"/>
  <c r="Y907" i="39" s="1"/>
  <c r="Z448" i="39"/>
  <c r="Y607" i="39"/>
  <c r="Y619" i="39" s="1"/>
  <c r="Z1263" i="39"/>
  <c r="Z273" i="39"/>
  <c r="Z925" i="39"/>
  <c r="Z1551" i="39"/>
  <c r="Z1589" i="39"/>
  <c r="Y569" i="39"/>
  <c r="Y581" i="39" s="1"/>
  <c r="Y1585" i="39"/>
  <c r="Y1597" i="39" s="1"/>
  <c r="Z1251" i="39"/>
  <c r="Y243" i="39"/>
  <c r="Y255" i="39" s="1"/>
  <c r="Y281" i="39"/>
  <c r="Y1096" i="39"/>
  <c r="Y1108" i="39" s="1"/>
  <c r="Z762" i="39"/>
  <c r="Z1432" i="39"/>
  <c r="Z1429" i="39" s="1"/>
  <c r="Z1394" i="39"/>
  <c r="Z1391" i="39" s="1"/>
  <c r="Z1359" i="39"/>
  <c r="Z1352" i="39" s="1"/>
  <c r="Z1364" i="39" s="1"/>
  <c r="Y293" i="39"/>
  <c r="Z1414" i="39"/>
  <c r="Z1412" i="39" s="1"/>
  <c r="Y933" i="39"/>
  <c r="Y945" i="39" s="1"/>
  <c r="Z416" i="39"/>
  <c r="Z413" i="39" s="1"/>
  <c r="Z454" i="39"/>
  <c r="Z451" i="39" s="1"/>
  <c r="Z1068" i="39"/>
  <c r="Z1065" i="39" s="1"/>
  <c r="Z1106" i="39"/>
  <c r="Z1103" i="39" s="1"/>
  <c r="Y863" i="39"/>
  <c r="Y875" i="39" s="1"/>
  <c r="Z381" i="39"/>
  <c r="Z374" i="39" s="1"/>
  <c r="Z386" i="39" s="1"/>
  <c r="Z1033" i="39"/>
  <c r="Z285" i="39"/>
  <c r="Z1262" i="39"/>
  <c r="Z1260" i="39" s="1"/>
  <c r="Z1224" i="39"/>
  <c r="Z1222" i="39" s="1"/>
  <c r="Z1249" i="39"/>
  <c r="Y770" i="39"/>
  <c r="Y782" i="39" s="1"/>
  <c r="Z1099" i="39"/>
  <c r="Z1097" i="39" s="1"/>
  <c r="Z1061" i="39"/>
  <c r="Z1059" i="39" s="1"/>
  <c r="Y732" i="39"/>
  <c r="Y744" i="39" s="1"/>
  <c r="Z253" i="39"/>
  <c r="Z250" i="39" s="1"/>
  <c r="Z291" i="39"/>
  <c r="Z288" i="39" s="1"/>
  <c r="Z1027" i="39"/>
  <c r="Z1190" i="39"/>
  <c r="Z1387" i="39"/>
  <c r="Z1385" i="39" s="1"/>
  <c r="Z1425" i="39"/>
  <c r="Z1423" i="39" s="1"/>
  <c r="Y406" i="39"/>
  <c r="Y418" i="39" s="1"/>
  <c r="Z434" i="39"/>
  <c r="Z410" i="39"/>
  <c r="Z218" i="39"/>
  <c r="Z1088" i="39"/>
  <c r="Z1086" i="39" s="1"/>
  <c r="Z937" i="39"/>
  <c r="Y444" i="39"/>
  <c r="Y456" i="39" s="1"/>
  <c r="Z617" i="39"/>
  <c r="Z614" i="39" s="1"/>
  <c r="Z579" i="39"/>
  <c r="Z576" i="39" s="1"/>
  <c r="Z1595" i="39"/>
  <c r="Z1592" i="39" s="1"/>
  <c r="Z1557" i="39"/>
  <c r="Z1554" i="39" s="1"/>
  <c r="Z936" i="39"/>
  <c r="Z934" i="39" s="1"/>
  <c r="Z898" i="39"/>
  <c r="Z896" i="39" s="1"/>
  <c r="Z1231" i="39"/>
  <c r="Z1228" i="39" s="1"/>
  <c r="Z1269" i="39"/>
  <c r="Z1266" i="39" s="1"/>
  <c r="Z1516" i="39"/>
  <c r="Z1550" i="39"/>
  <c r="Z1588" i="39"/>
  <c r="Z1586" i="39" s="1"/>
  <c r="Z1522" i="39"/>
  <c r="Z1515" i="39" s="1"/>
  <c r="Z1527" i="39" s="1"/>
  <c r="Z1548" i="39"/>
  <c r="Z780" i="39"/>
  <c r="Z777" i="39" s="1"/>
  <c r="Z742" i="39"/>
  <c r="Z739" i="39" s="1"/>
  <c r="Y1422" i="39"/>
  <c r="Y1434" i="39" s="1"/>
  <c r="Z211" i="39"/>
  <c r="Z223" i="39" s="1"/>
  <c r="Z544" i="39"/>
  <c r="Z1196" i="39"/>
  <c r="Z1426" i="39"/>
  <c r="Z447" i="39"/>
  <c r="Z445" i="39" s="1"/>
  <c r="Z444" i="39" s="1"/>
  <c r="Z409" i="39"/>
  <c r="Z407" i="39" s="1"/>
  <c r="Z599" i="39"/>
  <c r="Z597" i="39" s="1"/>
  <c r="Z1577" i="39"/>
  <c r="Z1575" i="39" s="1"/>
  <c r="Z707" i="39"/>
  <c r="Z700" i="39" s="1"/>
  <c r="Z712" i="39" s="1"/>
  <c r="Z760" i="39"/>
  <c r="Z905" i="39"/>
  <c r="Z902" i="39" s="1"/>
  <c r="Z943" i="39"/>
  <c r="Z940" i="39" s="1"/>
  <c r="Z284" i="39"/>
  <c r="Z282" i="39" s="1"/>
  <c r="Z246" i="39"/>
  <c r="Z244" i="39" s="1"/>
  <c r="Z538" i="39"/>
  <c r="Z610" i="39"/>
  <c r="Z608" i="39" s="1"/>
  <c r="Z572" i="39"/>
  <c r="Z570" i="39" s="1"/>
  <c r="Z569" i="39" s="1"/>
  <c r="Z581" i="39" s="1"/>
  <c r="Z923" i="39"/>
  <c r="Z271" i="39"/>
  <c r="Z773" i="39"/>
  <c r="Z771" i="39" s="1"/>
  <c r="Z735" i="39"/>
  <c r="Z733" i="39" s="1"/>
  <c r="Z870" i="39"/>
  <c r="Z863" i="39" s="1"/>
  <c r="Z875" i="39" s="1"/>
  <c r="Z732" i="39" l="1"/>
  <c r="Z744" i="39" s="1"/>
  <c r="Z406" i="39"/>
  <c r="Z418" i="39" s="1"/>
  <c r="Z1384" i="39"/>
  <c r="Z1396" i="39" s="1"/>
  <c r="Z1026" i="39"/>
  <c r="Z1038" i="39" s="1"/>
  <c r="Z456" i="39"/>
  <c r="Z607" i="39"/>
  <c r="Z619" i="39" s="1"/>
  <c r="Z281" i="39"/>
  <c r="Z293" i="39" s="1"/>
  <c r="Z1422" i="39"/>
  <c r="Z1434" i="39" s="1"/>
  <c r="Z1547" i="39"/>
  <c r="Z1559" i="39" s="1"/>
  <c r="Z770" i="39"/>
  <c r="Z782" i="39" s="1"/>
  <c r="Z1058" i="39"/>
  <c r="Z1070" i="39" s="1"/>
  <c r="Z1096" i="39"/>
  <c r="Z1221" i="39"/>
  <c r="Z1233" i="39" s="1"/>
  <c r="Z537" i="39"/>
  <c r="Z549" i="39" s="1"/>
  <c r="Z1189" i="39"/>
  <c r="Z1201" i="39" s="1"/>
  <c r="Z1108" i="39"/>
  <c r="Z1259" i="39"/>
  <c r="Z1271" i="39" s="1"/>
  <c r="Z895" i="39"/>
  <c r="Z907" i="39" s="1"/>
  <c r="Z1585" i="39"/>
  <c r="Z1597" i="39" s="1"/>
  <c r="Z933" i="39"/>
  <c r="Z945" i="39" s="1"/>
  <c r="Z243" i="39"/>
  <c r="Z255" i="39" s="1"/>
  <c r="K159" i="39" l="1"/>
  <c r="K166" i="39" l="1"/>
  <c r="K168" i="39" s="1"/>
  <c r="K170" i="39" l="1"/>
  <c r="K171" i="39" l="1"/>
  <c r="K13" i="38" l="1"/>
  <c r="K15" i="38" l="1"/>
  <c r="DC17" i="11" a="1"/>
  <c r="DC17" i="11" s="1"/>
  <c r="EG17" i="11" a="1"/>
  <c r="EG17" i="11" s="1"/>
  <c r="BA17" i="11" a="1"/>
  <c r="BA17" i="11" s="1"/>
  <c r="AI17" i="11" a="1"/>
  <c r="AI17" i="11" s="1"/>
  <c r="S65" i="39" a="1"/>
  <c r="S65" i="39" s="1"/>
  <c r="M65" i="39" a="1"/>
  <c r="M65" i="39" s="1"/>
  <c r="N65" i="39" a="1"/>
  <c r="N65" i="39" s="1"/>
  <c r="O65" i="39" a="1"/>
  <c r="O65" i="39" s="1"/>
  <c r="T65" i="39" a="1"/>
  <c r="T65" i="39" s="1"/>
  <c r="Q65" i="39" a="1"/>
  <c r="Q65" i="39" s="1"/>
  <c r="W65" i="39" a="1"/>
  <c r="W65" i="39" s="1"/>
  <c r="ES17" i="11" a="1"/>
  <c r="ES17" i="11" s="1"/>
  <c r="X65" i="39" a="1"/>
  <c r="X65" i="39" s="1"/>
  <c r="AC17" i="11" a="1"/>
  <c r="AC17" i="11" s="1"/>
  <c r="R65" i="39" a="1"/>
  <c r="R65" i="39" s="1"/>
  <c r="E17" i="11" a="1"/>
  <c r="E17" i="11" s="1"/>
  <c r="L65" i="39" a="1"/>
  <c r="L65" i="39" s="1"/>
  <c r="BM17" i="11" a="1"/>
  <c r="BM17" i="11" s="1"/>
  <c r="CQ17" i="11" a="1"/>
  <c r="CQ17" i="11" s="1"/>
  <c r="CE17" i="11" a="1"/>
  <c r="CE17" i="11" s="1"/>
  <c r="DI17" i="11" a="1"/>
  <c r="DI17" i="11" s="1"/>
  <c r="Y65" i="39" a="1"/>
  <c r="Y65" i="39" s="1"/>
  <c r="BG17" i="11" a="1"/>
  <c r="BG17" i="11" s="1"/>
  <c r="Q17" i="11" a="1"/>
  <c r="Q17" i="11" s="1"/>
  <c r="DU17" i="11" a="1"/>
  <c r="DU17" i="11" s="1"/>
  <c r="CK17" i="11" a="1"/>
  <c r="CK17" i="11" s="1"/>
  <c r="EA17" i="11" a="1"/>
  <c r="EA17" i="11" s="1"/>
  <c r="V65" i="39" a="1"/>
  <c r="V65" i="39" s="1"/>
  <c r="W17" i="11" a="1"/>
  <c r="W17" i="11" s="1"/>
  <c r="AO17" i="11" a="1"/>
  <c r="AO17" i="11" s="1"/>
  <c r="U65" i="39" a="1"/>
  <c r="U65" i="39" s="1"/>
  <c r="EM17" i="11" a="1"/>
  <c r="EM17" i="11" s="1"/>
  <c r="N1532" i="39" l="1" a="1"/>
  <c r="N1532" i="39" s="1"/>
  <c r="M228" i="39" a="1"/>
  <c r="M228" i="39" s="1"/>
  <c r="S1043" i="39" a="1"/>
  <c r="S1043" i="39" s="1"/>
  <c r="T1369" i="39" a="1"/>
  <c r="T1369" i="39" s="1"/>
  <c r="O1206" i="39" a="1"/>
  <c r="O1206" i="39" s="1"/>
  <c r="P554" i="39" a="1"/>
  <c r="P554" i="39" s="1"/>
  <c r="X1043" i="39" a="1"/>
  <c r="X1043" i="39" s="1"/>
  <c r="S717" i="39" a="1"/>
  <c r="S717" i="39" s="1"/>
  <c r="Z1206" i="39" a="1"/>
  <c r="Z1206" i="39" s="1"/>
  <c r="X228" i="39" a="1"/>
  <c r="X228" i="39" s="1"/>
  <c r="Z391" i="39" a="1"/>
  <c r="Z391" i="39" s="1"/>
  <c r="R554" i="39" a="1"/>
  <c r="R554" i="39" s="1"/>
  <c r="L880" i="39" a="1"/>
  <c r="L880" i="39" s="1"/>
  <c r="Z1043" i="39" a="1"/>
  <c r="Z1043" i="39" s="1"/>
  <c r="Z717" i="39" a="1"/>
  <c r="Z717" i="39" s="1"/>
  <c r="S228" i="39" a="1"/>
  <c r="S228" i="39" s="1"/>
  <c r="U554" i="39" a="1"/>
  <c r="U554" i="39" s="1"/>
  <c r="R880" i="39" a="1"/>
  <c r="R880" i="39" s="1"/>
  <c r="W1043" i="39" a="1"/>
  <c r="W1043" i="39" s="1"/>
  <c r="R1369" i="39" a="1"/>
  <c r="R1369" i="39" s="1"/>
  <c r="V717" i="39" a="1"/>
  <c r="V717" i="39" s="1"/>
  <c r="W554" i="39" a="1"/>
  <c r="W554" i="39" s="1"/>
  <c r="V391" i="39" a="1"/>
  <c r="V391" i="39" s="1"/>
  <c r="O228" i="39" a="1"/>
  <c r="O228" i="39" s="1"/>
  <c r="Q1206" i="39" a="1"/>
  <c r="Q1206" i="39" s="1"/>
  <c r="S1532" i="39" a="1"/>
  <c r="S1532" i="39" s="1"/>
  <c r="R717" i="39" a="1"/>
  <c r="R717" i="39" s="1"/>
  <c r="Y228" i="39" a="1"/>
  <c r="Y228" i="39" s="1"/>
  <c r="W228" i="39" a="1"/>
  <c r="W228" i="39" s="1"/>
  <c r="X1369" i="39" a="1"/>
  <c r="X1369" i="39" s="1"/>
  <c r="P1369" i="39" a="1"/>
  <c r="P1369" i="39" s="1"/>
  <c r="M1043" i="39" a="1"/>
  <c r="M1043" i="39" s="1"/>
  <c r="O717" i="39" a="1"/>
  <c r="O717" i="39" s="1"/>
  <c r="L1532" i="39" a="1"/>
  <c r="L1532" i="39" s="1"/>
  <c r="T1206" i="39" a="1"/>
  <c r="T1206" i="39" s="1"/>
  <c r="S1369" i="39" a="1"/>
  <c r="S1369" i="39" s="1"/>
  <c r="M1206" i="39" a="1"/>
  <c r="M1206" i="39" s="1"/>
  <c r="P228" i="39" a="1"/>
  <c r="P228" i="39" s="1"/>
  <c r="W717" i="39" a="1"/>
  <c r="W717" i="39" s="1"/>
  <c r="R1532" i="39" a="1"/>
  <c r="R1532" i="39" s="1"/>
  <c r="O554" i="39" a="1"/>
  <c r="O554" i="39" s="1"/>
  <c r="Y554" i="39" a="1"/>
  <c r="Y554" i="39" s="1"/>
  <c r="Q391" i="39" a="1"/>
  <c r="Q391" i="39" s="1"/>
  <c r="L1369" i="39" a="1"/>
  <c r="L1369" i="39" s="1"/>
  <c r="Z1532" i="39" a="1"/>
  <c r="Z1532" i="39" s="1"/>
  <c r="Y391" i="39" a="1"/>
  <c r="Y391" i="39" s="1"/>
  <c r="W1369" i="39" a="1"/>
  <c r="W1369" i="39" s="1"/>
  <c r="V1532" i="39" a="1"/>
  <c r="V1532" i="39" s="1"/>
  <c r="V1369" i="39" a="1"/>
  <c r="V1369" i="39" s="1"/>
  <c r="Q717" i="39" a="1"/>
  <c r="Q717" i="39" s="1"/>
  <c r="R1043" i="39" a="1"/>
  <c r="R1043" i="39" s="1"/>
  <c r="Z554" i="39" a="1"/>
  <c r="Z554" i="39" s="1"/>
  <c r="L717" i="39" a="1"/>
  <c r="L717" i="39" s="1"/>
  <c r="V1206" i="39" a="1"/>
  <c r="V1206" i="39" s="1"/>
  <c r="R228" i="39" a="1"/>
  <c r="R228" i="39" s="1"/>
  <c r="W391" i="39" a="1"/>
  <c r="W391" i="39" s="1"/>
  <c r="U1532" i="39" a="1"/>
  <c r="U1532" i="39" s="1"/>
  <c r="Y717" i="39" a="1"/>
  <c r="Y717" i="39" s="1"/>
  <c r="X1206" i="39" a="1"/>
  <c r="X1206" i="39" s="1"/>
  <c r="R1206" i="39" a="1"/>
  <c r="R1206" i="39" s="1"/>
  <c r="L1206" i="39" a="1"/>
  <c r="L1206" i="39" s="1"/>
  <c r="W880" i="39" a="1"/>
  <c r="W880" i="39" s="1"/>
  <c r="N1206" i="39" a="1"/>
  <c r="N1206" i="39" s="1"/>
  <c r="Z228" i="39" a="1"/>
  <c r="Z228" i="39" s="1"/>
  <c r="Y1206" i="39" a="1"/>
  <c r="Y1206" i="39" s="1"/>
  <c r="U1043" i="39" a="1"/>
  <c r="U1043" i="39" s="1"/>
  <c r="Z1369" i="39" a="1"/>
  <c r="Z1369" i="39" s="1"/>
  <c r="Y1369" i="39" a="1"/>
  <c r="Y1369" i="39" s="1"/>
  <c r="P1532" i="39" a="1"/>
  <c r="P1532" i="39" s="1"/>
  <c r="Z880" i="39" a="1"/>
  <c r="Z880" i="39" s="1"/>
  <c r="Q880" i="39" a="1"/>
  <c r="Q880" i="39" s="1"/>
  <c r="Q228" i="39" a="1"/>
  <c r="Q228" i="39" s="1"/>
  <c r="N880" i="39" a="1"/>
  <c r="N880" i="39" s="1"/>
  <c r="T554" i="39" a="1"/>
  <c r="T554" i="39" s="1"/>
  <c r="P880" i="39" a="1"/>
  <c r="P880" i="39" s="1"/>
  <c r="P391" i="39" a="1"/>
  <c r="P391" i="39" s="1"/>
  <c r="P717" i="39" a="1"/>
  <c r="P717" i="39" s="1"/>
  <c r="N228" i="39" a="1"/>
  <c r="N228" i="39" s="1"/>
  <c r="O1043" i="39" a="1"/>
  <c r="O1043" i="39" s="1"/>
  <c r="U391" i="39" a="1"/>
  <c r="U391" i="39" s="1"/>
  <c r="X880" i="39" a="1"/>
  <c r="X880" i="39" s="1"/>
  <c r="Y1532" i="39" a="1"/>
  <c r="Y1532" i="39" s="1"/>
  <c r="M717" i="39" a="1"/>
  <c r="M717" i="39" s="1"/>
  <c r="U228" i="39" a="1"/>
  <c r="U228" i="39" s="1"/>
  <c r="W1532" i="39" a="1"/>
  <c r="W1532" i="39" s="1"/>
  <c r="U880" i="39" a="1"/>
  <c r="U880" i="39" s="1"/>
  <c r="O1369" i="39" a="1"/>
  <c r="O1369" i="39" s="1"/>
  <c r="N554" i="39" a="1"/>
  <c r="N554" i="39" s="1"/>
  <c r="U717" i="39" a="1"/>
  <c r="U717" i="39" s="1"/>
  <c r="P1206" i="39" a="1"/>
  <c r="P1206" i="39" s="1"/>
  <c r="M391" i="39" a="1"/>
  <c r="M391" i="39" s="1"/>
  <c r="U1369" i="39" a="1"/>
  <c r="U1369" i="39" s="1"/>
  <c r="N391" i="39" a="1"/>
  <c r="N391" i="39" s="1"/>
  <c r="S391" i="39" a="1"/>
  <c r="S391" i="39" s="1"/>
  <c r="N1043" i="39" a="1"/>
  <c r="N1043" i="39" s="1"/>
  <c r="O880" i="39" a="1"/>
  <c r="O880" i="39" s="1"/>
  <c r="M880" i="39" a="1"/>
  <c r="M880" i="39" s="1"/>
  <c r="Y1043" i="39" a="1"/>
  <c r="Y1043" i="39" s="1"/>
  <c r="X717" i="39" a="1"/>
  <c r="X717" i="39" s="1"/>
  <c r="U1206" i="39" a="1"/>
  <c r="U1206" i="39" s="1"/>
  <c r="X554" i="39" a="1"/>
  <c r="X554" i="39" s="1"/>
  <c r="M1369" i="39" a="1"/>
  <c r="M1369" i="39" s="1"/>
  <c r="L1043" i="39" a="1"/>
  <c r="L1043" i="39" s="1"/>
  <c r="T1532" i="39" a="1"/>
  <c r="T1532" i="39" s="1"/>
  <c r="W1206" i="39" a="1"/>
  <c r="W1206" i="39" s="1"/>
  <c r="Q1043" i="39" a="1"/>
  <c r="Q1043" i="39" s="1"/>
  <c r="R391" i="39" a="1"/>
  <c r="R391" i="39" s="1"/>
  <c r="T391" i="39" a="1"/>
  <c r="T391" i="39" s="1"/>
  <c r="N717" i="39" a="1"/>
  <c r="N717" i="39" s="1"/>
  <c r="Q1369" i="39" a="1"/>
  <c r="Q1369" i="39" s="1"/>
  <c r="T717" i="39" a="1"/>
  <c r="T717" i="39" s="1"/>
  <c r="O1532" i="39" a="1"/>
  <c r="O1532" i="39" s="1"/>
  <c r="T228" i="39" a="1"/>
  <c r="T228" i="39" s="1"/>
  <c r="S880" i="39" a="1"/>
  <c r="S880" i="39" s="1"/>
  <c r="S554" i="39" a="1"/>
  <c r="S554" i="39" s="1"/>
  <c r="M1532" i="39" a="1"/>
  <c r="M1532" i="39" s="1"/>
  <c r="V228" i="39" a="1"/>
  <c r="V228" i="39" s="1"/>
  <c r="X391" i="39" a="1"/>
  <c r="X391" i="39" s="1"/>
  <c r="T880" i="39" a="1"/>
  <c r="T880" i="39" s="1"/>
  <c r="L228" i="39" a="1"/>
  <c r="L228" i="39" s="1"/>
  <c r="P1043" i="39" a="1"/>
  <c r="P1043" i="39" s="1"/>
  <c r="L391" i="39" a="1"/>
  <c r="L391" i="39" s="1"/>
  <c r="N1369" i="39" a="1"/>
  <c r="N1369" i="39" s="1"/>
  <c r="O391" i="39" a="1"/>
  <c r="O391" i="39" s="1"/>
  <c r="Q1532" i="39" a="1"/>
  <c r="Q1532" i="39" s="1"/>
  <c r="V880" i="39" a="1"/>
  <c r="V880" i="39" s="1"/>
  <c r="T1043" i="39" a="1"/>
  <c r="T1043" i="39" s="1"/>
  <c r="L554" i="39" a="1"/>
  <c r="L554" i="39" s="1"/>
  <c r="V1043" i="39" a="1"/>
  <c r="V1043" i="39" s="1"/>
  <c r="Q554" i="39" a="1"/>
  <c r="Q554" i="39" s="1"/>
  <c r="M554" i="39" a="1"/>
  <c r="M554" i="39" s="1"/>
  <c r="Y880" i="39" a="1"/>
  <c r="Y880" i="39" s="1"/>
  <c r="V554" i="39" a="1"/>
  <c r="V554" i="39" s="1"/>
  <c r="X1532" i="39" a="1"/>
  <c r="X1532" i="39" s="1"/>
  <c r="S1206" i="39" a="1"/>
  <c r="S1206" i="39" s="1"/>
  <c r="BY17" i="11" a="1"/>
  <c r="BY17" i="11" s="1"/>
  <c r="K17" i="11" a="1"/>
  <c r="K17" i="11" s="1"/>
  <c r="CW17" i="11" a="1"/>
  <c r="CW17" i="11" s="1"/>
  <c r="P65" i="39" a="1"/>
  <c r="P65" i="39" s="1"/>
  <c r="AU17" i="11" a="1"/>
  <c r="AU17" i="11" s="1"/>
  <c r="Z65" i="39" a="1"/>
  <c r="Z65" i="39" s="1"/>
  <c r="DO17" i="11" a="1"/>
  <c r="DO17" i="11" s="1"/>
  <c r="BS17" i="11" a="1"/>
  <c r="BS17" i="11" s="1"/>
  <c r="K16" i="38"/>
  <c r="K40" i="38"/>
  <c r="AH15" i="34"/>
  <c r="T1075" i="39" l="1"/>
  <c r="T1077" i="39" s="1"/>
  <c r="T1080" i="39" s="1"/>
  <c r="T1082" i="39" s="1"/>
  <c r="T1083" i="39" s="1"/>
  <c r="T1113" i="39"/>
  <c r="T1115" i="39" s="1"/>
  <c r="T1118" i="39" s="1"/>
  <c r="T1120" i="39" s="1"/>
  <c r="T1121" i="39" s="1"/>
  <c r="T1045" i="39"/>
  <c r="V950" i="39"/>
  <c r="V952" i="39" s="1"/>
  <c r="V955" i="39" s="1"/>
  <c r="V957" i="39" s="1"/>
  <c r="V958" i="39" s="1"/>
  <c r="V912" i="39"/>
  <c r="V914" i="39" s="1"/>
  <c r="V917" i="39" s="1"/>
  <c r="V919" i="39" s="1"/>
  <c r="V920" i="39" s="1"/>
  <c r="V882" i="39"/>
  <c r="X1564" i="39"/>
  <c r="X1566" i="39" s="1"/>
  <c r="X1569" i="39" s="1"/>
  <c r="X1571" i="39" s="1"/>
  <c r="X1572" i="39" s="1"/>
  <c r="X1602" i="39"/>
  <c r="X1604" i="39" s="1"/>
  <c r="X1607" i="39" s="1"/>
  <c r="X1609" i="39" s="1"/>
  <c r="X1610" i="39" s="1"/>
  <c r="X1534" i="39"/>
  <c r="S912" i="39"/>
  <c r="S914" i="39" s="1"/>
  <c r="S917" i="39" s="1"/>
  <c r="S919" i="39" s="1"/>
  <c r="S920" i="39" s="1"/>
  <c r="S950" i="39"/>
  <c r="S952" i="39" s="1"/>
  <c r="S955" i="39" s="1"/>
  <c r="S957" i="39" s="1"/>
  <c r="S958" i="39" s="1"/>
  <c r="S882" i="39"/>
  <c r="L1075" i="39"/>
  <c r="L1077" i="39" s="1"/>
  <c r="L1080" i="39" s="1"/>
  <c r="L1082" i="39" s="1"/>
  <c r="L1083" i="39" s="1"/>
  <c r="L1113" i="39"/>
  <c r="L1115" i="39" s="1"/>
  <c r="L1118" i="39" s="1"/>
  <c r="L1120" i="39" s="1"/>
  <c r="L1121" i="39" s="1"/>
  <c r="L1045" i="39"/>
  <c r="R1113" i="39"/>
  <c r="R1115" i="39" s="1"/>
  <c r="R1118" i="39" s="1"/>
  <c r="R1120" i="39" s="1"/>
  <c r="R1121" i="39" s="1"/>
  <c r="R1075" i="39"/>
  <c r="R1077" i="39" s="1"/>
  <c r="R1080" i="39" s="1"/>
  <c r="R1082" i="39" s="1"/>
  <c r="R1083" i="39" s="1"/>
  <c r="R1045" i="39"/>
  <c r="R1602" i="39"/>
  <c r="R1604" i="39" s="1"/>
  <c r="R1607" i="39" s="1"/>
  <c r="R1609" i="39" s="1"/>
  <c r="R1610" i="39" s="1"/>
  <c r="R1564" i="39"/>
  <c r="R1566" i="39" s="1"/>
  <c r="R1569" i="39" s="1"/>
  <c r="R1571" i="39" s="1"/>
  <c r="R1572" i="39" s="1"/>
  <c r="R1534" i="39"/>
  <c r="V749" i="39"/>
  <c r="V751" i="39" s="1"/>
  <c r="V754" i="39" s="1"/>
  <c r="V756" i="39" s="1"/>
  <c r="V757" i="39" s="1"/>
  <c r="V787" i="39"/>
  <c r="V789" i="39" s="1"/>
  <c r="V792" i="39" s="1"/>
  <c r="V794" i="39" s="1"/>
  <c r="V795" i="39" s="1"/>
  <c r="V719" i="39"/>
  <c r="S787" i="39"/>
  <c r="S789" i="39" s="1"/>
  <c r="S792" i="39" s="1"/>
  <c r="S794" i="39" s="1"/>
  <c r="S795" i="39" s="1"/>
  <c r="S749" i="39"/>
  <c r="S751" i="39" s="1"/>
  <c r="S754" i="39" s="1"/>
  <c r="S756" i="39" s="1"/>
  <c r="S757" i="39" s="1"/>
  <c r="S719" i="39"/>
  <c r="Q1564" i="39"/>
  <c r="Q1566" i="39" s="1"/>
  <c r="Q1569" i="39" s="1"/>
  <c r="Q1571" i="39" s="1"/>
  <c r="Q1572" i="39" s="1"/>
  <c r="Q1602" i="39"/>
  <c r="Q1604" i="39" s="1"/>
  <c r="Q1607" i="39" s="1"/>
  <c r="Q1609" i="39" s="1"/>
  <c r="Q1610" i="39" s="1"/>
  <c r="Q1534" i="39"/>
  <c r="V624" i="39"/>
  <c r="V626" i="39" s="1"/>
  <c r="V629" i="39" s="1"/>
  <c r="V631" i="39" s="1"/>
  <c r="V632" i="39" s="1"/>
  <c r="V586" i="39"/>
  <c r="V588" i="39" s="1"/>
  <c r="V591" i="39" s="1"/>
  <c r="V593" i="39" s="1"/>
  <c r="V594" i="39" s="1"/>
  <c r="V556" i="39"/>
  <c r="T260" i="39"/>
  <c r="T262" i="39" s="1"/>
  <c r="T265" i="39" s="1"/>
  <c r="T267" i="39" s="1"/>
  <c r="T268" i="39" s="1"/>
  <c r="T298" i="39"/>
  <c r="T300" i="39" s="1"/>
  <c r="T303" i="39" s="1"/>
  <c r="T305" i="39" s="1"/>
  <c r="T306" i="39" s="1"/>
  <c r="T230" i="39"/>
  <c r="M1401" i="39"/>
  <c r="M1403" i="39" s="1"/>
  <c r="M1406" i="39" s="1"/>
  <c r="M1408" i="39" s="1"/>
  <c r="M1409" i="39" s="1"/>
  <c r="M1439" i="39"/>
  <c r="M1441" i="39" s="1"/>
  <c r="M1444" i="39" s="1"/>
  <c r="M1446" i="39" s="1"/>
  <c r="M1447" i="39" s="1"/>
  <c r="M1371" i="39"/>
  <c r="N1075" i="39"/>
  <c r="N1077" i="39" s="1"/>
  <c r="N1080" i="39" s="1"/>
  <c r="N1082" i="39" s="1"/>
  <c r="N1083" i="39" s="1"/>
  <c r="N1113" i="39"/>
  <c r="N1115" i="39" s="1"/>
  <c r="N1118" i="39" s="1"/>
  <c r="N1120" i="39" s="1"/>
  <c r="N1121" i="39" s="1"/>
  <c r="N1045" i="39"/>
  <c r="P787" i="39"/>
  <c r="P789" i="39" s="1"/>
  <c r="P792" i="39" s="1"/>
  <c r="P794" i="39" s="1"/>
  <c r="P795" i="39" s="1"/>
  <c r="P749" i="39"/>
  <c r="P751" i="39" s="1"/>
  <c r="P754" i="39" s="1"/>
  <c r="P756" i="39" s="1"/>
  <c r="P757" i="39" s="1"/>
  <c r="P719" i="39"/>
  <c r="Y1439" i="39"/>
  <c r="Y1441" i="39" s="1"/>
  <c r="Y1444" i="39" s="1"/>
  <c r="Y1446" i="39" s="1"/>
  <c r="Y1447" i="39" s="1"/>
  <c r="Y1401" i="39"/>
  <c r="Y1403" i="39" s="1"/>
  <c r="Y1406" i="39" s="1"/>
  <c r="Y1408" i="39" s="1"/>
  <c r="Y1409" i="39" s="1"/>
  <c r="Y1371" i="39"/>
  <c r="X1276" i="39"/>
  <c r="X1278" i="39" s="1"/>
  <c r="X1281" i="39" s="1"/>
  <c r="X1283" i="39" s="1"/>
  <c r="X1284" i="39" s="1"/>
  <c r="X1238" i="39"/>
  <c r="X1240" i="39" s="1"/>
  <c r="X1243" i="39" s="1"/>
  <c r="X1245" i="39" s="1"/>
  <c r="X1246" i="39" s="1"/>
  <c r="X1208" i="39"/>
  <c r="W787" i="39"/>
  <c r="W789" i="39" s="1"/>
  <c r="W792" i="39" s="1"/>
  <c r="W794" i="39" s="1"/>
  <c r="W795" i="39" s="1"/>
  <c r="W749" i="39"/>
  <c r="W751" i="39" s="1"/>
  <c r="W754" i="39" s="1"/>
  <c r="W756" i="39" s="1"/>
  <c r="W757" i="39" s="1"/>
  <c r="W719" i="39"/>
  <c r="W260" i="39"/>
  <c r="W262" i="39" s="1"/>
  <c r="W265" i="39" s="1"/>
  <c r="W267" i="39" s="1"/>
  <c r="W268" i="39" s="1"/>
  <c r="W298" i="39"/>
  <c r="W300" i="39" s="1"/>
  <c r="W303" i="39" s="1"/>
  <c r="W305" i="39" s="1"/>
  <c r="W306" i="39" s="1"/>
  <c r="W230" i="39"/>
  <c r="R1439" i="39"/>
  <c r="R1441" i="39" s="1"/>
  <c r="R1444" i="39" s="1"/>
  <c r="R1446" i="39" s="1"/>
  <c r="R1447" i="39" s="1"/>
  <c r="R1401" i="39"/>
  <c r="R1403" i="39" s="1"/>
  <c r="R1406" i="39" s="1"/>
  <c r="R1408" i="39" s="1"/>
  <c r="R1409" i="39" s="1"/>
  <c r="R1371" i="39"/>
  <c r="Y950" i="39"/>
  <c r="Y952" i="39" s="1"/>
  <c r="Y955" i="39" s="1"/>
  <c r="Y957" i="39" s="1"/>
  <c r="Y958" i="39" s="1"/>
  <c r="Y912" i="39"/>
  <c r="Y914" i="39" s="1"/>
  <c r="Y917" i="39" s="1"/>
  <c r="Y919" i="39" s="1"/>
  <c r="Y920" i="39" s="1"/>
  <c r="Y882" i="39"/>
  <c r="O1564" i="39"/>
  <c r="O1566" i="39" s="1"/>
  <c r="O1569" i="39" s="1"/>
  <c r="O1571" i="39" s="1"/>
  <c r="O1572" i="39" s="1"/>
  <c r="O1602" i="39"/>
  <c r="O1604" i="39" s="1"/>
  <c r="O1607" i="39" s="1"/>
  <c r="O1609" i="39" s="1"/>
  <c r="O1610" i="39" s="1"/>
  <c r="O1534" i="39"/>
  <c r="S461" i="39"/>
  <c r="S463" i="39" s="1"/>
  <c r="S466" i="39" s="1"/>
  <c r="S468" i="39" s="1"/>
  <c r="S469" i="39" s="1"/>
  <c r="S423" i="39"/>
  <c r="S425" i="39" s="1"/>
  <c r="S428" i="39" s="1"/>
  <c r="S430" i="39" s="1"/>
  <c r="S431" i="39" s="1"/>
  <c r="S393" i="39"/>
  <c r="U260" i="39"/>
  <c r="U262" i="39" s="1"/>
  <c r="U265" i="39" s="1"/>
  <c r="U267" i="39" s="1"/>
  <c r="U268" i="39" s="1"/>
  <c r="U298" i="39"/>
  <c r="U300" i="39" s="1"/>
  <c r="U303" i="39" s="1"/>
  <c r="U305" i="39" s="1"/>
  <c r="U306" i="39" s="1"/>
  <c r="U230" i="39"/>
  <c r="P423" i="39"/>
  <c r="P425" i="39" s="1"/>
  <c r="P428" i="39" s="1"/>
  <c r="P430" i="39" s="1"/>
  <c r="P431" i="39" s="1"/>
  <c r="P461" i="39"/>
  <c r="P463" i="39" s="1"/>
  <c r="P466" i="39" s="1"/>
  <c r="P468" i="39" s="1"/>
  <c r="P469" i="39" s="1"/>
  <c r="P393" i="39"/>
  <c r="Z1401" i="39"/>
  <c r="Z1403" i="39" s="1"/>
  <c r="Z1406" i="39" s="1"/>
  <c r="Z1408" i="39" s="1"/>
  <c r="Z1409" i="39" s="1"/>
  <c r="Z1439" i="39"/>
  <c r="Z1441" i="39" s="1"/>
  <c r="Z1444" i="39" s="1"/>
  <c r="Z1446" i="39" s="1"/>
  <c r="Z1447" i="39" s="1"/>
  <c r="Z1371" i="39"/>
  <c r="Y749" i="39"/>
  <c r="Y751" i="39" s="1"/>
  <c r="Y754" i="39" s="1"/>
  <c r="Y756" i="39" s="1"/>
  <c r="Y757" i="39" s="1"/>
  <c r="Y787" i="39"/>
  <c r="Y789" i="39" s="1"/>
  <c r="Y792" i="39" s="1"/>
  <c r="Y794" i="39" s="1"/>
  <c r="Y795" i="39" s="1"/>
  <c r="Y719" i="39"/>
  <c r="P298" i="39"/>
  <c r="P300" i="39" s="1"/>
  <c r="P303" i="39" s="1"/>
  <c r="P305" i="39" s="1"/>
  <c r="P306" i="39" s="1"/>
  <c r="P260" i="39"/>
  <c r="P262" i="39" s="1"/>
  <c r="P265" i="39" s="1"/>
  <c r="P267" i="39" s="1"/>
  <c r="P268" i="39" s="1"/>
  <c r="P230" i="39"/>
  <c r="W1075" i="39"/>
  <c r="W1077" i="39" s="1"/>
  <c r="W1080" i="39" s="1"/>
  <c r="W1082" i="39" s="1"/>
  <c r="W1083" i="39" s="1"/>
  <c r="W1113" i="39"/>
  <c r="W1115" i="39" s="1"/>
  <c r="W1118" i="39" s="1"/>
  <c r="W1120" i="39" s="1"/>
  <c r="W1121" i="39" s="1"/>
  <c r="W1045" i="39"/>
  <c r="X1113" i="39"/>
  <c r="X1115" i="39" s="1"/>
  <c r="X1118" i="39" s="1"/>
  <c r="X1120" i="39" s="1"/>
  <c r="X1121" i="39" s="1"/>
  <c r="X1075" i="39"/>
  <c r="X1077" i="39" s="1"/>
  <c r="X1080" i="39" s="1"/>
  <c r="X1082" i="39" s="1"/>
  <c r="X1083" i="39" s="1"/>
  <c r="X1045" i="39"/>
  <c r="M1564" i="39"/>
  <c r="M1566" i="39" s="1"/>
  <c r="M1569" i="39" s="1"/>
  <c r="M1571" i="39" s="1"/>
  <c r="M1572" i="39" s="1"/>
  <c r="M1602" i="39"/>
  <c r="M1604" i="39" s="1"/>
  <c r="M1607" i="39" s="1"/>
  <c r="M1609" i="39" s="1"/>
  <c r="M1610" i="39" s="1"/>
  <c r="M1534" i="39"/>
  <c r="L461" i="39"/>
  <c r="L463" i="39" s="1"/>
  <c r="L466" i="39" s="1"/>
  <c r="L468" i="39" s="1"/>
  <c r="L469" i="39" s="1"/>
  <c r="L423" i="39"/>
  <c r="L425" i="39" s="1"/>
  <c r="L428" i="39" s="1"/>
  <c r="L430" i="39" s="1"/>
  <c r="L431" i="39" s="1"/>
  <c r="L393" i="39"/>
  <c r="P912" i="39"/>
  <c r="P914" i="39" s="1"/>
  <c r="P917" i="39" s="1"/>
  <c r="P919" i="39" s="1"/>
  <c r="P920" i="39" s="1"/>
  <c r="P950" i="39"/>
  <c r="P952" i="39" s="1"/>
  <c r="P955" i="39" s="1"/>
  <c r="P957" i="39" s="1"/>
  <c r="P958" i="39" s="1"/>
  <c r="P882" i="39"/>
  <c r="U1075" i="39"/>
  <c r="U1077" i="39" s="1"/>
  <c r="U1080" i="39" s="1"/>
  <c r="U1082" i="39" s="1"/>
  <c r="U1083" i="39" s="1"/>
  <c r="U1113" i="39"/>
  <c r="U1115" i="39" s="1"/>
  <c r="U1118" i="39" s="1"/>
  <c r="U1120" i="39" s="1"/>
  <c r="U1121" i="39" s="1"/>
  <c r="U1045" i="39"/>
  <c r="U1564" i="39"/>
  <c r="U1566" i="39" s="1"/>
  <c r="U1569" i="39" s="1"/>
  <c r="U1571" i="39" s="1"/>
  <c r="U1572" i="39" s="1"/>
  <c r="U1602" i="39"/>
  <c r="U1604" i="39" s="1"/>
  <c r="U1607" i="39" s="1"/>
  <c r="U1609" i="39" s="1"/>
  <c r="U1610" i="39" s="1"/>
  <c r="U1534" i="39"/>
  <c r="Q787" i="39"/>
  <c r="Q789" i="39" s="1"/>
  <c r="Q792" i="39" s="1"/>
  <c r="Q794" i="39" s="1"/>
  <c r="Q795" i="39" s="1"/>
  <c r="Q749" i="39"/>
  <c r="Q751" i="39" s="1"/>
  <c r="Q754" i="39" s="1"/>
  <c r="Q756" i="39" s="1"/>
  <c r="Q757" i="39" s="1"/>
  <c r="Q719" i="39"/>
  <c r="M1238" i="39"/>
  <c r="M1240" i="39" s="1"/>
  <c r="M1243" i="39" s="1"/>
  <c r="M1245" i="39" s="1"/>
  <c r="M1246" i="39" s="1"/>
  <c r="M1276" i="39"/>
  <c r="M1278" i="39" s="1"/>
  <c r="M1281" i="39" s="1"/>
  <c r="M1283" i="39" s="1"/>
  <c r="M1284" i="39" s="1"/>
  <c r="M1208" i="39"/>
  <c r="Y260" i="39"/>
  <c r="Y262" i="39" s="1"/>
  <c r="Y265" i="39" s="1"/>
  <c r="Y267" i="39" s="1"/>
  <c r="Y268" i="39" s="1"/>
  <c r="Y298" i="39"/>
  <c r="Y300" i="39" s="1"/>
  <c r="Y303" i="39" s="1"/>
  <c r="Y305" i="39" s="1"/>
  <c r="Y306" i="39" s="1"/>
  <c r="Y230" i="39"/>
  <c r="R950" i="39"/>
  <c r="R952" i="39" s="1"/>
  <c r="R955" i="39" s="1"/>
  <c r="R957" i="39" s="1"/>
  <c r="R958" i="39" s="1"/>
  <c r="R912" i="39"/>
  <c r="R914" i="39" s="1"/>
  <c r="R917" i="39" s="1"/>
  <c r="R919" i="39" s="1"/>
  <c r="R920" i="39" s="1"/>
  <c r="R882" i="39"/>
  <c r="M624" i="39"/>
  <c r="M626" i="39" s="1"/>
  <c r="M629" i="39" s="1"/>
  <c r="M631" i="39" s="1"/>
  <c r="M632" i="39" s="1"/>
  <c r="M586" i="39"/>
  <c r="M588" i="39" s="1"/>
  <c r="M591" i="39" s="1"/>
  <c r="M593" i="39" s="1"/>
  <c r="M594" i="39" s="1"/>
  <c r="M556" i="39"/>
  <c r="P1075" i="39"/>
  <c r="P1077" i="39" s="1"/>
  <c r="P1080" i="39" s="1"/>
  <c r="P1082" i="39" s="1"/>
  <c r="P1083" i="39" s="1"/>
  <c r="P1113" i="39"/>
  <c r="P1115" i="39" s="1"/>
  <c r="P1118" i="39" s="1"/>
  <c r="P1120" i="39" s="1"/>
  <c r="P1121" i="39" s="1"/>
  <c r="P1045" i="39"/>
  <c r="T787" i="39"/>
  <c r="T789" i="39" s="1"/>
  <c r="T792" i="39" s="1"/>
  <c r="T794" i="39" s="1"/>
  <c r="T795" i="39" s="1"/>
  <c r="T749" i="39"/>
  <c r="T751" i="39" s="1"/>
  <c r="T754" i="39" s="1"/>
  <c r="T756" i="39" s="1"/>
  <c r="T757" i="39" s="1"/>
  <c r="T719" i="39"/>
  <c r="M749" i="39"/>
  <c r="M751" i="39" s="1"/>
  <c r="M754" i="39" s="1"/>
  <c r="M756" i="39" s="1"/>
  <c r="M757" i="39" s="1"/>
  <c r="M787" i="39"/>
  <c r="M789" i="39" s="1"/>
  <c r="M792" i="39" s="1"/>
  <c r="M794" i="39" s="1"/>
  <c r="M795" i="39" s="1"/>
  <c r="M719" i="39"/>
  <c r="S1401" i="39"/>
  <c r="S1403" i="39" s="1"/>
  <c r="S1406" i="39" s="1"/>
  <c r="S1408" i="39" s="1"/>
  <c r="S1409" i="39" s="1"/>
  <c r="S1439" i="39"/>
  <c r="S1441" i="39" s="1"/>
  <c r="S1444" i="39" s="1"/>
  <c r="S1446" i="39" s="1"/>
  <c r="S1447" i="39" s="1"/>
  <c r="S1371" i="39"/>
  <c r="R787" i="39"/>
  <c r="R789" i="39" s="1"/>
  <c r="R792" i="39" s="1"/>
  <c r="R794" i="39" s="1"/>
  <c r="R795" i="39" s="1"/>
  <c r="R749" i="39"/>
  <c r="R751" i="39" s="1"/>
  <c r="R754" i="39" s="1"/>
  <c r="R756" i="39" s="1"/>
  <c r="R757" i="39" s="1"/>
  <c r="R719" i="39"/>
  <c r="Q586" i="39"/>
  <c r="Q588" i="39" s="1"/>
  <c r="Q591" i="39" s="1"/>
  <c r="Q593" i="39" s="1"/>
  <c r="Q594" i="39" s="1"/>
  <c r="Q624" i="39"/>
  <c r="Q626" i="39" s="1"/>
  <c r="Q629" i="39" s="1"/>
  <c r="Q631" i="39" s="1"/>
  <c r="Q632" i="39" s="1"/>
  <c r="Q556" i="39"/>
  <c r="L298" i="39"/>
  <c r="L300" i="39" s="1"/>
  <c r="L303" i="39" s="1"/>
  <c r="L305" i="39" s="1"/>
  <c r="L306" i="39" s="1"/>
  <c r="L260" i="39"/>
  <c r="L262" i="39" s="1"/>
  <c r="L265" i="39" s="1"/>
  <c r="L267" i="39" s="1"/>
  <c r="L268" i="39" s="1"/>
  <c r="L230" i="39"/>
  <c r="X586" i="39"/>
  <c r="X588" i="39" s="1"/>
  <c r="X591" i="39" s="1"/>
  <c r="X593" i="39" s="1"/>
  <c r="X594" i="39" s="1"/>
  <c r="X624" i="39"/>
  <c r="X626" i="39" s="1"/>
  <c r="X629" i="39" s="1"/>
  <c r="X631" i="39" s="1"/>
  <c r="X632" i="39" s="1"/>
  <c r="X556" i="39"/>
  <c r="N461" i="39"/>
  <c r="N463" i="39" s="1"/>
  <c r="N466" i="39" s="1"/>
  <c r="N468" i="39" s="1"/>
  <c r="N469" i="39" s="1"/>
  <c r="N423" i="39"/>
  <c r="N425" i="39" s="1"/>
  <c r="N428" i="39" s="1"/>
  <c r="N430" i="39" s="1"/>
  <c r="N431" i="39" s="1"/>
  <c r="N393" i="39"/>
  <c r="W423" i="39"/>
  <c r="W425" i="39" s="1"/>
  <c r="W428" i="39" s="1"/>
  <c r="W430" i="39" s="1"/>
  <c r="W431" i="39" s="1"/>
  <c r="W461" i="39"/>
  <c r="W463" i="39" s="1"/>
  <c r="W466" i="39" s="1"/>
  <c r="W468" i="39" s="1"/>
  <c r="W469" i="39" s="1"/>
  <c r="W393" i="39"/>
  <c r="V1439" i="39"/>
  <c r="V1441" i="39" s="1"/>
  <c r="V1444" i="39" s="1"/>
  <c r="V1446" i="39" s="1"/>
  <c r="V1447" i="39" s="1"/>
  <c r="V1401" i="39"/>
  <c r="V1403" i="39" s="1"/>
  <c r="V1406" i="39" s="1"/>
  <c r="V1408" i="39" s="1"/>
  <c r="V1409" i="39" s="1"/>
  <c r="V1371" i="39"/>
  <c r="S1602" i="39"/>
  <c r="S1604" i="39" s="1"/>
  <c r="S1607" i="39" s="1"/>
  <c r="S1609" i="39" s="1"/>
  <c r="S1610" i="39" s="1"/>
  <c r="S1564" i="39"/>
  <c r="S1566" i="39" s="1"/>
  <c r="S1569" i="39" s="1"/>
  <c r="S1571" i="39" s="1"/>
  <c r="S1572" i="39" s="1"/>
  <c r="S1534" i="39"/>
  <c r="U586" i="39"/>
  <c r="U588" i="39" s="1"/>
  <c r="U591" i="39" s="1"/>
  <c r="U593" i="39" s="1"/>
  <c r="U594" i="39" s="1"/>
  <c r="U624" i="39"/>
  <c r="U626" i="39" s="1"/>
  <c r="U629" i="39" s="1"/>
  <c r="U631" i="39" s="1"/>
  <c r="U632" i="39" s="1"/>
  <c r="U556" i="39"/>
  <c r="T950" i="39"/>
  <c r="T952" i="39" s="1"/>
  <c r="T955" i="39" s="1"/>
  <c r="T957" i="39" s="1"/>
  <c r="T958" i="39" s="1"/>
  <c r="T912" i="39"/>
  <c r="T914" i="39" s="1"/>
  <c r="T917" i="39" s="1"/>
  <c r="T919" i="39" s="1"/>
  <c r="T920" i="39" s="1"/>
  <c r="T882" i="39"/>
  <c r="Q1401" i="39"/>
  <c r="Q1403" i="39" s="1"/>
  <c r="Q1406" i="39" s="1"/>
  <c r="Q1408" i="39" s="1"/>
  <c r="Q1409" i="39" s="1"/>
  <c r="Q1439" i="39"/>
  <c r="Q1441" i="39" s="1"/>
  <c r="Q1444" i="39" s="1"/>
  <c r="Q1446" i="39" s="1"/>
  <c r="Q1447" i="39" s="1"/>
  <c r="Q1371" i="39"/>
  <c r="T586" i="39"/>
  <c r="T588" i="39" s="1"/>
  <c r="T591" i="39" s="1"/>
  <c r="T593" i="39" s="1"/>
  <c r="T594" i="39" s="1"/>
  <c r="T624" i="39"/>
  <c r="T626" i="39" s="1"/>
  <c r="T629" i="39" s="1"/>
  <c r="T631" i="39" s="1"/>
  <c r="T632" i="39" s="1"/>
  <c r="T556" i="39"/>
  <c r="Y1238" i="39"/>
  <c r="Y1240" i="39" s="1"/>
  <c r="Y1243" i="39" s="1"/>
  <c r="Y1245" i="39" s="1"/>
  <c r="Y1246" i="39" s="1"/>
  <c r="Y1276" i="39"/>
  <c r="Y1278" i="39" s="1"/>
  <c r="Y1281" i="39" s="1"/>
  <c r="Y1283" i="39" s="1"/>
  <c r="Y1284" i="39" s="1"/>
  <c r="Y1208" i="39"/>
  <c r="V1602" i="39"/>
  <c r="V1604" i="39" s="1"/>
  <c r="V1607" i="39" s="1"/>
  <c r="V1609" i="39" s="1"/>
  <c r="V1610" i="39" s="1"/>
  <c r="V1564" i="39"/>
  <c r="V1566" i="39" s="1"/>
  <c r="V1569" i="39" s="1"/>
  <c r="V1571" i="39" s="1"/>
  <c r="V1572" i="39" s="1"/>
  <c r="V1534" i="39"/>
  <c r="T1276" i="39"/>
  <c r="T1278" i="39" s="1"/>
  <c r="T1281" i="39" s="1"/>
  <c r="T1283" i="39" s="1"/>
  <c r="T1284" i="39" s="1"/>
  <c r="T1238" i="39"/>
  <c r="T1240" i="39" s="1"/>
  <c r="T1243" i="39" s="1"/>
  <c r="T1245" i="39" s="1"/>
  <c r="T1246" i="39" s="1"/>
  <c r="T1208" i="39"/>
  <c r="S260" i="39"/>
  <c r="S262" i="39" s="1"/>
  <c r="S265" i="39" s="1"/>
  <c r="S267" i="39" s="1"/>
  <c r="S268" i="39" s="1"/>
  <c r="S298" i="39"/>
  <c r="S300" i="39" s="1"/>
  <c r="S303" i="39" s="1"/>
  <c r="S305" i="39" s="1"/>
  <c r="S306" i="39" s="1"/>
  <c r="S230" i="39"/>
  <c r="P624" i="39"/>
  <c r="P626" i="39" s="1"/>
  <c r="P629" i="39" s="1"/>
  <c r="P631" i="39" s="1"/>
  <c r="P632" i="39" s="1"/>
  <c r="P586" i="39"/>
  <c r="P588" i="39" s="1"/>
  <c r="P591" i="39" s="1"/>
  <c r="P593" i="39" s="1"/>
  <c r="P594" i="39" s="1"/>
  <c r="P556" i="39"/>
  <c r="U1238" i="39"/>
  <c r="U1240" i="39" s="1"/>
  <c r="U1243" i="39" s="1"/>
  <c r="U1245" i="39" s="1"/>
  <c r="U1246" i="39" s="1"/>
  <c r="U1276" i="39"/>
  <c r="U1278" i="39" s="1"/>
  <c r="U1281" i="39" s="1"/>
  <c r="U1283" i="39" s="1"/>
  <c r="U1284" i="39" s="1"/>
  <c r="U1208" i="39"/>
  <c r="U1439" i="39"/>
  <c r="U1441" i="39" s="1"/>
  <c r="U1444" i="39" s="1"/>
  <c r="U1446" i="39" s="1"/>
  <c r="U1447" i="39" s="1"/>
  <c r="U1401" i="39"/>
  <c r="U1403" i="39" s="1"/>
  <c r="U1406" i="39" s="1"/>
  <c r="U1408" i="39" s="1"/>
  <c r="U1409" i="39" s="1"/>
  <c r="U1371" i="39"/>
  <c r="Y1564" i="39"/>
  <c r="Y1566" i="39" s="1"/>
  <c r="Y1569" i="39" s="1"/>
  <c r="Y1571" i="39" s="1"/>
  <c r="Y1572" i="39" s="1"/>
  <c r="Y1602" i="39"/>
  <c r="Y1604" i="39" s="1"/>
  <c r="Y1607" i="39" s="1"/>
  <c r="Y1609" i="39" s="1"/>
  <c r="Y1610" i="39" s="1"/>
  <c r="Y1534" i="39"/>
  <c r="W1401" i="39"/>
  <c r="W1403" i="39" s="1"/>
  <c r="W1406" i="39" s="1"/>
  <c r="W1408" i="39" s="1"/>
  <c r="W1409" i="39" s="1"/>
  <c r="W1439" i="39"/>
  <c r="W1441" i="39" s="1"/>
  <c r="W1444" i="39" s="1"/>
  <c r="W1446" i="39" s="1"/>
  <c r="W1447" i="39" s="1"/>
  <c r="W1371" i="39"/>
  <c r="Z749" i="39"/>
  <c r="Z751" i="39" s="1"/>
  <c r="Z754" i="39" s="1"/>
  <c r="Z756" i="39" s="1"/>
  <c r="Z757" i="39" s="1"/>
  <c r="Z787" i="39"/>
  <c r="Z789" i="39" s="1"/>
  <c r="Z792" i="39" s="1"/>
  <c r="Z794" i="39" s="1"/>
  <c r="Z795" i="39" s="1"/>
  <c r="Z719" i="39"/>
  <c r="X423" i="39"/>
  <c r="X425" i="39" s="1"/>
  <c r="X428" i="39" s="1"/>
  <c r="X430" i="39" s="1"/>
  <c r="X431" i="39" s="1"/>
  <c r="X461" i="39"/>
  <c r="X463" i="39" s="1"/>
  <c r="X466" i="39" s="1"/>
  <c r="X468" i="39" s="1"/>
  <c r="X469" i="39" s="1"/>
  <c r="X393" i="39"/>
  <c r="N787" i="39"/>
  <c r="N789" i="39" s="1"/>
  <c r="N792" i="39" s="1"/>
  <c r="N794" i="39" s="1"/>
  <c r="N795" i="39" s="1"/>
  <c r="N749" i="39"/>
  <c r="N751" i="39" s="1"/>
  <c r="N754" i="39" s="1"/>
  <c r="N756" i="39" s="1"/>
  <c r="N757" i="39" s="1"/>
  <c r="N719" i="39"/>
  <c r="X749" i="39"/>
  <c r="X751" i="39" s="1"/>
  <c r="X754" i="39" s="1"/>
  <c r="X756" i="39" s="1"/>
  <c r="X757" i="39" s="1"/>
  <c r="X787" i="39"/>
  <c r="X789" i="39" s="1"/>
  <c r="X792" i="39" s="1"/>
  <c r="X794" i="39" s="1"/>
  <c r="X795" i="39" s="1"/>
  <c r="X719" i="39"/>
  <c r="M461" i="39"/>
  <c r="M463" i="39" s="1"/>
  <c r="M466" i="39" s="1"/>
  <c r="M468" i="39" s="1"/>
  <c r="M469" i="39" s="1"/>
  <c r="M423" i="39"/>
  <c r="M425" i="39" s="1"/>
  <c r="M428" i="39" s="1"/>
  <c r="M430" i="39" s="1"/>
  <c r="M431" i="39" s="1"/>
  <c r="M393" i="39"/>
  <c r="N912" i="39"/>
  <c r="N914" i="39" s="1"/>
  <c r="N917" i="39" s="1"/>
  <c r="N919" i="39" s="1"/>
  <c r="N920" i="39" s="1"/>
  <c r="N950" i="39"/>
  <c r="N952" i="39" s="1"/>
  <c r="N955" i="39" s="1"/>
  <c r="N957" i="39" s="1"/>
  <c r="N958" i="39" s="1"/>
  <c r="N882" i="39"/>
  <c r="Z260" i="39"/>
  <c r="Z262" i="39" s="1"/>
  <c r="Z265" i="39" s="1"/>
  <c r="Z267" i="39" s="1"/>
  <c r="Z268" i="39" s="1"/>
  <c r="Z298" i="39"/>
  <c r="Z300" i="39" s="1"/>
  <c r="Z303" i="39" s="1"/>
  <c r="Z305" i="39" s="1"/>
  <c r="Z306" i="39" s="1"/>
  <c r="Z230" i="39"/>
  <c r="R260" i="39"/>
  <c r="R262" i="39" s="1"/>
  <c r="R265" i="39" s="1"/>
  <c r="R267" i="39" s="1"/>
  <c r="R268" i="39" s="1"/>
  <c r="R298" i="39"/>
  <c r="R300" i="39" s="1"/>
  <c r="R303" i="39" s="1"/>
  <c r="R305" i="39" s="1"/>
  <c r="R306" i="39" s="1"/>
  <c r="R230" i="39"/>
  <c r="Y423" i="39"/>
  <c r="Y425" i="39" s="1"/>
  <c r="Y428" i="39" s="1"/>
  <c r="Y430" i="39" s="1"/>
  <c r="Y431" i="39" s="1"/>
  <c r="Y461" i="39"/>
  <c r="Y463" i="39" s="1"/>
  <c r="Y466" i="39" s="1"/>
  <c r="Y468" i="39" s="1"/>
  <c r="Y469" i="39" s="1"/>
  <c r="Y393" i="39"/>
  <c r="Z1113" i="39"/>
  <c r="Z1115" i="39" s="1"/>
  <c r="Z1118" i="39" s="1"/>
  <c r="Z1120" i="39" s="1"/>
  <c r="Z1121" i="39" s="1"/>
  <c r="Z1075" i="39"/>
  <c r="Z1077" i="39" s="1"/>
  <c r="Z1080" i="39" s="1"/>
  <c r="Z1082" i="39" s="1"/>
  <c r="Z1083" i="39" s="1"/>
  <c r="Z1045" i="39"/>
  <c r="O1238" i="39"/>
  <c r="O1240" i="39" s="1"/>
  <c r="O1243" i="39" s="1"/>
  <c r="O1245" i="39" s="1"/>
  <c r="O1246" i="39" s="1"/>
  <c r="O1276" i="39"/>
  <c r="O1278" i="39" s="1"/>
  <c r="O1281" i="39" s="1"/>
  <c r="O1283" i="39" s="1"/>
  <c r="O1284" i="39" s="1"/>
  <c r="O1208" i="39"/>
  <c r="T461" i="39"/>
  <c r="T463" i="39" s="1"/>
  <c r="T466" i="39" s="1"/>
  <c r="T468" i="39" s="1"/>
  <c r="T469" i="39" s="1"/>
  <c r="T423" i="39"/>
  <c r="T425" i="39" s="1"/>
  <c r="T428" i="39" s="1"/>
  <c r="T430" i="39" s="1"/>
  <c r="T431" i="39" s="1"/>
  <c r="T393" i="39"/>
  <c r="P1238" i="39"/>
  <c r="P1240" i="39" s="1"/>
  <c r="P1243" i="39" s="1"/>
  <c r="P1245" i="39" s="1"/>
  <c r="P1246" i="39" s="1"/>
  <c r="P1276" i="39"/>
  <c r="P1278" i="39" s="1"/>
  <c r="P1281" i="39" s="1"/>
  <c r="P1283" i="39" s="1"/>
  <c r="P1284" i="39" s="1"/>
  <c r="P1208" i="39"/>
  <c r="N1276" i="39"/>
  <c r="N1278" i="39" s="1"/>
  <c r="N1281" i="39" s="1"/>
  <c r="N1283" i="39" s="1"/>
  <c r="N1284" i="39" s="1"/>
  <c r="N1238" i="39"/>
  <c r="N1240" i="39" s="1"/>
  <c r="N1243" i="39" s="1"/>
  <c r="N1245" i="39" s="1"/>
  <c r="N1246" i="39" s="1"/>
  <c r="N1208" i="39"/>
  <c r="V1238" i="39"/>
  <c r="V1240" i="39" s="1"/>
  <c r="V1243" i="39" s="1"/>
  <c r="V1245" i="39" s="1"/>
  <c r="V1246" i="39" s="1"/>
  <c r="V1276" i="39"/>
  <c r="V1278" i="39" s="1"/>
  <c r="V1281" i="39" s="1"/>
  <c r="V1283" i="39" s="1"/>
  <c r="V1284" i="39" s="1"/>
  <c r="V1208" i="39"/>
  <c r="Z1602" i="39"/>
  <c r="Z1604" i="39" s="1"/>
  <c r="Z1607" i="39" s="1"/>
  <c r="Z1609" i="39" s="1"/>
  <c r="Z1610" i="39" s="1"/>
  <c r="Z1564" i="39"/>
  <c r="Z1566" i="39" s="1"/>
  <c r="Z1569" i="39" s="1"/>
  <c r="Z1571" i="39" s="1"/>
  <c r="Z1572" i="39" s="1"/>
  <c r="Z1534" i="39"/>
  <c r="L1602" i="39"/>
  <c r="L1604" i="39" s="1"/>
  <c r="L1607" i="39" s="1"/>
  <c r="L1609" i="39" s="1"/>
  <c r="L1610" i="39" s="1"/>
  <c r="L1564" i="39"/>
  <c r="L1566" i="39" s="1"/>
  <c r="L1569" i="39" s="1"/>
  <c r="L1571" i="39" s="1"/>
  <c r="L1572" i="39" s="1"/>
  <c r="L1534" i="39"/>
  <c r="Q1238" i="39"/>
  <c r="Q1240" i="39" s="1"/>
  <c r="Q1243" i="39" s="1"/>
  <c r="Q1245" i="39" s="1"/>
  <c r="Q1246" i="39" s="1"/>
  <c r="Q1276" i="39"/>
  <c r="Q1278" i="39" s="1"/>
  <c r="Q1281" i="39" s="1"/>
  <c r="Q1283" i="39" s="1"/>
  <c r="Q1284" i="39" s="1"/>
  <c r="Q1208" i="39"/>
  <c r="L912" i="39"/>
  <c r="L914" i="39" s="1"/>
  <c r="L917" i="39" s="1"/>
  <c r="L919" i="39" s="1"/>
  <c r="L920" i="39" s="1"/>
  <c r="L950" i="39"/>
  <c r="L952" i="39" s="1"/>
  <c r="L955" i="39" s="1"/>
  <c r="L957" i="39" s="1"/>
  <c r="L958" i="39" s="1"/>
  <c r="L882" i="39"/>
  <c r="V260" i="39"/>
  <c r="V262" i="39" s="1"/>
  <c r="V265" i="39" s="1"/>
  <c r="V267" i="39" s="1"/>
  <c r="V268" i="39" s="1"/>
  <c r="V298" i="39"/>
  <c r="V300" i="39" s="1"/>
  <c r="V303" i="39" s="1"/>
  <c r="V305" i="39" s="1"/>
  <c r="V306" i="39" s="1"/>
  <c r="V230" i="39"/>
  <c r="R423" i="39"/>
  <c r="R425" i="39" s="1"/>
  <c r="R428" i="39" s="1"/>
  <c r="R430" i="39" s="1"/>
  <c r="R431" i="39" s="1"/>
  <c r="R461" i="39"/>
  <c r="R463" i="39" s="1"/>
  <c r="R466" i="39" s="1"/>
  <c r="R468" i="39" s="1"/>
  <c r="R469" i="39" s="1"/>
  <c r="R393" i="39"/>
  <c r="U749" i="39"/>
  <c r="U751" i="39" s="1"/>
  <c r="U754" i="39" s="1"/>
  <c r="U756" i="39" s="1"/>
  <c r="U757" i="39" s="1"/>
  <c r="U787" i="39"/>
  <c r="U789" i="39" s="1"/>
  <c r="U792" i="39" s="1"/>
  <c r="U794" i="39" s="1"/>
  <c r="U795" i="39" s="1"/>
  <c r="U719" i="39"/>
  <c r="X912" i="39"/>
  <c r="X914" i="39" s="1"/>
  <c r="X917" i="39" s="1"/>
  <c r="X919" i="39" s="1"/>
  <c r="X920" i="39" s="1"/>
  <c r="X950" i="39"/>
  <c r="X952" i="39" s="1"/>
  <c r="X955" i="39" s="1"/>
  <c r="X957" i="39" s="1"/>
  <c r="X958" i="39" s="1"/>
  <c r="X882" i="39"/>
  <c r="Q260" i="39"/>
  <c r="Q262" i="39" s="1"/>
  <c r="Q265" i="39" s="1"/>
  <c r="Q267" i="39" s="1"/>
  <c r="Q268" i="39" s="1"/>
  <c r="Q298" i="39"/>
  <c r="Q300" i="39" s="1"/>
  <c r="Q303" i="39" s="1"/>
  <c r="Q305" i="39" s="1"/>
  <c r="Q306" i="39" s="1"/>
  <c r="Q230" i="39"/>
  <c r="L787" i="39"/>
  <c r="L789" i="39" s="1"/>
  <c r="L792" i="39" s="1"/>
  <c r="L794" i="39" s="1"/>
  <c r="L795" i="39" s="1"/>
  <c r="L749" i="39"/>
  <c r="L751" i="39" s="1"/>
  <c r="L754" i="39" s="1"/>
  <c r="L756" i="39" s="1"/>
  <c r="L757" i="39" s="1"/>
  <c r="L719" i="39"/>
  <c r="L1401" i="39"/>
  <c r="L1403" i="39" s="1"/>
  <c r="L1406" i="39" s="1"/>
  <c r="L1408" i="39" s="1"/>
  <c r="L1409" i="39" s="1"/>
  <c r="L1439" i="39"/>
  <c r="L1441" i="39" s="1"/>
  <c r="L1444" i="39" s="1"/>
  <c r="L1446" i="39" s="1"/>
  <c r="L1447" i="39" s="1"/>
  <c r="L1371" i="39"/>
  <c r="O749" i="39"/>
  <c r="O751" i="39" s="1"/>
  <c r="O754" i="39" s="1"/>
  <c r="O756" i="39" s="1"/>
  <c r="O757" i="39" s="1"/>
  <c r="O787" i="39"/>
  <c r="O789" i="39" s="1"/>
  <c r="O792" i="39" s="1"/>
  <c r="O794" i="39" s="1"/>
  <c r="O795" i="39" s="1"/>
  <c r="O719" i="39"/>
  <c r="R586" i="39"/>
  <c r="R588" i="39" s="1"/>
  <c r="R591" i="39" s="1"/>
  <c r="R593" i="39" s="1"/>
  <c r="R594" i="39" s="1"/>
  <c r="R624" i="39"/>
  <c r="R626" i="39" s="1"/>
  <c r="R629" i="39" s="1"/>
  <c r="R631" i="39" s="1"/>
  <c r="R632" i="39" s="1"/>
  <c r="R556" i="39"/>
  <c r="L624" i="39"/>
  <c r="L626" i="39" s="1"/>
  <c r="L629" i="39" s="1"/>
  <c r="L631" i="39" s="1"/>
  <c r="L632" i="39" s="1"/>
  <c r="L586" i="39"/>
  <c r="L588" i="39" s="1"/>
  <c r="L591" i="39" s="1"/>
  <c r="L593" i="39" s="1"/>
  <c r="L594" i="39" s="1"/>
  <c r="L556" i="39"/>
  <c r="Q1075" i="39"/>
  <c r="Q1077" i="39" s="1"/>
  <c r="Q1080" i="39" s="1"/>
  <c r="Q1082" i="39" s="1"/>
  <c r="Q1083" i="39" s="1"/>
  <c r="Q1113" i="39"/>
  <c r="Q1115" i="39" s="1"/>
  <c r="Q1118" i="39" s="1"/>
  <c r="Q1120" i="39" s="1"/>
  <c r="Q1121" i="39" s="1"/>
  <c r="Q1045" i="39"/>
  <c r="Y1113" i="39"/>
  <c r="Y1115" i="39" s="1"/>
  <c r="Y1118" i="39" s="1"/>
  <c r="Y1120" i="39" s="1"/>
  <c r="Y1121" i="39" s="1"/>
  <c r="Y1075" i="39"/>
  <c r="Y1077" i="39" s="1"/>
  <c r="Y1080" i="39" s="1"/>
  <c r="Y1082" i="39" s="1"/>
  <c r="Y1083" i="39" s="1"/>
  <c r="Y1045" i="39"/>
  <c r="N586" i="39"/>
  <c r="N588" i="39" s="1"/>
  <c r="N591" i="39" s="1"/>
  <c r="N593" i="39" s="1"/>
  <c r="N594" i="39" s="1"/>
  <c r="N624" i="39"/>
  <c r="N626" i="39" s="1"/>
  <c r="N629" i="39" s="1"/>
  <c r="N631" i="39" s="1"/>
  <c r="N632" i="39" s="1"/>
  <c r="N556" i="39"/>
  <c r="Q950" i="39"/>
  <c r="Q952" i="39" s="1"/>
  <c r="Q955" i="39" s="1"/>
  <c r="Q957" i="39" s="1"/>
  <c r="Q958" i="39" s="1"/>
  <c r="Q912" i="39"/>
  <c r="Q914" i="39" s="1"/>
  <c r="Q917" i="39" s="1"/>
  <c r="Q919" i="39" s="1"/>
  <c r="Q920" i="39" s="1"/>
  <c r="Q882" i="39"/>
  <c r="Q423" i="39"/>
  <c r="Q425" i="39" s="1"/>
  <c r="Q428" i="39" s="1"/>
  <c r="Q430" i="39" s="1"/>
  <c r="Q431" i="39" s="1"/>
  <c r="Q461" i="39"/>
  <c r="Q463" i="39" s="1"/>
  <c r="Q466" i="39" s="1"/>
  <c r="Q468" i="39" s="1"/>
  <c r="Q469" i="39" s="1"/>
  <c r="Q393" i="39"/>
  <c r="M1113" i="39"/>
  <c r="M1115" i="39" s="1"/>
  <c r="M1118" i="39" s="1"/>
  <c r="M1120" i="39" s="1"/>
  <c r="M1121" i="39" s="1"/>
  <c r="M1075" i="39"/>
  <c r="M1077" i="39" s="1"/>
  <c r="M1080" i="39" s="1"/>
  <c r="M1082" i="39" s="1"/>
  <c r="M1083" i="39" s="1"/>
  <c r="M1045" i="39"/>
  <c r="Z461" i="39"/>
  <c r="Z463" i="39" s="1"/>
  <c r="Z466" i="39" s="1"/>
  <c r="Z468" i="39" s="1"/>
  <c r="Z469" i="39" s="1"/>
  <c r="Z423" i="39"/>
  <c r="Z425" i="39" s="1"/>
  <c r="Z428" i="39" s="1"/>
  <c r="Z430" i="39" s="1"/>
  <c r="Z431" i="39" s="1"/>
  <c r="Z393" i="39"/>
  <c r="T1439" i="39"/>
  <c r="T1441" i="39" s="1"/>
  <c r="T1444" i="39" s="1"/>
  <c r="T1446" i="39" s="1"/>
  <c r="T1447" i="39" s="1"/>
  <c r="T1401" i="39"/>
  <c r="T1403" i="39" s="1"/>
  <c r="T1406" i="39" s="1"/>
  <c r="T1408" i="39" s="1"/>
  <c r="T1409" i="39" s="1"/>
  <c r="T1371" i="39"/>
  <c r="V1075" i="39"/>
  <c r="V1077" i="39" s="1"/>
  <c r="V1080" i="39" s="1"/>
  <c r="V1082" i="39" s="1"/>
  <c r="V1083" i="39" s="1"/>
  <c r="V1113" i="39"/>
  <c r="V1115" i="39" s="1"/>
  <c r="V1118" i="39" s="1"/>
  <c r="V1120" i="39" s="1"/>
  <c r="V1121" i="39" s="1"/>
  <c r="V1045" i="39"/>
  <c r="W1238" i="39"/>
  <c r="W1240" i="39" s="1"/>
  <c r="W1243" i="39" s="1"/>
  <c r="W1245" i="39" s="1"/>
  <c r="W1246" i="39" s="1"/>
  <c r="W1276" i="39"/>
  <c r="W1278" i="39" s="1"/>
  <c r="W1281" i="39" s="1"/>
  <c r="W1283" i="39" s="1"/>
  <c r="W1284" i="39" s="1"/>
  <c r="W1208" i="39"/>
  <c r="M950" i="39"/>
  <c r="M952" i="39" s="1"/>
  <c r="M955" i="39" s="1"/>
  <c r="M957" i="39" s="1"/>
  <c r="M958" i="39" s="1"/>
  <c r="M912" i="39"/>
  <c r="M914" i="39" s="1"/>
  <c r="M917" i="39" s="1"/>
  <c r="M919" i="39" s="1"/>
  <c r="M920" i="39" s="1"/>
  <c r="M882" i="39"/>
  <c r="O1439" i="39"/>
  <c r="O1441" i="39" s="1"/>
  <c r="O1444" i="39" s="1"/>
  <c r="O1446" i="39" s="1"/>
  <c r="O1447" i="39" s="1"/>
  <c r="O1401" i="39"/>
  <c r="O1403" i="39" s="1"/>
  <c r="O1406" i="39" s="1"/>
  <c r="O1408" i="39" s="1"/>
  <c r="O1409" i="39" s="1"/>
  <c r="O1371" i="39"/>
  <c r="W912" i="39"/>
  <c r="W914" i="39" s="1"/>
  <c r="W917" i="39" s="1"/>
  <c r="W919" i="39" s="1"/>
  <c r="W920" i="39" s="1"/>
  <c r="W950" i="39"/>
  <c r="W952" i="39" s="1"/>
  <c r="W955" i="39" s="1"/>
  <c r="W957" i="39" s="1"/>
  <c r="W958" i="39" s="1"/>
  <c r="W882" i="39"/>
  <c r="Z586" i="39"/>
  <c r="Z588" i="39" s="1"/>
  <c r="Z591" i="39" s="1"/>
  <c r="Z593" i="39" s="1"/>
  <c r="Z594" i="39" s="1"/>
  <c r="Z624" i="39"/>
  <c r="Z626" i="39" s="1"/>
  <c r="Z629" i="39" s="1"/>
  <c r="Z631" i="39" s="1"/>
  <c r="Z632" i="39" s="1"/>
  <c r="Z556" i="39"/>
  <c r="Y586" i="39"/>
  <c r="Y588" i="39" s="1"/>
  <c r="Y591" i="39" s="1"/>
  <c r="Y593" i="39" s="1"/>
  <c r="Y594" i="39" s="1"/>
  <c r="Y624" i="39"/>
  <c r="Y626" i="39" s="1"/>
  <c r="Y629" i="39" s="1"/>
  <c r="Y631" i="39" s="1"/>
  <c r="Y632" i="39" s="1"/>
  <c r="Y556" i="39"/>
  <c r="P1401" i="39"/>
  <c r="P1403" i="39" s="1"/>
  <c r="P1406" i="39" s="1"/>
  <c r="P1408" i="39" s="1"/>
  <c r="P1409" i="39" s="1"/>
  <c r="P1439" i="39"/>
  <c r="P1441" i="39" s="1"/>
  <c r="P1444" i="39" s="1"/>
  <c r="P1446" i="39" s="1"/>
  <c r="P1447" i="39" s="1"/>
  <c r="P1371" i="39"/>
  <c r="O260" i="39"/>
  <c r="O262" i="39" s="1"/>
  <c r="O265" i="39" s="1"/>
  <c r="O267" i="39" s="1"/>
  <c r="O268" i="39" s="1"/>
  <c r="O298" i="39"/>
  <c r="O300" i="39" s="1"/>
  <c r="O303" i="39" s="1"/>
  <c r="O305" i="39" s="1"/>
  <c r="O306" i="39" s="1"/>
  <c r="O230" i="39"/>
  <c r="X298" i="39"/>
  <c r="X300" i="39" s="1"/>
  <c r="X303" i="39" s="1"/>
  <c r="X305" i="39" s="1"/>
  <c r="X306" i="39" s="1"/>
  <c r="X260" i="39"/>
  <c r="X262" i="39" s="1"/>
  <c r="X265" i="39" s="1"/>
  <c r="X267" i="39" s="1"/>
  <c r="X268" i="39" s="1"/>
  <c r="X230" i="39"/>
  <c r="O912" i="39"/>
  <c r="O914" i="39" s="1"/>
  <c r="O917" i="39" s="1"/>
  <c r="O919" i="39" s="1"/>
  <c r="O920" i="39" s="1"/>
  <c r="O950" i="39"/>
  <c r="O952" i="39" s="1"/>
  <c r="O955" i="39" s="1"/>
  <c r="O957" i="39" s="1"/>
  <c r="O958" i="39" s="1"/>
  <c r="O882" i="39"/>
  <c r="U423" i="39"/>
  <c r="U425" i="39" s="1"/>
  <c r="U428" i="39" s="1"/>
  <c r="U430" i="39" s="1"/>
  <c r="U431" i="39" s="1"/>
  <c r="U461" i="39"/>
  <c r="U463" i="39" s="1"/>
  <c r="U466" i="39" s="1"/>
  <c r="U468" i="39" s="1"/>
  <c r="U469" i="39" s="1"/>
  <c r="U393" i="39"/>
  <c r="L1276" i="39"/>
  <c r="L1278" i="39" s="1"/>
  <c r="L1281" i="39" s="1"/>
  <c r="L1283" i="39" s="1"/>
  <c r="L1284" i="39" s="1"/>
  <c r="L1238" i="39"/>
  <c r="L1240" i="39" s="1"/>
  <c r="L1243" i="39" s="1"/>
  <c r="L1245" i="39" s="1"/>
  <c r="L1246" i="39" s="1"/>
  <c r="L1208" i="39"/>
  <c r="V461" i="39"/>
  <c r="V463" i="39" s="1"/>
  <c r="V466" i="39" s="1"/>
  <c r="V468" i="39" s="1"/>
  <c r="V469" i="39" s="1"/>
  <c r="V423" i="39"/>
  <c r="V425" i="39" s="1"/>
  <c r="V428" i="39" s="1"/>
  <c r="V430" i="39" s="1"/>
  <c r="V431" i="39" s="1"/>
  <c r="V393" i="39"/>
  <c r="Z1276" i="39"/>
  <c r="Z1278" i="39" s="1"/>
  <c r="Z1281" i="39" s="1"/>
  <c r="Z1283" i="39" s="1"/>
  <c r="Z1284" i="39" s="1"/>
  <c r="Z1238" i="39"/>
  <c r="Z1240" i="39" s="1"/>
  <c r="Z1243" i="39" s="1"/>
  <c r="Z1245" i="39" s="1"/>
  <c r="Z1246" i="39" s="1"/>
  <c r="Z1208" i="39"/>
  <c r="S1113" i="39"/>
  <c r="S1115" i="39" s="1"/>
  <c r="S1118" i="39" s="1"/>
  <c r="S1120" i="39" s="1"/>
  <c r="S1121" i="39" s="1"/>
  <c r="S1075" i="39"/>
  <c r="S1077" i="39" s="1"/>
  <c r="S1080" i="39" s="1"/>
  <c r="S1082" i="39" s="1"/>
  <c r="S1083" i="39" s="1"/>
  <c r="S1045" i="39"/>
  <c r="O461" i="39"/>
  <c r="O463" i="39" s="1"/>
  <c r="O466" i="39" s="1"/>
  <c r="O468" i="39" s="1"/>
  <c r="O469" i="39" s="1"/>
  <c r="O423" i="39"/>
  <c r="O425" i="39" s="1"/>
  <c r="O428" i="39" s="1"/>
  <c r="O430" i="39" s="1"/>
  <c r="O431" i="39" s="1"/>
  <c r="O393" i="39"/>
  <c r="S624" i="39"/>
  <c r="S626" i="39" s="1"/>
  <c r="S629" i="39" s="1"/>
  <c r="S631" i="39" s="1"/>
  <c r="S632" i="39" s="1"/>
  <c r="S586" i="39"/>
  <c r="S588" i="39" s="1"/>
  <c r="S591" i="39" s="1"/>
  <c r="S593" i="39" s="1"/>
  <c r="S594" i="39" s="1"/>
  <c r="S556" i="39"/>
  <c r="U950" i="39"/>
  <c r="U952" i="39" s="1"/>
  <c r="U955" i="39" s="1"/>
  <c r="U957" i="39" s="1"/>
  <c r="U958" i="39" s="1"/>
  <c r="U912" i="39"/>
  <c r="U914" i="39" s="1"/>
  <c r="U917" i="39" s="1"/>
  <c r="U919" i="39" s="1"/>
  <c r="U920" i="39" s="1"/>
  <c r="U882" i="39"/>
  <c r="O1113" i="39"/>
  <c r="O1115" i="39" s="1"/>
  <c r="O1118" i="39" s="1"/>
  <c r="O1120" i="39" s="1"/>
  <c r="O1121" i="39" s="1"/>
  <c r="O1075" i="39"/>
  <c r="O1077" i="39" s="1"/>
  <c r="O1080" i="39" s="1"/>
  <c r="O1082" i="39" s="1"/>
  <c r="O1083" i="39" s="1"/>
  <c r="O1045" i="39"/>
  <c r="Z950" i="39"/>
  <c r="Z952" i="39" s="1"/>
  <c r="Z955" i="39" s="1"/>
  <c r="Z957" i="39" s="1"/>
  <c r="Z958" i="39" s="1"/>
  <c r="Z912" i="39"/>
  <c r="Z914" i="39" s="1"/>
  <c r="Z917" i="39" s="1"/>
  <c r="Z919" i="39" s="1"/>
  <c r="Z920" i="39" s="1"/>
  <c r="Z882" i="39"/>
  <c r="O586" i="39"/>
  <c r="O588" i="39" s="1"/>
  <c r="O591" i="39" s="1"/>
  <c r="O593" i="39" s="1"/>
  <c r="O594" i="39" s="1"/>
  <c r="O624" i="39"/>
  <c r="O626" i="39" s="1"/>
  <c r="O629" i="39" s="1"/>
  <c r="O631" i="39" s="1"/>
  <c r="O632" i="39" s="1"/>
  <c r="O556" i="39"/>
  <c r="W624" i="39"/>
  <c r="W626" i="39" s="1"/>
  <c r="W629" i="39" s="1"/>
  <c r="W631" i="39" s="1"/>
  <c r="W632" i="39" s="1"/>
  <c r="W586" i="39"/>
  <c r="W588" i="39" s="1"/>
  <c r="W591" i="39" s="1"/>
  <c r="W593" i="39" s="1"/>
  <c r="W594" i="39" s="1"/>
  <c r="W556" i="39"/>
  <c r="M260" i="39"/>
  <c r="M262" i="39" s="1"/>
  <c r="M265" i="39" s="1"/>
  <c r="M267" i="39" s="1"/>
  <c r="M268" i="39" s="1"/>
  <c r="M298" i="39"/>
  <c r="M300" i="39" s="1"/>
  <c r="M303" i="39" s="1"/>
  <c r="M305" i="39" s="1"/>
  <c r="M306" i="39" s="1"/>
  <c r="M230" i="39"/>
  <c r="S1238" i="39"/>
  <c r="S1240" i="39" s="1"/>
  <c r="S1243" i="39" s="1"/>
  <c r="S1245" i="39" s="1"/>
  <c r="S1246" i="39" s="1"/>
  <c r="S1276" i="39"/>
  <c r="S1278" i="39" s="1"/>
  <c r="S1281" i="39" s="1"/>
  <c r="S1283" i="39" s="1"/>
  <c r="S1284" i="39" s="1"/>
  <c r="S1208" i="39"/>
  <c r="N1401" i="39"/>
  <c r="N1403" i="39" s="1"/>
  <c r="N1406" i="39" s="1"/>
  <c r="N1408" i="39" s="1"/>
  <c r="N1409" i="39" s="1"/>
  <c r="N1439" i="39"/>
  <c r="N1441" i="39" s="1"/>
  <c r="N1444" i="39" s="1"/>
  <c r="N1446" i="39" s="1"/>
  <c r="N1447" i="39" s="1"/>
  <c r="N1371" i="39"/>
  <c r="T1564" i="39"/>
  <c r="T1566" i="39" s="1"/>
  <c r="T1569" i="39" s="1"/>
  <c r="T1571" i="39" s="1"/>
  <c r="T1572" i="39" s="1"/>
  <c r="T1602" i="39"/>
  <c r="T1604" i="39" s="1"/>
  <c r="T1607" i="39" s="1"/>
  <c r="T1609" i="39" s="1"/>
  <c r="T1610" i="39" s="1"/>
  <c r="T1534" i="39"/>
  <c r="W1564" i="39"/>
  <c r="W1566" i="39" s="1"/>
  <c r="W1569" i="39" s="1"/>
  <c r="W1571" i="39" s="1"/>
  <c r="W1572" i="39" s="1"/>
  <c r="W1602" i="39"/>
  <c r="W1604" i="39" s="1"/>
  <c r="W1607" i="39" s="1"/>
  <c r="W1609" i="39" s="1"/>
  <c r="W1610" i="39" s="1"/>
  <c r="W1534" i="39"/>
  <c r="N260" i="39"/>
  <c r="N262" i="39" s="1"/>
  <c r="N265" i="39" s="1"/>
  <c r="N267" i="39" s="1"/>
  <c r="N268" i="39" s="1"/>
  <c r="N298" i="39"/>
  <c r="N300" i="39" s="1"/>
  <c r="N303" i="39" s="1"/>
  <c r="N305" i="39" s="1"/>
  <c r="N306" i="39" s="1"/>
  <c r="N230" i="39"/>
  <c r="P1564" i="39"/>
  <c r="P1566" i="39" s="1"/>
  <c r="P1569" i="39" s="1"/>
  <c r="P1571" i="39" s="1"/>
  <c r="P1572" i="39" s="1"/>
  <c r="P1602" i="39"/>
  <c r="P1604" i="39" s="1"/>
  <c r="P1607" i="39" s="1"/>
  <c r="P1609" i="39" s="1"/>
  <c r="P1610" i="39" s="1"/>
  <c r="P1534" i="39"/>
  <c r="R1238" i="39"/>
  <c r="R1240" i="39" s="1"/>
  <c r="R1243" i="39" s="1"/>
  <c r="R1245" i="39" s="1"/>
  <c r="R1246" i="39" s="1"/>
  <c r="R1276" i="39"/>
  <c r="R1278" i="39" s="1"/>
  <c r="R1281" i="39" s="1"/>
  <c r="R1283" i="39" s="1"/>
  <c r="R1284" i="39" s="1"/>
  <c r="R1208" i="39"/>
  <c r="X1439" i="39"/>
  <c r="X1441" i="39" s="1"/>
  <c r="X1444" i="39" s="1"/>
  <c r="X1446" i="39" s="1"/>
  <c r="X1447" i="39" s="1"/>
  <c r="X1401" i="39"/>
  <c r="X1403" i="39" s="1"/>
  <c r="X1406" i="39" s="1"/>
  <c r="X1408" i="39" s="1"/>
  <c r="X1409" i="39" s="1"/>
  <c r="X1371" i="39"/>
  <c r="N1564" i="39"/>
  <c r="N1566" i="39" s="1"/>
  <c r="N1569" i="39" s="1"/>
  <c r="N1571" i="39" s="1"/>
  <c r="N1572" i="39" s="1"/>
  <c r="N1602" i="39"/>
  <c r="N1604" i="39" s="1"/>
  <c r="N1607" i="39" s="1"/>
  <c r="N1609" i="39" s="1"/>
  <c r="N1610" i="39" s="1"/>
  <c r="N1534" i="39"/>
  <c r="J17" i="48"/>
  <c r="K17" i="48" s="1"/>
  <c r="G19" i="48"/>
  <c r="P1144" i="39" l="1"/>
  <c r="P1145" i="39" s="1"/>
  <c r="P1146" i="39" s="1"/>
  <c r="P1148" i="39" s="1"/>
  <c r="P1131" i="39"/>
  <c r="Y981" i="39"/>
  <c r="Y982" i="39" s="1"/>
  <c r="Y983" i="39" s="1"/>
  <c r="Y985" i="39" s="1"/>
  <c r="Y968" i="39"/>
  <c r="S818" i="39"/>
  <c r="S819" i="39" s="1"/>
  <c r="S820" i="39" s="1"/>
  <c r="S822" i="39" s="1"/>
  <c r="S805" i="39"/>
  <c r="U329" i="39"/>
  <c r="U330" i="39" s="1"/>
  <c r="U331" i="39" s="1"/>
  <c r="U333" i="39" s="1"/>
  <c r="U316" i="39"/>
  <c r="M1470" i="39"/>
  <c r="M1471" i="39" s="1"/>
  <c r="M1472" i="39" s="1"/>
  <c r="M1474" i="39" s="1"/>
  <c r="M1457" i="39"/>
  <c r="S981" i="39"/>
  <c r="S982" i="39" s="1"/>
  <c r="S983" i="39" s="1"/>
  <c r="S985" i="39" s="1"/>
  <c r="S968" i="39"/>
  <c r="P316" i="39"/>
  <c r="P329" i="39"/>
  <c r="P330" i="39" s="1"/>
  <c r="P331" i="39" s="1"/>
  <c r="P333" i="39" s="1"/>
  <c r="X1307" i="39"/>
  <c r="X1308" i="39" s="1"/>
  <c r="X1309" i="39" s="1"/>
  <c r="X1311" i="39" s="1"/>
  <c r="X1294" i="39"/>
  <c r="V1307" i="39"/>
  <c r="V1294" i="39"/>
  <c r="R805" i="39"/>
  <c r="R818" i="39"/>
  <c r="R819" i="39" s="1"/>
  <c r="R820" i="39" s="1"/>
  <c r="R822" i="39" s="1"/>
  <c r="O1457" i="39"/>
  <c r="O1470" i="39"/>
  <c r="O1471" i="39" s="1"/>
  <c r="O1472" i="39" s="1"/>
  <c r="O1474" i="39" s="1"/>
  <c r="Q1144" i="39"/>
  <c r="Q1131" i="39"/>
  <c r="L329" i="39"/>
  <c r="L330" i="39" s="1"/>
  <c r="L331" i="39" s="1"/>
  <c r="L316" i="39"/>
  <c r="M1633" i="39"/>
  <c r="M1634" i="39" s="1"/>
  <c r="M1635" i="39" s="1"/>
  <c r="M1637" i="39" s="1"/>
  <c r="M1620" i="39"/>
  <c r="V805" i="39"/>
  <c r="V818" i="39"/>
  <c r="V819" i="39" s="1"/>
  <c r="V820" i="39" s="1"/>
  <c r="V822" i="39" s="1"/>
  <c r="P1457" i="39"/>
  <c r="P1470" i="39"/>
  <c r="P1471" i="39" s="1"/>
  <c r="P1472" i="39" s="1"/>
  <c r="P1474" i="39" s="1"/>
  <c r="S1144" i="39"/>
  <c r="S1145" i="39" s="1"/>
  <c r="S1146" i="39" s="1"/>
  <c r="S1148" i="39" s="1"/>
  <c r="S1131" i="39"/>
  <c r="X968" i="39"/>
  <c r="X981" i="39"/>
  <c r="X982" i="39" s="1"/>
  <c r="X983" i="39" s="1"/>
  <c r="X985" i="39" s="1"/>
  <c r="T479" i="39"/>
  <c r="T492" i="39"/>
  <c r="T493" i="39" s="1"/>
  <c r="T494" i="39" s="1"/>
  <c r="T496" i="39" s="1"/>
  <c r="Z805" i="39"/>
  <c r="Z818" i="39"/>
  <c r="Z819" i="39" s="1"/>
  <c r="Z820" i="39" s="1"/>
  <c r="Z822" i="39" s="1"/>
  <c r="V1633" i="39"/>
  <c r="V1634" i="39" s="1"/>
  <c r="V1635" i="39" s="1"/>
  <c r="V1637" i="39" s="1"/>
  <c r="V1620" i="39"/>
  <c r="M805" i="39"/>
  <c r="M818" i="39"/>
  <c r="M819" i="39" s="1"/>
  <c r="M820" i="39" s="1"/>
  <c r="M822" i="39" s="1"/>
  <c r="S492" i="39"/>
  <c r="S493" i="39" s="1"/>
  <c r="S494" i="39" s="1"/>
  <c r="S496" i="39" s="1"/>
  <c r="S479" i="39"/>
  <c r="T316" i="39"/>
  <c r="T329" i="39"/>
  <c r="T330" i="39" s="1"/>
  <c r="T331" i="39" s="1"/>
  <c r="T333" i="39" s="1"/>
  <c r="P1633" i="39"/>
  <c r="P1634" i="39" s="1"/>
  <c r="P1635" i="39" s="1"/>
  <c r="P1637" i="39" s="1"/>
  <c r="P1620" i="39"/>
  <c r="O968" i="39"/>
  <c r="O981" i="39"/>
  <c r="O982" i="39" s="1"/>
  <c r="O983" i="39" s="1"/>
  <c r="O985" i="39" s="1"/>
  <c r="N1457" i="39"/>
  <c r="N1470" i="39"/>
  <c r="N1471" i="39" s="1"/>
  <c r="N1472" i="39" s="1"/>
  <c r="N1474" i="39" s="1"/>
  <c r="N329" i="39"/>
  <c r="N330" i="39" s="1"/>
  <c r="N331" i="39" s="1"/>
  <c r="N333" i="39" s="1"/>
  <c r="N316" i="39"/>
  <c r="U968" i="39"/>
  <c r="U981" i="39"/>
  <c r="U982" i="39" s="1"/>
  <c r="U983" i="39" s="1"/>
  <c r="U985" i="39" s="1"/>
  <c r="Z492" i="39"/>
  <c r="Z493" i="39" s="1"/>
  <c r="Z494" i="39" s="1"/>
  <c r="Z496" i="39" s="1"/>
  <c r="Z479" i="39"/>
  <c r="O805" i="39"/>
  <c r="O818" i="39"/>
  <c r="O819" i="39" s="1"/>
  <c r="O820" i="39" s="1"/>
  <c r="O822" i="39" s="1"/>
  <c r="N1294" i="39"/>
  <c r="N1307" i="39"/>
  <c r="N1308" i="39" s="1"/>
  <c r="N1309" i="39" s="1"/>
  <c r="N1311" i="39" s="1"/>
  <c r="M479" i="39"/>
  <c r="M492" i="39"/>
  <c r="M493" i="39" s="1"/>
  <c r="M494" i="39" s="1"/>
  <c r="M496" i="39" s="1"/>
  <c r="S1633" i="39"/>
  <c r="S1634" i="39" s="1"/>
  <c r="S1635" i="39" s="1"/>
  <c r="S1637" i="39" s="1"/>
  <c r="S1620" i="39"/>
  <c r="S1457" i="39"/>
  <c r="S1470" i="39"/>
  <c r="S1471" i="39" s="1"/>
  <c r="S1472" i="39" s="1"/>
  <c r="S1474" i="39" s="1"/>
  <c r="Q818" i="39"/>
  <c r="Q819" i="39" s="1"/>
  <c r="Q820" i="39" s="1"/>
  <c r="Q822" i="39" s="1"/>
  <c r="Q805" i="39"/>
  <c r="Y1470" i="39"/>
  <c r="Y1471" i="39" s="1"/>
  <c r="Y1472" i="39" s="1"/>
  <c r="Y1474" i="39" s="1"/>
  <c r="Y1457" i="39"/>
  <c r="M1294" i="39"/>
  <c r="M1307" i="39"/>
  <c r="M1308" i="39" s="1"/>
  <c r="M1309" i="39" s="1"/>
  <c r="M1311" i="39" s="1"/>
  <c r="Y479" i="39"/>
  <c r="Y492" i="39"/>
  <c r="Y493" i="39" s="1"/>
  <c r="Y494" i="39" s="1"/>
  <c r="Y496" i="39" s="1"/>
  <c r="R1457" i="39"/>
  <c r="R1470" i="39"/>
  <c r="R1471" i="39" s="1"/>
  <c r="R1472" i="39" s="1"/>
  <c r="R1474" i="39" s="1"/>
  <c r="Q968" i="39"/>
  <c r="Q981" i="39"/>
  <c r="Q982" i="39" s="1"/>
  <c r="Q983" i="39" s="1"/>
  <c r="Q985" i="39" s="1"/>
  <c r="X1620" i="39"/>
  <c r="X1633" i="39"/>
  <c r="X1634" i="39" s="1"/>
  <c r="X1635" i="39" s="1"/>
  <c r="X1637" i="39" s="1"/>
  <c r="X1470" i="39"/>
  <c r="X1471" i="39" s="1"/>
  <c r="X1472" i="39" s="1"/>
  <c r="X1474" i="39" s="1"/>
  <c r="X1457" i="39"/>
  <c r="L1294" i="39"/>
  <c r="L1307" i="39"/>
  <c r="L1308" i="39" s="1"/>
  <c r="L1309" i="39" s="1"/>
  <c r="M968" i="39"/>
  <c r="M981" i="39"/>
  <c r="M982" i="39" s="1"/>
  <c r="M983" i="39" s="1"/>
  <c r="M985" i="39" s="1"/>
  <c r="S1307" i="39"/>
  <c r="S1308" i="39" s="1"/>
  <c r="S1309" i="39" s="1"/>
  <c r="S1311" i="39" s="1"/>
  <c r="S1294" i="39"/>
  <c r="X805" i="39"/>
  <c r="X818" i="39"/>
  <c r="X819" i="39" s="1"/>
  <c r="X820" i="39" s="1"/>
  <c r="X822" i="39" s="1"/>
  <c r="U1633" i="39"/>
  <c r="U1634" i="39" s="1"/>
  <c r="U1635" i="39" s="1"/>
  <c r="U1637" i="39" s="1"/>
  <c r="U1620" i="39"/>
  <c r="Y805" i="39"/>
  <c r="Y818" i="39"/>
  <c r="Y819" i="39" s="1"/>
  <c r="Y820" i="39" s="1"/>
  <c r="Y822" i="39" s="1"/>
  <c r="P805" i="39"/>
  <c r="P818" i="39"/>
  <c r="P819" i="39" s="1"/>
  <c r="P820" i="39" s="1"/>
  <c r="P822" i="39" s="1"/>
  <c r="Q1307" i="39"/>
  <c r="Q1308" i="39" s="1"/>
  <c r="Q1309" i="39" s="1"/>
  <c r="Q1311" i="39" s="1"/>
  <c r="Q1294" i="39"/>
  <c r="R329" i="39"/>
  <c r="R330" i="39" s="1"/>
  <c r="R331" i="39" s="1"/>
  <c r="R333" i="39" s="1"/>
  <c r="R316" i="39"/>
  <c r="Q1470" i="39"/>
  <c r="Q1471" i="39" s="1"/>
  <c r="Q1472" i="39" s="1"/>
  <c r="Q1474" i="39" s="1"/>
  <c r="Q1457" i="39"/>
  <c r="X1131" i="39"/>
  <c r="X1144" i="39"/>
  <c r="X1145" i="39" s="1"/>
  <c r="X1146" i="39" s="1"/>
  <c r="X1148" i="39" s="1"/>
  <c r="W316" i="39"/>
  <c r="W329" i="39"/>
  <c r="W330" i="39" s="1"/>
  <c r="W331" i="39" s="1"/>
  <c r="W333" i="39" s="1"/>
  <c r="R1633" i="39"/>
  <c r="R1634" i="39" s="1"/>
  <c r="R1635" i="39" s="1"/>
  <c r="R1637" i="39" s="1"/>
  <c r="R1620" i="39"/>
  <c r="W1294" i="39"/>
  <c r="W1307" i="39"/>
  <c r="Y1620" i="39"/>
  <c r="Y1633" i="39"/>
  <c r="Y1634" i="39" s="1"/>
  <c r="Y1635" i="39" s="1"/>
  <c r="Y1637" i="39" s="1"/>
  <c r="M316" i="39"/>
  <c r="M329" i="39"/>
  <c r="M330" i="39" s="1"/>
  <c r="M331" i="39" s="1"/>
  <c r="M333" i="39" s="1"/>
  <c r="V492" i="39"/>
  <c r="V493" i="39" s="1"/>
  <c r="V494" i="39" s="1"/>
  <c r="V496" i="39" s="1"/>
  <c r="V479" i="39"/>
  <c r="W968" i="39"/>
  <c r="W981" i="39"/>
  <c r="W982" i="39" s="1"/>
  <c r="W983" i="39" s="1"/>
  <c r="W985" i="39" s="1"/>
  <c r="O1307" i="39"/>
  <c r="O1308" i="39" s="1"/>
  <c r="O1309" i="39" s="1"/>
  <c r="O1311" i="39" s="1"/>
  <c r="O1294" i="39"/>
  <c r="Y1307" i="39"/>
  <c r="Y1308" i="39" s="1"/>
  <c r="Y1309" i="39" s="1"/>
  <c r="Y1311" i="39" s="1"/>
  <c r="Y1294" i="39"/>
  <c r="N492" i="39"/>
  <c r="N493" i="39" s="1"/>
  <c r="N494" i="39" s="1"/>
  <c r="N496" i="39" s="1"/>
  <c r="N479" i="39"/>
  <c r="O1633" i="39"/>
  <c r="O1634" i="39" s="1"/>
  <c r="O1635" i="39" s="1"/>
  <c r="O1637" i="39" s="1"/>
  <c r="O1620" i="39"/>
  <c r="V981" i="39"/>
  <c r="V982" i="39" s="1"/>
  <c r="V983" i="39" s="1"/>
  <c r="V985" i="39" s="1"/>
  <c r="V968" i="39"/>
  <c r="Y1131" i="39"/>
  <c r="Y1144" i="39"/>
  <c r="Y1145" i="39" s="1"/>
  <c r="Y1146" i="39" s="1"/>
  <c r="Y1148" i="39" s="1"/>
  <c r="O1144" i="39"/>
  <c r="O1145" i="39" s="1"/>
  <c r="O1146" i="39" s="1"/>
  <c r="O1148" i="39" s="1"/>
  <c r="O1131" i="39"/>
  <c r="X316" i="39"/>
  <c r="X329" i="39"/>
  <c r="X330" i="39" s="1"/>
  <c r="X331" i="39" s="1"/>
  <c r="X333" i="39" s="1"/>
  <c r="M1131" i="39"/>
  <c r="M1144" i="39"/>
  <c r="M1145" i="39" s="1"/>
  <c r="M1146" i="39" s="1"/>
  <c r="M1148" i="39" s="1"/>
  <c r="L805" i="39"/>
  <c r="L818" i="39"/>
  <c r="L819" i="39" s="1"/>
  <c r="L820" i="39" s="1"/>
  <c r="N805" i="39"/>
  <c r="N818" i="39"/>
  <c r="N819" i="39" s="1"/>
  <c r="N820" i="39" s="1"/>
  <c r="N822" i="39" s="1"/>
  <c r="S316" i="39"/>
  <c r="S329" i="39"/>
  <c r="S330" i="39" s="1"/>
  <c r="S331" i="39" s="1"/>
  <c r="S333" i="39" s="1"/>
  <c r="V1457" i="39"/>
  <c r="V1470" i="39"/>
  <c r="V1471" i="39" s="1"/>
  <c r="V1472" i="39" s="1"/>
  <c r="V1474" i="39" s="1"/>
  <c r="U1144" i="39"/>
  <c r="U1145" i="39" s="1"/>
  <c r="U1146" i="39" s="1"/>
  <c r="U1148" i="39" s="1"/>
  <c r="U1131" i="39"/>
  <c r="Z1470" i="39"/>
  <c r="Z1471" i="39" s="1"/>
  <c r="Z1472" i="39" s="1"/>
  <c r="Z1474" i="39" s="1"/>
  <c r="Z1457" i="39"/>
  <c r="O492" i="39"/>
  <c r="O493" i="39" s="1"/>
  <c r="O494" i="39" s="1"/>
  <c r="O496" i="39" s="1"/>
  <c r="O479" i="39"/>
  <c r="T1457" i="39"/>
  <c r="T1470" i="39"/>
  <c r="T1471" i="39" s="1"/>
  <c r="T1472" i="39" s="1"/>
  <c r="T1474" i="39" s="1"/>
  <c r="Z1307" i="39"/>
  <c r="Z1308" i="39" s="1"/>
  <c r="Z1309" i="39" s="1"/>
  <c r="Z1311" i="39" s="1"/>
  <c r="Z1294" i="39"/>
  <c r="Z316" i="39"/>
  <c r="Z329" i="39"/>
  <c r="Z330" i="39" s="1"/>
  <c r="Z331" i="39" s="1"/>
  <c r="Z333" i="39" s="1"/>
  <c r="U1457" i="39"/>
  <c r="U1470" i="39"/>
  <c r="U1471" i="39" s="1"/>
  <c r="U1472" i="39" s="1"/>
  <c r="U1474" i="39" s="1"/>
  <c r="T981" i="39"/>
  <c r="T982" i="39" s="1"/>
  <c r="T983" i="39" s="1"/>
  <c r="T985" i="39" s="1"/>
  <c r="T968" i="39"/>
  <c r="R981" i="39"/>
  <c r="R982" i="39" s="1"/>
  <c r="R983" i="39" s="1"/>
  <c r="R985" i="39" s="1"/>
  <c r="R968" i="39"/>
  <c r="W1144" i="39"/>
  <c r="W1145" i="39" s="1"/>
  <c r="W1146" i="39" s="1"/>
  <c r="W1148" i="39" s="1"/>
  <c r="W1131" i="39"/>
  <c r="W805" i="39"/>
  <c r="W818" i="39"/>
  <c r="W819" i="39" s="1"/>
  <c r="W820" i="39" s="1"/>
  <c r="W822" i="39" s="1"/>
  <c r="R1131" i="39"/>
  <c r="R1144" i="39"/>
  <c r="R1145" i="39" s="1"/>
  <c r="R1146" i="39" s="1"/>
  <c r="R1148" i="39" s="1"/>
  <c r="U805" i="39"/>
  <c r="U818" i="39"/>
  <c r="U819" i="39" s="1"/>
  <c r="U820" i="39" s="1"/>
  <c r="U822" i="39" s="1"/>
  <c r="R479" i="39"/>
  <c r="R492" i="39"/>
  <c r="R493" i="39" s="1"/>
  <c r="R494" i="39" s="1"/>
  <c r="R496" i="39" s="1"/>
  <c r="Z1131" i="39"/>
  <c r="Z1144" i="39"/>
  <c r="Z1145" i="39" s="1"/>
  <c r="Z1146" i="39" s="1"/>
  <c r="Z1148" i="39" s="1"/>
  <c r="W1457" i="39"/>
  <c r="W1470" i="39"/>
  <c r="W1471" i="39" s="1"/>
  <c r="W1472" i="39" s="1"/>
  <c r="W1474" i="39" s="1"/>
  <c r="T818" i="39"/>
  <c r="T819" i="39" s="1"/>
  <c r="T820" i="39" s="1"/>
  <c r="T822" i="39" s="1"/>
  <c r="T805" i="39"/>
  <c r="L479" i="39"/>
  <c r="L492" i="39"/>
  <c r="L493" i="39" s="1"/>
  <c r="L494" i="39" s="1"/>
  <c r="Q1633" i="39"/>
  <c r="Q1634" i="39" s="1"/>
  <c r="Q1635" i="39" s="1"/>
  <c r="Q1637" i="39" s="1"/>
  <c r="Q1620" i="39"/>
  <c r="T1144" i="39"/>
  <c r="T1145" i="39" s="1"/>
  <c r="T1146" i="39" s="1"/>
  <c r="T1148" i="39" s="1"/>
  <c r="T1131" i="39"/>
  <c r="V316" i="39"/>
  <c r="V329" i="39"/>
  <c r="V330" i="39" s="1"/>
  <c r="V331" i="39" s="1"/>
  <c r="V333" i="39" s="1"/>
  <c r="Q329" i="39"/>
  <c r="Q330" i="39" s="1"/>
  <c r="Q331" i="39" s="1"/>
  <c r="Q333" i="39" s="1"/>
  <c r="Q316" i="39"/>
  <c r="L968" i="39"/>
  <c r="L981" i="39"/>
  <c r="L982" i="39" s="1"/>
  <c r="L983" i="39" s="1"/>
  <c r="W1633" i="39"/>
  <c r="W1634" i="39" s="1"/>
  <c r="W1635" i="39" s="1"/>
  <c r="W1637" i="39" s="1"/>
  <c r="W1620" i="39"/>
  <c r="L1457" i="39"/>
  <c r="L1470" i="39"/>
  <c r="L1471" i="39" s="1"/>
  <c r="L1472" i="39" s="1"/>
  <c r="L1620" i="39"/>
  <c r="L1633" i="39"/>
  <c r="L1634" i="39" s="1"/>
  <c r="L1635" i="39" s="1"/>
  <c r="N1633" i="39"/>
  <c r="N1634" i="39" s="1"/>
  <c r="N1635" i="39" s="1"/>
  <c r="N1637" i="39" s="1"/>
  <c r="N1620" i="39"/>
  <c r="T1633" i="39"/>
  <c r="T1620" i="39"/>
  <c r="O316" i="39"/>
  <c r="O329" i="39"/>
  <c r="O330" i="39" s="1"/>
  <c r="O331" i="39" s="1"/>
  <c r="O333" i="39" s="1"/>
  <c r="Q492" i="39"/>
  <c r="Q493" i="39" s="1"/>
  <c r="Q494" i="39" s="1"/>
  <c r="Q496" i="39" s="1"/>
  <c r="Q479" i="39"/>
  <c r="P1294" i="39"/>
  <c r="P1307" i="39"/>
  <c r="P1308" i="39" s="1"/>
  <c r="P1309" i="39" s="1"/>
  <c r="P1311" i="39" s="1"/>
  <c r="X492" i="39"/>
  <c r="X493" i="39" s="1"/>
  <c r="X494" i="39" s="1"/>
  <c r="X496" i="39" s="1"/>
  <c r="X479" i="39"/>
  <c r="W479" i="39"/>
  <c r="W492" i="39"/>
  <c r="W493" i="39" s="1"/>
  <c r="W494" i="39" s="1"/>
  <c r="W496" i="39" s="1"/>
  <c r="P981" i="39"/>
  <c r="P982" i="39" s="1"/>
  <c r="P983" i="39" s="1"/>
  <c r="P985" i="39" s="1"/>
  <c r="P968" i="39"/>
  <c r="P492" i="39"/>
  <c r="P493" i="39" s="1"/>
  <c r="P494" i="39" s="1"/>
  <c r="P496" i="39" s="1"/>
  <c r="P479" i="39"/>
  <c r="N1144" i="39"/>
  <c r="N1145" i="39" s="1"/>
  <c r="N1146" i="39" s="1"/>
  <c r="N1148" i="39" s="1"/>
  <c r="N1131" i="39"/>
  <c r="L1131" i="39"/>
  <c r="L1144" i="39"/>
  <c r="L1145" i="39" s="1"/>
  <c r="L1146" i="39" s="1"/>
  <c r="T1294" i="39"/>
  <c r="T1307" i="39"/>
  <c r="T1308" i="39" s="1"/>
  <c r="T1309" i="39" s="1"/>
  <c r="T1311" i="39" s="1"/>
  <c r="U479" i="39"/>
  <c r="U492" i="39"/>
  <c r="U493" i="39" s="1"/>
  <c r="U494" i="39" s="1"/>
  <c r="U496" i="39" s="1"/>
  <c r="R1307" i="39"/>
  <c r="R1308" i="39" s="1"/>
  <c r="R1309" i="39" s="1"/>
  <c r="R1311" i="39" s="1"/>
  <c r="R1294" i="39"/>
  <c r="Z981" i="39"/>
  <c r="Z982" i="39" s="1"/>
  <c r="Z983" i="39" s="1"/>
  <c r="Z985" i="39" s="1"/>
  <c r="Z968" i="39"/>
  <c r="V1131" i="39"/>
  <c r="V1144" i="39"/>
  <c r="V1145" i="39" s="1"/>
  <c r="V1146" i="39" s="1"/>
  <c r="V1148" i="39" s="1"/>
  <c r="Z1620" i="39"/>
  <c r="Z1633" i="39"/>
  <c r="Z1634" i="39" s="1"/>
  <c r="Z1635" i="39" s="1"/>
  <c r="Z1637" i="39" s="1"/>
  <c r="N981" i="39"/>
  <c r="N982" i="39" s="1"/>
  <c r="N983" i="39" s="1"/>
  <c r="N985" i="39" s="1"/>
  <c r="N968" i="39"/>
  <c r="U1307" i="39"/>
  <c r="U1308" i="39" s="1"/>
  <c r="U1309" i="39" s="1"/>
  <c r="U1311" i="39" s="1"/>
  <c r="U1294" i="39"/>
  <c r="Y316" i="39"/>
  <c r="Y329" i="39"/>
  <c r="Y330" i="39" s="1"/>
  <c r="Y331" i="39" s="1"/>
  <c r="Y333" i="39" s="1"/>
  <c r="H17" i="48"/>
  <c r="H18" i="48"/>
  <c r="H8" i="48"/>
  <c r="H13" i="48"/>
  <c r="H10" i="48"/>
  <c r="H12" i="48"/>
  <c r="H5" i="48"/>
  <c r="H14" i="48"/>
  <c r="H6" i="48"/>
  <c r="H7" i="48"/>
  <c r="H4" i="48"/>
  <c r="H11" i="48"/>
  <c r="H9" i="48"/>
  <c r="H19" i="48"/>
  <c r="H16" i="48"/>
  <c r="H15" i="48"/>
  <c r="J19" i="48"/>
  <c r="K19" i="48" s="1"/>
  <c r="Q806" i="39" l="1"/>
  <c r="Q808" i="39"/>
  <c r="Q809" i="39" s="1"/>
  <c r="S482" i="39"/>
  <c r="S483" i="39" s="1"/>
  <c r="S480" i="39"/>
  <c r="T1134" i="39"/>
  <c r="T1135" i="39" s="1"/>
  <c r="T1132" i="39"/>
  <c r="V971" i="39"/>
  <c r="V972" i="39" s="1"/>
  <c r="V969" i="39"/>
  <c r="U317" i="39"/>
  <c r="U319" i="39"/>
  <c r="U320" i="39" s="1"/>
  <c r="L1460" i="39"/>
  <c r="L1461" i="39" s="1"/>
  <c r="L1458" i="39"/>
  <c r="V1134" i="39"/>
  <c r="V1135" i="39" s="1"/>
  <c r="V1132" i="39"/>
  <c r="O319" i="39"/>
  <c r="O320" i="39" s="1"/>
  <c r="O317" i="39"/>
  <c r="U1458" i="39"/>
  <c r="U1460" i="39"/>
  <c r="U1461" i="39" s="1"/>
  <c r="M1132" i="39"/>
  <c r="M1134" i="39"/>
  <c r="M1135" i="39" s="1"/>
  <c r="R806" i="39"/>
  <c r="R808" i="39"/>
  <c r="R809" i="39" s="1"/>
  <c r="Q480" i="39"/>
  <c r="Q482" i="39"/>
  <c r="Q483" i="39" s="1"/>
  <c r="O482" i="39"/>
  <c r="O483" i="39" s="1"/>
  <c r="O480" i="39"/>
  <c r="Z482" i="39"/>
  <c r="Z483" i="39" s="1"/>
  <c r="Z480" i="39"/>
  <c r="L806" i="39"/>
  <c r="L808" i="39"/>
  <c r="L809" i="39" s="1"/>
  <c r="T319" i="39"/>
  <c r="T320" i="39" s="1"/>
  <c r="T317" i="39"/>
  <c r="W1623" i="39"/>
  <c r="W1624" i="39" s="1"/>
  <c r="W1621" i="39"/>
  <c r="Q1295" i="39"/>
  <c r="Q1297" i="39"/>
  <c r="Q1298" i="39" s="1"/>
  <c r="S1132" i="39"/>
  <c r="S1134" i="39"/>
  <c r="S1135" i="39" s="1"/>
  <c r="V1295" i="39"/>
  <c r="V1297" i="39"/>
  <c r="V1298" i="39" s="1"/>
  <c r="R1460" i="39"/>
  <c r="R1461" i="39" s="1"/>
  <c r="R1458" i="39"/>
  <c r="T1634" i="39"/>
  <c r="T1635" i="39" s="1"/>
  <c r="U806" i="39"/>
  <c r="U808" i="39"/>
  <c r="U809" i="39" s="1"/>
  <c r="Z319" i="39"/>
  <c r="Z320" i="39" s="1"/>
  <c r="Z317" i="39"/>
  <c r="X317" i="39"/>
  <c r="X319" i="39"/>
  <c r="X320" i="39" s="1"/>
  <c r="W969" i="39"/>
  <c r="W971" i="39"/>
  <c r="W972" i="39" s="1"/>
  <c r="X806" i="39"/>
  <c r="X808" i="39"/>
  <c r="X809" i="39" s="1"/>
  <c r="S1458" i="39"/>
  <c r="S1460" i="39"/>
  <c r="S1461" i="39" s="1"/>
  <c r="U969" i="39"/>
  <c r="U971" i="39"/>
  <c r="U972" i="39" s="1"/>
  <c r="V1308" i="39"/>
  <c r="V1309" i="39" s="1"/>
  <c r="L985" i="39"/>
  <c r="Z1458" i="39"/>
  <c r="Z1460" i="39"/>
  <c r="Z1461" i="39" s="1"/>
  <c r="V482" i="39"/>
  <c r="V483" i="39" s="1"/>
  <c r="V480" i="39"/>
  <c r="R1623" i="39"/>
  <c r="R1624" i="39" s="1"/>
  <c r="R1621" i="39"/>
  <c r="S1623" i="39"/>
  <c r="S1624" i="39" s="1"/>
  <c r="S1621" i="39"/>
  <c r="N317" i="39"/>
  <c r="N319" i="39"/>
  <c r="N320" i="39" s="1"/>
  <c r="S808" i="39"/>
  <c r="S809" i="39" s="1"/>
  <c r="S806" i="39"/>
  <c r="L822" i="39"/>
  <c r="K827" i="39"/>
  <c r="P969" i="39"/>
  <c r="P971" i="39"/>
  <c r="P972" i="39" s="1"/>
  <c r="Q1623" i="39"/>
  <c r="Q1624" i="39" s="1"/>
  <c r="Q1621" i="39"/>
  <c r="T1623" i="39"/>
  <c r="T1624" i="39" s="1"/>
  <c r="T1621" i="39"/>
  <c r="W480" i="39"/>
  <c r="W482" i="39"/>
  <c r="W483" i="39" s="1"/>
  <c r="X1623" i="39"/>
  <c r="X1624" i="39" s="1"/>
  <c r="X1621" i="39"/>
  <c r="M808" i="39"/>
  <c r="M809" i="39" s="1"/>
  <c r="M806" i="39"/>
  <c r="P1460" i="39"/>
  <c r="P1461" i="39" s="1"/>
  <c r="P1458" i="39"/>
  <c r="L1474" i="39"/>
  <c r="K1479" i="39"/>
  <c r="Q1460" i="39"/>
  <c r="Q1461" i="39" s="1"/>
  <c r="Q1458" i="39"/>
  <c r="T806" i="39"/>
  <c r="T808" i="39"/>
  <c r="T809" i="39" s="1"/>
  <c r="N480" i="39"/>
  <c r="N482" i="39"/>
  <c r="N483" i="39" s="1"/>
  <c r="S1297" i="39"/>
  <c r="S1298" i="39" s="1"/>
  <c r="S1295" i="39"/>
  <c r="X1297" i="39"/>
  <c r="X1298" i="39" s="1"/>
  <c r="X1295" i="39"/>
  <c r="Y969" i="39"/>
  <c r="Y971" i="39"/>
  <c r="Y972" i="39" s="1"/>
  <c r="L969" i="39"/>
  <c r="L971" i="39"/>
  <c r="L972" i="39" s="1"/>
  <c r="Y480" i="39"/>
  <c r="Y482" i="39"/>
  <c r="Y483" i="39" s="1"/>
  <c r="N1458" i="39"/>
  <c r="N1460" i="39"/>
  <c r="N1461" i="39" s="1"/>
  <c r="P480" i="39"/>
  <c r="P482" i="39"/>
  <c r="P483" i="39" s="1"/>
  <c r="Y319" i="39"/>
  <c r="Y320" i="39" s="1"/>
  <c r="Y317" i="39"/>
  <c r="X482" i="39"/>
  <c r="X483" i="39" s="1"/>
  <c r="X480" i="39"/>
  <c r="L1637" i="39"/>
  <c r="W1134" i="39"/>
  <c r="W1135" i="39" s="1"/>
  <c r="W1132" i="39"/>
  <c r="Z1295" i="39"/>
  <c r="Z1297" i="39"/>
  <c r="Z1298" i="39" s="1"/>
  <c r="O1134" i="39"/>
  <c r="O1135" i="39" s="1"/>
  <c r="O1132" i="39"/>
  <c r="Y1295" i="39"/>
  <c r="Y1297" i="39"/>
  <c r="Y1298" i="39" s="1"/>
  <c r="V1623" i="39"/>
  <c r="V1624" i="39" s="1"/>
  <c r="V1621" i="39"/>
  <c r="Q1134" i="39"/>
  <c r="Q1135" i="39" s="1"/>
  <c r="Q1132" i="39"/>
  <c r="R1134" i="39"/>
  <c r="R1135" i="39" s="1"/>
  <c r="R1132" i="39"/>
  <c r="R1297" i="39"/>
  <c r="R1298" i="39" s="1"/>
  <c r="R1295" i="39"/>
  <c r="U1132" i="39"/>
  <c r="U1134" i="39"/>
  <c r="U1135" i="39" s="1"/>
  <c r="T1297" i="39"/>
  <c r="T1298" i="39" s="1"/>
  <c r="T1295" i="39"/>
  <c r="W808" i="39"/>
  <c r="W809" i="39" s="1"/>
  <c r="W806" i="39"/>
  <c r="M317" i="39"/>
  <c r="M319" i="39"/>
  <c r="M320" i="39" s="1"/>
  <c r="L1623" i="39"/>
  <c r="L1624" i="39" s="1"/>
  <c r="L1621" i="39"/>
  <c r="W1460" i="39"/>
  <c r="W1461" i="39" s="1"/>
  <c r="W1458" i="39"/>
  <c r="V1458" i="39"/>
  <c r="V1460" i="39"/>
  <c r="V1461" i="39" s="1"/>
  <c r="Y1623" i="39"/>
  <c r="Y1624" i="39" s="1"/>
  <c r="Y1621" i="39"/>
  <c r="X1132" i="39"/>
  <c r="X1134" i="39"/>
  <c r="X1135" i="39" s="1"/>
  <c r="P806" i="39"/>
  <c r="P808" i="39"/>
  <c r="P809" i="39" s="1"/>
  <c r="M971" i="39"/>
  <c r="M972" i="39" s="1"/>
  <c r="M969" i="39"/>
  <c r="M1297" i="39"/>
  <c r="M1298" i="39" s="1"/>
  <c r="M1295" i="39"/>
  <c r="M480" i="39"/>
  <c r="M482" i="39"/>
  <c r="M483" i="39" s="1"/>
  <c r="O971" i="39"/>
  <c r="O972" i="39" s="1"/>
  <c r="O969" i="39"/>
  <c r="V806" i="39"/>
  <c r="V808" i="39"/>
  <c r="V809" i="39" s="1"/>
  <c r="Q1145" i="39"/>
  <c r="Q1146" i="39" s="1"/>
  <c r="Q1148" i="39" s="1"/>
  <c r="P319" i="39"/>
  <c r="P320" i="39" s="1"/>
  <c r="P317" i="39"/>
  <c r="Z1623" i="39"/>
  <c r="Z1624" i="39" s="1"/>
  <c r="Z1621" i="39"/>
  <c r="L496" i="39"/>
  <c r="K501" i="39"/>
  <c r="L480" i="39"/>
  <c r="L482" i="39"/>
  <c r="L483" i="39" s="1"/>
  <c r="W319" i="39"/>
  <c r="W320" i="39" s="1"/>
  <c r="W317" i="39"/>
  <c r="U1297" i="39"/>
  <c r="U1298" i="39" s="1"/>
  <c r="U1295" i="39"/>
  <c r="L1148" i="39"/>
  <c r="Q317" i="39"/>
  <c r="Q319" i="39"/>
  <c r="Q320" i="39" s="1"/>
  <c r="R971" i="39"/>
  <c r="R972" i="39" s="1"/>
  <c r="R969" i="39"/>
  <c r="W1308" i="39"/>
  <c r="W1309" i="39" s="1"/>
  <c r="W1311" i="39" s="1"/>
  <c r="L1311" i="39"/>
  <c r="P1621" i="39"/>
  <c r="P1623" i="39"/>
  <c r="P1624" i="39" s="1"/>
  <c r="S971" i="39"/>
  <c r="S972" i="39" s="1"/>
  <c r="S969" i="39"/>
  <c r="P1132" i="39"/>
  <c r="P1134" i="39"/>
  <c r="P1135" i="39" s="1"/>
  <c r="L333" i="39"/>
  <c r="K338" i="39"/>
  <c r="O1621" i="39"/>
  <c r="O1623" i="39"/>
  <c r="O1624" i="39" s="1"/>
  <c r="N1623" i="39"/>
  <c r="N1624" i="39" s="1"/>
  <c r="N1621" i="39"/>
  <c r="U480" i="39"/>
  <c r="U482" i="39"/>
  <c r="U483" i="39" s="1"/>
  <c r="L1132" i="39"/>
  <c r="L1134" i="39"/>
  <c r="L1135" i="39" s="1"/>
  <c r="P1295" i="39"/>
  <c r="P1297" i="39"/>
  <c r="P1298" i="39" s="1"/>
  <c r="Z1132" i="39"/>
  <c r="Z1134" i="39"/>
  <c r="Z1135" i="39" s="1"/>
  <c r="S317" i="39"/>
  <c r="S319" i="39"/>
  <c r="S320" i="39" s="1"/>
  <c r="W1295" i="39"/>
  <c r="W1297" i="39"/>
  <c r="W1298" i="39" s="1"/>
  <c r="Y806" i="39"/>
  <c r="Y808" i="39"/>
  <c r="Y809" i="39" s="1"/>
  <c r="L1297" i="39"/>
  <c r="L1298" i="39" s="1"/>
  <c r="L1295" i="39"/>
  <c r="N1297" i="39"/>
  <c r="N1298" i="39" s="1"/>
  <c r="N1295" i="39"/>
  <c r="Z806" i="39"/>
  <c r="Z808" i="39"/>
  <c r="Z809" i="39" s="1"/>
  <c r="O1460" i="39"/>
  <c r="O1461" i="39" s="1"/>
  <c r="O1458" i="39"/>
  <c r="T971" i="39"/>
  <c r="T972" i="39" s="1"/>
  <c r="T969" i="39"/>
  <c r="N969" i="39"/>
  <c r="N971" i="39"/>
  <c r="N972" i="39" s="1"/>
  <c r="N1134" i="39"/>
  <c r="N1135" i="39" s="1"/>
  <c r="N1132" i="39"/>
  <c r="O1297" i="39"/>
  <c r="O1298" i="39" s="1"/>
  <c r="O1295" i="39"/>
  <c r="U1621" i="39"/>
  <c r="U1623" i="39"/>
  <c r="U1624" i="39" s="1"/>
  <c r="X1458" i="39"/>
  <c r="X1460" i="39"/>
  <c r="X1461" i="39" s="1"/>
  <c r="Y1460" i="39"/>
  <c r="Y1461" i="39" s="1"/>
  <c r="Y1458" i="39"/>
  <c r="M1623" i="39"/>
  <c r="M1624" i="39" s="1"/>
  <c r="M1621" i="39"/>
  <c r="M1458" i="39"/>
  <c r="M1460" i="39"/>
  <c r="M1461" i="39" s="1"/>
  <c r="L319" i="39"/>
  <c r="L320" i="39" s="1"/>
  <c r="L317" i="39"/>
  <c r="X969" i="39"/>
  <c r="X971" i="39"/>
  <c r="X972" i="39" s="1"/>
  <c r="R319" i="39"/>
  <c r="R320" i="39" s="1"/>
  <c r="R317" i="39"/>
  <c r="Z969" i="39"/>
  <c r="Z971" i="39"/>
  <c r="Z972" i="39" s="1"/>
  <c r="V319" i="39"/>
  <c r="V320" i="39" s="1"/>
  <c r="V317" i="39"/>
  <c r="R482" i="39"/>
  <c r="R483" i="39" s="1"/>
  <c r="R480" i="39"/>
  <c r="T1458" i="39"/>
  <c r="T1460" i="39"/>
  <c r="T1461" i="39" s="1"/>
  <c r="N808" i="39"/>
  <c r="N809" i="39" s="1"/>
  <c r="N806" i="39"/>
  <c r="Y1132" i="39"/>
  <c r="Y1134" i="39"/>
  <c r="Y1135" i="39" s="1"/>
  <c r="Q969" i="39"/>
  <c r="Q971" i="39"/>
  <c r="Q972" i="39" s="1"/>
  <c r="O806" i="39"/>
  <c r="O808" i="39"/>
  <c r="O809" i="39" s="1"/>
  <c r="T482" i="39"/>
  <c r="T483" i="39" s="1"/>
  <c r="T480" i="39"/>
  <c r="Q14" i="38"/>
  <c r="V1311" i="39" l="1"/>
  <c r="K1316" i="39"/>
  <c r="K1153" i="39"/>
  <c r="K990" i="39"/>
  <c r="T1637" i="39"/>
  <c r="Z1638" i="39" s="1"/>
  <c r="K1642" i="39"/>
  <c r="V497" i="39"/>
  <c r="N497" i="39"/>
  <c r="Y497" i="39"/>
  <c r="R497" i="39"/>
  <c r="Z497" i="39"/>
  <c r="M497" i="39"/>
  <c r="Q497" i="39"/>
  <c r="O497" i="39"/>
  <c r="P497" i="39"/>
  <c r="L497" i="39"/>
  <c r="K500" i="39"/>
  <c r="U497" i="39"/>
  <c r="W497" i="39"/>
  <c r="T497" i="39"/>
  <c r="X497" i="39"/>
  <c r="S497" i="39"/>
  <c r="R1149" i="39"/>
  <c r="T1149" i="39"/>
  <c r="M1149" i="39"/>
  <c r="P1149" i="39"/>
  <c r="Y1149" i="39"/>
  <c r="L1149" i="39"/>
  <c r="O1149" i="39"/>
  <c r="X1149" i="39"/>
  <c r="V1149" i="39"/>
  <c r="Z1149" i="39"/>
  <c r="S1149" i="39"/>
  <c r="K1152" i="39"/>
  <c r="W1149" i="39"/>
  <c r="Q1149" i="39"/>
  <c r="U1149" i="39"/>
  <c r="N1149" i="39"/>
  <c r="P823" i="39"/>
  <c r="S823" i="39"/>
  <c r="O823" i="39"/>
  <c r="U823" i="39"/>
  <c r="X823" i="39"/>
  <c r="L823" i="39"/>
  <c r="Y823" i="39"/>
  <c r="Z823" i="39"/>
  <c r="R823" i="39"/>
  <c r="K826" i="39"/>
  <c r="N823" i="39"/>
  <c r="V823" i="39"/>
  <c r="M823" i="39"/>
  <c r="Q823" i="39"/>
  <c r="T823" i="39"/>
  <c r="W823" i="39"/>
  <c r="O334" i="39"/>
  <c r="N334" i="39"/>
  <c r="Z334" i="39"/>
  <c r="P334" i="39"/>
  <c r="S334" i="39"/>
  <c r="X334" i="39"/>
  <c r="Q334" i="39"/>
  <c r="M334" i="39"/>
  <c r="W334" i="39"/>
  <c r="L334" i="39"/>
  <c r="R334" i="39"/>
  <c r="K337" i="39"/>
  <c r="U334" i="39"/>
  <c r="V334" i="39"/>
  <c r="Y334" i="39"/>
  <c r="T334" i="39"/>
  <c r="N1312" i="39"/>
  <c r="T1312" i="39"/>
  <c r="Q1312" i="39"/>
  <c r="Y1312" i="39"/>
  <c r="K1315" i="39"/>
  <c r="W1312" i="39"/>
  <c r="X1312" i="39"/>
  <c r="U1312" i="39"/>
  <c r="Z1312" i="39"/>
  <c r="R1312" i="39"/>
  <c r="O1312" i="39"/>
  <c r="M1312" i="39"/>
  <c r="S1312" i="39"/>
  <c r="L1312" i="39"/>
  <c r="V1312" i="39"/>
  <c r="P1312" i="39"/>
  <c r="M1638" i="39"/>
  <c r="P1638" i="39"/>
  <c r="N1638" i="39"/>
  <c r="R1638" i="39"/>
  <c r="U1638" i="39"/>
  <c r="Q1638" i="39"/>
  <c r="O1638" i="39"/>
  <c r="S1638" i="39"/>
  <c r="L1638" i="39"/>
  <c r="O1475" i="39"/>
  <c r="M1475" i="39"/>
  <c r="L1475" i="39"/>
  <c r="V1475" i="39"/>
  <c r="P1475" i="39"/>
  <c r="K1478" i="39"/>
  <c r="Z1475" i="39"/>
  <c r="X1475" i="39"/>
  <c r="R1475" i="39"/>
  <c r="U1475" i="39"/>
  <c r="Y1475" i="39"/>
  <c r="S1475" i="39"/>
  <c r="W1475" i="39"/>
  <c r="N1475" i="39"/>
  <c r="Q1475" i="39"/>
  <c r="T1475" i="39"/>
  <c r="V986" i="39"/>
  <c r="U986" i="39"/>
  <c r="N986" i="39"/>
  <c r="Z986" i="39"/>
  <c r="X986" i="39"/>
  <c r="O986" i="39"/>
  <c r="S986" i="39"/>
  <c r="L986" i="39"/>
  <c r="M986" i="39"/>
  <c r="R986" i="39"/>
  <c r="W986" i="39"/>
  <c r="T986" i="39"/>
  <c r="Q986" i="39"/>
  <c r="P986" i="39"/>
  <c r="Y986" i="39"/>
  <c r="M636" i="39"/>
  <c r="L636" i="39"/>
  <c r="Y636" i="39"/>
  <c r="U636" i="39"/>
  <c r="Z636" i="39"/>
  <c r="V636" i="39"/>
  <c r="X636" i="39"/>
  <c r="W636" i="39"/>
  <c r="T636" i="39"/>
  <c r="O636" i="39"/>
  <c r="S636" i="39"/>
  <c r="R636" i="39"/>
  <c r="Q636" i="39"/>
  <c r="P636" i="39"/>
  <c r="N636" i="39"/>
  <c r="Q39" i="38"/>
  <c r="Q13" i="38"/>
  <c r="Q15" i="38" s="1"/>
  <c r="Q40" i="38" s="1"/>
  <c r="K989" i="39" l="1"/>
  <c r="K991" i="39" s="1" a="1"/>
  <c r="K991" i="39" s="1"/>
  <c r="H992" i="39" s="1"/>
  <c r="W1638" i="39"/>
  <c r="K1641" i="39"/>
  <c r="T1638" i="39"/>
  <c r="V1638" i="39"/>
  <c r="Y1638" i="39"/>
  <c r="X1638" i="39"/>
  <c r="K1480" i="39" a="1"/>
  <c r="K1480" i="39" s="1"/>
  <c r="H1481" i="39" s="1"/>
  <c r="K828" i="39" a="1"/>
  <c r="K828" i="39" s="1"/>
  <c r="H829" i="39" s="1"/>
  <c r="K339" i="39" a="1"/>
  <c r="K339" i="39" s="1"/>
  <c r="H340" i="39" s="1"/>
  <c r="K502" i="39" a="1"/>
  <c r="K502" i="39" s="1"/>
  <c r="H503" i="39" s="1"/>
  <c r="K1317" i="39" a="1"/>
  <c r="K1317" i="39" s="1"/>
  <c r="H1318" i="39" s="1"/>
  <c r="K1154" i="39" a="1"/>
  <c r="K1154" i="39" s="1"/>
  <c r="H1155" i="39" s="1"/>
  <c r="P638" i="39"/>
  <c r="P635" i="39"/>
  <c r="L635" i="39"/>
  <c r="L638" i="39"/>
  <c r="X638" i="39"/>
  <c r="X635" i="39"/>
  <c r="Z638" i="39"/>
  <c r="Z635" i="39"/>
  <c r="R638" i="39"/>
  <c r="R635" i="39"/>
  <c r="S638" i="39"/>
  <c r="S635" i="39"/>
  <c r="T638" i="39"/>
  <c r="T635" i="39"/>
  <c r="W635" i="39"/>
  <c r="W638" i="39"/>
  <c r="N635" i="39"/>
  <c r="N638" i="39"/>
  <c r="U638" i="39"/>
  <c r="U635" i="39"/>
  <c r="M638" i="39"/>
  <c r="M635" i="39"/>
  <c r="O638" i="39"/>
  <c r="O635" i="39"/>
  <c r="V638" i="39"/>
  <c r="V635" i="39"/>
  <c r="Q638" i="39"/>
  <c r="Q635" i="39"/>
  <c r="Y635" i="39"/>
  <c r="Y638" i="39"/>
  <c r="K1643" i="39" l="1" a="1"/>
  <c r="K1643" i="39" s="1"/>
  <c r="H1644" i="39" s="1"/>
  <c r="R637" i="39"/>
  <c r="R640" i="39"/>
  <c r="Y637" i="39"/>
  <c r="Y640" i="39"/>
  <c r="U637" i="39"/>
  <c r="U640" i="39"/>
  <c r="V637" i="39"/>
  <c r="V640" i="39"/>
  <c r="T637" i="39"/>
  <c r="T640" i="39"/>
  <c r="Z637" i="39"/>
  <c r="Z640" i="39"/>
  <c r="P637" i="39"/>
  <c r="P640" i="39"/>
  <c r="Q637" i="39"/>
  <c r="Q640" i="39"/>
  <c r="X637" i="39"/>
  <c r="X640" i="39"/>
  <c r="N637" i="39"/>
  <c r="N640" i="39"/>
  <c r="W637" i="39"/>
  <c r="W640" i="39"/>
  <c r="L637" i="39"/>
  <c r="L640" i="39"/>
  <c r="O637" i="39"/>
  <c r="O640" i="39"/>
  <c r="M637" i="39"/>
  <c r="M640" i="39"/>
  <c r="S637" i="39"/>
  <c r="S640" i="39"/>
  <c r="J18" i="48"/>
  <c r="K18" i="48"/>
  <c r="DU61" i="10" a="1"/>
  <c r="DU61" i="10" s="1"/>
  <c r="DI61" i="10" a="1"/>
  <c r="DI61" i="10" s="1"/>
  <c r="CW61" i="10" a="1"/>
  <c r="CW61" i="10" s="1"/>
  <c r="CQ61" i="10" a="1"/>
  <c r="CQ61" i="10" s="1"/>
  <c r="EM61" i="10" a="1"/>
  <c r="EM61" i="10" s="1"/>
  <c r="EM60" i="10" s="1" a="1"/>
  <c r="EM60" i="10" s="1"/>
  <c r="BY61" i="10" a="1"/>
  <c r="BY61" i="10" s="1"/>
  <c r="BM61" i="10" a="1"/>
  <c r="BM61" i="10" s="1"/>
  <c r="BS61" i="10" a="1"/>
  <c r="BS61" i="10" s="1"/>
  <c r="K61" i="10" a="1"/>
  <c r="K61" i="10" s="1"/>
  <c r="DC61" i="10" a="1"/>
  <c r="DC61" i="10" s="1"/>
  <c r="DC60" i="10" s="1" a="1"/>
  <c r="DC60" i="10" s="1"/>
  <c r="AU61" i="10" a="1"/>
  <c r="AU61" i="10" s="1"/>
  <c r="AU60" i="10" s="1" a="1"/>
  <c r="AU60" i="10" s="1"/>
  <c r="AV60" i="10" s="1"/>
  <c r="AW60" i="10" s="1"/>
  <c r="AU25" i="11" s="1"/>
  <c r="AI61" i="10" a="1"/>
  <c r="AI61" i="10" s="1"/>
  <c r="AI60" i="10" s="1" a="1"/>
  <c r="AI60" i="10" s="1"/>
  <c r="AJ60" i="10" s="1"/>
  <c r="AK60" i="10" s="1"/>
  <c r="AI25" i="11" s="1"/>
  <c r="CE61" i="10" a="1"/>
  <c r="CE61" i="10" s="1"/>
  <c r="ES61" i="10" a="1"/>
  <c r="ES61" i="10" s="1"/>
  <c r="AO61" i="10" a="1"/>
  <c r="AO61" i="10" s="1"/>
  <c r="E61" i="10" a="1"/>
  <c r="E61" i="10" s="1"/>
  <c r="E60" i="10" s="1" a="1"/>
  <c r="E60" i="10" s="1"/>
  <c r="F60" i="10" s="1"/>
  <c r="G60" i="10" s="1"/>
  <c r="E25" i="11" s="1"/>
  <c r="EA61" i="10" a="1"/>
  <c r="EA61" i="10" s="1"/>
  <c r="EA60" i="10" s="1" a="1"/>
  <c r="EA60" i="10" s="1"/>
  <c r="AC61" i="10" a="1"/>
  <c r="AC61" i="10" s="1"/>
  <c r="AC60" i="10" s="1" a="1"/>
  <c r="AC60" i="10" s="1"/>
  <c r="AD60" i="10" s="1"/>
  <c r="AE60" i="10" s="1"/>
  <c r="AC25" i="11" s="1"/>
  <c r="EG61" i="10" a="1"/>
  <c r="EG61" i="10" s="1"/>
  <c r="DO61" i="10" a="1"/>
  <c r="DO61" i="10" s="1"/>
  <c r="BA61" i="10" a="1"/>
  <c r="BA61" i="10" s="1"/>
  <c r="W61" i="10" a="1"/>
  <c r="W61" i="10" s="1"/>
  <c r="BG61" i="10" a="1"/>
  <c r="BG61" i="10" s="1"/>
  <c r="Q61" i="10" a="1"/>
  <c r="Q61" i="10" s="1"/>
  <c r="Q60" i="10" s="1" a="1"/>
  <c r="Q60" i="10" s="1"/>
  <c r="R60" i="10" s="1"/>
  <c r="S60" i="10" s="1"/>
  <c r="Q25" i="11" s="1"/>
  <c r="CK61" i="10" a="1"/>
  <c r="CK61" i="10" s="1"/>
  <c r="EM16" i="11" a="1"/>
  <c r="EM16" i="11" s="1"/>
  <c r="BS16" i="11" a="1"/>
  <c r="BS16" i="11" s="1"/>
  <c r="W16" i="11" a="1"/>
  <c r="W16" i="11" s="1"/>
  <c r="DO16" i="11" a="1"/>
  <c r="DO16" i="11" s="1"/>
  <c r="K16" i="11" a="1"/>
  <c r="K16" i="11" s="1"/>
  <c r="AC16" i="11" a="1"/>
  <c r="AC16" i="11" s="1"/>
  <c r="Q16" i="11" a="1"/>
  <c r="Q16" i="11" s="1"/>
  <c r="AO16" i="11" a="1"/>
  <c r="AO16" i="11" s="1"/>
  <c r="M31" i="39"/>
  <c r="N31" i="39" s="1"/>
  <c r="O31" i="39" s="1"/>
  <c r="P31" i="39" s="1"/>
  <c r="M40" i="39"/>
  <c r="AI16" i="11" a="1"/>
  <c r="AI16" i="11" s="1"/>
  <c r="AU16" i="11" a="1"/>
  <c r="AU16" i="11" s="1"/>
  <c r="EG16" i="11" a="1"/>
  <c r="EG16" i="11" s="1"/>
  <c r="ES16" i="11" a="1"/>
  <c r="ES16" i="11" s="1"/>
  <c r="DU16" i="11" a="1"/>
  <c r="DU16" i="11" s="1"/>
  <c r="EA16" i="11" a="1"/>
  <c r="EA16" i="11" s="1"/>
  <c r="DC16" i="11" a="1"/>
  <c r="DC16" i="11" s="1"/>
  <c r="M32" i="39"/>
  <c r="N32" i="39" s="1"/>
  <c r="BG16" i="11" a="1"/>
  <c r="BG16" i="11" s="1"/>
  <c r="CQ16" i="11" a="1"/>
  <c r="CQ16" i="11" s="1"/>
  <c r="DI16" i="11" a="1"/>
  <c r="DI16" i="11" s="1"/>
  <c r="BA16" i="11" a="1"/>
  <c r="BA16" i="11" s="1"/>
  <c r="CE16" i="11" a="1"/>
  <c r="CE16" i="11" s="1"/>
  <c r="BM16" i="11" a="1"/>
  <c r="BM16" i="11" s="1"/>
  <c r="E16" i="11" a="1"/>
  <c r="E16" i="11" s="1"/>
  <c r="CW16" i="11" a="1"/>
  <c r="CW16" i="11" s="1"/>
  <c r="CK16" i="11" a="1"/>
  <c r="CK16" i="11" s="1"/>
  <c r="CK18" i="11" a="1"/>
  <c r="CK18" i="11" s="1"/>
  <c r="DC18" i="11" a="1"/>
  <c r="DC18" i="11" s="1"/>
  <c r="EG18" i="11" a="1"/>
  <c r="EG18" i="11" s="1"/>
  <c r="DO18" i="11" a="1"/>
  <c r="DO18" i="11" s="1"/>
  <c r="CW18" i="11" a="1"/>
  <c r="CW18" i="11" s="1"/>
  <c r="CE18" i="11" a="1"/>
  <c r="CE18" i="11" s="1"/>
  <c r="BA18" i="11" a="1"/>
  <c r="BA18" i="11" s="1"/>
  <c r="AO18" i="11" a="1"/>
  <c r="AO18" i="11" s="1"/>
  <c r="BY18" i="11" a="1"/>
  <c r="BY18" i="11" s="1"/>
  <c r="DU18" i="11" a="1"/>
  <c r="DU18" i="11" s="1"/>
  <c r="BS18" i="11" a="1"/>
  <c r="BS18" i="11" s="1"/>
  <c r="W18" i="11" a="1"/>
  <c r="W18" i="11" s="1"/>
  <c r="DI18" i="11" a="1"/>
  <c r="DI18" i="11" s="1"/>
  <c r="AI18" i="11" a="1"/>
  <c r="AI18" i="11" s="1"/>
  <c r="CQ18" i="11" a="1"/>
  <c r="CQ18" i="11" s="1"/>
  <c r="Q18" i="11" a="1"/>
  <c r="Q18" i="11" s="1"/>
  <c r="E18" i="11" a="1"/>
  <c r="E18" i="11" s="1"/>
  <c r="AU18" i="11" a="1"/>
  <c r="AU18" i="11" s="1"/>
  <c r="K18" i="11" a="1"/>
  <c r="K18" i="11" s="1"/>
  <c r="BG18" i="11" a="1"/>
  <c r="BG18" i="11" s="1"/>
  <c r="EA18" i="11" a="1"/>
  <c r="EA18" i="11" s="1"/>
  <c r="BM18" i="11" a="1"/>
  <c r="BM18" i="11" s="1"/>
  <c r="EM18" i="11" a="1"/>
  <c r="EM18" i="11" s="1"/>
  <c r="AC18" i="11" a="1"/>
  <c r="AC18" i="11" s="1"/>
  <c r="ES18" i="11" a="1"/>
  <c r="ES18" i="11" s="1"/>
  <c r="BY16" i="11" a="1"/>
  <c r="BY16" i="11" s="1"/>
  <c r="Y655" i="39" l="1"/>
  <c r="Y656" i="39" s="1"/>
  <c r="Y657" i="39" s="1"/>
  <c r="Y659" i="39" s="1"/>
  <c r="Y642" i="39"/>
  <c r="L655" i="39"/>
  <c r="L642" i="39"/>
  <c r="W642" i="39"/>
  <c r="W655" i="39"/>
  <c r="P642" i="39"/>
  <c r="P655" i="39"/>
  <c r="R655" i="39"/>
  <c r="R642" i="39"/>
  <c r="U642" i="39"/>
  <c r="U655" i="39"/>
  <c r="U656" i="39" s="1"/>
  <c r="U657" i="39" s="1"/>
  <c r="U659" i="39" s="1"/>
  <c r="N655" i="39"/>
  <c r="N642" i="39"/>
  <c r="O655" i="39"/>
  <c r="O656" i="39" s="1"/>
  <c r="O657" i="39" s="1"/>
  <c r="O659" i="39" s="1"/>
  <c r="O642" i="39"/>
  <c r="X655" i="39"/>
  <c r="X656" i="39" s="1"/>
  <c r="X657" i="39" s="1"/>
  <c r="X659" i="39" s="1"/>
  <c r="X642" i="39"/>
  <c r="S642" i="39"/>
  <c r="S655" i="39"/>
  <c r="Q655" i="39"/>
  <c r="Q642" i="39"/>
  <c r="T642" i="39"/>
  <c r="T655" i="39"/>
  <c r="M655" i="39"/>
  <c r="M656" i="39" s="1"/>
  <c r="M657" i="39" s="1"/>
  <c r="M659" i="39" s="1"/>
  <c r="M642" i="39"/>
  <c r="V642" i="39"/>
  <c r="V655" i="39"/>
  <c r="V656" i="39" s="1"/>
  <c r="V657" i="39" s="1"/>
  <c r="V659" i="39" s="1"/>
  <c r="Z642" i="39"/>
  <c r="Z655" i="39"/>
  <c r="Z656" i="39" s="1"/>
  <c r="Z657" i="39" s="1"/>
  <c r="Z659" i="39" s="1"/>
  <c r="R40" i="39"/>
  <c r="R38" i="39" s="1"/>
  <c r="Q40" i="39"/>
  <c r="Q38" i="39" s="1"/>
  <c r="AI31" i="11"/>
  <c r="EM31" i="11"/>
  <c r="K31" i="11"/>
  <c r="T40" i="39"/>
  <c r="T38" i="39" s="1"/>
  <c r="W40" i="39"/>
  <c r="W38" i="39" s="1"/>
  <c r="ES31" i="11"/>
  <c r="DO31" i="11"/>
  <c r="U40" i="39"/>
  <c r="U38" i="39" s="1"/>
  <c r="Z40" i="39"/>
  <c r="Z38" i="39" s="1"/>
  <c r="DI31" i="11"/>
  <c r="V40" i="39"/>
  <c r="V38" i="39" s="1"/>
  <c r="N40" i="39"/>
  <c r="N38" i="39" s="1"/>
  <c r="S40" i="39"/>
  <c r="S38" i="39" s="1"/>
  <c r="CE60" i="10" a="1"/>
  <c r="CE60" i="10" s="1"/>
  <c r="CF60" i="10" s="1"/>
  <c r="CG60" i="10" s="1"/>
  <c r="CE25" i="11" s="1"/>
  <c r="X40" i="39"/>
  <c r="X38" i="39" s="1"/>
  <c r="EN60" i="10"/>
  <c r="EO60" i="10" s="1"/>
  <c r="EM25" i="11" s="1"/>
  <c r="Q31" i="11"/>
  <c r="P40" i="39"/>
  <c r="P38" i="39" s="1"/>
  <c r="AO60" i="10" a="1"/>
  <c r="AO60" i="10" s="1"/>
  <c r="AP60" i="10" s="1"/>
  <c r="AQ60" i="10" s="1"/>
  <c r="AO25" i="11" s="1"/>
  <c r="M38" i="39"/>
  <c r="DD60" i="10"/>
  <c r="DE60" i="10" s="1"/>
  <c r="DC25" i="11" s="1"/>
  <c r="CK31" i="11"/>
  <c r="BA31" i="11"/>
  <c r="L27" i="39"/>
  <c r="M25" i="39"/>
  <c r="O40" i="39"/>
  <c r="O38" i="39" s="1"/>
  <c r="CW31" i="11"/>
  <c r="CE31" i="11"/>
  <c r="BG31" i="11"/>
  <c r="E31" i="11"/>
  <c r="O32" i="39"/>
  <c r="BM31" i="11"/>
  <c r="CQ31" i="11"/>
  <c r="EA31" i="11"/>
  <c r="BY31" i="11"/>
  <c r="AC31" i="11"/>
  <c r="L40" i="39"/>
  <c r="L38" i="39" s="1"/>
  <c r="Q31" i="39"/>
  <c r="DC31" i="11"/>
  <c r="DU31" i="11"/>
  <c r="EG31" i="11"/>
  <c r="AU31" i="11"/>
  <c r="Y40" i="39"/>
  <c r="Y38" i="39" s="1"/>
  <c r="W31" i="11"/>
  <c r="BS31" i="11"/>
  <c r="AO31" i="11"/>
  <c r="W60" i="10" a="1"/>
  <c r="W60" i="10" s="1"/>
  <c r="X60" i="10" s="1"/>
  <c r="Y60" i="10" s="1"/>
  <c r="W25" i="11" s="1"/>
  <c r="DO60" i="10" a="1"/>
  <c r="DO60" i="10" s="1"/>
  <c r="DP60" i="10" s="1"/>
  <c r="DQ60" i="10" s="1"/>
  <c r="DO25" i="11" s="1"/>
  <c r="ES60" i="10" a="1"/>
  <c r="ES60" i="10" s="1"/>
  <c r="ET60" i="10" s="1"/>
  <c r="EU60" i="10" s="1"/>
  <c r="ES25" i="11" s="1"/>
  <c r="CK60" i="10" a="1"/>
  <c r="CK60" i="10" s="1"/>
  <c r="CL60" i="10" s="1"/>
  <c r="CM60" i="10" s="1"/>
  <c r="CK25" i="11" s="1"/>
  <c r="EG60" i="10" a="1"/>
  <c r="EG60" i="10" s="1"/>
  <c r="EH60" i="10" s="1"/>
  <c r="EI60" i="10" s="1"/>
  <c r="EG25" i="11" s="1"/>
  <c r="BG60" i="10" a="1"/>
  <c r="BG60" i="10" s="1"/>
  <c r="BH60" i="10" s="1"/>
  <c r="BI60" i="10" s="1"/>
  <c r="BG25" i="11" s="1"/>
  <c r="EB60" i="10"/>
  <c r="EC60" i="10" s="1"/>
  <c r="EA25" i="11" s="1"/>
  <c r="BY60" i="10" a="1"/>
  <c r="BY60" i="10" s="1"/>
  <c r="BZ60" i="10" s="1"/>
  <c r="CA60" i="10" s="1"/>
  <c r="BY25" i="11" s="1"/>
  <c r="K60" i="10" a="1"/>
  <c r="K60" i="10" s="1"/>
  <c r="L60" i="10" s="1"/>
  <c r="M60" i="10" s="1"/>
  <c r="K25" i="11" s="1"/>
  <c r="BA60" i="10" a="1"/>
  <c r="BA60" i="10" s="1"/>
  <c r="BB60" i="10" s="1"/>
  <c r="BC60" i="10" s="1"/>
  <c r="BA25" i="11" s="1"/>
  <c r="BS60" i="10" a="1"/>
  <c r="BS60" i="10" s="1"/>
  <c r="BT60" i="10" s="1"/>
  <c r="BU60" i="10" s="1"/>
  <c r="BS25" i="11" s="1"/>
  <c r="BM60" i="10" a="1"/>
  <c r="BM60" i="10" s="1"/>
  <c r="BN60" i="10" s="1"/>
  <c r="BO60" i="10" s="1"/>
  <c r="BM25" i="11" s="1"/>
  <c r="CQ60" i="10" a="1"/>
  <c r="CQ60" i="10" s="1"/>
  <c r="CR60" i="10" s="1"/>
  <c r="CS60" i="10" s="1"/>
  <c r="CQ25" i="11" s="1"/>
  <c r="CW60" i="10" a="1"/>
  <c r="CW60" i="10" s="1"/>
  <c r="CX60" i="10" s="1"/>
  <c r="CY60" i="10" s="1"/>
  <c r="CW25" i="11" s="1"/>
  <c r="DI60" i="10" a="1"/>
  <c r="DI60" i="10" s="1"/>
  <c r="DJ60" i="10" s="1"/>
  <c r="DK60" i="10" s="1"/>
  <c r="DI25" i="11" s="1"/>
  <c r="DU60" i="10" a="1"/>
  <c r="DU60" i="10" s="1"/>
  <c r="DV60" i="10" s="1"/>
  <c r="DW60" i="10" s="1"/>
  <c r="DU25" i="11" s="1"/>
  <c r="P643" i="39" l="1"/>
  <c r="P645" i="39"/>
  <c r="P646" i="39" s="1"/>
  <c r="X643" i="39"/>
  <c r="X645" i="39"/>
  <c r="X646" i="39" s="1"/>
  <c r="M643" i="39"/>
  <c r="M645" i="39"/>
  <c r="M646" i="39" s="1"/>
  <c r="W656" i="39"/>
  <c r="W657" i="39" s="1"/>
  <c r="W659" i="39" s="1"/>
  <c r="W645" i="39"/>
  <c r="W646" i="39" s="1"/>
  <c r="W643" i="39"/>
  <c r="O645" i="39"/>
  <c r="O646" i="39" s="1"/>
  <c r="O643" i="39"/>
  <c r="R656" i="39"/>
  <c r="R657" i="39" s="1"/>
  <c r="R659" i="39" s="1"/>
  <c r="T656" i="39"/>
  <c r="T657" i="39" s="1"/>
  <c r="T659" i="39" s="1"/>
  <c r="L656" i="39"/>
  <c r="L657" i="39" s="1"/>
  <c r="Q643" i="39"/>
  <c r="Q645" i="39"/>
  <c r="Q646" i="39" s="1"/>
  <c r="Y645" i="39"/>
  <c r="Y646" i="39" s="1"/>
  <c r="Y643" i="39"/>
  <c r="V645" i="39"/>
  <c r="V646" i="39" s="1"/>
  <c r="V643" i="39"/>
  <c r="L643" i="39"/>
  <c r="L645" i="39"/>
  <c r="L646" i="39" s="1"/>
  <c r="N656" i="39"/>
  <c r="N657" i="39" s="1"/>
  <c r="N659" i="39" s="1"/>
  <c r="Q656" i="39"/>
  <c r="Q657" i="39" s="1"/>
  <c r="Q659" i="39" s="1"/>
  <c r="U645" i="39"/>
  <c r="U646" i="39" s="1"/>
  <c r="U643" i="39"/>
  <c r="R643" i="39"/>
  <c r="R645" i="39"/>
  <c r="R646" i="39" s="1"/>
  <c r="P656" i="39"/>
  <c r="P657" i="39" s="1"/>
  <c r="P659" i="39" s="1"/>
  <c r="N645" i="39"/>
  <c r="N646" i="39" s="1"/>
  <c r="N643" i="39"/>
  <c r="T643" i="39"/>
  <c r="T645" i="39"/>
  <c r="T646" i="39" s="1"/>
  <c r="S656" i="39"/>
  <c r="S657" i="39" s="1"/>
  <c r="S659" i="39" s="1"/>
  <c r="Z643" i="39"/>
  <c r="Z645" i="39"/>
  <c r="Z646" i="39" s="1"/>
  <c r="S643" i="39"/>
  <c r="S645" i="39"/>
  <c r="S646" i="39" s="1"/>
  <c r="L74" i="39"/>
  <c r="L50" i="39" a="1"/>
  <c r="L50" i="39" s="1"/>
  <c r="L57" i="39" a="1"/>
  <c r="L57" i="39" s="1"/>
  <c r="L58" i="39" s="1" a="1"/>
  <c r="L58" i="39" s="1"/>
  <c r="L63" i="39" a="1"/>
  <c r="L63" i="39" s="1"/>
  <c r="L64" i="39" a="1"/>
  <c r="L64" i="39" s="1"/>
  <c r="L62" i="39" a="1"/>
  <c r="L62" i="39" s="1"/>
  <c r="L78" i="39"/>
  <c r="L76" i="39"/>
  <c r="L75" i="39"/>
  <c r="L33" i="39"/>
  <c r="L53" i="39" s="1" a="1"/>
  <c r="L53" i="39" s="1"/>
  <c r="L73" i="39"/>
  <c r="L34" i="39"/>
  <c r="R31" i="39"/>
  <c r="P32" i="39"/>
  <c r="L77" i="39"/>
  <c r="L71" i="39"/>
  <c r="L28" i="39"/>
  <c r="H11" i="56"/>
  <c r="L97" i="39"/>
  <c r="L88" i="39"/>
  <c r="L151" i="39"/>
  <c r="N25" i="39"/>
  <c r="M27" i="39"/>
  <c r="L72" i="39" l="1"/>
  <c r="L659" i="39"/>
  <c r="K664" i="39"/>
  <c r="M64" i="39" a="1"/>
  <c r="M64" i="39" s="1"/>
  <c r="M62" i="39" a="1"/>
  <c r="M62" i="39" s="1"/>
  <c r="M50" i="39" a="1"/>
  <c r="M50" i="39" s="1"/>
  <c r="M57" i="39" a="1"/>
  <c r="M57" i="39" s="1"/>
  <c r="M58" i="39" s="1" a="1"/>
  <c r="M58" i="39" s="1"/>
  <c r="M63" i="39" a="1"/>
  <c r="M63" i="39" s="1"/>
  <c r="L54" i="39" a="1"/>
  <c r="L54" i="39" s="1"/>
  <c r="L86" i="39" s="1"/>
  <c r="L85" i="39"/>
  <c r="L70" i="39"/>
  <c r="L128" i="39"/>
  <c r="L90" i="39"/>
  <c r="L115" i="39"/>
  <c r="L114" i="39"/>
  <c r="L135" i="39"/>
  <c r="L109" i="39"/>
  <c r="L126" i="39"/>
  <c r="L112" i="39"/>
  <c r="L111" i="39"/>
  <c r="L116" i="39"/>
  <c r="L113" i="39"/>
  <c r="L51" i="39"/>
  <c r="L49" i="39" s="1"/>
  <c r="L120" i="39"/>
  <c r="L82" i="39"/>
  <c r="L132" i="39"/>
  <c r="L94" i="39"/>
  <c r="M78" i="39"/>
  <c r="M28" i="39"/>
  <c r="M76" i="39"/>
  <c r="M71" i="39"/>
  <c r="M75" i="39"/>
  <c r="H12" i="56"/>
  <c r="M97" i="39"/>
  <c r="M151" i="39"/>
  <c r="M34" i="39"/>
  <c r="M54" i="39" s="1" a="1"/>
  <c r="M54" i="39" s="1"/>
  <c r="M33" i="39"/>
  <c r="M53" i="39" s="1" a="1"/>
  <c r="M53" i="39" s="1"/>
  <c r="M77" i="39"/>
  <c r="M73" i="39"/>
  <c r="M88" i="39"/>
  <c r="M74" i="39"/>
  <c r="L133" i="39"/>
  <c r="L95" i="39"/>
  <c r="O25" i="39"/>
  <c r="N27" i="39"/>
  <c r="L89" i="39"/>
  <c r="L127" i="39"/>
  <c r="L55" i="39"/>
  <c r="L96" i="39"/>
  <c r="L134" i="39"/>
  <c r="Q32" i="39"/>
  <c r="S31" i="39"/>
  <c r="L123" i="39"/>
  <c r="R660" i="39" l="1"/>
  <c r="P660" i="39"/>
  <c r="N660" i="39"/>
  <c r="M660" i="39"/>
  <c r="O660" i="39"/>
  <c r="L660" i="39"/>
  <c r="Q660" i="39"/>
  <c r="U660" i="39"/>
  <c r="S660" i="39"/>
  <c r="T660" i="39"/>
  <c r="V660" i="39"/>
  <c r="W660" i="39"/>
  <c r="K663" i="39"/>
  <c r="K665" i="39" s="1" a="1"/>
  <c r="K665" i="39" s="1"/>
  <c r="H666" i="39" s="1"/>
  <c r="Y660" i="39"/>
  <c r="X660" i="39"/>
  <c r="Z660" i="39"/>
  <c r="L124" i="39"/>
  <c r="L122" i="39" s="1"/>
  <c r="N64" i="39" a="1"/>
  <c r="N64" i="39" s="1"/>
  <c r="N62" i="39" a="1"/>
  <c r="N62" i="39" s="1"/>
  <c r="N50" i="39" a="1"/>
  <c r="N50" i="39" s="1"/>
  <c r="N63" i="39" a="1"/>
  <c r="N63" i="39" s="1"/>
  <c r="N57" i="39" a="1"/>
  <c r="N57" i="39" s="1"/>
  <c r="N58" i="39" s="1" a="1"/>
  <c r="N58" i="39" s="1"/>
  <c r="L84" i="39"/>
  <c r="L52" i="39"/>
  <c r="L48" i="39" s="1"/>
  <c r="L60" i="39" s="1"/>
  <c r="L67" i="39" s="1"/>
  <c r="L87" i="39"/>
  <c r="L110" i="39"/>
  <c r="L108" i="39" s="1"/>
  <c r="M72" i="39"/>
  <c r="M70" i="39" s="1"/>
  <c r="M51" i="39"/>
  <c r="M120" i="39"/>
  <c r="M82" i="39"/>
  <c r="M89" i="39"/>
  <c r="M127" i="39"/>
  <c r="M55" i="39"/>
  <c r="M133" i="39"/>
  <c r="M95" i="39"/>
  <c r="M94" i="39"/>
  <c r="M132" i="39"/>
  <c r="M109" i="39"/>
  <c r="M135" i="39"/>
  <c r="M111" i="39"/>
  <c r="M115" i="39"/>
  <c r="M114" i="39"/>
  <c r="M112" i="39"/>
  <c r="M113" i="39"/>
  <c r="M116" i="39"/>
  <c r="M126" i="39"/>
  <c r="M134" i="39"/>
  <c r="M96" i="39"/>
  <c r="L125" i="39"/>
  <c r="M123" i="39"/>
  <c r="M52" i="39"/>
  <c r="M85" i="39"/>
  <c r="M124" i="39"/>
  <c r="M86" i="39"/>
  <c r="T31" i="39"/>
  <c r="R32" i="39"/>
  <c r="N71" i="39"/>
  <c r="N77" i="39"/>
  <c r="N78" i="39"/>
  <c r="N28" i="39"/>
  <c r="H13" i="56"/>
  <c r="N151" i="39"/>
  <c r="N97" i="39"/>
  <c r="N76" i="39"/>
  <c r="N33" i="39"/>
  <c r="N53" i="39" s="1" a="1"/>
  <c r="N53" i="39" s="1"/>
  <c r="N88" i="39"/>
  <c r="N34" i="39"/>
  <c r="N54" i="39" s="1" a="1"/>
  <c r="N54" i="39" s="1"/>
  <c r="N75" i="39"/>
  <c r="N74" i="39"/>
  <c r="N73" i="39"/>
  <c r="L83" i="39"/>
  <c r="L81" i="39" s="1"/>
  <c r="L121" i="39"/>
  <c r="L119" i="39" s="1"/>
  <c r="P25" i="39"/>
  <c r="O27" i="39"/>
  <c r="O50" i="39" l="1" a="1"/>
  <c r="O50" i="39" s="1"/>
  <c r="O64" i="39" a="1"/>
  <c r="O64" i="39" s="1"/>
  <c r="O57" i="39" a="1"/>
  <c r="O57" i="39" s="1"/>
  <c r="O58" i="39" s="1" a="1"/>
  <c r="O58" i="39" s="1"/>
  <c r="O62" i="39" a="1"/>
  <c r="O62" i="39" s="1"/>
  <c r="O63" i="39" a="1"/>
  <c r="O63" i="39" s="1"/>
  <c r="L80" i="39"/>
  <c r="L92" i="39" s="1"/>
  <c r="L99" i="39" s="1"/>
  <c r="L102" i="39" s="1"/>
  <c r="L104" i="39" s="1"/>
  <c r="L105" i="39" s="1"/>
  <c r="M84" i="39"/>
  <c r="L118" i="39"/>
  <c r="L130" i="39" s="1"/>
  <c r="L137" i="39" s="1"/>
  <c r="L140" i="39" s="1"/>
  <c r="L142" i="39" s="1"/>
  <c r="L143" i="39" s="1"/>
  <c r="N72" i="39"/>
  <c r="N70" i="39" s="1"/>
  <c r="M110" i="39"/>
  <c r="M108" i="39" s="1"/>
  <c r="M121" i="39"/>
  <c r="M119" i="39" s="1"/>
  <c r="M83" i="39"/>
  <c r="M81" i="39" s="1"/>
  <c r="N94" i="39"/>
  <c r="N132" i="39"/>
  <c r="M49" i="39"/>
  <c r="M48" i="39" s="1"/>
  <c r="M60" i="39" s="1"/>
  <c r="M67" i="39" s="1"/>
  <c r="N124" i="39"/>
  <c r="N86" i="39"/>
  <c r="S32" i="39"/>
  <c r="N123" i="39"/>
  <c r="N85" i="39"/>
  <c r="N52" i="39"/>
  <c r="O71" i="39"/>
  <c r="O74" i="39"/>
  <c r="O28" i="39"/>
  <c r="O75" i="39"/>
  <c r="O78" i="39"/>
  <c r="O97" i="39"/>
  <c r="O151" i="39"/>
  <c r="O88" i="39"/>
  <c r="O77" i="39"/>
  <c r="O73" i="39"/>
  <c r="O33" i="39"/>
  <c r="O53" i="39" s="1" a="1"/>
  <c r="O53" i="39" s="1"/>
  <c r="O76" i="39"/>
  <c r="O34" i="39"/>
  <c r="O54" i="39" s="1" a="1"/>
  <c r="O54" i="39" s="1"/>
  <c r="Q25" i="39"/>
  <c r="P27" i="39"/>
  <c r="M90" i="39"/>
  <c r="M87" i="39" s="1"/>
  <c r="M128" i="39"/>
  <c r="M125" i="39" s="1"/>
  <c r="N95" i="39"/>
  <c r="N133" i="39"/>
  <c r="U31" i="39"/>
  <c r="N51" i="39"/>
  <c r="N49" i="39" s="1"/>
  <c r="N82" i="39"/>
  <c r="N120" i="39"/>
  <c r="M122" i="39"/>
  <c r="N112" i="39"/>
  <c r="N135" i="39"/>
  <c r="N109" i="39"/>
  <c r="N113" i="39"/>
  <c r="N116" i="39"/>
  <c r="N115" i="39"/>
  <c r="N126" i="39"/>
  <c r="N111" i="39"/>
  <c r="N114" i="39"/>
  <c r="L166" i="39"/>
  <c r="L153" i="39"/>
  <c r="N134" i="39"/>
  <c r="N96" i="39"/>
  <c r="N89" i="39"/>
  <c r="N127" i="39"/>
  <c r="N55" i="39"/>
  <c r="P57" i="39" l="1" a="1"/>
  <c r="P57" i="39" s="1"/>
  <c r="P58" i="39" s="1" a="1"/>
  <c r="P58" i="39" s="1"/>
  <c r="P64" i="39" a="1"/>
  <c r="P64" i="39" s="1"/>
  <c r="P50" i="39" a="1"/>
  <c r="P50" i="39" s="1"/>
  <c r="P62" i="39" a="1"/>
  <c r="P62" i="39" s="1"/>
  <c r="P63" i="39" a="1"/>
  <c r="P63" i="39" s="1"/>
  <c r="M80" i="39"/>
  <c r="M92" i="39" s="1"/>
  <c r="M99" i="39" s="1"/>
  <c r="M102" i="39" s="1"/>
  <c r="M104" i="39" s="1"/>
  <c r="M105" i="39" s="1"/>
  <c r="M118" i="39"/>
  <c r="M130" i="39" s="1"/>
  <c r="M137" i="39" s="1"/>
  <c r="M140" i="39" s="1"/>
  <c r="M142" i="39" s="1"/>
  <c r="M143" i="39" s="1"/>
  <c r="N110" i="39"/>
  <c r="N108" i="39" s="1"/>
  <c r="L167" i="39"/>
  <c r="L168" i="39" s="1"/>
  <c r="O134" i="39"/>
  <c r="O96" i="39"/>
  <c r="T32" i="39"/>
  <c r="M166" i="39"/>
  <c r="M153" i="39"/>
  <c r="O94" i="39"/>
  <c r="O132" i="39"/>
  <c r="O95" i="39"/>
  <c r="O133" i="39"/>
  <c r="V31" i="39"/>
  <c r="O86" i="39"/>
  <c r="O124" i="39"/>
  <c r="P76" i="39"/>
  <c r="P71" i="39"/>
  <c r="P28" i="39"/>
  <c r="P97" i="39"/>
  <c r="P151" i="39"/>
  <c r="P78" i="39"/>
  <c r="P73" i="39"/>
  <c r="P88" i="39"/>
  <c r="P74" i="39"/>
  <c r="P33" i="39"/>
  <c r="P53" i="39" s="1" a="1"/>
  <c r="P53" i="39" s="1"/>
  <c r="P75" i="39"/>
  <c r="P77" i="39"/>
  <c r="P34" i="39"/>
  <c r="P54" i="39" s="1" a="1"/>
  <c r="P54" i="39" s="1"/>
  <c r="O123" i="39"/>
  <c r="O85" i="39"/>
  <c r="O52" i="39"/>
  <c r="N121" i="39"/>
  <c r="N119" i="39" s="1"/>
  <c r="N83" i="39"/>
  <c r="N81" i="39" s="1"/>
  <c r="Q27" i="39"/>
  <c r="R25" i="39"/>
  <c r="O72" i="39"/>
  <c r="O70" i="39" s="1"/>
  <c r="N48" i="39"/>
  <c r="N60" i="39" s="1"/>
  <c r="N67" i="39" s="1"/>
  <c r="N90" i="39"/>
  <c r="N87" i="39" s="1"/>
  <c r="N128" i="39"/>
  <c r="N125" i="39" s="1"/>
  <c r="O89" i="39"/>
  <c r="O127" i="39"/>
  <c r="O55" i="39"/>
  <c r="O120" i="39"/>
  <c r="O82" i="39"/>
  <c r="O51" i="39"/>
  <c r="O49" i="39" s="1"/>
  <c r="N84" i="39"/>
  <c r="N122" i="39"/>
  <c r="L154" i="39"/>
  <c r="L156" i="39"/>
  <c r="L157" i="39" s="1"/>
  <c r="O109" i="39"/>
  <c r="O135" i="39"/>
  <c r="O113" i="39"/>
  <c r="O126" i="39"/>
  <c r="O112" i="39"/>
  <c r="O111" i="39"/>
  <c r="O115" i="39"/>
  <c r="O116" i="39"/>
  <c r="O114" i="39"/>
  <c r="Q64" i="39" l="1" a="1"/>
  <c r="Q64" i="39" s="1"/>
  <c r="Q50" i="39" a="1"/>
  <c r="Q50" i="39" s="1"/>
  <c r="Q63" i="39" a="1"/>
  <c r="Q63" i="39" s="1"/>
  <c r="Q57" i="39" a="1"/>
  <c r="Q57" i="39" s="1"/>
  <c r="Q58" i="39" s="1" a="1"/>
  <c r="Q58" i="39" s="1"/>
  <c r="Q62" i="39" a="1"/>
  <c r="Q62" i="39" s="1"/>
  <c r="O110" i="39"/>
  <c r="O108" i="39" s="1"/>
  <c r="O84" i="39"/>
  <c r="O122" i="39"/>
  <c r="P72" i="39"/>
  <c r="P70" i="39" s="1"/>
  <c r="L170" i="39"/>
  <c r="O48" i="39"/>
  <c r="O60" i="39" s="1"/>
  <c r="O67" i="39" s="1"/>
  <c r="P95" i="39"/>
  <c r="P133" i="39"/>
  <c r="P86" i="39"/>
  <c r="P124" i="39"/>
  <c r="N118" i="39"/>
  <c r="N130" i="39" s="1"/>
  <c r="N137" i="39" s="1"/>
  <c r="N140" i="39" s="1"/>
  <c r="N142" i="39" s="1"/>
  <c r="N143" i="39" s="1"/>
  <c r="U32" i="39"/>
  <c r="P85" i="39"/>
  <c r="P123" i="39"/>
  <c r="P52" i="39"/>
  <c r="N80" i="39"/>
  <c r="N92" i="39" s="1"/>
  <c r="N99" i="39" s="1"/>
  <c r="N102" i="39" s="1"/>
  <c r="N104" i="39" s="1"/>
  <c r="N105" i="39" s="1"/>
  <c r="W31" i="39"/>
  <c r="S25" i="39"/>
  <c r="R27" i="39"/>
  <c r="Q71" i="39"/>
  <c r="Q76" i="39"/>
  <c r="Q28" i="39"/>
  <c r="Q97" i="39"/>
  <c r="Q151" i="39"/>
  <c r="Q75" i="39"/>
  <c r="Q78" i="39"/>
  <c r="Q73" i="39"/>
  <c r="Q88" i="39"/>
  <c r="Q77" i="39"/>
  <c r="Q74" i="39"/>
  <c r="Q33" i="39"/>
  <c r="Q53" i="39" s="1" a="1"/>
  <c r="Q53" i="39" s="1"/>
  <c r="Q34" i="39"/>
  <c r="Q54" i="39" s="1" a="1"/>
  <c r="Q54" i="39" s="1"/>
  <c r="P134" i="39"/>
  <c r="P96" i="39"/>
  <c r="P51" i="39"/>
  <c r="P49" i="39" s="1"/>
  <c r="P82" i="39"/>
  <c r="P120" i="39"/>
  <c r="O83" i="39"/>
  <c r="O81" i="39" s="1"/>
  <c r="O121" i="39"/>
  <c r="O119" i="39" s="1"/>
  <c r="P94" i="39"/>
  <c r="P132" i="39"/>
  <c r="O90" i="39"/>
  <c r="O87" i="39" s="1"/>
  <c r="O128" i="39"/>
  <c r="O125" i="39" s="1"/>
  <c r="P135" i="39"/>
  <c r="P114" i="39"/>
  <c r="P109" i="39"/>
  <c r="P112" i="39"/>
  <c r="P116" i="39"/>
  <c r="P126" i="39"/>
  <c r="P115" i="39"/>
  <c r="P111" i="39"/>
  <c r="P113" i="39"/>
  <c r="M156" i="39"/>
  <c r="M157" i="39" s="1"/>
  <c r="M154" i="39"/>
  <c r="N166" i="39"/>
  <c r="N153" i="39"/>
  <c r="P89" i="39"/>
  <c r="P127" i="39"/>
  <c r="P55" i="39"/>
  <c r="M167" i="39"/>
  <c r="M168" i="39" s="1"/>
  <c r="R63" i="39" l="1" a="1"/>
  <c r="R63" i="39" s="1"/>
  <c r="R62" i="39" a="1"/>
  <c r="R62" i="39" s="1"/>
  <c r="R64" i="39" a="1"/>
  <c r="R64" i="39" s="1"/>
  <c r="R50" i="39" a="1"/>
  <c r="R50" i="39" s="1"/>
  <c r="R57" i="39" a="1"/>
  <c r="R57" i="39" s="1"/>
  <c r="R58" i="39" s="1" a="1"/>
  <c r="R58" i="39" s="1"/>
  <c r="P110" i="39"/>
  <c r="P108" i="39" s="1"/>
  <c r="P48" i="39"/>
  <c r="P60" i="39" s="1"/>
  <c r="P67" i="39" s="1"/>
  <c r="P166" i="39" s="1"/>
  <c r="Q72" i="39"/>
  <c r="O118" i="39"/>
  <c r="O130" i="39" s="1"/>
  <c r="O137" i="39" s="1"/>
  <c r="O140" i="39" s="1"/>
  <c r="O142" i="39" s="1"/>
  <c r="O143" i="39" s="1"/>
  <c r="O80" i="39"/>
  <c r="O92" i="39" s="1"/>
  <c r="O99" i="39" s="1"/>
  <c r="O102" i="39" s="1"/>
  <c r="O104" i="39" s="1"/>
  <c r="O105" i="39" s="1"/>
  <c r="M170" i="39"/>
  <c r="M171" i="39" s="1"/>
  <c r="Q133" i="39"/>
  <c r="Q95" i="39"/>
  <c r="Q127" i="39"/>
  <c r="Q89" i="39"/>
  <c r="Q55" i="39"/>
  <c r="Q124" i="39"/>
  <c r="Q86" i="39"/>
  <c r="Q70" i="39"/>
  <c r="O166" i="39"/>
  <c r="O153" i="39"/>
  <c r="N167" i="39"/>
  <c r="N168" i="39" s="1"/>
  <c r="Q52" i="39"/>
  <c r="Q123" i="39"/>
  <c r="Q85" i="39"/>
  <c r="P121" i="39"/>
  <c r="P119" i="39" s="1"/>
  <c r="P83" i="39"/>
  <c r="P81" i="39" s="1"/>
  <c r="P122" i="39"/>
  <c r="P84" i="39"/>
  <c r="V32" i="39"/>
  <c r="L171" i="39"/>
  <c r="P90" i="39"/>
  <c r="P87" i="39" s="1"/>
  <c r="P128" i="39"/>
  <c r="P125" i="39" s="1"/>
  <c r="Q82" i="39"/>
  <c r="Q51" i="39"/>
  <c r="Q120" i="39"/>
  <c r="Q113" i="39"/>
  <c r="Q135" i="39"/>
  <c r="Q109" i="39"/>
  <c r="Q114" i="39"/>
  <c r="Q126" i="39"/>
  <c r="Q112" i="39"/>
  <c r="Q116" i="39"/>
  <c r="Q111" i="39"/>
  <c r="Q115" i="39"/>
  <c r="Q134" i="39"/>
  <c r="Q96" i="39"/>
  <c r="Q132" i="39"/>
  <c r="Q94" i="39"/>
  <c r="N156" i="39"/>
  <c r="N157" i="39" s="1"/>
  <c r="N154" i="39"/>
  <c r="R71" i="39"/>
  <c r="R28" i="39"/>
  <c r="R97" i="39"/>
  <c r="R151" i="39"/>
  <c r="R78" i="39"/>
  <c r="R73" i="39"/>
  <c r="R77" i="39"/>
  <c r="R76" i="39"/>
  <c r="R74" i="39"/>
  <c r="R88" i="39"/>
  <c r="R75" i="39"/>
  <c r="R33" i="39"/>
  <c r="R53" i="39" s="1" a="1"/>
  <c r="R53" i="39" s="1"/>
  <c r="R34" i="39"/>
  <c r="R54" i="39" s="1" a="1"/>
  <c r="R54" i="39" s="1"/>
  <c r="X31" i="39"/>
  <c r="T25" i="39"/>
  <c r="S27" i="39"/>
  <c r="S50" i="39" l="1" a="1"/>
  <c r="S50" i="39" s="1"/>
  <c r="S63" i="39" a="1"/>
  <c r="S63" i="39" s="1"/>
  <c r="S62" i="39" a="1"/>
  <c r="S62" i="39" s="1"/>
  <c r="S64" i="39" a="1"/>
  <c r="S64" i="39" s="1"/>
  <c r="S57" i="39" a="1"/>
  <c r="S57" i="39" s="1"/>
  <c r="S58" i="39" s="1" a="1"/>
  <c r="S58" i="39" s="1"/>
  <c r="P80" i="39"/>
  <c r="P92" i="39" s="1"/>
  <c r="P99" i="39" s="1"/>
  <c r="P102" i="39" s="1"/>
  <c r="P104" i="39" s="1"/>
  <c r="P105" i="39" s="1"/>
  <c r="P153" i="39"/>
  <c r="P156" i="39" s="1"/>
  <c r="P157" i="39" s="1"/>
  <c r="N170" i="39"/>
  <c r="Y31" i="39"/>
  <c r="R96" i="39"/>
  <c r="R134" i="39"/>
  <c r="R89" i="39"/>
  <c r="R127" i="39"/>
  <c r="R55" i="39"/>
  <c r="Q121" i="39"/>
  <c r="Q119" i="39" s="1"/>
  <c r="Q83" i="39"/>
  <c r="Q81" i="39" s="1"/>
  <c r="P118" i="39"/>
  <c r="P130" i="39" s="1"/>
  <c r="P137" i="39" s="1"/>
  <c r="P140" i="39" s="1"/>
  <c r="P142" i="39" s="1"/>
  <c r="P143" i="39" s="1"/>
  <c r="R124" i="39"/>
  <c r="R86" i="39"/>
  <c r="R132" i="39"/>
  <c r="R94" i="39"/>
  <c r="R123" i="39"/>
  <c r="R85" i="39"/>
  <c r="R52" i="39"/>
  <c r="Q49" i="39"/>
  <c r="Q48" i="39" s="1"/>
  <c r="Q60" i="39" s="1"/>
  <c r="Q67" i="39" s="1"/>
  <c r="O156" i="39"/>
  <c r="O157" i="39" s="1"/>
  <c r="O154" i="39"/>
  <c r="W32" i="39"/>
  <c r="O167" i="39"/>
  <c r="O168" i="39" s="1"/>
  <c r="R72" i="39"/>
  <c r="R70" i="39" s="1"/>
  <c r="Q110" i="39"/>
  <c r="Q108" i="39" s="1"/>
  <c r="Q84" i="39"/>
  <c r="P167" i="39"/>
  <c r="P168" i="39" s="1"/>
  <c r="P170" i="39" s="1"/>
  <c r="Q122" i="39"/>
  <c r="Q90" i="39"/>
  <c r="Q87" i="39" s="1"/>
  <c r="Q128" i="39"/>
  <c r="Q125" i="39" s="1"/>
  <c r="U25" i="39"/>
  <c r="T27" i="39"/>
  <c r="S71" i="39"/>
  <c r="S28" i="39"/>
  <c r="S97" i="39"/>
  <c r="S151" i="39"/>
  <c r="S75" i="39"/>
  <c r="S78" i="39"/>
  <c r="S88" i="39"/>
  <c r="S73" i="39"/>
  <c r="S77" i="39"/>
  <c r="S76" i="39"/>
  <c r="S74" i="39"/>
  <c r="S33" i="39"/>
  <c r="S53" i="39" s="1" a="1"/>
  <c r="S53" i="39" s="1"/>
  <c r="S34" i="39"/>
  <c r="S54" i="39" s="1" a="1"/>
  <c r="S54" i="39" s="1"/>
  <c r="R51" i="39"/>
  <c r="R49" i="39" s="1"/>
  <c r="R82" i="39"/>
  <c r="R120" i="39"/>
  <c r="R135" i="39"/>
  <c r="R113" i="39"/>
  <c r="R109" i="39"/>
  <c r="R126" i="39"/>
  <c r="R115" i="39"/>
  <c r="R111" i="39"/>
  <c r="R116" i="39"/>
  <c r="R114" i="39"/>
  <c r="R112" i="39"/>
  <c r="R133" i="39"/>
  <c r="R95" i="39"/>
  <c r="P154" i="39" l="1"/>
  <c r="T50" i="39" a="1"/>
  <c r="T50" i="39" s="1"/>
  <c r="T63" i="39" a="1"/>
  <c r="T63" i="39" s="1"/>
  <c r="T62" i="39" a="1"/>
  <c r="T62" i="39" s="1"/>
  <c r="T57" i="39" a="1"/>
  <c r="T57" i="39" s="1"/>
  <c r="T58" i="39" s="1" a="1"/>
  <c r="T58" i="39" s="1"/>
  <c r="T64" i="39" a="1"/>
  <c r="T64" i="39" s="1"/>
  <c r="R122" i="39"/>
  <c r="Q118" i="39"/>
  <c r="Q130" i="39" s="1"/>
  <c r="Q137" i="39" s="1"/>
  <c r="Q140" i="39" s="1"/>
  <c r="Q142" i="39" s="1"/>
  <c r="Q143" i="39" s="1"/>
  <c r="R84" i="39"/>
  <c r="O170" i="39"/>
  <c r="P171" i="39" s="1"/>
  <c r="T71" i="39"/>
  <c r="T28" i="39"/>
  <c r="T78" i="39"/>
  <c r="T151" i="39"/>
  <c r="T97" i="39"/>
  <c r="T76" i="39"/>
  <c r="T74" i="39"/>
  <c r="T73" i="39"/>
  <c r="T77" i="39"/>
  <c r="T75" i="39"/>
  <c r="T88" i="39"/>
  <c r="T33" i="39"/>
  <c r="T53" i="39" s="1" a="1"/>
  <c r="T53" i="39" s="1"/>
  <c r="T34" i="39"/>
  <c r="T54" i="39" s="1" a="1"/>
  <c r="T54" i="39" s="1"/>
  <c r="Q80" i="39"/>
  <c r="Q92" i="39" s="1"/>
  <c r="Q99" i="39" s="1"/>
  <c r="Q102" i="39" s="1"/>
  <c r="Q104" i="39" s="1"/>
  <c r="Q105" i="39" s="1"/>
  <c r="S123" i="39"/>
  <c r="S85" i="39"/>
  <c r="S52" i="39"/>
  <c r="U27" i="39"/>
  <c r="V25" i="39"/>
  <c r="S133" i="39"/>
  <c r="S95" i="39"/>
  <c r="R48" i="39"/>
  <c r="R60" i="39" s="1"/>
  <c r="R67" i="39" s="1"/>
  <c r="S72" i="39"/>
  <c r="S70" i="39" s="1"/>
  <c r="S135" i="39"/>
  <c r="S109" i="39"/>
  <c r="S111" i="39"/>
  <c r="S115" i="39"/>
  <c r="S126" i="39"/>
  <c r="S114" i="39"/>
  <c r="S113" i="39"/>
  <c r="S116" i="39"/>
  <c r="S112" i="39"/>
  <c r="S86" i="39"/>
  <c r="S124" i="39"/>
  <c r="S127" i="39"/>
  <c r="S89" i="39"/>
  <c r="S55" i="39"/>
  <c r="S96" i="39"/>
  <c r="S134" i="39"/>
  <c r="R110" i="39"/>
  <c r="R108" i="39" s="1"/>
  <c r="X32" i="39"/>
  <c r="Q166" i="39"/>
  <c r="Q153" i="39"/>
  <c r="Z31" i="39"/>
  <c r="N171" i="39"/>
  <c r="S51" i="39"/>
  <c r="S49" i="39" s="1"/>
  <c r="S82" i="39"/>
  <c r="S120" i="39"/>
  <c r="S94" i="39"/>
  <c r="S132" i="39"/>
  <c r="R121" i="39"/>
  <c r="R119" i="39" s="1"/>
  <c r="R83" i="39"/>
  <c r="R81" i="39" s="1"/>
  <c r="R90" i="39"/>
  <c r="R87" i="39" s="1"/>
  <c r="R128" i="39"/>
  <c r="R125" i="39" s="1"/>
  <c r="U50" i="39" l="1" a="1"/>
  <c r="U50" i="39" s="1"/>
  <c r="U62" i="39" a="1"/>
  <c r="U62" i="39" s="1"/>
  <c r="U64" i="39" a="1"/>
  <c r="U64" i="39" s="1"/>
  <c r="U63" i="39" a="1"/>
  <c r="U63" i="39" s="1"/>
  <c r="U57" i="39" a="1"/>
  <c r="U57" i="39" s="1"/>
  <c r="U58" i="39" s="1" a="1"/>
  <c r="U58" i="39" s="1"/>
  <c r="O171" i="39"/>
  <c r="S122" i="39"/>
  <c r="R80" i="39"/>
  <c r="R92" i="39" s="1"/>
  <c r="R99" i="39" s="1"/>
  <c r="R102" i="39" s="1"/>
  <c r="R104" i="39" s="1"/>
  <c r="R105" i="39" s="1"/>
  <c r="S48" i="39"/>
  <c r="S60" i="39" s="1"/>
  <c r="S67" i="39" s="1"/>
  <c r="S153" i="39" s="1"/>
  <c r="S84" i="39"/>
  <c r="T132" i="39"/>
  <c r="T94" i="39"/>
  <c r="W25" i="39"/>
  <c r="V27" i="39"/>
  <c r="T109" i="39"/>
  <c r="T112" i="39"/>
  <c r="T135" i="39"/>
  <c r="T116" i="39"/>
  <c r="T111" i="39"/>
  <c r="T126" i="39"/>
  <c r="T114" i="39"/>
  <c r="T115" i="39"/>
  <c r="T113" i="39"/>
  <c r="U28" i="39"/>
  <c r="U74" i="39"/>
  <c r="U76" i="39"/>
  <c r="U71" i="39"/>
  <c r="U97" i="39"/>
  <c r="U151" i="39"/>
  <c r="H7" i="56"/>
  <c r="U73" i="39"/>
  <c r="U75" i="39"/>
  <c r="U78" i="39"/>
  <c r="U77" i="39"/>
  <c r="U88" i="39"/>
  <c r="U33" i="39"/>
  <c r="U53" i="39" s="1" a="1"/>
  <c r="U53" i="39" s="1"/>
  <c r="U34" i="39"/>
  <c r="U54" i="39" s="1" a="1"/>
  <c r="U54" i="39" s="1"/>
  <c r="T96" i="39"/>
  <c r="T134" i="39"/>
  <c r="R118" i="39"/>
  <c r="R130" i="39" s="1"/>
  <c r="R137" i="39" s="1"/>
  <c r="R140" i="39" s="1"/>
  <c r="R142" i="39" s="1"/>
  <c r="R143" i="39" s="1"/>
  <c r="Y32" i="39"/>
  <c r="T86" i="39"/>
  <c r="T124" i="39"/>
  <c r="T89" i="39"/>
  <c r="T127" i="39"/>
  <c r="T55" i="39"/>
  <c r="R166" i="39"/>
  <c r="R153" i="39"/>
  <c r="T85" i="39"/>
  <c r="T123" i="39"/>
  <c r="T52" i="39"/>
  <c r="S110" i="39"/>
  <c r="S108" i="39" s="1"/>
  <c r="T72" i="39"/>
  <c r="T70" i="39" s="1"/>
  <c r="S128" i="39"/>
  <c r="S125" i="39" s="1"/>
  <c r="S90" i="39"/>
  <c r="S87" i="39" s="1"/>
  <c r="Q156" i="39"/>
  <c r="Q157" i="39" s="1"/>
  <c r="Q154" i="39"/>
  <c r="T82" i="39"/>
  <c r="T51" i="39"/>
  <c r="T120" i="39"/>
  <c r="S83" i="39"/>
  <c r="S81" i="39" s="1"/>
  <c r="S121" i="39"/>
  <c r="S119" i="39" s="1"/>
  <c r="Q167" i="39"/>
  <c r="Q168" i="39" s="1"/>
  <c r="T95" i="39"/>
  <c r="T133" i="39"/>
  <c r="V62" i="39" l="1" a="1"/>
  <c r="V62" i="39" s="1"/>
  <c r="V63" i="39" a="1"/>
  <c r="V63" i="39" s="1"/>
  <c r="V64" i="39" a="1"/>
  <c r="V64" i="39" s="1"/>
  <c r="V50" i="39" a="1"/>
  <c r="V50" i="39" s="1"/>
  <c r="V57" i="39" a="1"/>
  <c r="V57" i="39" s="1"/>
  <c r="V58" i="39" s="1" a="1"/>
  <c r="V58" i="39" s="1"/>
  <c r="S166" i="39"/>
  <c r="S167" i="39" s="1"/>
  <c r="S168" i="39" s="1"/>
  <c r="S170" i="39" s="1"/>
  <c r="S80" i="39"/>
  <c r="S92" i="39" s="1"/>
  <c r="S99" i="39" s="1"/>
  <c r="S102" i="39" s="1"/>
  <c r="S104" i="39" s="1"/>
  <c r="S105" i="39" s="1"/>
  <c r="T110" i="39"/>
  <c r="T108" i="39" s="1"/>
  <c r="U72" i="39"/>
  <c r="U70" i="39" s="1"/>
  <c r="T84" i="39"/>
  <c r="S118" i="39"/>
  <c r="S130" i="39" s="1"/>
  <c r="S137" i="39" s="1"/>
  <c r="S140" i="39" s="1"/>
  <c r="S142" i="39" s="1"/>
  <c r="S143" i="39" s="1"/>
  <c r="U51" i="39"/>
  <c r="U120" i="39"/>
  <c r="U82" i="39"/>
  <c r="R154" i="39"/>
  <c r="R156" i="39"/>
  <c r="R157" i="39" s="1"/>
  <c r="Q170" i="39"/>
  <c r="T122" i="39"/>
  <c r="V71" i="39"/>
  <c r="V74" i="39"/>
  <c r="V75" i="39"/>
  <c r="V76" i="39"/>
  <c r="V28" i="39"/>
  <c r="V97" i="39"/>
  <c r="V151" i="39"/>
  <c r="V77" i="39"/>
  <c r="V73" i="39"/>
  <c r="V88" i="39"/>
  <c r="V78" i="39"/>
  <c r="V33" i="39"/>
  <c r="V53" i="39" s="1" a="1"/>
  <c r="V53" i="39" s="1"/>
  <c r="V34" i="39"/>
  <c r="V54" i="39" s="1" a="1"/>
  <c r="V54" i="39" s="1"/>
  <c r="U89" i="39"/>
  <c r="U127" i="39"/>
  <c r="U55" i="39"/>
  <c r="X25" i="39"/>
  <c r="W27" i="39"/>
  <c r="U96" i="39"/>
  <c r="U134" i="39"/>
  <c r="T90" i="39"/>
  <c r="T87" i="39" s="1"/>
  <c r="T128" i="39"/>
  <c r="T125" i="39" s="1"/>
  <c r="U86" i="39"/>
  <c r="U124" i="39"/>
  <c r="U132" i="39"/>
  <c r="U94" i="39"/>
  <c r="U123" i="39"/>
  <c r="U85" i="39"/>
  <c r="U52" i="39"/>
  <c r="U109" i="39"/>
  <c r="U112" i="39"/>
  <c r="H8" i="56"/>
  <c r="U135" i="39"/>
  <c r="U126" i="39"/>
  <c r="U111" i="39"/>
  <c r="U116" i="39"/>
  <c r="U115" i="39"/>
  <c r="U114" i="39"/>
  <c r="U113" i="39"/>
  <c r="U133" i="39"/>
  <c r="U95" i="39"/>
  <c r="S156" i="39"/>
  <c r="S157" i="39" s="1"/>
  <c r="S154" i="39"/>
  <c r="T83" i="39"/>
  <c r="T81" i="39" s="1"/>
  <c r="T121" i="39"/>
  <c r="T119" i="39" s="1"/>
  <c r="T49" i="39"/>
  <c r="T48" i="39" s="1"/>
  <c r="T60" i="39" s="1"/>
  <c r="T67" i="39" s="1"/>
  <c r="R167" i="39"/>
  <c r="R168" i="39" s="1"/>
  <c r="R170" i="39" s="1"/>
  <c r="Z32" i="39"/>
  <c r="W63" i="39" l="1" a="1"/>
  <c r="W63" i="39" s="1"/>
  <c r="W57" i="39" a="1"/>
  <c r="W57" i="39" s="1"/>
  <c r="W58" i="39" s="1" a="1"/>
  <c r="W58" i="39" s="1"/>
  <c r="W64" i="39" a="1"/>
  <c r="W64" i="39" s="1"/>
  <c r="W62" i="39" a="1"/>
  <c r="W62" i="39" s="1"/>
  <c r="W50" i="39" a="1"/>
  <c r="W50" i="39" s="1"/>
  <c r="T118" i="39"/>
  <c r="T130" i="39" s="1"/>
  <c r="T137" i="39" s="1"/>
  <c r="T140" i="39" s="1"/>
  <c r="T142" i="39" s="1"/>
  <c r="T143" i="39" s="1"/>
  <c r="T80" i="39"/>
  <c r="T92" i="39" s="1"/>
  <c r="T99" i="39" s="1"/>
  <c r="T102" i="39" s="1"/>
  <c r="T104" i="39" s="1"/>
  <c r="T105" i="39" s="1"/>
  <c r="U84" i="39"/>
  <c r="U122" i="39"/>
  <c r="V72" i="39"/>
  <c r="V70" i="39" s="1"/>
  <c r="V124" i="39"/>
  <c r="V86" i="39"/>
  <c r="S171" i="39"/>
  <c r="R171" i="39"/>
  <c r="Q171" i="39"/>
  <c r="U83" i="39"/>
  <c r="U81" i="39" s="1"/>
  <c r="U121" i="39"/>
  <c r="U119" i="39" s="1"/>
  <c r="V85" i="39"/>
  <c r="V123" i="39"/>
  <c r="V52" i="39"/>
  <c r="U110" i="39"/>
  <c r="U108" i="39" s="1"/>
  <c r="U49" i="39"/>
  <c r="U48" i="39" s="1"/>
  <c r="U60" i="39" s="1"/>
  <c r="U67" i="39" s="1"/>
  <c r="V132" i="39"/>
  <c r="V94" i="39"/>
  <c r="T153" i="39"/>
  <c r="T166" i="39"/>
  <c r="V51" i="39"/>
  <c r="V82" i="39"/>
  <c r="V120" i="39"/>
  <c r="V95" i="39"/>
  <c r="V133" i="39"/>
  <c r="W71" i="39"/>
  <c r="W75" i="39"/>
  <c r="W28" i="39"/>
  <c r="W97" i="39"/>
  <c r="W151" i="39"/>
  <c r="W74" i="39"/>
  <c r="W76" i="39"/>
  <c r="W88" i="39"/>
  <c r="W77" i="39"/>
  <c r="W78" i="39"/>
  <c r="W73" i="39"/>
  <c r="W33" i="39"/>
  <c r="W53" i="39" s="1" a="1"/>
  <c r="W53" i="39" s="1"/>
  <c r="W34" i="39"/>
  <c r="W54" i="39" s="1" a="1"/>
  <c r="W54" i="39" s="1"/>
  <c r="V135" i="39"/>
  <c r="V115" i="39"/>
  <c r="V109" i="39"/>
  <c r="V126" i="39"/>
  <c r="V113" i="39"/>
  <c r="V111" i="39"/>
  <c r="V116" i="39"/>
  <c r="V112" i="39"/>
  <c r="V114" i="39"/>
  <c r="Y25" i="39"/>
  <c r="X27" i="39"/>
  <c r="V89" i="39"/>
  <c r="V127" i="39"/>
  <c r="V96" i="39"/>
  <c r="V134" i="39"/>
  <c r="U90" i="39"/>
  <c r="U87" i="39" s="1"/>
  <c r="U128" i="39"/>
  <c r="U125" i="39" s="1"/>
  <c r="X50" i="39" l="1" a="1"/>
  <c r="X50" i="39" s="1"/>
  <c r="X63" i="39" a="1"/>
  <c r="X63" i="39" s="1"/>
  <c r="X57" i="39" a="1"/>
  <c r="X57" i="39" s="1"/>
  <c r="X58" i="39" s="1" a="1"/>
  <c r="X58" i="39" s="1"/>
  <c r="X62" i="39" a="1"/>
  <c r="X62" i="39" s="1"/>
  <c r="X64" i="39" a="1"/>
  <c r="X64" i="39" s="1"/>
  <c r="V84" i="39"/>
  <c r="V122" i="39"/>
  <c r="U80" i="39"/>
  <c r="U92" i="39" s="1"/>
  <c r="U99" i="39" s="1"/>
  <c r="U102" i="39" s="1"/>
  <c r="U104" i="39" s="1"/>
  <c r="U105" i="39" s="1"/>
  <c r="W132" i="39"/>
  <c r="W94" i="39"/>
  <c r="T167" i="39"/>
  <c r="T168" i="39" s="1"/>
  <c r="T170" i="39" s="1"/>
  <c r="W109" i="39"/>
  <c r="W135" i="39"/>
  <c r="W114" i="39"/>
  <c r="W115" i="39"/>
  <c r="W112" i="39"/>
  <c r="W116" i="39"/>
  <c r="W126" i="39"/>
  <c r="W111" i="39"/>
  <c r="W113" i="39"/>
  <c r="Y27" i="39"/>
  <c r="Z25" i="39"/>
  <c r="W86" i="39"/>
  <c r="W124" i="39"/>
  <c r="V83" i="39"/>
  <c r="V81" i="39" s="1"/>
  <c r="V121" i="39"/>
  <c r="V119" i="39" s="1"/>
  <c r="W123" i="39"/>
  <c r="W52" i="39"/>
  <c r="W85" i="39"/>
  <c r="V49" i="39"/>
  <c r="T156" i="39"/>
  <c r="T157" i="39" s="1"/>
  <c r="T154" i="39"/>
  <c r="W72" i="39"/>
  <c r="W70" i="39" s="1"/>
  <c r="W89" i="39"/>
  <c r="W127" i="39"/>
  <c r="V128" i="39"/>
  <c r="V125" i="39" s="1"/>
  <c r="V90" i="39"/>
  <c r="V87" i="39" s="1"/>
  <c r="U166" i="39"/>
  <c r="U153" i="39"/>
  <c r="U118" i="39"/>
  <c r="U130" i="39" s="1"/>
  <c r="U137" i="39" s="1"/>
  <c r="U140" i="39" s="1"/>
  <c r="U142" i="39" s="1"/>
  <c r="U143" i="39" s="1"/>
  <c r="V55" i="39"/>
  <c r="W120" i="39"/>
  <c r="W51" i="39"/>
  <c r="W49" i="39" s="1"/>
  <c r="W82" i="39"/>
  <c r="W96" i="39"/>
  <c r="W134" i="39"/>
  <c r="V110" i="39"/>
  <c r="V108" i="39" s="1"/>
  <c r="X71" i="39"/>
  <c r="X28" i="39"/>
  <c r="X88" i="39"/>
  <c r="X151" i="39"/>
  <c r="X97" i="39"/>
  <c r="X75" i="39"/>
  <c r="X77" i="39"/>
  <c r="X76" i="39"/>
  <c r="X78" i="39"/>
  <c r="X74" i="39"/>
  <c r="X73" i="39"/>
  <c r="X33" i="39"/>
  <c r="X53" i="39" s="1" a="1"/>
  <c r="X53" i="39" s="1"/>
  <c r="X34" i="39"/>
  <c r="X54" i="39" s="1" a="1"/>
  <c r="X54" i="39" s="1"/>
  <c r="W95" i="39"/>
  <c r="W133" i="39"/>
  <c r="Y64" i="39" l="1" a="1"/>
  <c r="Y64" i="39" s="1"/>
  <c r="Y63" i="39" a="1"/>
  <c r="Y63" i="39" s="1"/>
  <c r="Y62" i="39" a="1"/>
  <c r="Y62" i="39" s="1"/>
  <c r="Y57" i="39" a="1"/>
  <c r="Y57" i="39" s="1"/>
  <c r="Y58" i="39" s="1" a="1"/>
  <c r="Y58" i="39" s="1"/>
  <c r="Y50" i="39" a="1"/>
  <c r="Y50" i="39" s="1"/>
  <c r="X72" i="39"/>
  <c r="X70" i="39" s="1"/>
  <c r="W84" i="39"/>
  <c r="V118" i="39"/>
  <c r="V130" i="39" s="1"/>
  <c r="V137" i="39" s="1"/>
  <c r="V140" i="39" s="1"/>
  <c r="V142" i="39" s="1"/>
  <c r="V143" i="39" s="1"/>
  <c r="T171" i="39"/>
  <c r="U156" i="39"/>
  <c r="U157" i="39" s="1"/>
  <c r="U154" i="39"/>
  <c r="U167" i="39"/>
  <c r="U168" i="39" s="1"/>
  <c r="U170" i="39" s="1"/>
  <c r="W90" i="39"/>
  <c r="W87" i="39" s="1"/>
  <c r="W128" i="39"/>
  <c r="W125" i="39" s="1"/>
  <c r="W55" i="39"/>
  <c r="W48" i="39" s="1"/>
  <c r="W60" i="39" s="1"/>
  <c r="W67" i="39" s="1"/>
  <c r="X82" i="39"/>
  <c r="X51" i="39"/>
  <c r="X49" i="39" s="1"/>
  <c r="X120" i="39"/>
  <c r="W121" i="39"/>
  <c r="W119" i="39" s="1"/>
  <c r="W83" i="39"/>
  <c r="W81" i="39" s="1"/>
  <c r="X94" i="39"/>
  <c r="X132" i="39"/>
  <c r="Z27" i="39"/>
  <c r="X109" i="39"/>
  <c r="X135" i="39"/>
  <c r="X113" i="39"/>
  <c r="X116" i="39"/>
  <c r="X115" i="39"/>
  <c r="X114" i="39"/>
  <c r="X111" i="39"/>
  <c r="X112" i="39"/>
  <c r="X126" i="39"/>
  <c r="Y71" i="39"/>
  <c r="Y75" i="39"/>
  <c r="Y28" i="39"/>
  <c r="Y151" i="39"/>
  <c r="Y97" i="39"/>
  <c r="Y73" i="39"/>
  <c r="Y76" i="39"/>
  <c r="Y77" i="39"/>
  <c r="Y74" i="39"/>
  <c r="Y88" i="39"/>
  <c r="Y78" i="39"/>
  <c r="Y33" i="39"/>
  <c r="Y53" i="39" s="1" a="1"/>
  <c r="Y53" i="39" s="1"/>
  <c r="Y34" i="39"/>
  <c r="Y54" i="39" s="1" a="1"/>
  <c r="Y54" i="39" s="1"/>
  <c r="X133" i="39"/>
  <c r="X95" i="39"/>
  <c r="X134" i="39"/>
  <c r="X96" i="39"/>
  <c r="X127" i="39"/>
  <c r="X89" i="39"/>
  <c r="V48" i="39"/>
  <c r="V60" i="39" s="1"/>
  <c r="V67" i="39" s="1"/>
  <c r="X86" i="39"/>
  <c r="X124" i="39"/>
  <c r="V80" i="39"/>
  <c r="V92" i="39" s="1"/>
  <c r="V99" i="39" s="1"/>
  <c r="V102" i="39" s="1"/>
  <c r="V104" i="39" s="1"/>
  <c r="V105" i="39" s="1"/>
  <c r="X52" i="39"/>
  <c r="X85" i="39"/>
  <c r="X123" i="39"/>
  <c r="W122" i="39"/>
  <c r="W110" i="39"/>
  <c r="W108" i="39" s="1"/>
  <c r="Z63" i="39" l="1" a="1"/>
  <c r="Z63" i="39" s="1"/>
  <c r="Z64" i="39" a="1"/>
  <c r="Z64" i="39" s="1"/>
  <c r="Z50" i="39" a="1"/>
  <c r="Z50" i="39" s="1"/>
  <c r="Z62" i="39" a="1"/>
  <c r="Z62" i="39" s="1"/>
  <c r="Z57" i="39" a="1"/>
  <c r="Z57" i="39" s="1"/>
  <c r="Z58" i="39" s="1" a="1"/>
  <c r="Z58" i="39" s="1"/>
  <c r="W80" i="39"/>
  <c r="W92" i="39" s="1"/>
  <c r="W99" i="39" s="1"/>
  <c r="W102" i="39" s="1"/>
  <c r="W104" i="39" s="1"/>
  <c r="W105" i="39" s="1"/>
  <c r="X122" i="39"/>
  <c r="X84" i="39"/>
  <c r="Y72" i="39"/>
  <c r="Y70" i="39" s="1"/>
  <c r="U171" i="39"/>
  <c r="Y51" i="39"/>
  <c r="Y49" i="39" s="1"/>
  <c r="Y82" i="39"/>
  <c r="Y120" i="39"/>
  <c r="X90" i="39"/>
  <c r="X87" i="39" s="1"/>
  <c r="X128" i="39"/>
  <c r="X125" i="39" s="1"/>
  <c r="X55" i="39"/>
  <c r="X48" i="39" s="1"/>
  <c r="X60" i="39" s="1"/>
  <c r="X67" i="39" s="1"/>
  <c r="Y109" i="39"/>
  <c r="Y114" i="39"/>
  <c r="Y135" i="39"/>
  <c r="Y111" i="39"/>
  <c r="Y115" i="39"/>
  <c r="Y112" i="39"/>
  <c r="Y113" i="39"/>
  <c r="Y126" i="39"/>
  <c r="Y116" i="39"/>
  <c r="X110" i="39"/>
  <c r="X108" i="39" s="1"/>
  <c r="Y127" i="39"/>
  <c r="Y89" i="39"/>
  <c r="Y95" i="39"/>
  <c r="Y133" i="39"/>
  <c r="Y94" i="39"/>
  <c r="Y132" i="39"/>
  <c r="Y124" i="39"/>
  <c r="Y86" i="39"/>
  <c r="Y134" i="39"/>
  <c r="Y96" i="39"/>
  <c r="X121" i="39"/>
  <c r="X119" i="39" s="1"/>
  <c r="X83" i="39"/>
  <c r="X81" i="39" s="1"/>
  <c r="Y123" i="39"/>
  <c r="Y85" i="39"/>
  <c r="Y52" i="39"/>
  <c r="W153" i="39"/>
  <c r="W166" i="39"/>
  <c r="V166" i="39"/>
  <c r="V153" i="39"/>
  <c r="Z71" i="39"/>
  <c r="Z88" i="39"/>
  <c r="Z28" i="39"/>
  <c r="Z97" i="39"/>
  <c r="Z151" i="39"/>
  <c r="Z75" i="39"/>
  <c r="Z77" i="39"/>
  <c r="Z78" i="39"/>
  <c r="Z76" i="39"/>
  <c r="Z74" i="39"/>
  <c r="Z73" i="39"/>
  <c r="Z33" i="39"/>
  <c r="Z53" i="39" s="1" a="1"/>
  <c r="Z53" i="39" s="1"/>
  <c r="Z34" i="39"/>
  <c r="Z54" i="39" s="1" a="1"/>
  <c r="Z54" i="39" s="1"/>
  <c r="W118" i="39"/>
  <c r="W130" i="39" s="1"/>
  <c r="W137" i="39" s="1"/>
  <c r="W140" i="39" s="1"/>
  <c r="W142" i="39" s="1"/>
  <c r="W143" i="39" s="1"/>
  <c r="X80" i="39" l="1"/>
  <c r="X92" i="39" s="1"/>
  <c r="X99" i="39" s="1"/>
  <c r="X102" i="39" s="1"/>
  <c r="X104" i="39" s="1"/>
  <c r="X105" i="39" s="1"/>
  <c r="Y84" i="39"/>
  <c r="Y122" i="39"/>
  <c r="Z72" i="39"/>
  <c r="Z70" i="39" s="1"/>
  <c r="Y110" i="39"/>
  <c r="Y108" i="39" s="1"/>
  <c r="X118" i="39"/>
  <c r="X130" i="39" s="1"/>
  <c r="X137" i="39" s="1"/>
  <c r="X140" i="39" s="1"/>
  <c r="X142" i="39" s="1"/>
  <c r="X143" i="39" s="1"/>
  <c r="W167" i="39"/>
  <c r="W168" i="39" s="1"/>
  <c r="W170" i="39" s="1"/>
  <c r="Y90" i="39"/>
  <c r="Y87" i="39" s="1"/>
  <c r="Y128" i="39"/>
  <c r="Y125" i="39" s="1"/>
  <c r="W154" i="39"/>
  <c r="W156" i="39"/>
  <c r="W157" i="39" s="1"/>
  <c r="Y55" i="39"/>
  <c r="Y48" i="39" s="1"/>
  <c r="Y60" i="39" s="1"/>
  <c r="Y67" i="39" s="1"/>
  <c r="X153" i="39"/>
  <c r="X166" i="39"/>
  <c r="Z109" i="39"/>
  <c r="Z114" i="39"/>
  <c r="Z135" i="39"/>
  <c r="Z115" i="39"/>
  <c r="Z116" i="39"/>
  <c r="Z112" i="39"/>
  <c r="Z126" i="39"/>
  <c r="Z111" i="39"/>
  <c r="Z113" i="39"/>
  <c r="V156" i="39"/>
  <c r="V157" i="39" s="1"/>
  <c r="V154" i="39"/>
  <c r="Z82" i="39"/>
  <c r="Z51" i="39"/>
  <c r="Z120" i="39"/>
  <c r="V167" i="39"/>
  <c r="V168" i="39" s="1"/>
  <c r="V170" i="39" s="1"/>
  <c r="V171" i="39" s="1"/>
  <c r="Z132" i="39"/>
  <c r="Z94" i="39"/>
  <c r="Y121" i="39"/>
  <c r="Y119" i="39" s="1"/>
  <c r="Y83" i="39"/>
  <c r="Y81" i="39" s="1"/>
  <c r="Z96" i="39"/>
  <c r="Z134" i="39"/>
  <c r="Z95" i="39"/>
  <c r="Z133" i="39"/>
  <c r="Z89" i="39"/>
  <c r="Z127" i="39"/>
  <c r="Z55" i="39"/>
  <c r="Z124" i="39"/>
  <c r="Z86" i="39"/>
  <c r="Z85" i="39"/>
  <c r="Z123" i="39"/>
  <c r="Z52" i="39"/>
  <c r="Y80" i="39" l="1"/>
  <c r="Y92" i="39" s="1"/>
  <c r="Y99" i="39" s="1"/>
  <c r="Y102" i="39" s="1"/>
  <c r="Y104" i="39" s="1"/>
  <c r="Y105" i="39" s="1"/>
  <c r="W171" i="39"/>
  <c r="Z110" i="39"/>
  <c r="Z108" i="39" s="1"/>
  <c r="Z122" i="39"/>
  <c r="Y118" i="39"/>
  <c r="Y130" i="39" s="1"/>
  <c r="Y137" i="39" s="1"/>
  <c r="Y140" i="39" s="1"/>
  <c r="Y142" i="39" s="1"/>
  <c r="Y143" i="39" s="1"/>
  <c r="Y166" i="39"/>
  <c r="Y153" i="39"/>
  <c r="Z83" i="39"/>
  <c r="Z81" i="39" s="1"/>
  <c r="Z121" i="39"/>
  <c r="Z119" i="39" s="1"/>
  <c r="Z84" i="39"/>
  <c r="X167" i="39"/>
  <c r="X168" i="39" s="1"/>
  <c r="X170" i="39" s="1"/>
  <c r="X171" i="39" s="1"/>
  <c r="Z49" i="39"/>
  <c r="Z48" i="39" s="1"/>
  <c r="Z60" i="39" s="1"/>
  <c r="Z67" i="39" s="1"/>
  <c r="X156" i="39"/>
  <c r="X157" i="39" s="1"/>
  <c r="X154" i="39"/>
  <c r="Z128" i="39"/>
  <c r="Z125" i="39" s="1"/>
  <c r="Z90" i="39"/>
  <c r="Z87" i="39" s="1"/>
  <c r="Z118" i="39" l="1"/>
  <c r="Z130" i="39" s="1"/>
  <c r="Z137" i="39" s="1"/>
  <c r="Z140" i="39" s="1"/>
  <c r="Z142" i="39" s="1"/>
  <c r="Z143" i="39" s="1"/>
  <c r="Z153" i="39"/>
  <c r="Z166" i="39"/>
  <c r="Z80" i="39"/>
  <c r="Z92" i="39" s="1"/>
  <c r="Z99" i="39" s="1"/>
  <c r="Z102" i="39" s="1"/>
  <c r="Z104" i="39" s="1"/>
  <c r="Z105" i="39" s="1"/>
  <c r="Y156" i="39"/>
  <c r="Y157" i="39" s="1"/>
  <c r="Y154" i="39"/>
  <c r="Y167" i="39"/>
  <c r="Y168" i="39" s="1"/>
  <c r="Y170" i="39" s="1"/>
  <c r="Y171" i="39" s="1"/>
  <c r="Z167" i="39" l="1"/>
  <c r="Z168" i="39" s="1"/>
  <c r="Z170" i="39" s="1"/>
  <c r="Z171" i="39" s="1"/>
  <c r="Z154" i="39"/>
  <c r="Z156" i="39"/>
  <c r="Z157" i="39" s="1"/>
  <c r="Q37" i="38" l="1"/>
  <c r="K14" i="31" s="1"/>
  <c r="B4" i="63" a="1"/>
  <c r="B4" i="63" s="1"/>
  <c r="W37" i="38" l="1"/>
  <c r="O14" i="31" s="1"/>
  <c r="AI37" i="38"/>
  <c r="W14" i="31" s="1"/>
  <c r="Z37" i="38"/>
  <c r="Q14" i="31" s="1"/>
  <c r="AF37" i="38"/>
  <c r="U14" i="31" s="1"/>
  <c r="AC37" i="38"/>
  <c r="S14" i="31" s="1"/>
  <c r="C4" i="63" a="1"/>
  <c r="C4" i="63" s="1"/>
  <c r="K175" i="39"/>
  <c r="H37" i="38" s="1"/>
  <c r="E14" i="31" s="1"/>
  <c r="T37" i="38"/>
  <c r="M14" i="31" s="1"/>
  <c r="N37" i="38"/>
  <c r="I14" i="31" s="1"/>
  <c r="K37" i="38"/>
  <c r="G14" i="31" s="1"/>
  <c r="D20" i="63" l="1"/>
  <c r="D28" i="63"/>
  <c r="D29" i="63"/>
  <c r="D24" i="63"/>
  <c r="D27" i="63"/>
  <c r="D21" i="63"/>
  <c r="D25" i="63"/>
  <c r="D22" i="63"/>
  <c r="D23" i="63"/>
  <c r="D26" i="63"/>
  <c r="AI35" i="38"/>
  <c r="AC35" i="38"/>
  <c r="AF35" i="38"/>
  <c r="Z35" i="38"/>
  <c r="D14" i="63"/>
  <c r="D6" i="63"/>
  <c r="D13" i="63"/>
  <c r="D5" i="63"/>
  <c r="D16" i="63"/>
  <c r="D12" i="63"/>
  <c r="D11" i="63"/>
  <c r="D4" i="63"/>
  <c r="D10" i="63"/>
  <c r="D9" i="63"/>
  <c r="D8" i="63"/>
  <c r="D7" i="63"/>
  <c r="D15" i="63"/>
  <c r="D19" i="63"/>
  <c r="D18" i="63"/>
  <c r="D17" i="63"/>
  <c r="Q35" i="38"/>
  <c r="W35" i="38"/>
  <c r="K174" i="39"/>
  <c r="Q36" i="38" l="1"/>
  <c r="K13" i="31" s="1"/>
  <c r="P22" i="54" s="1"/>
  <c r="W36" i="38"/>
  <c r="O13" i="31" s="1"/>
  <c r="S22" i="54" s="1"/>
  <c r="Z36" i="38"/>
  <c r="Q13" i="31" s="1"/>
  <c r="AF36" i="38"/>
  <c r="U13" i="31" s="1"/>
  <c r="AC36" i="38"/>
  <c r="S13" i="31" s="1"/>
  <c r="AI36" i="38"/>
  <c r="W13" i="31" s="1"/>
  <c r="K176" i="39" a="1"/>
  <c r="K176" i="39" s="1"/>
  <c r="H177" i="39" s="1"/>
  <c r="AE16" i="34" a="1"/>
  <c r="AE16" i="34" s="1"/>
  <c r="AD16" i="34" s="1"/>
  <c r="W16" i="34" a="1"/>
  <c r="W16" i="34" s="1"/>
  <c r="V16" i="34" s="1"/>
  <c r="W15" i="34" a="1"/>
  <c r="W15" i="34" s="1"/>
  <c r="W17" i="34" a="1"/>
  <c r="W17" i="34" s="1"/>
  <c r="V17" i="34" s="1"/>
  <c r="W10" i="34" a="1"/>
  <c r="W10" i="34" s="1"/>
  <c r="AE15" i="34" a="1"/>
  <c r="AE15" i="34" s="1"/>
  <c r="AA16" i="34" a="1"/>
  <c r="AA16" i="34" s="1"/>
  <c r="Z16" i="34" s="1"/>
  <c r="AA10" i="34" a="1"/>
  <c r="AA10" i="34" s="1"/>
  <c r="AE17" i="34" a="1"/>
  <c r="AE17" i="34" s="1"/>
  <c r="AD17" i="34" s="1"/>
  <c r="T35" i="38"/>
  <c r="AI16" i="34" a="1"/>
  <c r="AI16" i="34" s="1"/>
  <c r="N35" i="38"/>
  <c r="K21" i="31" a="1"/>
  <c r="K21" i="31" s="1"/>
  <c r="L21" i="31" s="1"/>
  <c r="AI17" i="34" a="1"/>
  <c r="AI17" i="34" s="1"/>
  <c r="AH17" i="34" s="1"/>
  <c r="K48" i="38" a="1"/>
  <c r="K48" i="38" s="1"/>
  <c r="Q112" i="38" a="1"/>
  <c r="Q112" i="38" s="1"/>
  <c r="W113" i="38" a="1"/>
  <c r="W113" i="38" s="1"/>
  <c r="M24" i="31" a="1"/>
  <c r="M24" i="31" s="1"/>
  <c r="N24" i="31" s="1"/>
  <c r="Q76" i="38" a="1"/>
  <c r="Q76" i="38" s="1"/>
  <c r="K73" i="38" a="1"/>
  <c r="K73" i="38" s="1"/>
  <c r="O26" i="31" a="1"/>
  <c r="O26" i="31" s="1"/>
  <c r="P26" i="31" s="1"/>
  <c r="N59" i="38" a="1"/>
  <c r="N59" i="38" s="1"/>
  <c r="M43" i="31" a="1"/>
  <c r="M43" i="31" s="1"/>
  <c r="N43" i="31" s="1"/>
  <c r="DC19" i="11" a="1"/>
  <c r="DC19" i="11" s="1"/>
  <c r="DC20" i="11" s="1"/>
  <c r="DC21" i="11" s="1"/>
  <c r="DC28" i="11" s="1"/>
  <c r="DC32" i="11" s="1"/>
  <c r="M27" i="31" a="1"/>
  <c r="M27" i="31" s="1"/>
  <c r="N27" i="31" s="1"/>
  <c r="Q44" i="38" a="1"/>
  <c r="Q44" i="38" s="1"/>
  <c r="Q74" i="38" a="1"/>
  <c r="Q74" i="38" s="1"/>
  <c r="G37" i="31" a="1"/>
  <c r="G37" i="31" s="1"/>
  <c r="H37" i="31" s="1"/>
  <c r="Q78" i="38" a="1"/>
  <c r="Q78" i="38" s="1"/>
  <c r="T44" i="38" a="1"/>
  <c r="T44" i="38" s="1"/>
  <c r="H72" i="38" a="1"/>
  <c r="H72" i="38" s="1"/>
  <c r="K50" i="38" a="1"/>
  <c r="K50" i="38" s="1"/>
  <c r="I54" i="31" a="1"/>
  <c r="I54" i="31" s="1"/>
  <c r="W56" i="38" a="1"/>
  <c r="W56" i="38" s="1"/>
  <c r="H102" i="38" a="1"/>
  <c r="H102" i="38" s="1"/>
  <c r="K55" i="38" a="1"/>
  <c r="K55" i="38" s="1"/>
  <c r="W120" i="38" a="1"/>
  <c r="W120" i="38" s="1"/>
  <c r="M31" i="31" a="1"/>
  <c r="M31" i="31" s="1"/>
  <c r="N31" i="31" s="1"/>
  <c r="K46" i="38" a="1"/>
  <c r="K46" i="38" s="1"/>
  <c r="G58" i="31" a="1"/>
  <c r="G58" i="31" s="1"/>
  <c r="K96" i="38" a="1"/>
  <c r="K96" i="38" s="1"/>
  <c r="T50" i="38" a="1"/>
  <c r="T50" i="38" s="1"/>
  <c r="K82" i="38" a="1"/>
  <c r="K82" i="38" s="1"/>
  <c r="Q92" i="38" a="1"/>
  <c r="Q92" i="38" s="1"/>
  <c r="O24" i="31" a="1"/>
  <c r="O24" i="31" s="1"/>
  <c r="P24" i="31" s="1"/>
  <c r="CW19" i="11" a="1"/>
  <c r="CW19" i="11" s="1"/>
  <c r="CW20" i="11" s="1"/>
  <c r="CW21" i="11" s="1"/>
  <c r="CW28" i="11" s="1"/>
  <c r="CW32" i="11" s="1"/>
  <c r="DU19" i="11" a="1"/>
  <c r="DU19" i="11" s="1"/>
  <c r="DU20" i="11" s="1"/>
  <c r="DU21" i="11" s="1"/>
  <c r="DU28" i="11" s="1"/>
  <c r="DU32" i="11" s="1"/>
  <c r="K56" i="38" a="1"/>
  <c r="K56" i="38" s="1"/>
  <c r="K58" i="31" a="1"/>
  <c r="K58" i="31" s="1"/>
  <c r="BA19" i="11" a="1"/>
  <c r="BA19" i="11" s="1"/>
  <c r="BA20" i="11" s="1"/>
  <c r="BA21" i="11" s="1"/>
  <c r="BA28" i="11" s="1"/>
  <c r="BA32" i="11" s="1"/>
  <c r="K115" i="38" a="1"/>
  <c r="K115" i="38" s="1"/>
  <c r="K51" i="31" a="1"/>
  <c r="K51" i="31" s="1"/>
  <c r="W92" i="38" a="1"/>
  <c r="W92" i="38" s="1"/>
  <c r="T73" i="38" a="1"/>
  <c r="T73" i="38" s="1"/>
  <c r="BS19" i="11" a="1"/>
  <c r="BS19" i="11" s="1"/>
  <c r="BS20" i="11" s="1"/>
  <c r="BS21" i="11" s="1"/>
  <c r="BS28" i="11" s="1"/>
  <c r="BS32" i="11" s="1"/>
  <c r="O36" i="31" a="1"/>
  <c r="O36" i="31" s="1"/>
  <c r="P36" i="31" s="1"/>
  <c r="N83" i="38" a="1"/>
  <c r="N83" i="38" s="1"/>
  <c r="EA19" i="11" a="1"/>
  <c r="EA19" i="11" s="1"/>
  <c r="EA20" i="11" s="1"/>
  <c r="EA21" i="11" s="1"/>
  <c r="EA28" i="11" s="1"/>
  <c r="EA32" i="11" s="1"/>
  <c r="W88" i="38" a="1"/>
  <c r="W88" i="38" s="1"/>
  <c r="W90" i="38" a="1"/>
  <c r="W90" i="38" s="1"/>
  <c r="E21" i="31" a="1"/>
  <c r="E21" i="31" s="1"/>
  <c r="F21" i="31" s="1"/>
  <c r="N121" i="38" a="1"/>
  <c r="N121" i="38" s="1"/>
  <c r="G26" i="31" a="1"/>
  <c r="G26" i="31" s="1"/>
  <c r="H26" i="31" s="1"/>
  <c r="AU19" i="11" a="1"/>
  <c r="AU19" i="11" s="1"/>
  <c r="AU20" i="11" s="1"/>
  <c r="AU21" i="11" s="1"/>
  <c r="AU28" i="11" s="1"/>
  <c r="AU32" i="11" s="1"/>
  <c r="AI10" i="34" a="1"/>
  <c r="AI10" i="34" s="1"/>
  <c r="W54" i="38" a="1"/>
  <c r="W54" i="38" s="1"/>
  <c r="Q123" i="38" a="1"/>
  <c r="Q123" i="38" s="1"/>
  <c r="K49" i="38" a="1"/>
  <c r="K49" i="38" s="1"/>
  <c r="Q100" i="38" a="1"/>
  <c r="Q100" i="38" s="1"/>
  <c r="N112" i="38" a="1"/>
  <c r="N112" i="38" s="1"/>
  <c r="H65" i="38" a="1"/>
  <c r="H65" i="38" s="1"/>
  <c r="N47" i="38" a="1"/>
  <c r="N47" i="38" s="1"/>
  <c r="K64" i="38" a="1"/>
  <c r="K64" i="38" s="1"/>
  <c r="G51" i="31" a="1"/>
  <c r="G51" i="31" s="1"/>
  <c r="T103" i="38" a="1"/>
  <c r="T103" i="38" s="1"/>
  <c r="N50" i="38" a="1"/>
  <c r="N50" i="38" s="1"/>
  <c r="N102" i="38" a="1"/>
  <c r="N102" i="38" s="1"/>
  <c r="W89" i="38" a="1"/>
  <c r="W89" i="38" s="1"/>
  <c r="N56" i="38" a="1"/>
  <c r="N56" i="38" s="1"/>
  <c r="H79" i="38" a="1"/>
  <c r="H79" i="38" s="1"/>
  <c r="O35" i="31" a="1"/>
  <c r="O35" i="31" s="1"/>
  <c r="P35" i="31" s="1"/>
  <c r="I20" i="31" a="1"/>
  <c r="I20" i="31" s="1"/>
  <c r="J20" i="31" s="1"/>
  <c r="N106" i="38" a="1"/>
  <c r="N106" i="38" s="1"/>
  <c r="K114" i="38" a="1"/>
  <c r="K114" i="38" s="1"/>
  <c r="G33" i="31" a="1"/>
  <c r="G33" i="31" s="1"/>
  <c r="H33" i="31" s="1"/>
  <c r="M19" i="31" a="1"/>
  <c r="M19" i="31" s="1"/>
  <c r="T63" i="38" a="1"/>
  <c r="T63" i="38" s="1"/>
  <c r="K88" i="38" a="1"/>
  <c r="K88" i="38" s="1"/>
  <c r="M40" i="31" a="1"/>
  <c r="M40" i="31" s="1"/>
  <c r="N40" i="31" s="1"/>
  <c r="E41" i="31" a="1"/>
  <c r="E41" i="31" s="1"/>
  <c r="F41" i="31" s="1"/>
  <c r="T92" i="38" a="1"/>
  <c r="T92" i="38" s="1"/>
  <c r="E26" i="31" a="1"/>
  <c r="E26" i="31" s="1"/>
  <c r="F26" i="31" s="1"/>
  <c r="W65" i="38" a="1"/>
  <c r="W65" i="38" s="1"/>
  <c r="I38" i="31" a="1"/>
  <c r="I38" i="31" s="1"/>
  <c r="J38" i="31" s="1"/>
  <c r="I25" i="31" a="1"/>
  <c r="I25" i="31" s="1"/>
  <c r="J25" i="31" s="1"/>
  <c r="BG19" i="11" a="1"/>
  <c r="BG19" i="11" s="1"/>
  <c r="BG20" i="11" s="1"/>
  <c r="BG21" i="11" s="1"/>
  <c r="BG28" i="11" s="1"/>
  <c r="BG32" i="11" s="1"/>
  <c r="I37" i="31" a="1"/>
  <c r="I37" i="31" s="1"/>
  <c r="J37" i="31" s="1"/>
  <c r="H87" i="38" a="1"/>
  <c r="H87" i="38" s="1"/>
  <c r="Q75" i="38" a="1"/>
  <c r="Q75" i="38" s="1"/>
  <c r="G40" i="31" a="1"/>
  <c r="G40" i="31" s="1"/>
  <c r="H40" i="31" s="1"/>
  <c r="K28" i="31" a="1"/>
  <c r="K28" i="31" s="1"/>
  <c r="L28" i="31" s="1"/>
  <c r="Q61" i="38" a="1"/>
  <c r="Q61" i="38" s="1"/>
  <c r="T110" i="38" a="1"/>
  <c r="T110" i="38" s="1"/>
  <c r="O34" i="31" a="1"/>
  <c r="O34" i="31" s="1"/>
  <c r="P34" i="31" s="1"/>
  <c r="I50" i="31" a="1"/>
  <c r="I50" i="31" s="1"/>
  <c r="H117" i="38" a="1"/>
  <c r="H117" i="38" s="1"/>
  <c r="K29" i="31" a="1"/>
  <c r="K29" i="31" s="1"/>
  <c r="L29" i="31" s="1"/>
  <c r="T105" i="38" a="1"/>
  <c r="T105" i="38" s="1"/>
  <c r="Q122" i="38" a="1"/>
  <c r="Q122" i="38" s="1"/>
  <c r="K59" i="38" a="1"/>
  <c r="K59" i="38" s="1"/>
  <c r="K109" i="38" a="1"/>
  <c r="K109" i="38" s="1"/>
  <c r="K60" i="38" a="1"/>
  <c r="K60" i="38" s="1"/>
  <c r="K60" i="31" a="1"/>
  <c r="K60" i="31" s="1"/>
  <c r="N81" i="38" a="1"/>
  <c r="N81" i="38" s="1"/>
  <c r="N64" i="38" a="1"/>
  <c r="N64" i="38" s="1"/>
  <c r="W106" i="38" a="1"/>
  <c r="W106" i="38" s="1"/>
  <c r="Q55" i="38" a="1"/>
  <c r="Q55" i="38" s="1"/>
  <c r="H90" i="38" a="1"/>
  <c r="H90" i="38" s="1"/>
  <c r="K94" i="38" a="1"/>
  <c r="K94" i="38" s="1"/>
  <c r="K27" i="31" a="1"/>
  <c r="K27" i="31" s="1"/>
  <c r="L27" i="31" s="1"/>
  <c r="W84" i="38" a="1"/>
  <c r="W84" i="38" s="1"/>
  <c r="G29" i="31" a="1"/>
  <c r="G29" i="31" s="1"/>
  <c r="H29" i="31" s="1"/>
  <c r="T84" i="38" a="1"/>
  <c r="T84" i="38" s="1"/>
  <c r="I40" i="31" a="1"/>
  <c r="I40" i="31" s="1"/>
  <c r="J40" i="31" s="1"/>
  <c r="W74" i="38" a="1"/>
  <c r="W74" i="38" s="1"/>
  <c r="T118" i="38" a="1"/>
  <c r="T118" i="38" s="1"/>
  <c r="K41" i="31" a="1"/>
  <c r="K41" i="31" s="1"/>
  <c r="L41" i="31" s="1"/>
  <c r="N76" i="38" a="1"/>
  <c r="N76" i="38" s="1"/>
  <c r="H91" i="38" a="1"/>
  <c r="H91" i="38" s="1"/>
  <c r="N82" i="38" a="1"/>
  <c r="N82" i="38" s="1"/>
  <c r="K22" i="31" a="1"/>
  <c r="K22" i="31" s="1"/>
  <c r="L22" i="31" s="1"/>
  <c r="K65" i="38" a="1"/>
  <c r="K65" i="38" s="1"/>
  <c r="T85" i="38" a="1"/>
  <c r="T85" i="38" s="1"/>
  <c r="Q85" i="38" a="1"/>
  <c r="Q85" i="38" s="1"/>
  <c r="R85" i="38" s="1"/>
  <c r="T48" i="38" a="1"/>
  <c r="T48" i="38" s="1"/>
  <c r="H75" i="38" a="1"/>
  <c r="H75" i="38" s="1"/>
  <c r="M30" i="31" a="1"/>
  <c r="M30" i="31" s="1"/>
  <c r="N30" i="31" s="1"/>
  <c r="G41" i="31" a="1"/>
  <c r="G41" i="31" s="1"/>
  <c r="H41" i="31" s="1"/>
  <c r="Q87" i="38" a="1"/>
  <c r="Q87" i="38" s="1"/>
  <c r="M20" i="31" a="1"/>
  <c r="M20" i="31" s="1"/>
  <c r="N20" i="31" s="1"/>
  <c r="W94" i="38" a="1"/>
  <c r="W94" i="38" s="1"/>
  <c r="T94" i="38" a="1"/>
  <c r="T94" i="38" s="1"/>
  <c r="Q50" i="38" a="1"/>
  <c r="Q50" i="38" s="1"/>
  <c r="W93" i="38" a="1"/>
  <c r="W93" i="38" s="1"/>
  <c r="T93" i="38" a="1"/>
  <c r="T93" i="38" s="1"/>
  <c r="N57" i="38" a="1"/>
  <c r="N57" i="38" s="1"/>
  <c r="T106" i="38" a="1"/>
  <c r="T106" i="38" s="1"/>
  <c r="W116" i="38" a="1"/>
  <c r="W116" i="38" s="1"/>
  <c r="H58" i="38" a="1"/>
  <c r="H58" i="38" s="1"/>
  <c r="W66" i="38" a="1"/>
  <c r="W66" i="38" s="1"/>
  <c r="H101" i="38" a="1"/>
  <c r="H101" i="38" s="1"/>
  <c r="K50" i="31" a="1"/>
  <c r="K50" i="31" s="1"/>
  <c r="N109" i="38" a="1"/>
  <c r="N109" i="38" s="1"/>
  <c r="T83" i="38" a="1"/>
  <c r="T83" i="38" s="1"/>
  <c r="M56" i="31" a="1"/>
  <c r="M56" i="31" s="1"/>
  <c r="Q53" i="38" a="1"/>
  <c r="Q53" i="38" s="1"/>
  <c r="N61" i="38" a="1"/>
  <c r="N61" i="38" s="1"/>
  <c r="Q91" i="38" a="1"/>
  <c r="Q91" i="38" s="1"/>
  <c r="G32" i="31" a="1"/>
  <c r="G32" i="31" s="1"/>
  <c r="H32" i="31" s="1"/>
  <c r="K91" i="38" a="1"/>
  <c r="K91" i="38" s="1"/>
  <c r="T99" i="38" a="1"/>
  <c r="T99" i="38" s="1"/>
  <c r="N110" i="38" a="1"/>
  <c r="N110" i="38" s="1"/>
  <c r="I23" i="31" a="1"/>
  <c r="I23" i="31" s="1"/>
  <c r="J23" i="31" s="1"/>
  <c r="E53" i="31" a="1"/>
  <c r="E53" i="31" s="1"/>
  <c r="N54" i="38" a="1"/>
  <c r="N54" i="38" s="1"/>
  <c r="Q52" i="38" a="1"/>
  <c r="Q52" i="38" s="1"/>
  <c r="G31" i="31" a="1"/>
  <c r="G31" i="31" s="1"/>
  <c r="H31" i="31" s="1"/>
  <c r="E20" i="31" a="1"/>
  <c r="E20" i="31" s="1"/>
  <c r="F20" i="31" s="1"/>
  <c r="E42" i="31" a="1"/>
  <c r="E42" i="31" s="1"/>
  <c r="F42" i="31" s="1"/>
  <c r="N92" i="38" a="1"/>
  <c r="N92" i="38" s="1"/>
  <c r="Q96" i="38" a="1"/>
  <c r="Q96" i="38" s="1"/>
  <c r="N78" i="38" a="1"/>
  <c r="N78" i="38" s="1"/>
  <c r="H99" i="38" a="1"/>
  <c r="H99" i="38" s="1"/>
  <c r="M23" i="31" a="1"/>
  <c r="M23" i="31" s="1"/>
  <c r="N23" i="31" s="1"/>
  <c r="K24" i="31" a="1"/>
  <c r="K24" i="31" s="1"/>
  <c r="L24" i="31" s="1"/>
  <c r="W62" i="38" a="1"/>
  <c r="W62" i="38" s="1"/>
  <c r="N75" i="38" a="1"/>
  <c r="N75" i="38" s="1"/>
  <c r="K92" i="38" a="1"/>
  <c r="K92" i="38" s="1"/>
  <c r="T89" i="38" a="1"/>
  <c r="T89" i="38" s="1"/>
  <c r="Q46" i="38" a="1"/>
  <c r="Q46" i="38" s="1"/>
  <c r="T114" i="38" a="1"/>
  <c r="T114" i="38" s="1"/>
  <c r="H84" i="38" a="1"/>
  <c r="H84" i="38" s="1"/>
  <c r="G28" i="31" a="1"/>
  <c r="G28" i="31" s="1"/>
  <c r="H28" i="31" s="1"/>
  <c r="H48" i="38" a="1"/>
  <c r="H48" i="38" s="1"/>
  <c r="K35" i="38"/>
  <c r="AE10" i="34" a="1"/>
  <c r="AE10" i="34" s="1"/>
  <c r="K57" i="38" a="1"/>
  <c r="K57" i="38" s="1"/>
  <c r="Q43" i="38" a="1"/>
  <c r="Q43" i="38" s="1"/>
  <c r="M50" i="31" a="1"/>
  <c r="M50" i="31" s="1"/>
  <c r="K123" i="38" a="1"/>
  <c r="K123" i="38" s="1"/>
  <c r="N119" i="38" a="1"/>
  <c r="N119" i="38" s="1"/>
  <c r="H52" i="38" a="1"/>
  <c r="H52" i="38" s="1"/>
  <c r="N55" i="38" a="1"/>
  <c r="N55" i="38" s="1"/>
  <c r="K112" i="38" a="1"/>
  <c r="K112" i="38" s="1"/>
  <c r="K116" i="38" a="1"/>
  <c r="K116" i="38" s="1"/>
  <c r="T54" i="38" a="1"/>
  <c r="T54" i="38" s="1"/>
  <c r="W112" i="38" a="1"/>
  <c r="W112" i="38" s="1"/>
  <c r="W91" i="38" a="1"/>
  <c r="W91" i="38" s="1"/>
  <c r="E59" i="31" a="1"/>
  <c r="E59" i="31" s="1"/>
  <c r="M59" i="31" a="1"/>
  <c r="M59" i="31" s="1"/>
  <c r="Q59" i="38" a="1"/>
  <c r="Q59" i="38" s="1"/>
  <c r="W57" i="38" a="1"/>
  <c r="W57" i="38" s="1"/>
  <c r="BM19" i="11" a="1"/>
  <c r="BM19" i="11" s="1"/>
  <c r="BM20" i="11" s="1"/>
  <c r="BM21" i="11" s="1"/>
  <c r="BM28" i="11" s="1"/>
  <c r="BM32" i="11" s="1"/>
  <c r="T82" i="38" a="1"/>
  <c r="T82" i="38" s="1"/>
  <c r="K53" i="31" a="1"/>
  <c r="K53" i="31" s="1"/>
  <c r="H96" i="38" a="1"/>
  <c r="H96" i="38" s="1"/>
  <c r="E51" i="31" a="1"/>
  <c r="E51" i="31" s="1"/>
  <c r="Q82" i="38" a="1"/>
  <c r="Q82" i="38" s="1"/>
  <c r="N77" i="38" a="1"/>
  <c r="N77" i="38" s="1"/>
  <c r="I56" i="31" a="1"/>
  <c r="I56" i="31" s="1"/>
  <c r="CQ19" i="11" a="1"/>
  <c r="CQ19" i="11" s="1"/>
  <c r="CQ20" i="11" s="1"/>
  <c r="CQ21" i="11" s="1"/>
  <c r="CQ28" i="11" s="1"/>
  <c r="CQ32" i="11" s="1"/>
  <c r="N95" i="38" a="1"/>
  <c r="N95" i="38" s="1"/>
  <c r="W49" i="38" a="1"/>
  <c r="W49" i="38" s="1"/>
  <c r="K79" i="38" a="1"/>
  <c r="K79" i="38" s="1"/>
  <c r="W47" i="38" a="1"/>
  <c r="W47" i="38" s="1"/>
  <c r="H82" i="38" a="1"/>
  <c r="H82" i="38" s="1"/>
  <c r="K23" i="31" a="1"/>
  <c r="K23" i="31" s="1"/>
  <c r="L23" i="31" s="1"/>
  <c r="W46" i="38" a="1"/>
  <c r="W46" i="38" s="1"/>
  <c r="T76" i="38" a="1"/>
  <c r="T76" i="38" s="1"/>
  <c r="N103" i="38" a="1"/>
  <c r="N103" i="38" s="1"/>
  <c r="M32" i="31" a="1"/>
  <c r="M32" i="31" s="1"/>
  <c r="N32" i="31" s="1"/>
  <c r="I21" i="31" a="1"/>
  <c r="I21" i="31" s="1"/>
  <c r="J21" i="31" s="1"/>
  <c r="I60" i="31" a="1"/>
  <c r="I60" i="31" s="1"/>
  <c r="E22" i="31" a="1"/>
  <c r="E22" i="31" s="1"/>
  <c r="F22" i="31" s="1"/>
  <c r="N93" i="38" a="1"/>
  <c r="N93" i="38" s="1"/>
  <c r="O32" i="31" a="1"/>
  <c r="O32" i="31" s="1"/>
  <c r="P32" i="31" s="1"/>
  <c r="Q90" i="38" a="1"/>
  <c r="Q90" i="38" s="1"/>
  <c r="T119" i="38" a="1"/>
  <c r="T119" i="38" s="1"/>
  <c r="K99" i="38" a="1"/>
  <c r="K99" i="38" s="1"/>
  <c r="AA15" i="34" a="1"/>
  <c r="AA15" i="34" s="1"/>
  <c r="AA17" i="34" a="1"/>
  <c r="AA17" i="34" s="1"/>
  <c r="Z17" i="34" s="1"/>
  <c r="W115" i="38" a="1"/>
  <c r="W115" i="38" s="1"/>
  <c r="K54" i="38" a="1"/>
  <c r="K54" i="38" s="1"/>
  <c r="M51" i="31" a="1"/>
  <c r="M51" i="31" s="1"/>
  <c r="K51" i="38" a="1"/>
  <c r="K51" i="38" s="1"/>
  <c r="T102" i="38" a="1"/>
  <c r="T102" i="38" s="1"/>
  <c r="H106" i="38" a="1"/>
  <c r="H106" i="38" s="1"/>
  <c r="H50" i="38" a="1"/>
  <c r="H50" i="38" s="1"/>
  <c r="Q68" i="38" a="1"/>
  <c r="Q68" i="38" s="1"/>
  <c r="H113" i="38" a="1"/>
  <c r="H113" i="38" s="1"/>
  <c r="T60" i="38" a="1"/>
  <c r="T60" i="38" s="1"/>
  <c r="Q56" i="38" a="1"/>
  <c r="Q56" i="38" s="1"/>
  <c r="H112" i="38" a="1"/>
  <c r="H112" i="38" s="1"/>
  <c r="K54" i="31" a="1"/>
  <c r="K54" i="31" s="1"/>
  <c r="T55" i="38" a="1"/>
  <c r="T55" i="38" s="1"/>
  <c r="H81" i="38" a="1"/>
  <c r="H81" i="38" s="1"/>
  <c r="K72" i="38" a="1"/>
  <c r="K72" i="38" s="1"/>
  <c r="N63" i="38" a="1"/>
  <c r="N63" i="38" s="1"/>
  <c r="W86" i="38" a="1"/>
  <c r="W86" i="38" s="1"/>
  <c r="I26" i="31" a="1"/>
  <c r="I26" i="31" s="1"/>
  <c r="J26" i="31" s="1"/>
  <c r="G22" i="31" a="1"/>
  <c r="G22" i="31" s="1"/>
  <c r="H22" i="31" s="1"/>
  <c r="K39" i="31" a="1"/>
  <c r="K39" i="31" s="1"/>
  <c r="L39" i="31" s="1"/>
  <c r="N43" i="38" a="1"/>
  <c r="N43" i="38" s="1"/>
  <c r="T95" i="38" a="1"/>
  <c r="T95" i="38" s="1"/>
  <c r="T81" i="38" a="1"/>
  <c r="T81" i="38" s="1"/>
  <c r="K57" i="31" a="1"/>
  <c r="K57" i="31" s="1"/>
  <c r="Q65" i="38" a="1"/>
  <c r="Q65" i="38" s="1"/>
  <c r="O42" i="31" a="1"/>
  <c r="O42" i="31" s="1"/>
  <c r="P42" i="31" s="1"/>
  <c r="I57" i="31" a="1"/>
  <c r="I57" i="31" s="1"/>
  <c r="E31" i="31" a="1"/>
  <c r="E31" i="31" s="1"/>
  <c r="F31" i="31" s="1"/>
  <c r="K52" i="38" a="1"/>
  <c r="K52" i="38" s="1"/>
  <c r="N46" i="38" a="1"/>
  <c r="N46" i="38" s="1"/>
  <c r="O31" i="31" a="1"/>
  <c r="O31" i="31" s="1"/>
  <c r="P31" i="31" s="1"/>
  <c r="Q119" i="38" a="1"/>
  <c r="Q119" i="38" s="1"/>
  <c r="M38" i="31" a="1"/>
  <c r="M38" i="31" s="1"/>
  <c r="N38" i="31" s="1"/>
  <c r="W43" i="38" a="1"/>
  <c r="W43" i="38" s="1"/>
  <c r="O54" i="31" a="1"/>
  <c r="O54" i="31" s="1"/>
  <c r="E43" i="31" a="1"/>
  <c r="E43" i="31" s="1"/>
  <c r="F43" i="31" s="1"/>
  <c r="O20" i="31" a="1"/>
  <c r="O20" i="31" s="1"/>
  <c r="P20" i="31" s="1"/>
  <c r="K37" i="31" a="1"/>
  <c r="K37" i="31" s="1"/>
  <c r="L37" i="31" s="1"/>
  <c r="T75" i="38" a="1"/>
  <c r="T75" i="38" s="1"/>
  <c r="O37" i="31" a="1"/>
  <c r="O37" i="31" s="1"/>
  <c r="P37" i="31" s="1"/>
  <c r="N91" i="38" a="1"/>
  <c r="N91" i="38" s="1"/>
  <c r="K25" i="31" a="1"/>
  <c r="K25" i="31" s="1"/>
  <c r="L25" i="31" s="1"/>
  <c r="Q58" i="38" a="1"/>
  <c r="Q58" i="38" s="1"/>
  <c r="W52" i="38" a="1"/>
  <c r="W52" i="38" s="1"/>
  <c r="N72" i="38" a="1"/>
  <c r="N72" i="38" s="1"/>
  <c r="W82" i="38" a="1"/>
  <c r="W82" i="38" s="1"/>
  <c r="N45" i="38" a="1"/>
  <c r="N45" i="38" s="1"/>
  <c r="G53" i="31" a="1"/>
  <c r="G53" i="31" s="1"/>
  <c r="W117" i="38" a="1"/>
  <c r="W117" i="38" s="1"/>
  <c r="H111" i="38" a="1"/>
  <c r="H111" i="38" s="1"/>
  <c r="N111" i="38" a="1"/>
  <c r="N111" i="38" s="1"/>
  <c r="Q83" i="38" a="1"/>
  <c r="Q83" i="38" s="1"/>
  <c r="Q45" i="38" a="1"/>
  <c r="Q45" i="38" s="1"/>
  <c r="W50" i="38" a="1"/>
  <c r="W50" i="38" s="1"/>
  <c r="W110" i="38" a="1"/>
  <c r="W110" i="38" s="1"/>
  <c r="H121" i="38" a="1"/>
  <c r="H121" i="38" s="1"/>
  <c r="I51" i="31" a="1"/>
  <c r="I51" i="31" s="1"/>
  <c r="G23" i="31" a="1"/>
  <c r="G23" i="31" s="1"/>
  <c r="H23" i="31" s="1"/>
  <c r="Q94" i="38" a="1"/>
  <c r="Q94" i="38" s="1"/>
  <c r="H123" i="38" a="1"/>
  <c r="H123" i="38" s="1"/>
  <c r="H76" i="38" a="1"/>
  <c r="H76" i="38" s="1"/>
  <c r="E36" i="31" a="1"/>
  <c r="E36" i="31" s="1"/>
  <c r="F36" i="31" s="1"/>
  <c r="H95" i="38" a="1"/>
  <c r="H95" i="38" s="1"/>
  <c r="K26" i="31" a="1"/>
  <c r="K26" i="31" s="1"/>
  <c r="L26" i="31" s="1"/>
  <c r="O21" i="31" a="1"/>
  <c r="O21" i="31" s="1"/>
  <c r="P21" i="31" s="1"/>
  <c r="O30" i="31" a="1"/>
  <c r="O30" i="31" s="1"/>
  <c r="P30" i="31" s="1"/>
  <c r="I34" i="31" a="1"/>
  <c r="I34" i="31" s="1"/>
  <c r="J34" i="31" s="1"/>
  <c r="W63" i="38" a="1"/>
  <c r="W63" i="38" s="1"/>
  <c r="O22" i="31" a="1"/>
  <c r="O22" i="31" s="1"/>
  <c r="P22" i="31" s="1"/>
  <c r="W103" i="38" a="1"/>
  <c r="W103" i="38" s="1"/>
  <c r="I41" i="31" a="1"/>
  <c r="I41" i="31" s="1"/>
  <c r="J41" i="31" s="1"/>
  <c r="W60" i="38" a="1"/>
  <c r="W60" i="38" s="1"/>
  <c r="N107" i="38" a="1"/>
  <c r="N107" i="38" s="1"/>
  <c r="W81" i="38" a="1"/>
  <c r="W81" i="38" s="1"/>
  <c r="Q103" i="38" a="1"/>
  <c r="Q103" i="38" s="1"/>
  <c r="H55" i="38" a="1"/>
  <c r="H55" i="38" s="1"/>
  <c r="Q67" i="38" a="1"/>
  <c r="Q67" i="38" s="1"/>
  <c r="M53" i="31" a="1"/>
  <c r="M53" i="31" s="1"/>
  <c r="ES19" i="11" a="1"/>
  <c r="ES19" i="11" s="1"/>
  <c r="ES20" i="11" s="1"/>
  <c r="ES21" i="11" s="1"/>
  <c r="ES28" i="11" s="1"/>
  <c r="ES32" i="11" s="1"/>
  <c r="W99" i="38" a="1"/>
  <c r="W99" i="38" s="1"/>
  <c r="G36" i="31" a="1"/>
  <c r="G36" i="31" s="1"/>
  <c r="H36" i="31" s="1"/>
  <c r="T90" i="38" a="1"/>
  <c r="T90" i="38" s="1"/>
  <c r="O33" i="31" a="1"/>
  <c r="O33" i="31" s="1"/>
  <c r="P33" i="31" s="1"/>
  <c r="T117" i="38" l="1" a="1"/>
  <c r="T117" i="38" s="1"/>
  <c r="U90" i="38" s="1"/>
  <c r="K108" i="38" a="1"/>
  <c r="K108" i="38" s="1"/>
  <c r="K120" i="38" a="1"/>
  <c r="K120" i="38" s="1"/>
  <c r="K121" i="38" a="1"/>
  <c r="K121" i="38" s="1"/>
  <c r="W80" i="38" a="1"/>
  <c r="W80" i="38" s="1"/>
  <c r="W77" i="38" a="1"/>
  <c r="W77" i="38" s="1"/>
  <c r="CE19" i="11" a="1"/>
  <c r="CE19" i="11" s="1"/>
  <c r="CE20" i="11" s="1"/>
  <c r="CE21" i="11" s="1"/>
  <c r="CE28" i="11" s="1"/>
  <c r="CE32" i="11" s="1"/>
  <c r="K61" i="38" a="1"/>
  <c r="K61" i="38" s="1"/>
  <c r="I30" i="31" a="1"/>
  <c r="I30" i="31" s="1"/>
  <c r="J30" i="31" s="1"/>
  <c r="Q86" i="38" a="1"/>
  <c r="Q86" i="38" s="1"/>
  <c r="T58" i="38" a="1"/>
  <c r="T58" i="38" s="1"/>
  <c r="M36" i="31" a="1"/>
  <c r="M36" i="31" s="1"/>
  <c r="N36" i="31" s="1"/>
  <c r="K105" i="38" a="1"/>
  <c r="K105" i="38" s="1"/>
  <c r="T86" i="38" a="1"/>
  <c r="T86" i="38" s="1"/>
  <c r="N101" i="38" a="1"/>
  <c r="N101" i="38" s="1"/>
  <c r="N84" i="38" a="1"/>
  <c r="N84" i="38" s="1"/>
  <c r="M29" i="31" a="1"/>
  <c r="M29" i="31" s="1"/>
  <c r="N29" i="31" s="1"/>
  <c r="O23" i="31" a="1"/>
  <c r="O23" i="31" s="1"/>
  <c r="P23" i="31" s="1"/>
  <c r="W109" i="38" a="1"/>
  <c r="W109" i="38" s="1"/>
  <c r="EG19" i="11" a="1"/>
  <c r="EG19" i="11" s="1"/>
  <c r="EG20" i="11" s="1"/>
  <c r="EG21" i="11" s="1"/>
  <c r="EG28" i="11" s="1"/>
  <c r="EG32" i="11" s="1"/>
  <c r="H66" i="38" a="1"/>
  <c r="H66" i="38" s="1"/>
  <c r="AI19" i="11" a="1"/>
  <c r="AI19" i="11" s="1"/>
  <c r="AI20" i="11" s="1"/>
  <c r="AI21" i="11" s="1"/>
  <c r="AI28" i="11" s="1"/>
  <c r="AI32" i="11" s="1"/>
  <c r="O19" i="31" a="1"/>
  <c r="O19" i="31" s="1"/>
  <c r="W61" i="38" a="1"/>
  <c r="W61" i="38" s="1"/>
  <c r="I31" i="31" a="1"/>
  <c r="I31" i="31" s="1"/>
  <c r="J31" i="31" s="1"/>
  <c r="K119" i="38" a="1"/>
  <c r="K119" i="38" s="1"/>
  <c r="L92" i="38" s="1"/>
  <c r="G50" i="31" a="1"/>
  <c r="G50" i="31" s="1"/>
  <c r="N86" i="38" a="1"/>
  <c r="N86" i="38" s="1"/>
  <c r="Q49" i="38" a="1"/>
  <c r="Q49" i="38" s="1"/>
  <c r="W64" i="38" a="1"/>
  <c r="W64" i="38" s="1"/>
  <c r="I19" i="31" a="1"/>
  <c r="I19" i="31" s="1"/>
  <c r="N88" i="38" a="1"/>
  <c r="N88" i="38" s="1"/>
  <c r="E23" i="31" a="1"/>
  <c r="E23" i="31" s="1"/>
  <c r="F23" i="31" s="1"/>
  <c r="H60" i="38" a="1"/>
  <c r="H60" i="38" s="1"/>
  <c r="H103" i="38" a="1"/>
  <c r="H103" i="38" s="1"/>
  <c r="I76" i="38" s="1"/>
  <c r="T101" i="38" a="1"/>
  <c r="T101" i="38" s="1"/>
  <c r="Q80" i="38" a="1"/>
  <c r="Q80" i="38" s="1"/>
  <c r="H108" i="38" a="1"/>
  <c r="H108" i="38" s="1"/>
  <c r="K36" i="38"/>
  <c r="G13" i="31" s="1"/>
  <c r="M22" i="54" s="1"/>
  <c r="N36" i="38"/>
  <c r="I13" i="31" s="1"/>
  <c r="O22" i="54" s="1"/>
  <c r="T36" i="38"/>
  <c r="M13" i="31" s="1"/>
  <c r="R22" i="54" s="1"/>
  <c r="Q40" i="31" a="1"/>
  <c r="Q40" i="31" s="1"/>
  <c r="R40" i="31" s="1"/>
  <c r="S36" i="31" a="1"/>
  <c r="S36" i="31" s="1"/>
  <c r="T36" i="31" s="1"/>
  <c r="Q39" i="31" a="1"/>
  <c r="Q39" i="31" s="1"/>
  <c r="R39" i="31" s="1"/>
  <c r="U25" i="31" a="1"/>
  <c r="U25" i="31" s="1"/>
  <c r="V25" i="31" s="1"/>
  <c r="U21" i="31" a="1"/>
  <c r="U21" i="31" s="1"/>
  <c r="V21" i="31" s="1"/>
  <c r="Q24" i="31" a="1"/>
  <c r="Q24" i="31" s="1"/>
  <c r="R24" i="31" s="1"/>
  <c r="Q25" i="31" a="1"/>
  <c r="Q25" i="31" s="1"/>
  <c r="R25" i="31" s="1"/>
  <c r="W42" i="31" a="1"/>
  <c r="W42" i="31" s="1"/>
  <c r="X42" i="31" s="1"/>
  <c r="S24" i="31" a="1"/>
  <c r="S24" i="31" s="1"/>
  <c r="T24" i="31" s="1"/>
  <c r="S37" i="31" a="1"/>
  <c r="S37" i="31" s="1"/>
  <c r="T37" i="31" s="1"/>
  <c r="S39" i="31" a="1"/>
  <c r="S39" i="31" s="1"/>
  <c r="T39" i="31" s="1"/>
  <c r="S30" i="31" a="1"/>
  <c r="S30" i="31" s="1"/>
  <c r="T30" i="31" s="1"/>
  <c r="Q32" i="31" a="1"/>
  <c r="Q32" i="31" s="1"/>
  <c r="R32" i="31" s="1"/>
  <c r="U37" i="31" a="1"/>
  <c r="U37" i="31" s="1"/>
  <c r="V37" i="31" s="1"/>
  <c r="W25" i="31" a="1"/>
  <c r="W25" i="31" s="1"/>
  <c r="X25" i="31" s="1"/>
  <c r="W37" i="31" a="1"/>
  <c r="W37" i="31" s="1"/>
  <c r="X37" i="31" s="1"/>
  <c r="W28" i="31" a="1"/>
  <c r="W28" i="31" s="1"/>
  <c r="X28" i="31" s="1"/>
  <c r="S20" i="31" a="1"/>
  <c r="S20" i="31" s="1"/>
  <c r="T20" i="31" s="1"/>
  <c r="U24" i="31" a="1"/>
  <c r="U24" i="31" s="1"/>
  <c r="V24" i="31" s="1"/>
  <c r="W22" i="31" a="1"/>
  <c r="W22" i="31" s="1"/>
  <c r="X22" i="31" s="1"/>
  <c r="Q36" i="31" a="1"/>
  <c r="Q36" i="31" s="1"/>
  <c r="R36" i="31" s="1"/>
  <c r="S43" i="31" a="1"/>
  <c r="S43" i="31" s="1"/>
  <c r="T43" i="31" s="1"/>
  <c r="U43" i="31" a="1"/>
  <c r="U43" i="31" s="1"/>
  <c r="V43" i="31" s="1"/>
  <c r="W20" i="31" a="1"/>
  <c r="W20" i="31" s="1"/>
  <c r="X20" i="31" s="1"/>
  <c r="W26" i="31" a="1"/>
  <c r="W26" i="31" s="1"/>
  <c r="X26" i="31" s="1"/>
  <c r="U29" i="31" a="1"/>
  <c r="U29" i="31" s="1"/>
  <c r="V29" i="31" s="1"/>
  <c r="W38" i="31" a="1"/>
  <c r="W38" i="31" s="1"/>
  <c r="X38" i="31" s="1"/>
  <c r="W29" i="31" a="1"/>
  <c r="W29" i="31" s="1"/>
  <c r="X29" i="31" s="1"/>
  <c r="W40" i="31" a="1"/>
  <c r="W40" i="31" s="1"/>
  <c r="X40" i="31" s="1"/>
  <c r="S25" i="31" a="1"/>
  <c r="S25" i="31" s="1"/>
  <c r="T25" i="31" s="1"/>
  <c r="Q31" i="31" a="1"/>
  <c r="Q31" i="31" s="1"/>
  <c r="R31" i="31" s="1"/>
  <c r="U28" i="31" a="1"/>
  <c r="U28" i="31" s="1"/>
  <c r="V28" i="31" s="1"/>
  <c r="W39" i="31" a="1"/>
  <c r="W39" i="31" s="1"/>
  <c r="X39" i="31" s="1"/>
  <c r="Q42" i="31" a="1"/>
  <c r="Q42" i="31" s="1"/>
  <c r="R42" i="31" s="1"/>
  <c r="S38" i="31" a="1"/>
  <c r="S38" i="31" s="1"/>
  <c r="T38" i="31" s="1"/>
  <c r="S41" i="31" a="1"/>
  <c r="S41" i="31" s="1"/>
  <c r="T41" i="31" s="1"/>
  <c r="W35" i="31" a="1"/>
  <c r="W35" i="31" s="1"/>
  <c r="X35" i="31" s="1"/>
  <c r="W41" i="31" a="1"/>
  <c r="W41" i="31" s="1"/>
  <c r="X41" i="31" s="1"/>
  <c r="W34" i="31" a="1"/>
  <c r="W34" i="31" s="1"/>
  <c r="X34" i="31" s="1"/>
  <c r="Q37" i="31" a="1"/>
  <c r="Q37" i="31" s="1"/>
  <c r="R37" i="31" s="1"/>
  <c r="S26" i="31" a="1"/>
  <c r="S26" i="31" s="1"/>
  <c r="T26" i="31" s="1"/>
  <c r="W30" i="31" a="1"/>
  <c r="W30" i="31" s="1"/>
  <c r="X30" i="31" s="1"/>
  <c r="S35" i="31" a="1"/>
  <c r="S35" i="31" s="1"/>
  <c r="T35" i="31" s="1"/>
  <c r="S21" i="31" a="1"/>
  <c r="S21" i="31" s="1"/>
  <c r="T21" i="31" s="1"/>
  <c r="W32" i="31" a="1"/>
  <c r="W32" i="31" s="1"/>
  <c r="X32" i="31" s="1"/>
  <c r="S23" i="31" a="1"/>
  <c r="S23" i="31" s="1"/>
  <c r="T23" i="31" s="1"/>
  <c r="Q20" i="31" a="1"/>
  <c r="Q20" i="31" s="1"/>
  <c r="R20" i="31" s="1"/>
  <c r="U41" i="31" a="1"/>
  <c r="U41" i="31" s="1"/>
  <c r="V41" i="31" s="1"/>
  <c r="U39" i="31" a="1"/>
  <c r="U39" i="31" s="1"/>
  <c r="V39" i="31" s="1"/>
  <c r="Q19" i="31" a="1"/>
  <c r="Q19" i="31" s="1"/>
  <c r="S19" i="31" a="1"/>
  <c r="S19" i="31" s="1"/>
  <c r="Q22" i="31" a="1"/>
  <c r="Q22" i="31" s="1"/>
  <c r="R22" i="31" s="1"/>
  <c r="W23" i="31" a="1"/>
  <c r="W23" i="31" s="1"/>
  <c r="X23" i="31" s="1"/>
  <c r="W21" i="31" a="1"/>
  <c r="W21" i="31" s="1"/>
  <c r="X21" i="31" s="1"/>
  <c r="Q29" i="31" a="1"/>
  <c r="Q29" i="31" s="1"/>
  <c r="R29" i="31" s="1"/>
  <c r="U34" i="31" a="1"/>
  <c r="U34" i="31" s="1"/>
  <c r="V34" i="31" s="1"/>
  <c r="U32" i="31" a="1"/>
  <c r="U32" i="31" s="1"/>
  <c r="V32" i="31" s="1"/>
  <c r="W19" i="31" a="1"/>
  <c r="W19" i="31" s="1"/>
  <c r="S27" i="31" a="1"/>
  <c r="S27" i="31" s="1"/>
  <c r="T27" i="31" s="1"/>
  <c r="U31" i="31" a="1"/>
  <c r="U31" i="31" s="1"/>
  <c r="V31" i="31" s="1"/>
  <c r="U23" i="31" a="1"/>
  <c r="U23" i="31" s="1"/>
  <c r="V23" i="31" s="1"/>
  <c r="S34" i="31" a="1"/>
  <c r="S34" i="31" s="1"/>
  <c r="T34" i="31" s="1"/>
  <c r="S22" i="31" a="1"/>
  <c r="S22" i="31" s="1"/>
  <c r="T22" i="31" s="1"/>
  <c r="U30" i="31" a="1"/>
  <c r="U30" i="31" s="1"/>
  <c r="V30" i="31" s="1"/>
  <c r="U20" i="31" a="1"/>
  <c r="U20" i="31" s="1"/>
  <c r="V20" i="31" s="1"/>
  <c r="S32" i="31" a="1"/>
  <c r="S32" i="31" s="1"/>
  <c r="T32" i="31" s="1"/>
  <c r="U35" i="31" a="1"/>
  <c r="U35" i="31" s="1"/>
  <c r="V35" i="31" s="1"/>
  <c r="Q21" i="31" a="1"/>
  <c r="Q21" i="31" s="1"/>
  <c r="R21" i="31" s="1"/>
  <c r="W27" i="31" a="1"/>
  <c r="W27" i="31" s="1"/>
  <c r="X27" i="31" s="1"/>
  <c r="Q41" i="31" a="1"/>
  <c r="Q41" i="31" s="1"/>
  <c r="R41" i="31" s="1"/>
  <c r="S40" i="31" a="1"/>
  <c r="S40" i="31" s="1"/>
  <c r="T40" i="31" s="1"/>
  <c r="Q27" i="31" a="1"/>
  <c r="Q27" i="31" s="1"/>
  <c r="R27" i="31" s="1"/>
  <c r="U26" i="31" a="1"/>
  <c r="U26" i="31" s="1"/>
  <c r="V26" i="31" s="1"/>
  <c r="U33" i="31" a="1"/>
  <c r="U33" i="31" s="1"/>
  <c r="V33" i="31" s="1"/>
  <c r="W33" i="31" a="1"/>
  <c r="W33" i="31" s="1"/>
  <c r="X33" i="31" s="1"/>
  <c r="W31" i="31" a="1"/>
  <c r="W31" i="31" s="1"/>
  <c r="X31" i="31" s="1"/>
  <c r="Q23" i="31" a="1"/>
  <c r="Q23" i="31" s="1"/>
  <c r="R23" i="31" s="1"/>
  <c r="S28" i="31" a="1"/>
  <c r="S28" i="31" s="1"/>
  <c r="T28" i="31" s="1"/>
  <c r="S33" i="31" a="1"/>
  <c r="S33" i="31" s="1"/>
  <c r="T33" i="31" s="1"/>
  <c r="U22" i="31" a="1"/>
  <c r="U22" i="31" s="1"/>
  <c r="V22" i="31" s="1"/>
  <c r="Q28" i="31" a="1"/>
  <c r="Q28" i="31" s="1"/>
  <c r="R28" i="31" s="1"/>
  <c r="Q34" i="31" a="1"/>
  <c r="Q34" i="31" s="1"/>
  <c r="R34" i="31" s="1"/>
  <c r="U38" i="31" a="1"/>
  <c r="U38" i="31" s="1"/>
  <c r="V38" i="31" s="1"/>
  <c r="Q35" i="31" a="1"/>
  <c r="Q35" i="31" s="1"/>
  <c r="R35" i="31" s="1"/>
  <c r="U19" i="31" a="1"/>
  <c r="U19" i="31" s="1"/>
  <c r="Q30" i="31" a="1"/>
  <c r="Q30" i="31" s="1"/>
  <c r="R30" i="31" s="1"/>
  <c r="U40" i="31" a="1"/>
  <c r="U40" i="31" s="1"/>
  <c r="V40" i="31" s="1"/>
  <c r="S42" i="31" a="1"/>
  <c r="S42" i="31" s="1"/>
  <c r="T42" i="31" s="1"/>
  <c r="W36" i="31" a="1"/>
  <c r="W36" i="31" s="1"/>
  <c r="X36" i="31" s="1"/>
  <c r="U27" i="31" a="1"/>
  <c r="U27" i="31" s="1"/>
  <c r="V27" i="31" s="1"/>
  <c r="Q43" i="31" a="1"/>
  <c r="Q43" i="31" s="1"/>
  <c r="R43" i="31" s="1"/>
  <c r="Q33" i="31" a="1"/>
  <c r="Q33" i="31" s="1"/>
  <c r="R33" i="31" s="1"/>
  <c r="W24" i="31" a="1"/>
  <c r="W24" i="31" s="1"/>
  <c r="X24" i="31" s="1"/>
  <c r="U36" i="31" a="1"/>
  <c r="U36" i="31" s="1"/>
  <c r="V36" i="31" s="1"/>
  <c r="S31" i="31" a="1"/>
  <c r="S31" i="31" s="1"/>
  <c r="T31" i="31" s="1"/>
  <c r="Q38" i="31" a="1"/>
  <c r="Q38" i="31" s="1"/>
  <c r="R38" i="31" s="1"/>
  <c r="S29" i="31" a="1"/>
  <c r="S29" i="31" s="1"/>
  <c r="T29" i="31" s="1"/>
  <c r="Q26" i="31" a="1"/>
  <c r="Q26" i="31" s="1"/>
  <c r="R26" i="31" s="1"/>
  <c r="U42" i="31" a="1"/>
  <c r="U42" i="31" s="1"/>
  <c r="V42" i="31" s="1"/>
  <c r="W43" i="31" a="1"/>
  <c r="W43" i="31" s="1"/>
  <c r="X43" i="31" s="1"/>
  <c r="W48" i="38" a="1"/>
  <c r="W48" i="38" s="1"/>
  <c r="U58" i="31" a="1"/>
  <c r="U58" i="31" s="1"/>
  <c r="S50" i="31" a="1"/>
  <c r="S50" i="31" s="1"/>
  <c r="W55" i="31" a="1"/>
  <c r="W55" i="31" s="1"/>
  <c r="W59" i="31" a="1"/>
  <c r="W59" i="31" s="1"/>
  <c r="U51" i="31" a="1"/>
  <c r="U51" i="31" s="1"/>
  <c r="W50" i="31" a="1"/>
  <c r="W50" i="31" s="1"/>
  <c r="U59" i="31" a="1"/>
  <c r="U59" i="31" s="1"/>
  <c r="S53" i="31" a="1"/>
  <c r="S53" i="31" s="1"/>
  <c r="S58" i="31" a="1"/>
  <c r="S58" i="31" s="1"/>
  <c r="W57" i="31" a="1"/>
  <c r="W57" i="31" s="1"/>
  <c r="W58" i="31" a="1"/>
  <c r="W58" i="31" s="1"/>
  <c r="W60" i="31" a="1"/>
  <c r="W60" i="31" s="1"/>
  <c r="U54" i="31" a="1"/>
  <c r="U54" i="31" s="1"/>
  <c r="W54" i="31" a="1"/>
  <c r="W54" i="31" s="1"/>
  <c r="U56" i="31" a="1"/>
  <c r="U56" i="31" s="1"/>
  <c r="W51" i="31" a="1"/>
  <c r="W51" i="31" s="1"/>
  <c r="S55" i="31" a="1"/>
  <c r="S55" i="31" s="1"/>
  <c r="S54" i="31" a="1"/>
  <c r="S54" i="31" s="1"/>
  <c r="S51" i="31" a="1"/>
  <c r="S51" i="31" s="1"/>
  <c r="W53" i="31" a="1"/>
  <c r="W53" i="31" s="1"/>
  <c r="U50" i="31" a="1"/>
  <c r="U50" i="31" s="1"/>
  <c r="S57" i="31" a="1"/>
  <c r="S57" i="31" s="1"/>
  <c r="U55" i="31" a="1"/>
  <c r="U55" i="31" s="1"/>
  <c r="U53" i="31" a="1"/>
  <c r="U53" i="31" s="1"/>
  <c r="U57" i="31" a="1"/>
  <c r="U57" i="31" s="1"/>
  <c r="S59" i="31" a="1"/>
  <c r="S59" i="31" s="1"/>
  <c r="W56" i="31" a="1"/>
  <c r="W56" i="31" s="1"/>
  <c r="S56" i="31" a="1"/>
  <c r="S56" i="31" s="1"/>
  <c r="S60" i="31" a="1"/>
  <c r="S60" i="31" s="1"/>
  <c r="U60" i="31" a="1"/>
  <c r="U60" i="31" s="1"/>
  <c r="K83" i="38" a="1"/>
  <c r="K83" i="38" s="1"/>
  <c r="N52" i="38" a="1"/>
  <c r="N52" i="38" s="1"/>
  <c r="Q51" i="31" a="1"/>
  <c r="Q51" i="31" s="1"/>
  <c r="Q73" i="31" s="1"/>
  <c r="Q56" i="31" a="1"/>
  <c r="Q56" i="31" s="1"/>
  <c r="Q78" i="31" s="1"/>
  <c r="Q58" i="31" a="1"/>
  <c r="Q58" i="31" s="1"/>
  <c r="Q80" i="31" s="1"/>
  <c r="Q55" i="31" a="1"/>
  <c r="Q55" i="31" s="1"/>
  <c r="Q77" i="31" s="1"/>
  <c r="Q53" i="31" a="1"/>
  <c r="Q53" i="31" s="1"/>
  <c r="Q75" i="31" s="1"/>
  <c r="Q59" i="31" a="1"/>
  <c r="Q59" i="31" s="1"/>
  <c r="Q81" i="31" s="1"/>
  <c r="Q60" i="31" a="1"/>
  <c r="Q60" i="31" s="1"/>
  <c r="Q82" i="31" s="1"/>
  <c r="Q57" i="31" a="1"/>
  <c r="Q57" i="31" s="1"/>
  <c r="Q79" i="31" s="1"/>
  <c r="Q54" i="31" a="1"/>
  <c r="Q54" i="31" s="1"/>
  <c r="Q76" i="31" s="1"/>
  <c r="Q50" i="31" a="1"/>
  <c r="Q50" i="31" s="1"/>
  <c r="Q72" i="31" s="1"/>
  <c r="Z62" i="38" a="1"/>
  <c r="Z62" i="38" s="1"/>
  <c r="H83" i="38" a="1"/>
  <c r="H83" i="38" s="1"/>
  <c r="H92" i="38" a="1"/>
  <c r="H92" i="38" s="1"/>
  <c r="K95" i="38" a="1"/>
  <c r="K95" i="38" s="1"/>
  <c r="O57" i="31" a="1"/>
  <c r="O57" i="31" s="1"/>
  <c r="I39" i="31" a="1"/>
  <c r="I39" i="31" s="1"/>
  <c r="J39" i="31" s="1"/>
  <c r="E30" i="31" a="1"/>
  <c r="E30" i="31" s="1"/>
  <c r="F30" i="31" s="1"/>
  <c r="Q118" i="38" a="1"/>
  <c r="Q118" i="38" s="1"/>
  <c r="R91" i="38" s="1"/>
  <c r="K58" i="38" a="1"/>
  <c r="K58" i="38" s="1"/>
  <c r="W44" i="38" a="1"/>
  <c r="W44" i="38" s="1"/>
  <c r="H110" i="38" a="1"/>
  <c r="H110" i="38" s="1"/>
  <c r="M57" i="31" a="1"/>
  <c r="M57" i="31" s="1"/>
  <c r="H116" i="38" a="1"/>
  <c r="H116" i="38" s="1"/>
  <c r="G38" i="31" a="1"/>
  <c r="G38" i="31" s="1"/>
  <c r="H38" i="31" s="1"/>
  <c r="N120" i="38" a="1"/>
  <c r="N120" i="38" s="1"/>
  <c r="O93" i="38" s="1"/>
  <c r="G24" i="31" a="1"/>
  <c r="G24" i="31" s="1"/>
  <c r="H24" i="31" s="1"/>
  <c r="N65" i="38" a="1"/>
  <c r="N65" i="38" s="1"/>
  <c r="K66" i="38" a="1"/>
  <c r="K66" i="38" s="1"/>
  <c r="W114" i="38" a="1"/>
  <c r="W114" i="38" s="1"/>
  <c r="K67" i="38" a="1"/>
  <c r="K67" i="38" s="1"/>
  <c r="M26" i="31" a="1"/>
  <c r="M26" i="31" s="1"/>
  <c r="N26" i="31" s="1"/>
  <c r="I29" i="31" a="1"/>
  <c r="I29" i="31" s="1"/>
  <c r="J29" i="31" s="1"/>
  <c r="H45" i="38" a="1"/>
  <c r="H45" i="38" s="1"/>
  <c r="CK19" i="11" a="1"/>
  <c r="CK19" i="11" s="1"/>
  <c r="CK20" i="11" s="1"/>
  <c r="CK21" i="11" s="1"/>
  <c r="CK28" i="11" s="1"/>
  <c r="CK32" i="11" s="1"/>
  <c r="K110" i="38" a="1"/>
  <c r="K110" i="38" s="1"/>
  <c r="O55" i="31" a="1"/>
  <c r="O55" i="31" s="1"/>
  <c r="K101" i="38" a="1"/>
  <c r="K101" i="38" s="1"/>
  <c r="Q115" i="38" a="1"/>
  <c r="Q115" i="38" s="1"/>
  <c r="G30" i="31" a="1"/>
  <c r="G30" i="31" s="1"/>
  <c r="H30" i="31" s="1"/>
  <c r="Q89" i="38" a="1"/>
  <c r="Q89" i="38" s="1"/>
  <c r="M22" i="31" a="1"/>
  <c r="M22" i="31" s="1"/>
  <c r="N22" i="31" s="1"/>
  <c r="N117" i="38" a="1"/>
  <c r="N117" i="38" s="1"/>
  <c r="M39" i="31" a="1"/>
  <c r="M39" i="31" s="1"/>
  <c r="N39" i="31" s="1"/>
  <c r="G21" i="31" a="1"/>
  <c r="G21" i="31" s="1"/>
  <c r="H21" i="31" s="1"/>
  <c r="H120" i="38" a="1"/>
  <c r="H120" i="38" s="1"/>
  <c r="W96" i="38" a="1"/>
  <c r="W96" i="38" s="1"/>
  <c r="G35" i="31" a="1"/>
  <c r="G35" i="31" s="1"/>
  <c r="H35" i="31" s="1"/>
  <c r="I58" i="31" a="1"/>
  <c r="I58" i="31" s="1"/>
  <c r="K81" i="38" a="1"/>
  <c r="K81" i="38" s="1"/>
  <c r="Q19" i="11" a="1"/>
  <c r="Q19" i="11" s="1"/>
  <c r="Q20" i="11" s="1"/>
  <c r="Q21" i="11" s="1"/>
  <c r="Q28" i="11" s="1"/>
  <c r="Q32" i="11" s="1"/>
  <c r="H122" i="38" a="1"/>
  <c r="H122" i="38" s="1"/>
  <c r="I95" i="38" s="1"/>
  <c r="H46" i="38" a="1"/>
  <c r="H46" i="38" s="1"/>
  <c r="G57" i="31" a="1"/>
  <c r="G57" i="31" s="1"/>
  <c r="T47" i="38" a="1"/>
  <c r="T47" i="38" s="1"/>
  <c r="K59" i="31" a="1"/>
  <c r="K59" i="31" s="1"/>
  <c r="N74" i="38" a="1"/>
  <c r="N74" i="38" s="1"/>
  <c r="N104" i="38" a="1"/>
  <c r="N104" i="38" s="1"/>
  <c r="E37" i="31" a="1"/>
  <c r="E37" i="31" s="1"/>
  <c r="F37" i="31" s="1"/>
  <c r="T78" i="38" a="1"/>
  <c r="T78" i="38" s="1"/>
  <c r="K113" i="38" a="1"/>
  <c r="K113" i="38" s="1"/>
  <c r="N85" i="38" a="1"/>
  <c r="N85" i="38" s="1"/>
  <c r="W75" i="38" a="1"/>
  <c r="W75" i="38" s="1"/>
  <c r="W123" i="38" a="1"/>
  <c r="W123" i="38" s="1"/>
  <c r="T74" i="38" a="1"/>
  <c r="T74" i="38" s="1"/>
  <c r="M25" i="31" a="1"/>
  <c r="M25" i="31" s="1"/>
  <c r="N25" i="31" s="1"/>
  <c r="Q117" i="38" a="1"/>
  <c r="Q117" i="38" s="1"/>
  <c r="R90" i="38" s="1"/>
  <c r="M35" i="31" a="1"/>
  <c r="M35" i="31" s="1"/>
  <c r="N35" i="31" s="1"/>
  <c r="W85" i="38" a="1"/>
  <c r="W85" i="38" s="1"/>
  <c r="K45" i="38" a="1"/>
  <c r="K45" i="38" s="1"/>
  <c r="K42" i="31" a="1"/>
  <c r="K42" i="31" s="1"/>
  <c r="L42" i="31" s="1"/>
  <c r="H74" i="38" a="1"/>
  <c r="H74" i="38" s="1"/>
  <c r="I35" i="31" a="1"/>
  <c r="I35" i="31" s="1"/>
  <c r="J35" i="31" s="1"/>
  <c r="O29" i="31" a="1"/>
  <c r="O29" i="31" s="1"/>
  <c r="P29" i="31" s="1"/>
  <c r="Q104" i="38" a="1"/>
  <c r="Q104" i="38" s="1"/>
  <c r="I59" i="31" a="1"/>
  <c r="I59" i="31" s="1"/>
  <c r="K38" i="31" a="1"/>
  <c r="K38" i="31" s="1"/>
  <c r="L38" i="31" s="1"/>
  <c r="W121" i="38" a="1"/>
  <c r="W121" i="38" s="1"/>
  <c r="X94" i="38" s="1"/>
  <c r="O56" i="31" a="1"/>
  <c r="O56" i="31" s="1"/>
  <c r="K104" i="38" a="1"/>
  <c r="K104" i="38" s="1"/>
  <c r="O41" i="31" a="1"/>
  <c r="O41" i="31" s="1"/>
  <c r="P41" i="31" s="1"/>
  <c r="O53" i="31" a="1"/>
  <c r="O53" i="31" s="1"/>
  <c r="O60" i="31" a="1"/>
  <c r="O60" i="31" s="1"/>
  <c r="W119" i="38" a="1"/>
  <c r="W119" i="38" s="1"/>
  <c r="E29" i="31" a="1"/>
  <c r="E29" i="31" s="1"/>
  <c r="F29" i="31" s="1"/>
  <c r="K106" i="38" a="1"/>
  <c r="K106" i="38" s="1"/>
  <c r="L79" i="38" s="1"/>
  <c r="Q108" i="38" a="1"/>
  <c r="Q108" i="38" s="1"/>
  <c r="N94" i="38" a="1"/>
  <c r="N94" i="38" s="1"/>
  <c r="T109" i="38" a="1"/>
  <c r="T109" i="38" s="1"/>
  <c r="U82" i="38" s="1"/>
  <c r="W78" i="38" a="1"/>
  <c r="W78" i="38" s="1"/>
  <c r="N89" i="38" a="1"/>
  <c r="N89" i="38" s="1"/>
  <c r="Q51" i="38" a="1"/>
  <c r="Q51" i="38" s="1"/>
  <c r="Q113" i="38" a="1"/>
  <c r="Q113" i="38" s="1"/>
  <c r="R86" i="38" s="1"/>
  <c r="N60" i="38" a="1"/>
  <c r="N60" i="38" s="1"/>
  <c r="Q116" i="38" a="1"/>
  <c r="Q116" i="38" s="1"/>
  <c r="I33" i="31" a="1"/>
  <c r="I33" i="31" s="1"/>
  <c r="J33" i="31" s="1"/>
  <c r="Q110" i="38" a="1"/>
  <c r="Q110" i="38" s="1"/>
  <c r="R83" i="38" s="1"/>
  <c r="E35" i="31" a="1"/>
  <c r="E35" i="31" s="1"/>
  <c r="F35" i="31" s="1"/>
  <c r="AC19" i="11" a="1"/>
  <c r="AC19" i="11" s="1"/>
  <c r="AC20" i="11" s="1"/>
  <c r="AC21" i="11" s="1"/>
  <c r="AC28" i="11" s="1"/>
  <c r="AC32" i="11" s="1"/>
  <c r="W73" i="38" a="1"/>
  <c r="W73" i="38" s="1"/>
  <c r="T107" i="38" a="1"/>
  <c r="T107" i="38" s="1"/>
  <c r="Q62" i="38" a="1"/>
  <c r="Q62" i="38" s="1"/>
  <c r="I53" i="31" a="1"/>
  <c r="I53" i="31" s="1"/>
  <c r="M28" i="31" a="1"/>
  <c r="M28" i="31" s="1"/>
  <c r="N28" i="31" s="1"/>
  <c r="O50" i="31" a="1"/>
  <c r="O50" i="31" s="1"/>
  <c r="M34" i="31" a="1"/>
  <c r="M34" i="31" s="1"/>
  <c r="N34" i="31" s="1"/>
  <c r="T80" i="38" a="1"/>
  <c r="T80" i="38" s="1"/>
  <c r="Q111" i="38" a="1"/>
  <c r="Q111" i="38" s="1"/>
  <c r="E58" i="31" a="1"/>
  <c r="E58" i="31" s="1"/>
  <c r="M37" i="31" a="1"/>
  <c r="M37" i="31" s="1"/>
  <c r="N37" i="31" s="1"/>
  <c r="M54" i="31" a="1"/>
  <c r="M54" i="31" s="1"/>
  <c r="DI19" i="11" a="1"/>
  <c r="DI19" i="11" s="1"/>
  <c r="DI20" i="11" s="1"/>
  <c r="DI21" i="11" s="1"/>
  <c r="DI28" i="11" s="1"/>
  <c r="DI32" i="11" s="1"/>
  <c r="N49" i="38" a="1"/>
  <c r="N49" i="38" s="1"/>
  <c r="G39" i="31" a="1"/>
  <c r="G39" i="31" s="1"/>
  <c r="H39" i="31" s="1"/>
  <c r="T61" i="38" a="1"/>
  <c r="T61" i="38" s="1"/>
  <c r="K36" i="31" a="1"/>
  <c r="K36" i="31" s="1"/>
  <c r="L36" i="31" s="1"/>
  <c r="O39" i="31" a="1"/>
  <c r="O39" i="31" s="1"/>
  <c r="P39" i="31" s="1"/>
  <c r="K44" i="38" a="1"/>
  <c r="K44" i="38" s="1"/>
  <c r="K93" i="38" a="1"/>
  <c r="K93" i="38" s="1"/>
  <c r="AF45" i="38" a="1"/>
  <c r="AF45" i="38" s="1"/>
  <c r="M33" i="31" a="1"/>
  <c r="M33" i="31" s="1"/>
  <c r="N33" i="31" s="1"/>
  <c r="AI61" i="38" a="1"/>
  <c r="AI61" i="38" s="1"/>
  <c r="Q88" i="38" a="1"/>
  <c r="Q88" i="38" s="1"/>
  <c r="K19" i="31" a="1"/>
  <c r="K19" i="31" s="1"/>
  <c r="K86" i="38" a="1"/>
  <c r="K86" i="38" s="1"/>
  <c r="K33" i="31" a="1"/>
  <c r="K33" i="31" s="1"/>
  <c r="L33" i="31" s="1"/>
  <c r="Z102" i="38" a="1"/>
  <c r="Z102" i="38" s="1"/>
  <c r="T96" i="38" a="1"/>
  <c r="T96" i="38" s="1"/>
  <c r="W59" i="38" a="1"/>
  <c r="W59" i="38" s="1"/>
  <c r="K100" i="38" a="1"/>
  <c r="K100" i="38" s="1"/>
  <c r="L73" i="38" s="1"/>
  <c r="M60" i="31" a="1"/>
  <c r="M60" i="31" s="1"/>
  <c r="AC79" i="38" a="1"/>
  <c r="AC79" i="38" s="1"/>
  <c r="Q57" i="38" a="1"/>
  <c r="Q57" i="38" s="1"/>
  <c r="K56" i="31" a="1"/>
  <c r="K56" i="31" s="1"/>
  <c r="O25" i="31" a="1"/>
  <c r="O25" i="31" s="1"/>
  <c r="P25" i="31" s="1"/>
  <c r="E28" i="31" a="1"/>
  <c r="E28" i="31" s="1"/>
  <c r="F28" i="31" s="1"/>
  <c r="W67" i="38" a="1"/>
  <c r="W67" i="38" s="1"/>
  <c r="G25" i="31" a="1"/>
  <c r="G25" i="31" s="1"/>
  <c r="H25" i="31" s="1"/>
  <c r="AC53" i="38" a="1"/>
  <c r="AC53" i="38" s="1"/>
  <c r="AI44" i="38" a="1"/>
  <c r="AI44" i="38" s="1"/>
  <c r="Z109" i="38" a="1"/>
  <c r="Z109" i="38" s="1"/>
  <c r="Z100" i="38" a="1"/>
  <c r="Z100" i="38" s="1"/>
  <c r="AI123" i="38" a="1"/>
  <c r="AI123" i="38" s="1"/>
  <c r="AF102" i="38" a="1"/>
  <c r="AF102" i="38" s="1"/>
  <c r="AF46" i="38" a="1"/>
  <c r="AF46" i="38" s="1"/>
  <c r="AI43" i="38" a="1"/>
  <c r="AI43" i="38" s="1"/>
  <c r="AI58" i="38" a="1"/>
  <c r="AI58" i="38" s="1"/>
  <c r="Z61" i="38" a="1"/>
  <c r="Z61" i="38" s="1"/>
  <c r="AI56" i="38" a="1"/>
  <c r="AI56" i="38" s="1"/>
  <c r="AI82" i="38" a="1"/>
  <c r="AI82" i="38" s="1"/>
  <c r="AI90" i="38" a="1"/>
  <c r="AI90" i="38" s="1"/>
  <c r="AF108" i="38" a="1"/>
  <c r="AF108" i="38" s="1"/>
  <c r="Z107" i="38" a="1"/>
  <c r="Z107" i="38" s="1"/>
  <c r="AC65" i="38" a="1"/>
  <c r="AC65" i="38" s="1"/>
  <c r="Z120" i="38" a="1"/>
  <c r="Z120" i="38" s="1"/>
  <c r="AI83" i="38" a="1"/>
  <c r="AI83" i="38" s="1"/>
  <c r="AC49" i="38" a="1"/>
  <c r="AC49" i="38" s="1"/>
  <c r="AI51" i="38" a="1"/>
  <c r="AI51" i="38" s="1"/>
  <c r="AI95" i="38" a="1"/>
  <c r="AI95" i="38" s="1"/>
  <c r="AF62" i="38" a="1"/>
  <c r="AF62" i="38" s="1"/>
  <c r="AC111" i="38" a="1"/>
  <c r="AC111" i="38" s="1"/>
  <c r="AI109" i="38" a="1"/>
  <c r="AI109" i="38" s="1"/>
  <c r="AF90" i="38" a="1"/>
  <c r="AF90" i="38" s="1"/>
  <c r="Z60" i="38" a="1"/>
  <c r="Z60" i="38" s="1"/>
  <c r="Z54" i="38" a="1"/>
  <c r="Z54" i="38" s="1"/>
  <c r="Z117" i="38" a="1"/>
  <c r="Z117" i="38" s="1"/>
  <c r="AC108" i="38" a="1"/>
  <c r="AC108" i="38" s="1"/>
  <c r="AC91" i="38" a="1"/>
  <c r="AC91" i="38" s="1"/>
  <c r="AC44" i="38" a="1"/>
  <c r="AC44" i="38" s="1"/>
  <c r="AF65" i="38" a="1"/>
  <c r="AF65" i="38" s="1"/>
  <c r="Z63" i="38" a="1"/>
  <c r="Z63" i="38" s="1"/>
  <c r="Z79" i="38" a="1"/>
  <c r="Z79" i="38" s="1"/>
  <c r="Z81" i="38" a="1"/>
  <c r="Z81" i="38" s="1"/>
  <c r="Z55" i="38" a="1"/>
  <c r="Z55" i="38" s="1"/>
  <c r="AC58" i="38" a="1"/>
  <c r="AC58" i="38" s="1"/>
  <c r="AF64" i="38" a="1"/>
  <c r="AF64" i="38" s="1"/>
  <c r="AF95" i="38" a="1"/>
  <c r="AF95" i="38" s="1"/>
  <c r="AC61" i="38" a="1"/>
  <c r="AC61" i="38" s="1"/>
  <c r="AF75" i="38" a="1"/>
  <c r="AF75" i="38" s="1"/>
  <c r="AC56" i="38" a="1"/>
  <c r="AC56" i="38" s="1"/>
  <c r="AF91" i="38" a="1"/>
  <c r="AF91" i="38" s="1"/>
  <c r="AF120" i="38" a="1"/>
  <c r="AF120" i="38" s="1"/>
  <c r="AI52" i="38" a="1"/>
  <c r="AI52" i="38" s="1"/>
  <c r="Z88" i="38" a="1"/>
  <c r="Z88" i="38" s="1"/>
  <c r="AI57" i="38" a="1"/>
  <c r="AI57" i="38" s="1"/>
  <c r="AC52" i="38" a="1"/>
  <c r="AC52" i="38" s="1"/>
  <c r="AC107" i="38" a="1"/>
  <c r="AC107" i="38" s="1"/>
  <c r="Z44" i="38" a="1"/>
  <c r="Z44" i="38" s="1"/>
  <c r="Z91" i="38" a="1"/>
  <c r="Z91" i="38" s="1"/>
  <c r="AC121" i="38" a="1"/>
  <c r="AC121" i="38" s="1"/>
  <c r="AI115" i="38" a="1"/>
  <c r="AI115" i="38" s="1"/>
  <c r="Z90" i="38" a="1"/>
  <c r="Z90" i="38" s="1"/>
  <c r="AF81" i="38" a="1"/>
  <c r="AF81" i="38" s="1"/>
  <c r="AI76" i="38" a="1"/>
  <c r="AI76" i="38" s="1"/>
  <c r="AF94" i="38" a="1"/>
  <c r="AF94" i="38" s="1"/>
  <c r="AF63" i="38" a="1"/>
  <c r="AF63" i="38" s="1"/>
  <c r="Z112" i="38" a="1"/>
  <c r="Z112" i="38" s="1"/>
  <c r="AC76" i="38" a="1"/>
  <c r="AC76" i="38" s="1"/>
  <c r="Z113" i="38" a="1"/>
  <c r="Z113" i="38" s="1"/>
  <c r="AF109" i="38" a="1"/>
  <c r="AF109" i="38" s="1"/>
  <c r="AF106" i="38" a="1"/>
  <c r="AF106" i="38" s="1"/>
  <c r="AC118" i="38" a="1"/>
  <c r="AC118" i="38" s="1"/>
  <c r="AI122" i="38" a="1"/>
  <c r="AI122" i="38" s="1"/>
  <c r="AC73" i="38" a="1"/>
  <c r="AC73" i="38" s="1"/>
  <c r="AI77" i="38" a="1"/>
  <c r="AI77" i="38" s="1"/>
  <c r="AC81" i="38" a="1"/>
  <c r="AC81" i="38" s="1"/>
  <c r="AI100" i="38" a="1"/>
  <c r="AI100" i="38" s="1"/>
  <c r="AC80" i="38" a="1"/>
  <c r="AC80" i="38" s="1"/>
  <c r="Z58" i="38" a="1"/>
  <c r="Z58" i="38" s="1"/>
  <c r="Z96" i="38" a="1"/>
  <c r="Z96" i="38" s="1"/>
  <c r="AC72" i="38" a="1"/>
  <c r="AC72" i="38" s="1"/>
  <c r="AF100" i="38" a="1"/>
  <c r="AF100" i="38" s="1"/>
  <c r="Z84" i="38" a="1"/>
  <c r="Z84" i="38" s="1"/>
  <c r="Z108" i="38" a="1"/>
  <c r="Z108" i="38" s="1"/>
  <c r="Q81" i="38" a="1"/>
  <c r="Q81" i="38" s="1"/>
  <c r="AC122" i="38" a="1"/>
  <c r="AC122" i="38" s="1"/>
  <c r="AC95" i="38" a="1"/>
  <c r="AC95" i="38" s="1"/>
  <c r="Z104" i="38" a="1"/>
  <c r="Z104" i="38" s="1"/>
  <c r="Z57" i="38" a="1"/>
  <c r="Z57" i="38" s="1"/>
  <c r="AC94" i="38" a="1"/>
  <c r="AC94" i="38" s="1"/>
  <c r="Z106" i="38" a="1"/>
  <c r="Z106" i="38" s="1"/>
  <c r="AC62" i="38" a="1"/>
  <c r="AC62" i="38" s="1"/>
  <c r="AI55" i="38" a="1"/>
  <c r="AI55" i="38" s="1"/>
  <c r="Z89" i="38" a="1"/>
  <c r="Z89" i="38" s="1"/>
  <c r="AC63" i="38" a="1"/>
  <c r="AC63" i="38" s="1"/>
  <c r="AI91" i="38" a="1"/>
  <c r="AI91" i="38" s="1"/>
  <c r="AF92" i="38" a="1"/>
  <c r="AF92" i="38" s="1"/>
  <c r="AC75" i="38" a="1"/>
  <c r="AC75" i="38" s="1"/>
  <c r="AC104" i="38" a="1"/>
  <c r="AC104" i="38" s="1"/>
  <c r="AF52" i="38" a="1"/>
  <c r="AF52" i="38" s="1"/>
  <c r="AC114" i="38" a="1"/>
  <c r="AC114" i="38" s="1"/>
  <c r="AI112" i="38" a="1"/>
  <c r="AI112" i="38" s="1"/>
  <c r="AC60" i="38" a="1"/>
  <c r="AC60" i="38" s="1"/>
  <c r="Z64" i="38" a="1"/>
  <c r="Z64" i="38" s="1"/>
  <c r="Z66" i="38" a="1"/>
  <c r="Z66" i="38" s="1"/>
  <c r="AI79" i="38" a="1"/>
  <c r="AI79" i="38" s="1"/>
  <c r="Z80" i="38" a="1"/>
  <c r="Z80" i="38" s="1"/>
  <c r="AI66" i="38" a="1"/>
  <c r="AI66" i="38" s="1"/>
  <c r="AF49" i="38" a="1"/>
  <c r="AF49" i="38" s="1"/>
  <c r="AI113" i="38" a="1"/>
  <c r="AI113" i="38" s="1"/>
  <c r="Z83" i="38" a="1"/>
  <c r="Z83" i="38" s="1"/>
  <c r="AF118" i="38" a="1"/>
  <c r="AF118" i="38" s="1"/>
  <c r="AF79" i="38" a="1"/>
  <c r="AF79" i="38" s="1"/>
  <c r="AI89" i="38" a="1"/>
  <c r="AI89" i="38" s="1"/>
  <c r="Z78" i="38" a="1"/>
  <c r="Z78" i="38" s="1"/>
  <c r="AI85" i="38" a="1"/>
  <c r="AI85" i="38" s="1"/>
  <c r="AC89" i="38" a="1"/>
  <c r="AC89" i="38" s="1"/>
  <c r="AF93" i="38" a="1"/>
  <c r="AF93" i="38" s="1"/>
  <c r="AF105" i="38" a="1"/>
  <c r="AF105" i="38" s="1"/>
  <c r="AC102" i="38" a="1"/>
  <c r="AC102" i="38" s="1"/>
  <c r="AF60" i="38" a="1"/>
  <c r="AF60" i="38" s="1"/>
  <c r="AF86" i="38" a="1"/>
  <c r="AF86" i="38" s="1"/>
  <c r="AC101" i="38" a="1"/>
  <c r="AC101" i="38" s="1"/>
  <c r="Z47" i="38" a="1"/>
  <c r="Z47" i="38" s="1"/>
  <c r="AC105" i="38" a="1"/>
  <c r="AC105" i="38" s="1"/>
  <c r="AI114" i="38" a="1"/>
  <c r="AI114" i="38" s="1"/>
  <c r="AF104" i="38" a="1"/>
  <c r="AF104" i="38" s="1"/>
  <c r="AC77" i="38" a="1"/>
  <c r="AC77" i="38" s="1"/>
  <c r="AF68" i="38" a="1"/>
  <c r="AF68" i="38" s="1"/>
  <c r="AI107" i="38" a="1"/>
  <c r="AI107" i="38" s="1"/>
  <c r="AI68" i="38" a="1"/>
  <c r="AI68" i="38" s="1"/>
  <c r="AF54" i="38" a="1"/>
  <c r="AF54" i="38" s="1"/>
  <c r="AC86" i="38" a="1"/>
  <c r="AC86" i="38" s="1"/>
  <c r="AF43" i="38" a="1"/>
  <c r="AF43" i="38" s="1"/>
  <c r="Z56" i="38" a="1"/>
  <c r="Z56" i="38" s="1"/>
  <c r="AF85" i="38" a="1"/>
  <c r="AF85" i="38" s="1"/>
  <c r="AI108" i="38" a="1"/>
  <c r="AI108" i="38" s="1"/>
  <c r="Z110" i="38" a="1"/>
  <c r="Z110" i="38" s="1"/>
  <c r="AF67" i="38" a="1"/>
  <c r="AF67" i="38" s="1"/>
  <c r="Z93" i="38" a="1"/>
  <c r="Z93" i="38" s="1"/>
  <c r="AC51" i="38" a="1"/>
  <c r="AC51" i="38" s="1"/>
  <c r="AI81" i="38" a="1"/>
  <c r="AI81" i="38" s="1"/>
  <c r="AC48" i="38" a="1"/>
  <c r="AC48" i="38" s="1"/>
  <c r="AF119" i="38" a="1"/>
  <c r="AF119" i="38" s="1"/>
  <c r="AI105" i="38" a="1"/>
  <c r="AI105" i="38" s="1"/>
  <c r="AC66" i="38" a="1"/>
  <c r="AC66" i="38" s="1"/>
  <c r="AF66" i="38" a="1"/>
  <c r="AF66" i="38" s="1"/>
  <c r="AC55" i="38" a="1"/>
  <c r="AC55" i="38" s="1"/>
  <c r="AF51" i="38" a="1"/>
  <c r="AF51" i="38" s="1"/>
  <c r="AF99" i="38" a="1"/>
  <c r="AF99" i="38" s="1"/>
  <c r="AF87" i="38" a="1"/>
  <c r="AF87" i="38" s="1"/>
  <c r="AI80" i="38" a="1"/>
  <c r="AI80" i="38" s="1"/>
  <c r="AC87" i="38" a="1"/>
  <c r="AC87" i="38" s="1"/>
  <c r="Z87" i="38" a="1"/>
  <c r="Z87" i="38" s="1"/>
  <c r="AI64" i="38" a="1"/>
  <c r="AI64" i="38" s="1"/>
  <c r="AF50" i="38" a="1"/>
  <c r="AF50" i="38" s="1"/>
  <c r="AI84" i="38" a="1"/>
  <c r="AI84" i="38" s="1"/>
  <c r="AI102" i="38" a="1"/>
  <c r="AI102" i="38" s="1"/>
  <c r="AI45" i="38" a="1"/>
  <c r="AI45" i="38" s="1"/>
  <c r="K19" i="11" a="1"/>
  <c r="K19" i="11" s="1"/>
  <c r="K20" i="11" s="1"/>
  <c r="K21" i="11" s="1"/>
  <c r="K28" i="11" s="1"/>
  <c r="K32" i="11" s="1"/>
  <c r="AF84" i="38" a="1"/>
  <c r="AF84" i="38" s="1"/>
  <c r="Z95" i="38" a="1"/>
  <c r="Z95" i="38" s="1"/>
  <c r="AI50" i="38" a="1"/>
  <c r="AI50" i="38" s="1"/>
  <c r="AI118" i="38" a="1"/>
  <c r="AI118" i="38" s="1"/>
  <c r="Z45" i="38" a="1"/>
  <c r="Z45" i="38" s="1"/>
  <c r="AF117" i="38" a="1"/>
  <c r="AF117" i="38" s="1"/>
  <c r="AC116" i="38" a="1"/>
  <c r="AC116" i="38" s="1"/>
  <c r="Z53" i="38" a="1"/>
  <c r="Z53" i="38" s="1"/>
  <c r="Z59" i="38" a="1"/>
  <c r="Z59" i="38" s="1"/>
  <c r="Z82" i="38" a="1"/>
  <c r="Z82" i="38" s="1"/>
  <c r="AI86" i="38" a="1"/>
  <c r="AI86" i="38" s="1"/>
  <c r="AF123" i="38" a="1"/>
  <c r="AF123" i="38" s="1"/>
  <c r="AC43" i="38" a="1"/>
  <c r="AC43" i="38" s="1"/>
  <c r="AF61" i="38" a="1"/>
  <c r="AF61" i="38" s="1"/>
  <c r="Z51" i="38" a="1"/>
  <c r="Z51" i="38" s="1"/>
  <c r="AF96" i="38" a="1"/>
  <c r="AF96" i="38" s="1"/>
  <c r="AI60" i="38" a="1"/>
  <c r="AI60" i="38" s="1"/>
  <c r="Z48" i="38" a="1"/>
  <c r="Z48" i="38" s="1"/>
  <c r="AF48" i="38" a="1"/>
  <c r="AF48" i="38" s="1"/>
  <c r="AF56" i="38" a="1"/>
  <c r="AF56" i="38" s="1"/>
  <c r="AC45" i="38" a="1"/>
  <c r="AC45" i="38" s="1"/>
  <c r="AF77" i="38" a="1"/>
  <c r="AF77" i="38" s="1"/>
  <c r="AC50" i="38" a="1"/>
  <c r="AC50" i="38" s="1"/>
  <c r="AC85" i="38" a="1"/>
  <c r="AC85" i="38" s="1"/>
  <c r="AI116" i="38" a="1"/>
  <c r="AI116" i="38" s="1"/>
  <c r="Z50" i="38" a="1"/>
  <c r="Z50" i="38" s="1"/>
  <c r="Z114" i="38" a="1"/>
  <c r="Z114" i="38" s="1"/>
  <c r="AI73" i="38" a="1"/>
  <c r="AI73" i="38" s="1"/>
  <c r="AC47" i="38" a="1"/>
  <c r="AC47" i="38" s="1"/>
  <c r="Z103" i="38" a="1"/>
  <c r="Z103" i="38" s="1"/>
  <c r="AI74" i="38" a="1"/>
  <c r="AI74" i="38" s="1"/>
  <c r="AC54" i="38" a="1"/>
  <c r="AC54" i="38" s="1"/>
  <c r="Z122" i="38" a="1"/>
  <c r="Z122" i="38" s="1"/>
  <c r="AF115" i="38" a="1"/>
  <c r="AF115" i="38" s="1"/>
  <c r="AC82" i="38" a="1"/>
  <c r="AC82" i="38" s="1"/>
  <c r="Z92" i="38" a="1"/>
  <c r="Z92" i="38" s="1"/>
  <c r="AF110" i="38" a="1"/>
  <c r="AF110" i="38" s="1"/>
  <c r="AF107" i="38" a="1"/>
  <c r="AF107" i="38" s="1"/>
  <c r="AC123" i="38" a="1"/>
  <c r="AC123" i="38" s="1"/>
  <c r="AF103" i="38" a="1"/>
  <c r="AF103" i="38" s="1"/>
  <c r="Z46" i="38" a="1"/>
  <c r="Z46" i="38" s="1"/>
  <c r="AF74" i="38" a="1"/>
  <c r="AF74" i="38" s="1"/>
  <c r="AC96" i="38" a="1"/>
  <c r="AC96" i="38" s="1"/>
  <c r="Z75" i="38" a="1"/>
  <c r="Z75" i="38" s="1"/>
  <c r="AA75" i="38" s="1"/>
  <c r="Z86" i="38" a="1"/>
  <c r="Z86" i="38" s="1"/>
  <c r="AC112" i="38" a="1"/>
  <c r="AC112" i="38" s="1"/>
  <c r="AI67" i="38" a="1"/>
  <c r="AI67" i="38" s="1"/>
  <c r="Z52" i="38" a="1"/>
  <c r="Z52" i="38" s="1"/>
  <c r="AI88" i="38" a="1"/>
  <c r="AI88" i="38" s="1"/>
  <c r="AF76" i="38" a="1"/>
  <c r="AF76" i="38" s="1"/>
  <c r="AC57" i="38" a="1"/>
  <c r="AC57" i="38" s="1"/>
  <c r="Z94" i="38" a="1"/>
  <c r="Z94" i="38" s="1"/>
  <c r="AC100" i="38" a="1"/>
  <c r="AC100" i="38" s="1"/>
  <c r="AC103" i="38" a="1"/>
  <c r="AC103" i="38" s="1"/>
  <c r="AI49" i="38" a="1"/>
  <c r="AI49" i="38" s="1"/>
  <c r="AC92" i="38" a="1"/>
  <c r="AC92" i="38" s="1"/>
  <c r="AI96" i="38" a="1"/>
  <c r="AI96" i="38" s="1"/>
  <c r="AJ96" i="38" s="1"/>
  <c r="AI53" i="38" a="1"/>
  <c r="AI53" i="38" s="1"/>
  <c r="AC99" i="38" a="1"/>
  <c r="AC99" i="38" s="1"/>
  <c r="AC64" i="38" a="1"/>
  <c r="AC64" i="38" s="1"/>
  <c r="AF83" i="38" a="1"/>
  <c r="AF83" i="38" s="1"/>
  <c r="Z101" i="38" a="1"/>
  <c r="Z101" i="38" s="1"/>
  <c r="AI106" i="38" a="1"/>
  <c r="AI106" i="38" s="1"/>
  <c r="AI72" i="38" a="1"/>
  <c r="AI72" i="38" s="1"/>
  <c r="Z118" i="38" a="1"/>
  <c r="Z118" i="38" s="1"/>
  <c r="AI63" i="38" a="1"/>
  <c r="AI63" i="38" s="1"/>
  <c r="AC68" i="38" a="1"/>
  <c r="AC68" i="38" s="1"/>
  <c r="AC84" i="38" a="1"/>
  <c r="AC84" i="38" s="1"/>
  <c r="AD84" i="38" s="1"/>
  <c r="AF122" i="38" a="1"/>
  <c r="AF122" i="38" s="1"/>
  <c r="Z77" i="38" a="1"/>
  <c r="Z77" i="38" s="1"/>
  <c r="AC93" i="38" a="1"/>
  <c r="AC93" i="38" s="1"/>
  <c r="AI48" i="38" a="1"/>
  <c r="AI48" i="38" s="1"/>
  <c r="AF47" i="38" a="1"/>
  <c r="AF47" i="38" s="1"/>
  <c r="AI110" i="38" a="1"/>
  <c r="AI110" i="38" s="1"/>
  <c r="AI65" i="38" a="1"/>
  <c r="AI65" i="38" s="1"/>
  <c r="K30" i="31" a="1"/>
  <c r="K30" i="31" s="1"/>
  <c r="L30" i="31" s="1"/>
  <c r="AF89" i="38" a="1"/>
  <c r="AF89" i="38" s="1"/>
  <c r="AF111" i="38" a="1"/>
  <c r="AF111" i="38" s="1"/>
  <c r="AC59" i="38" a="1"/>
  <c r="AC59" i="38" s="1"/>
  <c r="Z121" i="38" a="1"/>
  <c r="Z121" i="38" s="1"/>
  <c r="AC106" i="38" a="1"/>
  <c r="AC106" i="38" s="1"/>
  <c r="AD79" i="38" s="1"/>
  <c r="AF80" i="38" a="1"/>
  <c r="AF80" i="38" s="1"/>
  <c r="Z68" i="38" a="1"/>
  <c r="Z68" i="38" s="1"/>
  <c r="AI93" i="38" a="1"/>
  <c r="AI93" i="38" s="1"/>
  <c r="Z85" i="38" a="1"/>
  <c r="Z85" i="38" s="1"/>
  <c r="Z74" i="38" a="1"/>
  <c r="Z74" i="38" s="1"/>
  <c r="AC83" i="38" a="1"/>
  <c r="AC83" i="38" s="1"/>
  <c r="Z119" i="38" a="1"/>
  <c r="Z119" i="38" s="1"/>
  <c r="AI78" i="38" a="1"/>
  <c r="AI78" i="38" s="1"/>
  <c r="AC115" i="38" a="1"/>
  <c r="AC115" i="38" s="1"/>
  <c r="AI119" i="38" a="1"/>
  <c r="AI119" i="38" s="1"/>
  <c r="AI121" i="38" a="1"/>
  <c r="AI121" i="38" s="1"/>
  <c r="AI117" i="38" a="1"/>
  <c r="AI117" i="38" s="1"/>
  <c r="AF116" i="38" a="1"/>
  <c r="AF116" i="38" s="1"/>
  <c r="AC90" i="38" a="1"/>
  <c r="AC90" i="38" s="1"/>
  <c r="Z111" i="38" a="1"/>
  <c r="Z111" i="38" s="1"/>
  <c r="AF57" i="38" a="1"/>
  <c r="AF57" i="38" s="1"/>
  <c r="AI46" i="38" a="1"/>
  <c r="AI46" i="38" s="1"/>
  <c r="AF73" i="38" a="1"/>
  <c r="AF73" i="38" s="1"/>
  <c r="AG73" i="38" s="1"/>
  <c r="Z99" i="38" a="1"/>
  <c r="Z99" i="38" s="1"/>
  <c r="AI87" i="38" a="1"/>
  <c r="AI87" i="38" s="1"/>
  <c r="Z49" i="38" a="1"/>
  <c r="Z49" i="38" s="1"/>
  <c r="AI99" i="38" a="1"/>
  <c r="AI99" i="38" s="1"/>
  <c r="AF72" i="38" a="1"/>
  <c r="AF72" i="38" s="1"/>
  <c r="AF44" i="38" a="1"/>
  <c r="AF44" i="38" s="1"/>
  <c r="AF88" i="38" a="1"/>
  <c r="AF88" i="38" s="1"/>
  <c r="AC117" i="38" a="1"/>
  <c r="AC117" i="38" s="1"/>
  <c r="AI62" i="38" a="1"/>
  <c r="AI62" i="38" s="1"/>
  <c r="AF53" i="38" a="1"/>
  <c r="AF53" i="38" s="1"/>
  <c r="AI94" i="38" a="1"/>
  <c r="AI94" i="38" s="1"/>
  <c r="Z67" i="38" a="1"/>
  <c r="Z67" i="38" s="1"/>
  <c r="Z73" i="38" a="1"/>
  <c r="Z73" i="38" s="1"/>
  <c r="AA73" i="38" s="1"/>
  <c r="AF101" i="38" a="1"/>
  <c r="AF101" i="38" s="1"/>
  <c r="AC119" i="38" a="1"/>
  <c r="AC119" i="38" s="1"/>
  <c r="AF78" i="38" a="1"/>
  <c r="AF78" i="38" s="1"/>
  <c r="AI104" i="38" a="1"/>
  <c r="AI104" i="38" s="1"/>
  <c r="AI120" i="38" a="1"/>
  <c r="AI120" i="38" s="1"/>
  <c r="Z65" i="38" a="1"/>
  <c r="Z65" i="38" s="1"/>
  <c r="AF121" i="38" a="1"/>
  <c r="AF121" i="38" s="1"/>
  <c r="AF113" i="38" a="1"/>
  <c r="AF113" i="38" s="1"/>
  <c r="AF114" i="38" a="1"/>
  <c r="AF114" i="38" s="1"/>
  <c r="AI92" i="38" a="1"/>
  <c r="AI92" i="38" s="1"/>
  <c r="AF112" i="38" a="1"/>
  <c r="AF112" i="38" s="1"/>
  <c r="AC113" i="38" a="1"/>
  <c r="AC113" i="38" s="1"/>
  <c r="AI75" i="38" a="1"/>
  <c r="AI75" i="38" s="1"/>
  <c r="AF82" i="38" a="1"/>
  <c r="AF82" i="38" s="1"/>
  <c r="AG82" i="38" s="1"/>
  <c r="AF55" i="38" a="1"/>
  <c r="AF55" i="38" s="1"/>
  <c r="Z43" i="38" a="1"/>
  <c r="Z43" i="38" s="1"/>
  <c r="AC74" i="38" a="1"/>
  <c r="AC74" i="38" s="1"/>
  <c r="AC109" i="38" a="1"/>
  <c r="AC109" i="38" s="1"/>
  <c r="AF59" i="38" a="1"/>
  <c r="AF59" i="38" s="1"/>
  <c r="Z123" i="38" a="1"/>
  <c r="Z123" i="38" s="1"/>
  <c r="Z76" i="38" a="1"/>
  <c r="Z76" i="38" s="1"/>
  <c r="AC88" i="38" a="1"/>
  <c r="AC88" i="38" s="1"/>
  <c r="AC67" i="38" a="1"/>
  <c r="AC67" i="38" s="1"/>
  <c r="AC120" i="38" a="1"/>
  <c r="AC120" i="38" s="1"/>
  <c r="Z105" i="38" a="1"/>
  <c r="Z105" i="38" s="1"/>
  <c r="AI59" i="38" a="1"/>
  <c r="AI59" i="38" s="1"/>
  <c r="AI103" i="38" a="1"/>
  <c r="AI103" i="38" s="1"/>
  <c r="AI111" i="38" a="1"/>
  <c r="AI111" i="38" s="1"/>
  <c r="AC78" i="38" a="1"/>
  <c r="AC78" i="38" s="1"/>
  <c r="AD78" i="38" s="1"/>
  <c r="Z72" i="38" a="1"/>
  <c r="Z72" i="38" s="1"/>
  <c r="AF58" i="38" a="1"/>
  <c r="AF58" i="38" s="1"/>
  <c r="Z116" i="38" a="1"/>
  <c r="Z116" i="38" s="1"/>
  <c r="AI47" i="38" a="1"/>
  <c r="AI47" i="38" s="1"/>
  <c r="AI101" i="38" a="1"/>
  <c r="AI101" i="38" s="1"/>
  <c r="AC110" i="38" a="1"/>
  <c r="AC110" i="38" s="1"/>
  <c r="Z115" i="38" a="1"/>
  <c r="Z115" i="38" s="1"/>
  <c r="AC46" i="38" a="1"/>
  <c r="AC46" i="38" s="1"/>
  <c r="AI54" i="38" a="1"/>
  <c r="AI54" i="38" s="1"/>
  <c r="O58" i="31" a="1"/>
  <c r="O58" i="31" s="1"/>
  <c r="O80" i="31" s="1"/>
  <c r="E24" i="31" a="1"/>
  <c r="E24" i="31" s="1"/>
  <c r="F24" i="31" s="1"/>
  <c r="I24" i="31" a="1"/>
  <c r="I24" i="31" s="1"/>
  <c r="J24" i="31" s="1"/>
  <c r="N51" i="38" a="1"/>
  <c r="N51" i="38" s="1"/>
  <c r="W118" i="38" a="1"/>
  <c r="W118" i="38" s="1"/>
  <c r="X91" i="38" s="1"/>
  <c r="T120" i="38" a="1"/>
  <c r="T120" i="38" s="1"/>
  <c r="U93" i="38" s="1"/>
  <c r="G27" i="31" a="1"/>
  <c r="G27" i="31" s="1"/>
  <c r="H27" i="31" s="1"/>
  <c r="K31" i="31" a="1"/>
  <c r="K31" i="31" s="1"/>
  <c r="L31" i="31" s="1"/>
  <c r="Q77" i="38" a="1"/>
  <c r="Q77" i="38" s="1"/>
  <c r="R77" i="38" s="1"/>
  <c r="K85" i="38" a="1"/>
  <c r="K85" i="38" s="1"/>
  <c r="L85" i="38" s="1"/>
  <c r="K34" i="31" a="1"/>
  <c r="K34" i="31" s="1"/>
  <c r="L34" i="31" s="1"/>
  <c r="W101" i="38" a="1"/>
  <c r="W101" i="38" s="1"/>
  <c r="X74" i="38" s="1"/>
  <c r="Q73" i="38" a="1"/>
  <c r="Q73" i="38" s="1"/>
  <c r="R73" i="38" s="1"/>
  <c r="X92" i="38"/>
  <c r="U76" i="38"/>
  <c r="H47" i="38" a="1"/>
  <c r="H47" i="38" s="1"/>
  <c r="K74" i="38" a="1"/>
  <c r="K74" i="38" s="1"/>
  <c r="L74" i="38" s="1"/>
  <c r="M42" i="31" a="1"/>
  <c r="M42" i="31" s="1"/>
  <c r="N42" i="31" s="1"/>
  <c r="T100" i="38" a="1"/>
  <c r="T100" i="38" s="1"/>
  <c r="U73" i="38" s="1"/>
  <c r="K43" i="31" a="1"/>
  <c r="K43" i="31" s="1"/>
  <c r="L43" i="31" s="1"/>
  <c r="T57" i="38" a="1"/>
  <c r="T57" i="38" s="1"/>
  <c r="W72" i="38" a="1"/>
  <c r="W72" i="38" s="1"/>
  <c r="X72" i="38" s="1"/>
  <c r="H86" i="38" a="1"/>
  <c r="H86" i="38" s="1"/>
  <c r="I86" i="38" s="1"/>
  <c r="H89" i="38" a="1"/>
  <c r="H89" i="38" s="1"/>
  <c r="I89" i="38" s="1"/>
  <c r="K118" i="38" a="1"/>
  <c r="K118" i="38" s="1"/>
  <c r="L91" i="38" s="1"/>
  <c r="W104" i="38" a="1"/>
  <c r="W104" i="38" s="1"/>
  <c r="X77" i="38" s="1"/>
  <c r="Q66" i="38" a="1"/>
  <c r="Q66" i="38" s="1"/>
  <c r="K102" i="38" a="1"/>
  <c r="K102" i="38" s="1"/>
  <c r="T108" i="38" a="1"/>
  <c r="T108" i="38" s="1"/>
  <c r="U81" i="38" s="1"/>
  <c r="W19" i="11" a="1"/>
  <c r="W19" i="11" s="1"/>
  <c r="W20" i="11" s="1"/>
  <c r="W21" i="11" s="1"/>
  <c r="W28" i="11" s="1"/>
  <c r="W32" i="11" s="1"/>
  <c r="T121" i="38" a="1"/>
  <c r="T121" i="38" s="1"/>
  <c r="U94" i="38" s="1"/>
  <c r="W58" i="38" a="1"/>
  <c r="W58" i="38" s="1"/>
  <c r="X86" i="38"/>
  <c r="R89" i="38"/>
  <c r="O77" i="38"/>
  <c r="X82" i="38"/>
  <c r="I81" i="38"/>
  <c r="I75" i="38"/>
  <c r="L94" i="38"/>
  <c r="R96" i="38"/>
  <c r="U83" i="38"/>
  <c r="O75" i="38"/>
  <c r="H68" i="38" a="1"/>
  <c r="H68" i="38" s="1"/>
  <c r="G60" i="31" a="1"/>
  <c r="G60" i="31" s="1"/>
  <c r="G82" i="31" s="1"/>
  <c r="E25" i="31" a="1"/>
  <c r="E25" i="31" s="1"/>
  <c r="F25" i="31" s="1"/>
  <c r="W53" i="38" a="1"/>
  <c r="W53" i="38" s="1"/>
  <c r="T56" i="38" a="1"/>
  <c r="T56" i="38" s="1"/>
  <c r="O27" i="31" a="1"/>
  <c r="O27" i="31" s="1"/>
  <c r="P27" i="31" s="1"/>
  <c r="T43" i="38" a="1"/>
  <c r="T43" i="38" s="1"/>
  <c r="H78" i="38" a="1"/>
  <c r="H78" i="38" s="1"/>
  <c r="T88" i="38" a="1"/>
  <c r="T88" i="38" s="1"/>
  <c r="G43" i="31" a="1"/>
  <c r="G43" i="31" s="1"/>
  <c r="H43" i="31" s="1"/>
  <c r="N123" i="38" a="1"/>
  <c r="N123" i="38" s="1"/>
  <c r="H88" i="38" a="1"/>
  <c r="H88" i="38" s="1"/>
  <c r="H114" i="38" a="1"/>
  <c r="H114" i="38" s="1"/>
  <c r="I87" i="38" s="1"/>
  <c r="H62" i="38" a="1"/>
  <c r="H62" i="38" s="1"/>
  <c r="G42" i="31" a="1"/>
  <c r="G42" i="31" s="1"/>
  <c r="H42" i="31" s="1"/>
  <c r="I43" i="31" a="1"/>
  <c r="I43" i="31" s="1"/>
  <c r="J43" i="31" s="1"/>
  <c r="K32" i="31" a="1"/>
  <c r="K32" i="31" s="1"/>
  <c r="L32" i="31" s="1"/>
  <c r="N87" i="38" a="1"/>
  <c r="N87" i="38" s="1"/>
  <c r="H93" i="38" a="1"/>
  <c r="H93" i="38" s="1"/>
  <c r="I93" i="38" s="1"/>
  <c r="H85" i="38" a="1"/>
  <c r="H85" i="38" s="1"/>
  <c r="I85" i="38" s="1"/>
  <c r="E50" i="31" a="1"/>
  <c r="E50" i="31" s="1"/>
  <c r="E49" i="31" s="1"/>
  <c r="M58" i="31" a="1"/>
  <c r="M58" i="31" s="1"/>
  <c r="M80" i="31" s="1"/>
  <c r="K77" i="38" a="1"/>
  <c r="K77" i="38" s="1"/>
  <c r="L77" i="38" s="1"/>
  <c r="H49" i="38" a="1"/>
  <c r="H49" i="38" s="1"/>
  <c r="N115" i="38" a="1"/>
  <c r="N115" i="38" s="1"/>
  <c r="O88" i="38" s="1"/>
  <c r="O43" i="31" a="1"/>
  <c r="O43" i="31" s="1"/>
  <c r="P43" i="31" s="1"/>
  <c r="K80" i="38" a="1"/>
  <c r="K80" i="38" s="1"/>
  <c r="K84" i="38" a="1"/>
  <c r="K84" i="38" s="1"/>
  <c r="K111" i="38" a="1"/>
  <c r="K111" i="38" s="1"/>
  <c r="T115" i="38" a="1"/>
  <c r="T115" i="38" s="1"/>
  <c r="E57" i="31" a="1"/>
  <c r="E57" i="31" s="1"/>
  <c r="E79" i="31" s="1"/>
  <c r="E38" i="31" a="1"/>
  <c r="E38" i="31" s="1"/>
  <c r="F38" i="31" s="1"/>
  <c r="W105" i="38" a="1"/>
  <c r="W105" i="38" s="1"/>
  <c r="X78" i="38" s="1"/>
  <c r="EM19" i="11" a="1"/>
  <c r="EM19" i="11" s="1"/>
  <c r="EM20" i="11" s="1"/>
  <c r="EM21" i="11" s="1"/>
  <c r="EM28" i="11" s="1"/>
  <c r="EM32" i="11" s="1"/>
  <c r="K76" i="38" a="1"/>
  <c r="K76" i="38" s="1"/>
  <c r="H56" i="38" a="1"/>
  <c r="H56" i="38" s="1"/>
  <c r="N53" i="38" a="1"/>
  <c r="N53" i="38" s="1"/>
  <c r="T65" i="38" a="1"/>
  <c r="T65" i="38" s="1"/>
  <c r="Q121" i="38" a="1"/>
  <c r="Q121" i="38" s="1"/>
  <c r="R94" i="38" s="1"/>
  <c r="N48" i="38" a="1"/>
  <c r="N48" i="38" s="1"/>
  <c r="N100" i="38" a="1"/>
  <c r="N100" i="38" s="1"/>
  <c r="U75" i="38"/>
  <c r="X93" i="38"/>
  <c r="X96" i="38"/>
  <c r="H51" i="38" a="1"/>
  <c r="H51" i="38" s="1"/>
  <c r="N58" i="38" a="1"/>
  <c r="N58" i="38" s="1"/>
  <c r="T51" i="38" a="1"/>
  <c r="T51" i="38" s="1"/>
  <c r="U80" i="38"/>
  <c r="N96" i="38" a="1"/>
  <c r="N96" i="38" s="1"/>
  <c r="W55" i="38" a="1"/>
  <c r="W55" i="38" s="1"/>
  <c r="K47" i="38" a="1"/>
  <c r="K47" i="38" s="1"/>
  <c r="O28" i="31" a="1"/>
  <c r="O28" i="31" s="1"/>
  <c r="P28" i="31" s="1"/>
  <c r="M75" i="31"/>
  <c r="E81" i="31"/>
  <c r="K49" i="31"/>
  <c r="K72" i="31"/>
  <c r="L88" i="38"/>
  <c r="O77" i="31"/>
  <c r="X85" i="38"/>
  <c r="O94" i="38"/>
  <c r="W122" i="38" a="1"/>
  <c r="W122" i="38" s="1"/>
  <c r="BY19" i="11" a="1"/>
  <c r="BY19" i="11" s="1"/>
  <c r="BY20" i="11" s="1"/>
  <c r="BY21" i="11" s="1"/>
  <c r="BY28" i="11" s="1"/>
  <c r="BY32" i="11" s="1"/>
  <c r="K35" i="31" a="1"/>
  <c r="K35" i="31" s="1"/>
  <c r="L35" i="31" s="1"/>
  <c r="T66" i="38" a="1"/>
  <c r="T66" i="38" s="1"/>
  <c r="Q79" i="38" a="1"/>
  <c r="Q79" i="38" s="1"/>
  <c r="K68" i="38" a="1"/>
  <c r="K68" i="38" s="1"/>
  <c r="W79" i="38" a="1"/>
  <c r="W79" i="38" s="1"/>
  <c r="X79" i="38" s="1"/>
  <c r="K40" i="31" a="1"/>
  <c r="K40" i="31" s="1"/>
  <c r="L40" i="31" s="1"/>
  <c r="K76" i="31"/>
  <c r="L96" i="38"/>
  <c r="R76" i="38"/>
  <c r="M82" i="31"/>
  <c r="O40" i="31" a="1"/>
  <c r="O40" i="31" s="1"/>
  <c r="P40" i="31" s="1"/>
  <c r="N67" i="38" a="1"/>
  <c r="N67" i="38" s="1"/>
  <c r="T91" i="38" a="1"/>
  <c r="T91" i="38" s="1"/>
  <c r="U91" i="38" s="1"/>
  <c r="K87" i="38" a="1"/>
  <c r="K87" i="38" s="1"/>
  <c r="L87" i="38" s="1"/>
  <c r="T53" i="38" a="1"/>
  <c r="T53" i="38" s="1"/>
  <c r="I32" i="31" a="1"/>
  <c r="I32" i="31" s="1"/>
  <c r="J32" i="31" s="1"/>
  <c r="O59" i="31" a="1"/>
  <c r="O59" i="31" s="1"/>
  <c r="I79" i="31"/>
  <c r="I84" i="38"/>
  <c r="I90" i="38"/>
  <c r="N19" i="31"/>
  <c r="G80" i="31"/>
  <c r="I80" i="31"/>
  <c r="K78" i="31"/>
  <c r="K103" i="38" a="1"/>
  <c r="K103" i="38" s="1"/>
  <c r="T77" i="38" a="1"/>
  <c r="T77" i="38" s="1"/>
  <c r="Q93" i="38" a="1"/>
  <c r="Q93" i="38" s="1"/>
  <c r="E32" i="31" a="1"/>
  <c r="E32" i="31" s="1"/>
  <c r="F32" i="31" s="1"/>
  <c r="E27" i="31" a="1"/>
  <c r="E27" i="31" s="1"/>
  <c r="F27" i="31" s="1"/>
  <c r="T112" i="38" a="1"/>
  <c r="T112" i="38" s="1"/>
  <c r="U85" i="38" s="1"/>
  <c r="Q72" i="38" a="1"/>
  <c r="Q72" i="38" s="1"/>
  <c r="AO19" i="11" a="1"/>
  <c r="AO19" i="11" s="1"/>
  <c r="AO20" i="11" s="1"/>
  <c r="AO21" i="11" s="1"/>
  <c r="AO28" i="11" s="1"/>
  <c r="AO32" i="11" s="1"/>
  <c r="O79" i="31"/>
  <c r="O75" i="31"/>
  <c r="O82" i="31"/>
  <c r="R81" i="38"/>
  <c r="T62" i="38" a="1"/>
  <c r="T62" i="38" s="1"/>
  <c r="Q84" i="38" a="1"/>
  <c r="Q84" i="38" s="1"/>
  <c r="R84" i="38" s="1"/>
  <c r="Q60" i="38" a="1"/>
  <c r="Q60" i="38" s="1"/>
  <c r="DO19" i="11" a="1"/>
  <c r="DO19" i="11" s="1"/>
  <c r="DO20" i="11" s="1"/>
  <c r="DO21" i="11" s="1"/>
  <c r="DO28" i="11" s="1"/>
  <c r="DO32" i="11" s="1"/>
  <c r="M21" i="31" a="1"/>
  <c r="M21" i="31" s="1"/>
  <c r="N21" i="31" s="1"/>
  <c r="K62" i="38" a="1"/>
  <c r="K62" i="38" s="1"/>
  <c r="T46" i="38" a="1"/>
  <c r="T46" i="38" s="1"/>
  <c r="I73" i="31"/>
  <c r="E75" i="31"/>
  <c r="K73" i="31"/>
  <c r="I75" i="31"/>
  <c r="O49" i="31"/>
  <c r="O72" i="31"/>
  <c r="H35" i="38"/>
  <c r="E56" i="31" a="1"/>
  <c r="E56" i="31" s="1"/>
  <c r="I55" i="31" a="1"/>
  <c r="I55" i="31" s="1"/>
  <c r="I52" i="31" s="1"/>
  <c r="I61" i="31" s="1"/>
  <c r="Q47" i="38" a="1"/>
  <c r="Q47" i="38" s="1"/>
  <c r="N114" i="38" a="1"/>
  <c r="N114" i="38" s="1"/>
  <c r="H61" i="38" a="1"/>
  <c r="H61" i="38" s="1"/>
  <c r="N44" i="38" a="1"/>
  <c r="N44" i="38" s="1"/>
  <c r="Q95" i="38" a="1"/>
  <c r="Q95" i="38" s="1"/>
  <c r="R95" i="38" s="1"/>
  <c r="Q107" i="38" a="1"/>
  <c r="Q107" i="38" s="1"/>
  <c r="R80" i="38" s="1"/>
  <c r="E55" i="31" a="1"/>
  <c r="E55" i="31" s="1"/>
  <c r="Q105" i="38" a="1"/>
  <c r="Q105" i="38" s="1"/>
  <c r="R78" i="38" s="1"/>
  <c r="H107" i="38" a="1"/>
  <c r="H107" i="38" s="1"/>
  <c r="W107" i="38" a="1"/>
  <c r="W107" i="38" s="1"/>
  <c r="X80" i="38" s="1"/>
  <c r="H104" i="38" a="1"/>
  <c r="H104" i="38" s="1"/>
  <c r="T123" i="38" a="1"/>
  <c r="T123" i="38" s="1"/>
  <c r="U96" i="38" s="1"/>
  <c r="Q114" i="38" a="1"/>
  <c r="Q114" i="38" s="1"/>
  <c r="R87" i="38" s="1"/>
  <c r="T113" i="38" a="1"/>
  <c r="T113" i="38" s="1"/>
  <c r="U86" i="38" s="1"/>
  <c r="N113" i="38" a="1"/>
  <c r="N113" i="38" s="1"/>
  <c r="O86" i="38" s="1"/>
  <c r="H54" i="38" a="1"/>
  <c r="H54" i="38" s="1"/>
  <c r="N66" i="38" a="1"/>
  <c r="N66" i="38" s="1"/>
  <c r="T104" i="38" a="1"/>
  <c r="T104" i="38" s="1"/>
  <c r="H53" i="38" a="1"/>
  <c r="H53" i="38" s="1"/>
  <c r="N122" i="38" a="1"/>
  <c r="N122" i="38" s="1"/>
  <c r="O95" i="38" s="1"/>
  <c r="K55" i="31" a="1"/>
  <c r="K55" i="31" s="1"/>
  <c r="K52" i="31" s="1"/>
  <c r="K61" i="31" s="1"/>
  <c r="M55" i="31" a="1"/>
  <c r="M55" i="31" s="1"/>
  <c r="T64" i="38" a="1"/>
  <c r="T64" i="38" s="1"/>
  <c r="N116" i="38" a="1"/>
  <c r="N116" i="38" s="1"/>
  <c r="O89" i="38" s="1"/>
  <c r="Q63" i="38" a="1"/>
  <c r="Q63" i="38" s="1"/>
  <c r="K122" i="38" a="1"/>
  <c r="K122" i="38" s="1"/>
  <c r="L95" i="38" s="1"/>
  <c r="Q101" i="38" a="1"/>
  <c r="Q101" i="38" s="1"/>
  <c r="R74" i="38" s="1"/>
  <c r="W45" i="38" a="1"/>
  <c r="W45" i="38" s="1"/>
  <c r="G55" i="31" a="1"/>
  <c r="G55" i="31" s="1"/>
  <c r="W51" i="38" a="1"/>
  <c r="W51" i="38" s="1"/>
  <c r="T67" i="38" a="1"/>
  <c r="T67" i="38" s="1"/>
  <c r="H57" i="38" a="1"/>
  <c r="H57" i="38" s="1"/>
  <c r="N118" i="38" a="1"/>
  <c r="N118" i="38" s="1"/>
  <c r="O91" i="38" s="1"/>
  <c r="W87" i="38" a="1"/>
  <c r="W87" i="38" s="1"/>
  <c r="X87" i="38" s="1"/>
  <c r="N68" i="38" a="1"/>
  <c r="N68" i="38" s="1"/>
  <c r="E34" i="31" a="1"/>
  <c r="E34" i="31" s="1"/>
  <c r="F34" i="31" s="1"/>
  <c r="E19" i="31" a="1"/>
  <c r="E19" i="31" s="1"/>
  <c r="K53" i="38" a="1"/>
  <c r="K53" i="38" s="1"/>
  <c r="H109" i="38" a="1"/>
  <c r="H109" i="38" s="1"/>
  <c r="I82" i="38" s="1"/>
  <c r="M41" i="31" a="1"/>
  <c r="M41" i="31" s="1"/>
  <c r="N41" i="31" s="1"/>
  <c r="K79" i="31"/>
  <c r="I78" i="31"/>
  <c r="Q109" i="38" a="1"/>
  <c r="Q109" i="38" s="1"/>
  <c r="R82" i="38" s="1"/>
  <c r="T59" i="38" a="1"/>
  <c r="T59" i="38" s="1"/>
  <c r="K78" i="38" a="1"/>
  <c r="K78" i="38" s="1"/>
  <c r="L78" i="38" s="1"/>
  <c r="E19" i="11" a="1"/>
  <c r="E19" i="11" s="1"/>
  <c r="E20" i="11" s="1"/>
  <c r="E21" i="11" s="1"/>
  <c r="E28" i="11" s="1"/>
  <c r="E32" i="11" s="1"/>
  <c r="T49" i="38" a="1"/>
  <c r="T49" i="38" s="1"/>
  <c r="Q99" i="38" a="1"/>
  <c r="Q99" i="38" s="1"/>
  <c r="K117" i="38" a="1"/>
  <c r="K117" i="38" s="1"/>
  <c r="O82" i="38"/>
  <c r="I83" i="38"/>
  <c r="E80" i="31"/>
  <c r="M76" i="31"/>
  <c r="Z10" i="34"/>
  <c r="Z13" i="34" s="1"/>
  <c r="AA13" i="34"/>
  <c r="H115" i="38" a="1"/>
  <c r="H115" i="38" s="1"/>
  <c r="G56" i="31" a="1"/>
  <c r="G56" i="31" s="1"/>
  <c r="G54" i="31" a="1"/>
  <c r="G54" i="31" s="1"/>
  <c r="K75" i="38" a="1"/>
  <c r="K75" i="38" s="1"/>
  <c r="T122" i="38" a="1"/>
  <c r="T122" i="38" s="1"/>
  <c r="U95" i="38" s="1"/>
  <c r="E60" i="31" a="1"/>
  <c r="E60" i="31" s="1"/>
  <c r="H119" i="38" a="1"/>
  <c r="H119" i="38" s="1"/>
  <c r="I92" i="38" s="1"/>
  <c r="K82" i="31"/>
  <c r="AI13" i="34"/>
  <c r="AH10" i="34"/>
  <c r="AH13" i="34" s="1"/>
  <c r="K80" i="31"/>
  <c r="L81" i="38"/>
  <c r="AH16" i="34"/>
  <c r="AH14" i="34" s="1"/>
  <c r="AI14" i="34"/>
  <c r="O38" i="31" a="1"/>
  <c r="O38" i="31" s="1"/>
  <c r="P38" i="31" s="1"/>
  <c r="Q120" i="38" a="1"/>
  <c r="Q120" i="38" s="1"/>
  <c r="W76" i="38" a="1"/>
  <c r="W76" i="38" s="1"/>
  <c r="X76" i="38" s="1"/>
  <c r="O51" i="31" a="1"/>
  <c r="O51" i="31" s="1"/>
  <c r="W111" i="38" a="1"/>
  <c r="W111" i="38" s="1"/>
  <c r="X84" i="38" s="1"/>
  <c r="N90" i="38" a="1"/>
  <c r="N90" i="38" s="1"/>
  <c r="O90" i="38" s="1"/>
  <c r="Q48" i="38" a="1"/>
  <c r="Q48" i="38" s="1"/>
  <c r="I82" i="31"/>
  <c r="E73" i="31"/>
  <c r="O76" i="38"/>
  <c r="I79" i="38"/>
  <c r="I81" i="31"/>
  <c r="G19" i="31" a="1"/>
  <c r="G19" i="31" s="1"/>
  <c r="K107" i="38" a="1"/>
  <c r="K107" i="38" s="1"/>
  <c r="H43" i="38" a="1"/>
  <c r="H43" i="38" s="1"/>
  <c r="H73" i="38" a="1"/>
  <c r="H73" i="38" s="1"/>
  <c r="T116" i="38" a="1"/>
  <c r="T116" i="38" s="1"/>
  <c r="U89" i="38" s="1"/>
  <c r="N80" i="38" a="1"/>
  <c r="N80" i="38" s="1"/>
  <c r="O80" i="38" s="1"/>
  <c r="H59" i="38" a="1"/>
  <c r="H59" i="38" s="1"/>
  <c r="I96" i="38"/>
  <c r="I76" i="31"/>
  <c r="K81" i="31"/>
  <c r="O74" i="38"/>
  <c r="O78" i="31"/>
  <c r="E40" i="31" a="1"/>
  <c r="E40" i="31" s="1"/>
  <c r="F40" i="31" s="1"/>
  <c r="Q102" i="38" a="1"/>
  <c r="Q102" i="38" s="1"/>
  <c r="R75" i="38" s="1"/>
  <c r="K43" i="38" a="1"/>
  <c r="K43" i="38" s="1"/>
  <c r="K89" i="38" a="1"/>
  <c r="K89" i="38" s="1"/>
  <c r="L89" i="38" s="1"/>
  <c r="T87" i="38" a="1"/>
  <c r="T87" i="38" s="1"/>
  <c r="U87" i="38" s="1"/>
  <c r="W13" i="34"/>
  <c r="V10" i="34"/>
  <c r="V13" i="34" s="1"/>
  <c r="N105" i="38" a="1"/>
  <c r="N105" i="38" s="1"/>
  <c r="O78" i="38" s="1"/>
  <c r="W68" i="38" a="1"/>
  <c r="W68" i="38" s="1"/>
  <c r="O76" i="31"/>
  <c r="K75" i="31"/>
  <c r="M49" i="31"/>
  <c r="M72" i="31"/>
  <c r="X89" i="38"/>
  <c r="O84" i="38"/>
  <c r="U78" i="38"/>
  <c r="B23" i="40"/>
  <c r="B25" i="40" s="1"/>
  <c r="AE14" i="34"/>
  <c r="AD15" i="34"/>
  <c r="H94" i="38" a="1"/>
  <c r="H94" i="38" s="1"/>
  <c r="I94" i="38" s="1"/>
  <c r="H77" i="38" a="1"/>
  <c r="H77" i="38" s="1"/>
  <c r="N108" i="38" a="1"/>
  <c r="N108" i="38" s="1"/>
  <c r="O81" i="38" s="1"/>
  <c r="I36" i="31" a="1"/>
  <c r="I36" i="31" s="1"/>
  <c r="J36" i="31" s="1"/>
  <c r="G34" i="31" a="1"/>
  <c r="G34" i="31" s="1"/>
  <c r="H34" i="31" s="1"/>
  <c r="N73" i="38" a="1"/>
  <c r="N73" i="38" s="1"/>
  <c r="W102" i="38" a="1"/>
  <c r="W102" i="38" s="1"/>
  <c r="X75" i="38" s="1"/>
  <c r="M73" i="31"/>
  <c r="O85" i="38"/>
  <c r="W100" i="38" a="1"/>
  <c r="W100" i="38" s="1"/>
  <c r="Q54" i="38" a="1"/>
  <c r="Q54" i="38" s="1"/>
  <c r="T79" i="38" a="1"/>
  <c r="T79" i="38" s="1"/>
  <c r="U79" i="38" s="1"/>
  <c r="T45" i="38" a="1"/>
  <c r="T45" i="38" s="1"/>
  <c r="H67" i="38" a="1"/>
  <c r="H67" i="38" s="1"/>
  <c r="H80" i="38" a="1"/>
  <c r="H80" i="38" s="1"/>
  <c r="H118" i="38" a="1"/>
  <c r="H118" i="38" s="1"/>
  <c r="I91" i="38" s="1"/>
  <c r="X90" i="38"/>
  <c r="P19" i="31"/>
  <c r="M79" i="31"/>
  <c r="U74" i="38"/>
  <c r="H105" i="38" a="1"/>
  <c r="H105" i="38" s="1"/>
  <c r="T52" i="38" a="1"/>
  <c r="T52" i="38" s="1"/>
  <c r="I22" i="31" a="1"/>
  <c r="I22" i="31" s="1"/>
  <c r="J22" i="31" s="1"/>
  <c r="N62" i="38" a="1"/>
  <c r="N62" i="38" s="1"/>
  <c r="W95" i="38" a="1"/>
  <c r="W95" i="38" s="1"/>
  <c r="E39" i="31" a="1"/>
  <c r="E39" i="31" s="1"/>
  <c r="F39" i="31" s="1"/>
  <c r="W108" i="38" a="1"/>
  <c r="W108" i="38" s="1"/>
  <c r="X81" i="38" s="1"/>
  <c r="G75" i="31"/>
  <c r="AE13" i="34"/>
  <c r="AD10" i="34"/>
  <c r="AD13" i="34" s="1"/>
  <c r="M78" i="31"/>
  <c r="U92" i="38"/>
  <c r="X88" i="38"/>
  <c r="R92" i="38"/>
  <c r="G49" i="31"/>
  <c r="G72" i="31"/>
  <c r="G79" i="31"/>
  <c r="L93" i="38"/>
  <c r="K90" i="38" a="1"/>
  <c r="K90" i="38" s="1"/>
  <c r="H100" i="38" a="1"/>
  <c r="H100" i="38" s="1"/>
  <c r="K63" i="38" a="1"/>
  <c r="K63" i="38" s="1"/>
  <c r="T68" i="38" a="1"/>
  <c r="T68" i="38" s="1"/>
  <c r="E33" i="31" a="1"/>
  <c r="E33" i="31" s="1"/>
  <c r="F33" i="31" s="1"/>
  <c r="I28" i="31" a="1"/>
  <c r="I28" i="31" s="1"/>
  <c r="J28" i="31" s="1"/>
  <c r="E54" i="31" a="1"/>
  <c r="E54" i="31" s="1"/>
  <c r="L72" i="38"/>
  <c r="O92" i="38"/>
  <c r="G73" i="31"/>
  <c r="J19" i="31"/>
  <c r="I74" i="38"/>
  <c r="R88" i="38"/>
  <c r="L19" i="31"/>
  <c r="L86" i="38"/>
  <c r="Q64" i="38" a="1"/>
  <c r="Q64" i="38" s="1"/>
  <c r="H44" i="38" a="1"/>
  <c r="H44" i="38" s="1"/>
  <c r="T72" i="38" a="1"/>
  <c r="T72" i="38" s="1"/>
  <c r="W83" i="38" a="1"/>
  <c r="W83" i="38" s="1"/>
  <c r="X83" i="38" s="1"/>
  <c r="H63" i="38" a="1"/>
  <c r="H63" i="38" s="1"/>
  <c r="N79" i="38" a="1"/>
  <c r="N79" i="38" s="1"/>
  <c r="O79" i="38" s="1"/>
  <c r="K20" i="31" a="1"/>
  <c r="K20" i="31" s="1"/>
  <c r="L20" i="31" s="1"/>
  <c r="V15" i="34"/>
  <c r="W14" i="34"/>
  <c r="AA14" i="34"/>
  <c r="Z15" i="34"/>
  <c r="M81" i="31"/>
  <c r="I49" i="31"/>
  <c r="I72" i="31"/>
  <c r="O83" i="38"/>
  <c r="L82" i="38"/>
  <c r="I72" i="38"/>
  <c r="L83" i="38"/>
  <c r="G20" i="31" a="1"/>
  <c r="G20" i="31" s="1"/>
  <c r="H20" i="31" s="1"/>
  <c r="I42" i="31" a="1"/>
  <c r="I42" i="31" s="1"/>
  <c r="J42" i="31" s="1"/>
  <c r="Q106" i="38" a="1"/>
  <c r="Q106" i="38" s="1"/>
  <c r="T111" i="38" a="1"/>
  <c r="T111" i="38" s="1"/>
  <c r="U84" i="38" s="1"/>
  <c r="G59" i="31" a="1"/>
  <c r="G59" i="31" s="1"/>
  <c r="I27" i="31" a="1"/>
  <c r="I27" i="31" s="1"/>
  <c r="J27" i="31" s="1"/>
  <c r="H64" i="38" a="1"/>
  <c r="H64" i="38" s="1"/>
  <c r="N99" i="38" a="1"/>
  <c r="N99" i="38" s="1"/>
  <c r="AJ88" i="38" l="1"/>
  <c r="H36" i="38"/>
  <c r="E13" i="31" s="1"/>
  <c r="L22" i="54" s="1"/>
  <c r="AG93" i="38"/>
  <c r="X19" i="31"/>
  <c r="X17" i="31" s="1"/>
  <c r="W17" i="31"/>
  <c r="U17" i="31"/>
  <c r="V19" i="31"/>
  <c r="V17" i="31" s="1"/>
  <c r="T19" i="31"/>
  <c r="T17" i="31" s="1"/>
  <c r="S17" i="31"/>
  <c r="R19" i="31"/>
  <c r="R17" i="31" s="1"/>
  <c r="Q17" i="31"/>
  <c r="U78" i="31"/>
  <c r="U82" i="31"/>
  <c r="W76" i="31"/>
  <c r="S82" i="31"/>
  <c r="U76" i="31"/>
  <c r="S78" i="31"/>
  <c r="W82" i="31"/>
  <c r="W78" i="31"/>
  <c r="W80" i="31"/>
  <c r="S81" i="31"/>
  <c r="W79" i="31"/>
  <c r="U79" i="31"/>
  <c r="S80" i="31"/>
  <c r="U75" i="31"/>
  <c r="U52" i="31"/>
  <c r="U61" i="31" s="1"/>
  <c r="U6" i="31" s="1"/>
  <c r="S52" i="31"/>
  <c r="S75" i="31"/>
  <c r="U77" i="31"/>
  <c r="U81" i="31"/>
  <c r="S79" i="31"/>
  <c r="W72" i="31"/>
  <c r="W49" i="31"/>
  <c r="U72" i="31"/>
  <c r="U49" i="31"/>
  <c r="U73" i="31"/>
  <c r="W75" i="31"/>
  <c r="W52" i="31"/>
  <c r="W81" i="31"/>
  <c r="S73" i="31"/>
  <c r="W77" i="31"/>
  <c r="S76" i="31"/>
  <c r="S49" i="31"/>
  <c r="S72" i="31"/>
  <c r="S77" i="31"/>
  <c r="U80" i="31"/>
  <c r="W73" i="31"/>
  <c r="Q71" i="31"/>
  <c r="Q93" i="31"/>
  <c r="Q97" i="31"/>
  <c r="Q100" i="31"/>
  <c r="Q103" i="31"/>
  <c r="Q102" i="31"/>
  <c r="Q96" i="31"/>
  <c r="Q74" i="31"/>
  <c r="Q98" i="31"/>
  <c r="Q101" i="31"/>
  <c r="Q99" i="31"/>
  <c r="Q94" i="31"/>
  <c r="Q49" i="31"/>
  <c r="Q52" i="31"/>
  <c r="AJ73" i="38"/>
  <c r="AA82" i="38"/>
  <c r="AA86" i="38"/>
  <c r="AJ86" i="38"/>
  <c r="AA77" i="38"/>
  <c r="AJ87" i="38"/>
  <c r="AG75" i="38"/>
  <c r="AG78" i="38"/>
  <c r="AD74" i="38"/>
  <c r="AA93" i="38"/>
  <c r="L75" i="38"/>
  <c r="I78" i="38"/>
  <c r="AA85" i="38"/>
  <c r="O52" i="31"/>
  <c r="O61" i="31" s="1"/>
  <c r="AD87" i="38"/>
  <c r="AA90" i="38"/>
  <c r="AD81" i="38"/>
  <c r="L80" i="38"/>
  <c r="O96" i="38"/>
  <c r="AJ81" i="38"/>
  <c r="AD80" i="38"/>
  <c r="AA76" i="38"/>
  <c r="AJ75" i="38"/>
  <c r="AJ78" i="38"/>
  <c r="I77" i="38"/>
  <c r="AG77" i="38"/>
  <c r="AJ85" i="38"/>
  <c r="AG81" i="38"/>
  <c r="AD94" i="38"/>
  <c r="AJ92" i="38"/>
  <c r="AG88" i="38"/>
  <c r="E72" i="31"/>
  <c r="E93" i="31" s="1"/>
  <c r="AA80" i="38"/>
  <c r="O87" i="38"/>
  <c r="AG80" i="38"/>
  <c r="AG79" i="38"/>
  <c r="AG83" i="38"/>
  <c r="AA74" i="38"/>
  <c r="AD90" i="38"/>
  <c r="AD95" i="38"/>
  <c r="AD88" i="38"/>
  <c r="Z42" i="38"/>
  <c r="Q15" i="31" s="1"/>
  <c r="AG96" i="38"/>
  <c r="AD77" i="38"/>
  <c r="AG89" i="38"/>
  <c r="AD96" i="38"/>
  <c r="AJ80" i="38"/>
  <c r="AI98" i="38"/>
  <c r="AD83" i="38"/>
  <c r="AD93" i="38"/>
  <c r="AG87" i="38"/>
  <c r="AF98" i="38"/>
  <c r="AF42" i="38"/>
  <c r="U15" i="31" s="1"/>
  <c r="AD86" i="38"/>
  <c r="AA88" i="38"/>
  <c r="AD91" i="38"/>
  <c r="Z98" i="38"/>
  <c r="AJ93" i="38"/>
  <c r="AA94" i="38"/>
  <c r="AA92" i="38"/>
  <c r="AD89" i="38"/>
  <c r="AJ90" i="38"/>
  <c r="AD82" i="38"/>
  <c r="AD76" i="38"/>
  <c r="AJ82" i="38"/>
  <c r="AG76" i="38"/>
  <c r="AA95" i="38"/>
  <c r="AA78" i="38"/>
  <c r="AA84" i="38"/>
  <c r="AG91" i="38"/>
  <c r="AG84" i="38"/>
  <c r="AJ89" i="38"/>
  <c r="AD75" i="38"/>
  <c r="AJ72" i="38"/>
  <c r="AI71" i="38"/>
  <c r="AG92" i="38"/>
  <c r="AC71" i="38"/>
  <c r="AD72" i="38"/>
  <c r="AG94" i="38"/>
  <c r="AG90" i="38"/>
  <c r="AA72" i="38"/>
  <c r="Z71" i="38"/>
  <c r="AJ74" i="38"/>
  <c r="AJ91" i="38"/>
  <c r="AA96" i="38"/>
  <c r="AJ76" i="38"/>
  <c r="AI42" i="38"/>
  <c r="W15" i="31" s="1"/>
  <c r="AJ94" i="38"/>
  <c r="AA83" i="38"/>
  <c r="AG95" i="38"/>
  <c r="AC42" i="38"/>
  <c r="S15" i="31" s="1"/>
  <c r="AJ84" i="38"/>
  <c r="AA89" i="38"/>
  <c r="AJ95" i="38"/>
  <c r="AC98" i="38"/>
  <c r="AG74" i="38"/>
  <c r="AA87" i="38"/>
  <c r="AJ77" i="38"/>
  <c r="AA91" i="38"/>
  <c r="AA81" i="38"/>
  <c r="AG86" i="38"/>
  <c r="AJ79" i="38"/>
  <c r="AD73" i="38"/>
  <c r="AA79" i="38"/>
  <c r="AJ83" i="38"/>
  <c r="AF71" i="38"/>
  <c r="AG72" i="38"/>
  <c r="AD92" i="38"/>
  <c r="AD85" i="38"/>
  <c r="AG85" i="38"/>
  <c r="L76" i="38"/>
  <c r="I88" i="38"/>
  <c r="I80" i="38"/>
  <c r="O73" i="38"/>
  <c r="U88" i="38"/>
  <c r="K71" i="38"/>
  <c r="X95" i="38"/>
  <c r="L84" i="38"/>
  <c r="W42" i="38"/>
  <c r="O15" i="31" s="1"/>
  <c r="K98" i="38"/>
  <c r="H71" i="38"/>
  <c r="T42" i="38"/>
  <c r="Q42" i="38"/>
  <c r="N98" i="38"/>
  <c r="N42" i="38"/>
  <c r="I15" i="31" s="1"/>
  <c r="O21" i="54" s="1"/>
  <c r="W98" i="38"/>
  <c r="K62" i="31"/>
  <c r="K63" i="31"/>
  <c r="K8" i="31" s="1"/>
  <c r="K6" i="31"/>
  <c r="I93" i="31"/>
  <c r="I71" i="31"/>
  <c r="Q71" i="38"/>
  <c r="R72" i="38"/>
  <c r="M17" i="31"/>
  <c r="M103" i="31"/>
  <c r="G71" i="31"/>
  <c r="G93" i="31"/>
  <c r="AA18" i="34"/>
  <c r="Z18" i="34" s="1"/>
  <c r="K94" i="31"/>
  <c r="N17" i="31"/>
  <c r="O98" i="31"/>
  <c r="G81" i="31"/>
  <c r="I6" i="31"/>
  <c r="O15" i="54" s="1"/>
  <c r="O14" i="54" s="1"/>
  <c r="I63" i="31"/>
  <c r="I62" i="31"/>
  <c r="E76" i="31"/>
  <c r="K42" i="38"/>
  <c r="G15" i="31" s="1"/>
  <c r="M21" i="54" s="1"/>
  <c r="E94" i="31"/>
  <c r="AI18" i="34"/>
  <c r="AH18" i="34" s="1"/>
  <c r="AH19" i="34" s="1"/>
  <c r="M93" i="31"/>
  <c r="M71" i="31"/>
  <c r="W71" i="38"/>
  <c r="I77" i="31"/>
  <c r="I74" i="31" s="1"/>
  <c r="I83" i="31" s="1"/>
  <c r="E52" i="31"/>
  <c r="X73" i="38"/>
  <c r="M102" i="31"/>
  <c r="L17" i="31"/>
  <c r="I73" i="38"/>
  <c r="I103" i="31"/>
  <c r="K103" i="31"/>
  <c r="M97" i="31"/>
  <c r="E78" i="31"/>
  <c r="E96" i="31"/>
  <c r="R93" i="38"/>
  <c r="H42" i="38"/>
  <c r="E15" i="31" s="1"/>
  <c r="L21" i="54" s="1"/>
  <c r="E101" i="31"/>
  <c r="O103" i="31"/>
  <c r="U77" i="38"/>
  <c r="I100" i="31"/>
  <c r="K97" i="31"/>
  <c r="T98" i="38"/>
  <c r="G77" i="31"/>
  <c r="O96" i="31"/>
  <c r="K71" i="31"/>
  <c r="K93" i="31"/>
  <c r="Z14" i="34"/>
  <c r="H19" i="31"/>
  <c r="H17" i="31" s="1"/>
  <c r="G17" i="31"/>
  <c r="I99" i="31"/>
  <c r="I94" i="31"/>
  <c r="O81" i="31"/>
  <c r="L90" i="38"/>
  <c r="G103" i="31"/>
  <c r="K96" i="31"/>
  <c r="O73" i="31"/>
  <c r="K99" i="31"/>
  <c r="O99" i="31"/>
  <c r="O100" i="31"/>
  <c r="R79" i="38"/>
  <c r="E102" i="31"/>
  <c r="K17" i="31"/>
  <c r="V14" i="34"/>
  <c r="J17" i="31"/>
  <c r="E100" i="31"/>
  <c r="M99" i="31"/>
  <c r="O97" i="31"/>
  <c r="E82" i="31"/>
  <c r="K100" i="31"/>
  <c r="I101" i="31"/>
  <c r="O71" i="31"/>
  <c r="O93" i="31"/>
  <c r="N71" i="38"/>
  <c r="G94" i="31"/>
  <c r="AE18" i="34"/>
  <c r="AD18" i="34" s="1"/>
  <c r="M100" i="31"/>
  <c r="AD14" i="34"/>
  <c r="K102" i="31"/>
  <c r="O101" i="31"/>
  <c r="Q98" i="38"/>
  <c r="E77" i="31"/>
  <c r="O72" i="38"/>
  <c r="I17" i="31"/>
  <c r="M101" i="31"/>
  <c r="H98" i="38"/>
  <c r="G52" i="31"/>
  <c r="O17" i="31"/>
  <c r="G76" i="31"/>
  <c r="M77" i="31"/>
  <c r="M74" i="31" s="1"/>
  <c r="I97" i="31"/>
  <c r="G96" i="31"/>
  <c r="P17" i="31"/>
  <c r="M94" i="31"/>
  <c r="I102" i="31"/>
  <c r="G78" i="31"/>
  <c r="E17" i="31"/>
  <c r="F19" i="31"/>
  <c r="F17" i="31" s="1"/>
  <c r="K77" i="31"/>
  <c r="M96" i="31"/>
  <c r="U72" i="38"/>
  <c r="T71" i="38"/>
  <c r="G100" i="31"/>
  <c r="W18" i="34"/>
  <c r="V18" i="34" s="1"/>
  <c r="K101" i="31"/>
  <c r="I96" i="31"/>
  <c r="G101" i="31"/>
  <c r="M52" i="31"/>
  <c r="P17" i="54" l="1"/>
  <c r="P16" i="54" s="1"/>
  <c r="P15" i="54"/>
  <c r="P14" i="54" s="1"/>
  <c r="W96" i="31"/>
  <c r="W74" i="31"/>
  <c r="S98" i="31"/>
  <c r="S96" i="31"/>
  <c r="S74" i="31"/>
  <c r="W99" i="31"/>
  <c r="U94" i="31"/>
  <c r="S71" i="31"/>
  <c r="S93" i="31"/>
  <c r="W103" i="31"/>
  <c r="M15" i="31"/>
  <c r="U63" i="31"/>
  <c r="U8" i="31" s="1"/>
  <c r="U62" i="31"/>
  <c r="S61" i="31"/>
  <c r="S6" i="31" s="1"/>
  <c r="U96" i="31"/>
  <c r="U74" i="31"/>
  <c r="S99" i="31"/>
  <c r="S97" i="31"/>
  <c r="S101" i="31"/>
  <c r="U97" i="31"/>
  <c r="U71" i="31"/>
  <c r="U93" i="31"/>
  <c r="W98" i="31"/>
  <c r="W71" i="31"/>
  <c r="W93" i="31"/>
  <c r="W83" i="31"/>
  <c r="W7" i="31" s="1"/>
  <c r="U100" i="31"/>
  <c r="S103" i="31"/>
  <c r="S94" i="31"/>
  <c r="S100" i="31"/>
  <c r="W100" i="31"/>
  <c r="W97" i="31"/>
  <c r="W94" i="31"/>
  <c r="W102" i="31"/>
  <c r="U102" i="31"/>
  <c r="S102" i="31"/>
  <c r="U103" i="31"/>
  <c r="U101" i="31"/>
  <c r="W61" i="31"/>
  <c r="W6" i="31" s="1"/>
  <c r="U98" i="31"/>
  <c r="W101" i="31"/>
  <c r="U99" i="31"/>
  <c r="Q95" i="31"/>
  <c r="Q104" i="31" s="1"/>
  <c r="Q92" i="31"/>
  <c r="Q83" i="31"/>
  <c r="Q61" i="31"/>
  <c r="Q6" i="31" s="1"/>
  <c r="E71" i="31"/>
  <c r="AD71" i="38"/>
  <c r="AG71" i="38"/>
  <c r="AJ71" i="38"/>
  <c r="AA71" i="38"/>
  <c r="L71" i="38"/>
  <c r="U71" i="38"/>
  <c r="V19" i="34"/>
  <c r="X13" i="34" s="1"/>
  <c r="Z19" i="34"/>
  <c r="Z20" i="34" s="1"/>
  <c r="X71" i="38"/>
  <c r="G74" i="31"/>
  <c r="G83" i="31" s="1"/>
  <c r="O71" i="38"/>
  <c r="K15" i="31"/>
  <c r="P21" i="54" s="1"/>
  <c r="I71" i="38"/>
  <c r="K64" i="31"/>
  <c r="L53" i="31" s="1"/>
  <c r="R71" i="38"/>
  <c r="AJ19" i="34"/>
  <c r="AJ15" i="34"/>
  <c r="AH20" i="34"/>
  <c r="AJ17" i="34"/>
  <c r="AJ14" i="34"/>
  <c r="AJ13" i="34"/>
  <c r="I85" i="31"/>
  <c r="I7" i="31"/>
  <c r="I84" i="31"/>
  <c r="E103" i="31"/>
  <c r="M61" i="31"/>
  <c r="K98" i="31"/>
  <c r="AE19" i="34"/>
  <c r="AE20" i="34" s="1"/>
  <c r="O102" i="31"/>
  <c r="O95" i="31" s="1"/>
  <c r="O74" i="31"/>
  <c r="AI19" i="34"/>
  <c r="AI20" i="34" s="1"/>
  <c r="O6" i="31"/>
  <c r="S15" i="54" s="1"/>
  <c r="S14" i="54" s="1"/>
  <c r="O63" i="31"/>
  <c r="O62" i="31"/>
  <c r="AH4" i="31"/>
  <c r="I92" i="31"/>
  <c r="AA19" i="34"/>
  <c r="AA20" i="34" s="1"/>
  <c r="E61" i="31"/>
  <c r="E6" i="31" s="1"/>
  <c r="L15" i="54" s="1"/>
  <c r="L14" i="54" s="1"/>
  <c r="E97" i="31"/>
  <c r="E92" i="31"/>
  <c r="M98" i="31"/>
  <c r="E98" i="31"/>
  <c r="G98" i="31"/>
  <c r="I98" i="31"/>
  <c r="G97" i="31"/>
  <c r="O92" i="31"/>
  <c r="E74" i="31"/>
  <c r="G92" i="31"/>
  <c r="K92" i="31"/>
  <c r="E99" i="31"/>
  <c r="I64" i="31"/>
  <c r="J63" i="31" s="1"/>
  <c r="G99" i="31"/>
  <c r="W19" i="34"/>
  <c r="W20" i="34" s="1"/>
  <c r="O94" i="31"/>
  <c r="M83" i="31"/>
  <c r="I8" i="31"/>
  <c r="O17" i="54" s="1"/>
  <c r="O16" i="54" s="1"/>
  <c r="G61" i="31"/>
  <c r="M92" i="31"/>
  <c r="G102" i="31"/>
  <c r="AD19" i="34"/>
  <c r="K74" i="31"/>
  <c r="R21" i="54" l="1"/>
  <c r="W85" i="31"/>
  <c r="W9" i="31" s="1"/>
  <c r="W84" i="31"/>
  <c r="S92" i="31"/>
  <c r="U83" i="31"/>
  <c r="U7" i="31" s="1"/>
  <c r="W95" i="31"/>
  <c r="U92" i="31"/>
  <c r="W92" i="31"/>
  <c r="S83" i="31"/>
  <c r="S7" i="31" s="1"/>
  <c r="U64" i="31"/>
  <c r="U4" i="31" s="1"/>
  <c r="S95" i="31"/>
  <c r="W63" i="31"/>
  <c r="W8" i="31" s="1"/>
  <c r="W62" i="31"/>
  <c r="S62" i="31"/>
  <c r="S63" i="31"/>
  <c r="S8" i="31" s="1"/>
  <c r="U95" i="31"/>
  <c r="U104" i="31" s="1"/>
  <c r="Q85" i="31"/>
  <c r="Q84" i="31"/>
  <c r="Q7" i="31"/>
  <c r="Q62" i="31"/>
  <c r="Q63" i="31"/>
  <c r="Q8" i="31" s="1"/>
  <c r="AB15" i="34"/>
  <c r="AB14" i="34"/>
  <c r="AB17" i="34"/>
  <c r="AB19" i="34"/>
  <c r="AB13" i="34"/>
  <c r="X14" i="34"/>
  <c r="X17" i="34"/>
  <c r="X19" i="34"/>
  <c r="V20" i="34"/>
  <c r="X15" i="34"/>
  <c r="I86" i="31"/>
  <c r="J74" i="31" s="1"/>
  <c r="L57" i="31"/>
  <c r="L56" i="31"/>
  <c r="L55" i="31"/>
  <c r="L62" i="31"/>
  <c r="L49" i="31"/>
  <c r="L61" i="31"/>
  <c r="L58" i="31"/>
  <c r="L51" i="31"/>
  <c r="L63" i="31"/>
  <c r="L60" i="31"/>
  <c r="L54" i="31"/>
  <c r="L50" i="31"/>
  <c r="L59" i="31"/>
  <c r="L64" i="31"/>
  <c r="K4" i="31"/>
  <c r="J62" i="31"/>
  <c r="L52" i="31"/>
  <c r="E95" i="31"/>
  <c r="E104" i="31" s="1"/>
  <c r="E62" i="31"/>
  <c r="E63" i="31"/>
  <c r="AC4" i="31"/>
  <c r="I105" i="31"/>
  <c r="O64" i="31"/>
  <c r="E83" i="31"/>
  <c r="I106" i="31"/>
  <c r="I9" i="31"/>
  <c r="O8" i="31"/>
  <c r="S17" i="54" s="1"/>
  <c r="S16" i="54" s="1"/>
  <c r="G62" i="31"/>
  <c r="G6" i="31"/>
  <c r="M15" i="54" s="1"/>
  <c r="M14" i="54" s="1"/>
  <c r="AD4" i="31"/>
  <c r="G63" i="31"/>
  <c r="I95" i="31"/>
  <c r="G84" i="31"/>
  <c r="G7" i="31"/>
  <c r="G85" i="31"/>
  <c r="O83" i="31"/>
  <c r="O7" i="31" s="1"/>
  <c r="M6" i="31"/>
  <c r="R15" i="54" s="1"/>
  <c r="R14" i="54" s="1"/>
  <c r="M62" i="31"/>
  <c r="M63" i="31"/>
  <c r="M84" i="31"/>
  <c r="M85" i="31"/>
  <c r="M7" i="31"/>
  <c r="G95" i="31"/>
  <c r="K95" i="31"/>
  <c r="M95" i="31"/>
  <c r="J64" i="31"/>
  <c r="I4" i="31"/>
  <c r="J53" i="31"/>
  <c r="J54" i="31"/>
  <c r="J59" i="31"/>
  <c r="J58" i="31"/>
  <c r="J51" i="31"/>
  <c r="J56" i="31"/>
  <c r="J57" i="31"/>
  <c r="J60" i="31"/>
  <c r="J50" i="31"/>
  <c r="J61" i="31"/>
  <c r="J52" i="31"/>
  <c r="J55" i="31"/>
  <c r="J49" i="31"/>
  <c r="O104" i="31"/>
  <c r="K83" i="31"/>
  <c r="AF19" i="34"/>
  <c r="AD20" i="34"/>
  <c r="AF17" i="34"/>
  <c r="AF15" i="34"/>
  <c r="AF13" i="34"/>
  <c r="AF14" i="34"/>
  <c r="V64" i="31" l="1"/>
  <c r="V56" i="31"/>
  <c r="V55" i="31"/>
  <c r="V58" i="31"/>
  <c r="V60" i="31"/>
  <c r="V59" i="31"/>
  <c r="V57" i="31"/>
  <c r="V54" i="31"/>
  <c r="V53" i="31"/>
  <c r="V50" i="31"/>
  <c r="V51" i="31"/>
  <c r="V61" i="31"/>
  <c r="V49" i="31"/>
  <c r="V52" i="31"/>
  <c r="U84" i="31"/>
  <c r="U85" i="31"/>
  <c r="U9" i="31" s="1"/>
  <c r="S84" i="31"/>
  <c r="S85" i="31"/>
  <c r="S9" i="31" s="1"/>
  <c r="W86" i="31"/>
  <c r="W5" i="31" s="1"/>
  <c r="W105" i="31"/>
  <c r="S64" i="31"/>
  <c r="S4" i="31" s="1"/>
  <c r="W64" i="31"/>
  <c r="W4" i="31" s="1"/>
  <c r="S104" i="31"/>
  <c r="W106" i="31"/>
  <c r="V62" i="31"/>
  <c r="W104" i="31"/>
  <c r="V63" i="31"/>
  <c r="Q86" i="31"/>
  <c r="R85" i="31" s="1"/>
  <c r="Q10" i="31" s="1"/>
  <c r="Q105" i="31"/>
  <c r="Q9" i="31"/>
  <c r="Q106" i="31"/>
  <c r="Q64" i="31"/>
  <c r="M64" i="31"/>
  <c r="N51" i="31" s="1"/>
  <c r="J83" i="31"/>
  <c r="J79" i="31"/>
  <c r="I5" i="31"/>
  <c r="J71" i="31"/>
  <c r="J82" i="31"/>
  <c r="J86" i="31"/>
  <c r="J84" i="31"/>
  <c r="J85" i="31"/>
  <c r="I10" i="31" s="1"/>
  <c r="O18" i="54" s="1"/>
  <c r="J72" i="31"/>
  <c r="J73" i="31"/>
  <c r="J77" i="31"/>
  <c r="J75" i="31"/>
  <c r="J80" i="31"/>
  <c r="J76" i="31"/>
  <c r="J81" i="31"/>
  <c r="J78" i="31"/>
  <c r="L65" i="31"/>
  <c r="E64" i="31"/>
  <c r="E4" i="31" s="1"/>
  <c r="M86" i="31"/>
  <c r="N77" i="31" s="1"/>
  <c r="P64" i="31"/>
  <c r="O4" i="31"/>
  <c r="P58" i="31"/>
  <c r="P54" i="31"/>
  <c r="P57" i="31"/>
  <c r="P50" i="31"/>
  <c r="P53" i="31"/>
  <c r="P56" i="31"/>
  <c r="P60" i="31"/>
  <c r="P55" i="31"/>
  <c r="P51" i="31"/>
  <c r="P49" i="31"/>
  <c r="P52" i="31"/>
  <c r="P59" i="31"/>
  <c r="P61" i="31"/>
  <c r="I104" i="31"/>
  <c r="G106" i="31"/>
  <c r="G9" i="31"/>
  <c r="P63" i="31"/>
  <c r="E84" i="31"/>
  <c r="E85" i="31"/>
  <c r="E7" i="31"/>
  <c r="P62" i="31"/>
  <c r="K104" i="31"/>
  <c r="G105" i="31"/>
  <c r="M8" i="31"/>
  <c r="R17" i="54" s="1"/>
  <c r="R16" i="54" s="1"/>
  <c r="G8" i="31"/>
  <c r="M17" i="54" s="1"/>
  <c r="M16" i="54" s="1"/>
  <c r="M104" i="31"/>
  <c r="E8" i="31"/>
  <c r="G104" i="31"/>
  <c r="K85" i="31"/>
  <c r="K9" i="31" s="1"/>
  <c r="K84" i="31"/>
  <c r="K7" i="31"/>
  <c r="G86" i="31"/>
  <c r="H85" i="31" s="1"/>
  <c r="G10" i="31" s="1"/>
  <c r="M18" i="54" s="1"/>
  <c r="M105" i="31"/>
  <c r="J65" i="31"/>
  <c r="O85" i="31"/>
  <c r="O84" i="31"/>
  <c r="G64" i="31"/>
  <c r="H63" i="31" s="1"/>
  <c r="M106" i="31"/>
  <c r="M9" i="31"/>
  <c r="X62" i="31" l="1"/>
  <c r="V65" i="31"/>
  <c r="X84" i="31"/>
  <c r="S86" i="31"/>
  <c r="S5" i="31" s="1"/>
  <c r="R84" i="31"/>
  <c r="X63" i="31"/>
  <c r="T63" i="31"/>
  <c r="T86" i="31"/>
  <c r="T76" i="31"/>
  <c r="T80" i="31"/>
  <c r="T79" i="31"/>
  <c r="T77" i="31"/>
  <c r="T82" i="31"/>
  <c r="T81" i="31"/>
  <c r="T73" i="31"/>
  <c r="W107" i="31"/>
  <c r="X104" i="31" s="1"/>
  <c r="S106" i="31"/>
  <c r="X86" i="31"/>
  <c r="X72" i="31"/>
  <c r="X81" i="31"/>
  <c r="X82" i="31"/>
  <c r="X78" i="31"/>
  <c r="X77" i="31"/>
  <c r="X75" i="31"/>
  <c r="X79" i="31"/>
  <c r="X80" i="31"/>
  <c r="X76" i="31"/>
  <c r="X73" i="31"/>
  <c r="X71" i="31"/>
  <c r="X83" i="31"/>
  <c r="X74" i="31"/>
  <c r="X85" i="31"/>
  <c r="W10" i="31" s="1"/>
  <c r="S105" i="31"/>
  <c r="S107" i="31" s="1"/>
  <c r="U106" i="31"/>
  <c r="X64" i="31"/>
  <c r="X58" i="31"/>
  <c r="X53" i="31"/>
  <c r="X59" i="31"/>
  <c r="X51" i="31"/>
  <c r="X54" i="31"/>
  <c r="X57" i="31"/>
  <c r="X55" i="31"/>
  <c r="X50" i="31"/>
  <c r="X60" i="31"/>
  <c r="X56" i="31"/>
  <c r="X52" i="31"/>
  <c r="X49" i="31"/>
  <c r="X61" i="31"/>
  <c r="T64" i="31"/>
  <c r="T59" i="31"/>
  <c r="T58" i="31"/>
  <c r="T57" i="31"/>
  <c r="T51" i="31"/>
  <c r="T60" i="31"/>
  <c r="T54" i="31"/>
  <c r="T56" i="31"/>
  <c r="T50" i="31"/>
  <c r="T53" i="31"/>
  <c r="T55" i="31"/>
  <c r="T52" i="31"/>
  <c r="T49" i="31"/>
  <c r="T61" i="31"/>
  <c r="U105" i="31"/>
  <c r="T62" i="31"/>
  <c r="U86" i="31"/>
  <c r="U5" i="31" s="1"/>
  <c r="Q107" i="31"/>
  <c r="Q5" i="31"/>
  <c r="R86" i="31"/>
  <c r="R77" i="31"/>
  <c r="R80" i="31"/>
  <c r="R72" i="31"/>
  <c r="R78" i="31"/>
  <c r="R76" i="31"/>
  <c r="R73" i="31"/>
  <c r="R79" i="31"/>
  <c r="R82" i="31"/>
  <c r="R81" i="31"/>
  <c r="R75" i="31"/>
  <c r="R74" i="31"/>
  <c r="R71" i="31"/>
  <c r="R83" i="31"/>
  <c r="R61" i="31"/>
  <c r="Q4" i="31"/>
  <c r="R53" i="31"/>
  <c r="R63" i="31"/>
  <c r="R59" i="31"/>
  <c r="R60" i="31"/>
  <c r="R62" i="31"/>
  <c r="R56" i="31"/>
  <c r="R57" i="31"/>
  <c r="R52" i="31"/>
  <c r="R54" i="31"/>
  <c r="R49" i="31"/>
  <c r="R58" i="31"/>
  <c r="R55" i="31"/>
  <c r="R50" i="31"/>
  <c r="R51" i="31"/>
  <c r="R64" i="31"/>
  <c r="N78" i="31"/>
  <c r="N74" i="31"/>
  <c r="N80" i="31"/>
  <c r="N81" i="31"/>
  <c r="N75" i="31"/>
  <c r="N73" i="31"/>
  <c r="N84" i="31"/>
  <c r="N79" i="31"/>
  <c r="N76" i="31"/>
  <c r="M5" i="31"/>
  <c r="N53" i="31"/>
  <c r="N86" i="31"/>
  <c r="N72" i="31"/>
  <c r="N64" i="31"/>
  <c r="F55" i="31"/>
  <c r="N60" i="31"/>
  <c r="F49" i="31"/>
  <c r="N62" i="31"/>
  <c r="M4" i="31"/>
  <c r="N55" i="31"/>
  <c r="F54" i="31"/>
  <c r="N54" i="31"/>
  <c r="F57" i="31"/>
  <c r="N49" i="31"/>
  <c r="N50" i="31"/>
  <c r="N52" i="31"/>
  <c r="F62" i="31"/>
  <c r="N56" i="31"/>
  <c r="N59" i="31"/>
  <c r="F50" i="31"/>
  <c r="N61" i="31"/>
  <c r="F61" i="31"/>
  <c r="N58" i="31"/>
  <c r="N63" i="31"/>
  <c r="F52" i="31"/>
  <c r="N57" i="31"/>
  <c r="F60" i="31"/>
  <c r="F56" i="31"/>
  <c r="K86" i="31"/>
  <c r="L83" i="31" s="1"/>
  <c r="F51" i="31"/>
  <c r="F53" i="31"/>
  <c r="N82" i="31"/>
  <c r="J87" i="31"/>
  <c r="F58" i="31"/>
  <c r="N85" i="31"/>
  <c r="M10" i="31" s="1"/>
  <c r="R18" i="54" s="1"/>
  <c r="F63" i="31"/>
  <c r="F64" i="31"/>
  <c r="N71" i="31"/>
  <c r="N83" i="31"/>
  <c r="F59" i="31"/>
  <c r="O86" i="31"/>
  <c r="P83" i="31" s="1"/>
  <c r="O9" i="31"/>
  <c r="O106" i="31"/>
  <c r="I107" i="31"/>
  <c r="J104" i="31" s="1"/>
  <c r="E9" i="31"/>
  <c r="E106" i="31"/>
  <c r="E105" i="31"/>
  <c r="E86" i="31"/>
  <c r="K105" i="31"/>
  <c r="L17" i="54"/>
  <c r="L16" i="54" s="1"/>
  <c r="P65" i="31"/>
  <c r="G5" i="31"/>
  <c r="H86" i="31"/>
  <c r="H79" i="31"/>
  <c r="H72" i="31"/>
  <c r="H73" i="31"/>
  <c r="H75" i="31"/>
  <c r="H80" i="31"/>
  <c r="H82" i="31"/>
  <c r="H76" i="31"/>
  <c r="H81" i="31"/>
  <c r="H77" i="31"/>
  <c r="H71" i="31"/>
  <c r="H74" i="31"/>
  <c r="H78" i="31"/>
  <c r="H83" i="31"/>
  <c r="G4" i="31"/>
  <c r="H64" i="31"/>
  <c r="H53" i="31"/>
  <c r="H58" i="31"/>
  <c r="H57" i="31"/>
  <c r="H51" i="31"/>
  <c r="H60" i="31"/>
  <c r="H50" i="31"/>
  <c r="H59" i="31"/>
  <c r="H54" i="31"/>
  <c r="H55" i="31"/>
  <c r="H56" i="31"/>
  <c r="H49" i="31"/>
  <c r="H52" i="31"/>
  <c r="H61" i="31"/>
  <c r="K106" i="31"/>
  <c r="H62" i="31"/>
  <c r="H84" i="31"/>
  <c r="G107" i="31"/>
  <c r="H104" i="31" s="1"/>
  <c r="M107" i="31"/>
  <c r="N105" i="31" s="1"/>
  <c r="O105" i="31"/>
  <c r="T83" i="31" l="1"/>
  <c r="T84" i="31"/>
  <c r="T74" i="31"/>
  <c r="T72" i="31"/>
  <c r="T75" i="31"/>
  <c r="T85" i="31"/>
  <c r="S10" i="31" s="1"/>
  <c r="T71" i="31"/>
  <c r="T78" i="31"/>
  <c r="X87" i="31"/>
  <c r="T87" i="31"/>
  <c r="V83" i="31"/>
  <c r="V86" i="31"/>
  <c r="V78" i="31"/>
  <c r="V80" i="31"/>
  <c r="V77" i="31"/>
  <c r="V79" i="31"/>
  <c r="V81" i="31"/>
  <c r="V76" i="31"/>
  <c r="V82" i="31"/>
  <c r="V72" i="31"/>
  <c r="V73" i="31"/>
  <c r="V75" i="31"/>
  <c r="V71" i="31"/>
  <c r="V74" i="31"/>
  <c r="S109" i="31"/>
  <c r="T107" i="31"/>
  <c r="T100" i="31"/>
  <c r="T96" i="31"/>
  <c r="T97" i="31"/>
  <c r="T103" i="31"/>
  <c r="T94" i="31"/>
  <c r="T93" i="31"/>
  <c r="T99" i="31"/>
  <c r="T102" i="31"/>
  <c r="T98" i="31"/>
  <c r="T101" i="31"/>
  <c r="T95" i="31"/>
  <c r="T92" i="31"/>
  <c r="W109" i="31"/>
  <c r="X107" i="31"/>
  <c r="X102" i="31"/>
  <c r="X99" i="31"/>
  <c r="X97" i="31"/>
  <c r="X96" i="31"/>
  <c r="X94" i="31"/>
  <c r="X101" i="31"/>
  <c r="X93" i="31"/>
  <c r="X100" i="31"/>
  <c r="X103" i="31"/>
  <c r="X98" i="31"/>
  <c r="X95" i="31"/>
  <c r="X92" i="31"/>
  <c r="T104" i="31"/>
  <c r="V85" i="31"/>
  <c r="U10" i="31" s="1"/>
  <c r="T65" i="31"/>
  <c r="U107" i="31"/>
  <c r="X65" i="31"/>
  <c r="X105" i="31"/>
  <c r="T105" i="31"/>
  <c r="V84" i="31"/>
  <c r="T106" i="31"/>
  <c r="X106" i="31"/>
  <c r="Q109" i="31"/>
  <c r="R107" i="31"/>
  <c r="R102" i="31"/>
  <c r="R98" i="31"/>
  <c r="R96" i="31"/>
  <c r="R103" i="31"/>
  <c r="R100" i="31"/>
  <c r="R97" i="31"/>
  <c r="R93" i="31"/>
  <c r="R94" i="31"/>
  <c r="R101" i="31"/>
  <c r="R99" i="31"/>
  <c r="R92" i="31"/>
  <c r="R95" i="31"/>
  <c r="R104" i="31"/>
  <c r="R105" i="31"/>
  <c r="R87" i="31"/>
  <c r="R106" i="31"/>
  <c r="R65" i="31"/>
  <c r="F65" i="31"/>
  <c r="N87" i="31"/>
  <c r="N65" i="31"/>
  <c r="L71" i="31"/>
  <c r="L79" i="31"/>
  <c r="L72" i="31"/>
  <c r="L82" i="31"/>
  <c r="L84" i="31"/>
  <c r="K5" i="31"/>
  <c r="P85" i="31"/>
  <c r="O10" i="31" s="1"/>
  <c r="S18" i="54" s="1"/>
  <c r="L86" i="31"/>
  <c r="L74" i="31"/>
  <c r="L77" i="31"/>
  <c r="L73" i="31"/>
  <c r="L78" i="31"/>
  <c r="L80" i="31"/>
  <c r="L85" i="31"/>
  <c r="K10" i="31" s="1"/>
  <c r="P18" i="54" s="1"/>
  <c r="L76" i="31"/>
  <c r="L75" i="31"/>
  <c r="L81" i="31"/>
  <c r="P80" i="31"/>
  <c r="P86" i="31"/>
  <c r="O5" i="31"/>
  <c r="P84" i="31"/>
  <c r="P74" i="31"/>
  <c r="P81" i="31"/>
  <c r="P73" i="31"/>
  <c r="P78" i="31"/>
  <c r="P72" i="31"/>
  <c r="P77" i="31"/>
  <c r="P82" i="31"/>
  <c r="P71" i="31"/>
  <c r="P79" i="31"/>
  <c r="P76" i="31"/>
  <c r="P75" i="31"/>
  <c r="K107" i="31"/>
  <c r="K109" i="31" s="1"/>
  <c r="E5" i="31"/>
  <c r="F86" i="31"/>
  <c r="F79" i="31"/>
  <c r="F75" i="31"/>
  <c r="F72" i="31"/>
  <c r="F81" i="31"/>
  <c r="F73" i="31"/>
  <c r="F80" i="31"/>
  <c r="F78" i="31"/>
  <c r="F71" i="31"/>
  <c r="F82" i="31"/>
  <c r="F76" i="31"/>
  <c r="F77" i="31"/>
  <c r="F74" i="31"/>
  <c r="F83" i="31"/>
  <c r="N106" i="31"/>
  <c r="E107" i="31"/>
  <c r="F105" i="31" s="1"/>
  <c r="G109" i="31"/>
  <c r="H107" i="31"/>
  <c r="H103" i="31"/>
  <c r="H96" i="31"/>
  <c r="H100" i="31"/>
  <c r="H94" i="31"/>
  <c r="H101" i="31"/>
  <c r="H93" i="31"/>
  <c r="H97" i="31"/>
  <c r="H99" i="31"/>
  <c r="H98" i="31"/>
  <c r="H92" i="31"/>
  <c r="H102" i="31"/>
  <c r="H95" i="31"/>
  <c r="F84" i="31"/>
  <c r="M109" i="31"/>
  <c r="N107" i="31"/>
  <c r="N103" i="31"/>
  <c r="N102" i="31"/>
  <c r="N94" i="31"/>
  <c r="N99" i="31"/>
  <c r="N93" i="31"/>
  <c r="N101" i="31"/>
  <c r="N96" i="31"/>
  <c r="N97" i="31"/>
  <c r="N100" i="31"/>
  <c r="N98" i="31"/>
  <c r="N92" i="31"/>
  <c r="N95" i="31"/>
  <c r="F85" i="31"/>
  <c r="E10" i="31" s="1"/>
  <c r="O107" i="31"/>
  <c r="P106" i="31" s="1"/>
  <c r="J107" i="31"/>
  <c r="I109" i="31"/>
  <c r="J100" i="31"/>
  <c r="J93" i="31"/>
  <c r="J102" i="31"/>
  <c r="J99" i="31"/>
  <c r="J94" i="31"/>
  <c r="J101" i="31"/>
  <c r="J103" i="31"/>
  <c r="J97" i="31"/>
  <c r="J96" i="31"/>
  <c r="J92" i="31"/>
  <c r="J98" i="31"/>
  <c r="J105" i="31"/>
  <c r="J106" i="31"/>
  <c r="J95" i="31"/>
  <c r="N104" i="31"/>
  <c r="H106" i="31"/>
  <c r="H105" i="31"/>
  <c r="H65" i="31"/>
  <c r="H87" i="31"/>
  <c r="V87" i="31" l="1"/>
  <c r="U109" i="31"/>
  <c r="V107" i="31"/>
  <c r="V102" i="31"/>
  <c r="V96" i="31"/>
  <c r="V101" i="31"/>
  <c r="V100" i="31"/>
  <c r="V98" i="31"/>
  <c r="V103" i="31"/>
  <c r="V97" i="31"/>
  <c r="V93" i="31"/>
  <c r="V94" i="31"/>
  <c r="V99" i="31"/>
  <c r="V95" i="31"/>
  <c r="V104" i="31"/>
  <c r="V92" i="31"/>
  <c r="V108" i="31" s="1"/>
  <c r="V105" i="31"/>
  <c r="T108" i="31"/>
  <c r="R108" i="31"/>
  <c r="X108" i="31"/>
  <c r="V106" i="31"/>
  <c r="L87" i="31"/>
  <c r="P87" i="31"/>
  <c r="H108" i="31"/>
  <c r="M23" i="54" s="1"/>
  <c r="F87" i="31"/>
  <c r="F106" i="31"/>
  <c r="L104" i="31"/>
  <c r="J108" i="31"/>
  <c r="O23" i="54" s="1"/>
  <c r="L98" i="31"/>
  <c r="L95" i="31"/>
  <c r="L92" i="31"/>
  <c r="L100" i="31"/>
  <c r="L99" i="31"/>
  <c r="L105" i="31"/>
  <c r="L101" i="31"/>
  <c r="L94" i="31"/>
  <c r="L102" i="31"/>
  <c r="L97" i="31"/>
  <c r="L93" i="31"/>
  <c r="L96" i="31"/>
  <c r="L103" i="31"/>
  <c r="L106" i="31"/>
  <c r="L107" i="31"/>
  <c r="L18" i="54"/>
  <c r="P107" i="31"/>
  <c r="O109" i="31"/>
  <c r="P103" i="31"/>
  <c r="P98" i="31"/>
  <c r="P93" i="31"/>
  <c r="P100" i="31"/>
  <c r="P99" i="31"/>
  <c r="P97" i="31"/>
  <c r="P96" i="31"/>
  <c r="P101" i="31"/>
  <c r="P102" i="31"/>
  <c r="P95" i="31"/>
  <c r="P92" i="31"/>
  <c r="P94" i="31"/>
  <c r="P104" i="31"/>
  <c r="N108" i="31"/>
  <c r="R23" i="54" s="1"/>
  <c r="P105" i="31"/>
  <c r="F107" i="31"/>
  <c r="E109" i="31"/>
  <c r="F94" i="31"/>
  <c r="F101" i="31"/>
  <c r="F102" i="31"/>
  <c r="F100" i="31"/>
  <c r="F93" i="31"/>
  <c r="F96" i="31"/>
  <c r="F95" i="31"/>
  <c r="F103" i="31"/>
  <c r="F97" i="31"/>
  <c r="F98" i="31"/>
  <c r="F92" i="31"/>
  <c r="F99" i="31"/>
  <c r="F104" i="31"/>
  <c r="F108" i="31" l="1"/>
  <c r="L23" i="54" s="1"/>
  <c r="P108" i="31"/>
  <c r="S23" i="54" s="1"/>
  <c r="L108" i="31"/>
  <c r="P23" i="5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D27" authorId="0" shapeId="0" xr:uid="{24C70759-D08F-49B8-A342-0A7588DFD28E}">
      <text>
        <r>
          <rPr>
            <b/>
            <sz val="9"/>
            <color indexed="81"/>
            <rFont val="Tahoma"/>
            <family val="2"/>
          </rPr>
          <t>Danh, Hoàng Duy:</t>
        </r>
        <r>
          <rPr>
            <sz val="9"/>
            <color indexed="81"/>
            <rFont val="Tahoma"/>
            <family val="2"/>
          </rPr>
          <t xml:space="preserve">
(8s +/- 1s)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H7" authorId="0" shapeId="0" xr:uid="{82F9DF99-6A4B-438B-8CE8-F0AA467F5CF0}">
      <text>
        <r>
          <rPr>
            <b/>
            <sz val="9"/>
            <color indexed="81"/>
            <rFont val="Tahoma"/>
            <family val="2"/>
          </rPr>
          <t>Danh, Hoàng Duy:</t>
        </r>
        <r>
          <rPr>
            <sz val="9"/>
            <color indexed="81"/>
            <rFont val="Tahoma"/>
            <family val="2"/>
          </rPr>
          <t xml:space="preserve">
tăng đơn giá 4% do tỷ giá tăng từ 25.000 -&gt; 26.000.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K54" authorId="0" shapeId="0" xr:uid="{5487C33B-30F2-4D28-A42A-8F5545AE9511}">
      <text>
        <r>
          <rPr>
            <b/>
            <sz val="9"/>
            <color indexed="81"/>
            <rFont val="Tahoma"/>
            <family val="2"/>
          </rPr>
          <t>Danh, Hoàng Duy:</t>
        </r>
        <r>
          <rPr>
            <sz val="9"/>
            <color indexed="81"/>
            <rFont val="Tahoma"/>
            <family val="2"/>
          </rPr>
          <t xml:space="preserve">
ban đầu là dự kiến sử dụng trong 12 tháng</t>
        </r>
      </text>
    </comment>
    <comment ref="E60" authorId="0" shapeId="0" xr:uid="{3DA157F1-F14A-4429-B48B-3ADB8637C12F}">
      <text>
        <r>
          <rPr>
            <b/>
            <sz val="9"/>
            <color indexed="81"/>
            <rFont val="Tahoma"/>
            <family val="2"/>
          </rPr>
          <t>Danh, Hoàng Duy:</t>
        </r>
        <r>
          <rPr>
            <sz val="9"/>
            <color indexed="81"/>
            <rFont val="Tahoma"/>
            <family val="2"/>
          </rPr>
          <t xml:space="preserve">
Mã SKU: 700000169</t>
        </r>
      </text>
    </comment>
    <comment ref="E64" authorId="0" shapeId="0" xr:uid="{469ED99C-F903-4867-ABF6-DEA1426B8069}">
      <text>
        <r>
          <rPr>
            <b/>
            <sz val="9"/>
            <color indexed="81"/>
            <rFont val="Tahoma"/>
            <family val="2"/>
          </rPr>
          <t>Danh, Hoàng Duy:</t>
        </r>
        <r>
          <rPr>
            <sz val="9"/>
            <color indexed="81"/>
            <rFont val="Tahoma"/>
            <family val="2"/>
          </rPr>
          <t xml:space="preserve">
Mã SKU: 700000169</t>
        </r>
      </text>
    </comment>
    <comment ref="M64" authorId="0" shapeId="0" xr:uid="{F9577030-AB92-4D7D-8AE5-7FD44E298543}">
      <text>
        <r>
          <rPr>
            <b/>
            <sz val="9"/>
            <color indexed="81"/>
            <rFont val="Tahoma"/>
            <family val="2"/>
          </rPr>
          <t>Danh, Hoàng Duy:</t>
        </r>
        <r>
          <rPr>
            <sz val="9"/>
            <color indexed="81"/>
            <rFont val="Tahoma"/>
            <family val="2"/>
          </rPr>
          <t xml:space="preserve">
đơn giá tồn kho tháng 1/2025</t>
        </r>
      </text>
    </comment>
    <comment ref="W69" authorId="0" shapeId="0" xr:uid="{804E7CA0-5074-4C4F-B1E6-EA704B719D1B}">
      <text>
        <r>
          <rPr>
            <b/>
            <sz val="9"/>
            <color indexed="81"/>
            <rFont val="Tahoma"/>
            <family val="2"/>
          </rPr>
          <t>Danh, Hoàng Duy:</t>
        </r>
        <r>
          <rPr>
            <sz val="9"/>
            <color indexed="81"/>
            <rFont val="Tahoma"/>
            <family val="2"/>
          </rPr>
          <t xml:space="preserve">
Chi phí bình quân 7 tháng đầu năm 2024</t>
        </r>
      </text>
    </comment>
    <comment ref="W71" authorId="0" shapeId="0" xr:uid="{10269D1B-43A5-45FA-B4B3-7EC6B550A80A}">
      <text>
        <r>
          <rPr>
            <b/>
            <sz val="9"/>
            <color indexed="81"/>
            <rFont val="Tahoma"/>
            <family val="2"/>
          </rPr>
          <t>Danh, Hoàng Duy:</t>
        </r>
        <r>
          <rPr>
            <sz val="9"/>
            <color indexed="81"/>
            <rFont val="Tahoma"/>
            <family val="2"/>
          </rPr>
          <t xml:space="preserve">
Chi phí bình quân 7 tháng đầu năm 2024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Y1" authorId="0" shapeId="0" xr:uid="{E4B4DF6C-0AB0-4692-B243-B2152C1D1094}">
      <text>
        <r>
          <rPr>
            <b/>
            <sz val="9"/>
            <color indexed="81"/>
            <rFont val="Tahoma"/>
            <family val="2"/>
          </rPr>
          <t>Danh, Hoàng Duy:</t>
        </r>
        <r>
          <rPr>
            <sz val="9"/>
            <color indexed="81"/>
            <rFont val="Tahoma"/>
            <family val="2"/>
          </rPr>
          <t xml:space="preserve">
chi phí lấy theo năm thứ 3 (còn giá bán thì đang năm bán đầu tiên - năm 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D1" authorId="0" shapeId="0" xr:uid="{BFF10BB2-6A4A-46AD-8685-CBE0C81A142A}">
      <text>
        <r>
          <rPr>
            <b/>
            <sz val="9"/>
            <color indexed="81"/>
            <rFont val="Tahoma"/>
            <family val="2"/>
          </rPr>
          <t>Danh, Hoàng Duy:</t>
        </r>
        <r>
          <rPr>
            <sz val="9"/>
            <color indexed="81"/>
            <rFont val="Tahoma"/>
            <family val="2"/>
          </rPr>
          <t xml:space="preserve">
nên để VND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<sst xmlns="http://schemas.openxmlformats.org/spreadsheetml/2006/main" count="6836" uniqueCount="895">
  <si>
    <t>Công ty CP Nhựa tái chế Duy Tân</t>
  </si>
  <si>
    <t>Đơn vị: Kế toán quản trị</t>
  </si>
  <si>
    <t>STT</t>
  </si>
  <si>
    <t>GHI CHÚ CHO DỰ ÁN Dự Án FtoP (Flake to Preform) Suntory PepsiCo</t>
  </si>
  <si>
    <t>Nội dung</t>
  </si>
  <si>
    <t>Phôi 15 gr - 9 giây
Nhà máy Long An: từ 2026
144 cav
giá 3 cụm ~ 10 tr USD đã bao gồm khuôn (~ 2 triệu USD)  (không gồm: camera online check ~ 800.000 USD /camera, lock unloading preform ~ 500.000 USD, Thiết bị điện, khí nén khí, sấy, chiller  … ~ 10 % ~ 2 triệu USD. Chi phí lắp đặt, kỹ sư lắp đặt,... )
KHuôn Hotrunner</t>
  </si>
  <si>
    <t>khuôn bao nhiêu shoot</t>
  </si>
  <si>
    <t>NGR or Husky</t>
  </si>
  <si>
    <t>Hotrunner</t>
  </si>
  <si>
    <t>Xưởng: 27m x 22 m
thiết bị khác: 27m x 21 m</t>
  </si>
  <si>
    <t>360 tr phôi/ năm =&gt; 30 tr phôi/ tháng</t>
  </si>
  <si>
    <t>đóng gói ntn?</t>
  </si>
  <si>
    <t>1,2m x 1m x 1,1m</t>
  </si>
  <si>
    <t>mold life? -&gt; 10 năm</t>
  </si>
  <si>
    <t xml:space="preserve">47 ngày nghỉ, hiệu suất máy 80 % </t>
  </si>
  <si>
    <t>Không được bán phôi cho khách khác</t>
  </si>
  <si>
    <t>2025: pilot</t>
  </si>
  <si>
    <t>Chi phí bảo trì/lần? Bao nhiêu? Máy và khuôn</t>
  </si>
  <si>
    <t>% Lợi nhuận DTR tự đầu tư</t>
  </si>
  <si>
    <t>Hao hụt 5% (2,5% vảy, 2,5% phôi) từ vảy ra phôi</t>
  </si>
  <si>
    <t>Hệ LSP chứ ko phải hệ SSP</t>
  </si>
  <si>
    <t>Phòng sạch đặt máy cho food grad</t>
  </si>
  <si>
    <t>Thiết bị phòng lab ~ 1 tr USD -&gt; 500K USD</t>
  </si>
  <si>
    <t>máy -&gt; 15 năm</t>
  </si>
  <si>
    <t>bảo trì máy ~ 3,5% CP đầu tư máy</t>
  </si>
  <si>
    <t>TH SPVN ngưng hợp dống sẽ mua lại các máy móc thiết bị trưuosc</t>
  </si>
  <si>
    <t>3 hệ, máy nén, chiler -&gt; list lại</t>
  </si>
  <si>
    <t>NGR : LSP 1200</t>
  </si>
  <si>
    <t>Giá trị đầu tư</t>
  </si>
  <si>
    <t>HẠNG MỤC</t>
  </si>
  <si>
    <t>Máy móc thiết bị chính</t>
  </si>
  <si>
    <t>MÁY MÓC THIẾT BỊ</t>
  </si>
  <si>
    <t>Máy móc thiết bị phụ</t>
  </si>
  <si>
    <t>Camera online check</t>
  </si>
  <si>
    <t>Lock unloading preform</t>
  </si>
  <si>
    <t>Chi phí lắp đặt</t>
  </si>
  <si>
    <t>Thời gian khấu hao</t>
  </si>
  <si>
    <t>Ghi chú</t>
  </si>
  <si>
    <t>Số lượng</t>
  </si>
  <si>
    <t>Đơn giá</t>
  </si>
  <si>
    <r>
      <t>(cái,m</t>
    </r>
    <r>
      <rPr>
        <i/>
        <vertAlign val="superscript"/>
        <sz val="11"/>
        <color theme="1"/>
        <rFont val="Aptos Display"/>
        <family val="2"/>
        <scheme val="major"/>
      </rPr>
      <t>2</t>
    </r>
    <r>
      <rPr>
        <i/>
        <sz val="11"/>
        <color theme="1"/>
        <rFont val="Aptos Display"/>
        <family val="2"/>
        <scheme val="major"/>
      </rPr>
      <t>)</t>
    </r>
  </si>
  <si>
    <t>1.</t>
  </si>
  <si>
    <t>2.</t>
  </si>
  <si>
    <t>TỔNG CHI PHÍ ĐẦU TƯ</t>
  </si>
  <si>
    <t>DỰ ÁN FLAKES TO PREFORM SUNTORY - PEPSICO</t>
  </si>
  <si>
    <t>CHI PHÍ VẬN HÀNH</t>
  </si>
  <si>
    <t>Thuế suất TNDN:</t>
  </si>
  <si>
    <t>3.</t>
  </si>
  <si>
    <t>Lãi suất đi vay:</t>
  </si>
  <si>
    <t>Cơ cấu vay mong muốn:</t>
  </si>
  <si>
    <t>Cơ cấu VCSH:</t>
  </si>
  <si>
    <t>WACC:</t>
  </si>
  <si>
    <t>NHÂN SỰ</t>
  </si>
  <si>
    <t>NHÂN SỰ CẦN VẬN HÀNH MÁY</t>
  </si>
  <si>
    <t>NHÂN SỰ GIÁN TIẾP</t>
  </si>
  <si>
    <t>CHI PHÍ BẢO TRÌ</t>
  </si>
  <si>
    <t>1.1</t>
  </si>
  <si>
    <t>1.2</t>
  </si>
  <si>
    <t>Chi phí</t>
  </si>
  <si>
    <t>Số ngày hoạt động</t>
  </si>
  <si>
    <t>QC</t>
  </si>
  <si>
    <t>Kỹ thuật</t>
  </si>
  <si>
    <t>Đvt</t>
  </si>
  <si>
    <t>m2</t>
  </si>
  <si>
    <t>Người</t>
  </si>
  <si>
    <t>CÔNG CỤ DỤNG CỤ PHÒNG LAB</t>
  </si>
  <si>
    <t>TỔNG ĐẦU TƯ BAN ĐẦU</t>
  </si>
  <si>
    <t>Xưởng sản xuất</t>
  </si>
  <si>
    <t>Phòng QC</t>
  </si>
  <si>
    <t>TỶ LỆ HAO HỤT</t>
  </si>
  <si>
    <t>Tỷ lệ hao hụt</t>
  </si>
  <si>
    <t>%</t>
  </si>
  <si>
    <t>CHI PHÍ ĐIỆN</t>
  </si>
  <si>
    <t>Chi phí điện</t>
  </si>
  <si>
    <t>5.</t>
  </si>
  <si>
    <t>CHI PHÍ ĐÓNG BAO BÌ</t>
  </si>
  <si>
    <t>Chi phí bao bì</t>
  </si>
  <si>
    <t>có cần xe điện nâng không?</t>
  </si>
  <si>
    <t>Giá bán</t>
  </si>
  <si>
    <t>Chi phí sản xuất</t>
  </si>
  <si>
    <t>Group</t>
  </si>
  <si>
    <t>UOM</t>
  </si>
  <si>
    <t>No.of Staff/Equipment</t>
  </si>
  <si>
    <t>Unit Cost</t>
  </si>
  <si>
    <t>Monthly</t>
  </si>
  <si>
    <t>Yearly</t>
  </si>
  <si>
    <t>Remark</t>
  </si>
  <si>
    <t>MANPOWER</t>
  </si>
  <si>
    <t>NGR/Injection Machine Staff</t>
  </si>
  <si>
    <t>Headcount</t>
  </si>
  <si>
    <t>Inspection Machine</t>
  </si>
  <si>
    <t>Packing</t>
  </si>
  <si>
    <t>Material pumping</t>
  </si>
  <si>
    <t>Factory manager</t>
  </si>
  <si>
    <t>Line leader</t>
  </si>
  <si>
    <t>Maintenance</t>
  </si>
  <si>
    <t>Electrical</t>
  </si>
  <si>
    <t>Warehouse</t>
  </si>
  <si>
    <t>Direct Labor Monthly Salary</t>
  </si>
  <si>
    <t>VND/staff/month</t>
  </si>
  <si>
    <t>Number Direct Labors/Shift</t>
  </si>
  <si>
    <t>staff/shift</t>
  </si>
  <si>
    <t>Direct Labor Shifts per day</t>
  </si>
  <si>
    <t>shift/day</t>
  </si>
  <si>
    <t>Indirect Labor Monthly Salary</t>
  </si>
  <si>
    <t>Number of Indirect Labors</t>
  </si>
  <si>
    <t>staff</t>
  </si>
  <si>
    <t>Work Hour per Day</t>
  </si>
  <si>
    <t>hours/day</t>
  </si>
  <si>
    <t>Work Day per month</t>
  </si>
  <si>
    <t>day/month</t>
  </si>
  <si>
    <t>............</t>
  </si>
  <si>
    <t>UTILITY</t>
  </si>
  <si>
    <t>Production Efficiency</t>
  </si>
  <si>
    <t>Injection cavities number</t>
  </si>
  <si>
    <t>cavity</t>
  </si>
  <si>
    <t>Cycle time</t>
  </si>
  <si>
    <t>second</t>
  </si>
  <si>
    <t>Machine Utilization</t>
  </si>
  <si>
    <t>Output per hour</t>
  </si>
  <si>
    <t>pcs</t>
  </si>
  <si>
    <t>Output per month</t>
  </si>
  <si>
    <t>Output per year</t>
  </si>
  <si>
    <t>Maintaince Cost Rate</t>
  </si>
  <si>
    <t>Electricity Capacity</t>
  </si>
  <si>
    <t>KW</t>
  </si>
  <si>
    <t>Electricity Fee</t>
  </si>
  <si>
    <t>VND/KWH</t>
  </si>
  <si>
    <t>INVESTMENT</t>
  </si>
  <si>
    <t>VND</t>
  </si>
  <si>
    <t>NGR system</t>
  </si>
  <si>
    <t>Year</t>
  </si>
  <si>
    <t>Land</t>
  </si>
  <si>
    <t>Factory</t>
  </si>
  <si>
    <t>TRANSPORTATION</t>
  </si>
  <si>
    <t>Delivery cost</t>
  </si>
  <si>
    <t>Metal cage cost 
(Depreciation + plastic bag)</t>
  </si>
  <si>
    <t>VND/cage</t>
  </si>
  <si>
    <t>Packing Quantity of 15g preform</t>
  </si>
  <si>
    <t>pcs/cage</t>
  </si>
  <si>
    <t>OTHERS</t>
  </si>
  <si>
    <t>Additive cost (Premium)</t>
  </si>
  <si>
    <t>Additive dosage</t>
  </si>
  <si>
    <t>Defective rate</t>
  </si>
  <si>
    <t>Financial cost</t>
  </si>
  <si>
    <t>Detailed adjustment scheme for variable cost elements</t>
  </si>
  <si>
    <t>CONVERSION COST</t>
  </si>
  <si>
    <t>Depreciation injection machine</t>
  </si>
  <si>
    <t>VND/pc</t>
  </si>
  <si>
    <t>Maintance cost</t>
  </si>
  <si>
    <t>Electricity cost</t>
  </si>
  <si>
    <t>Direct labor cost</t>
  </si>
  <si>
    <t>Indirect labor cost</t>
  </si>
  <si>
    <t>Packaging cost</t>
  </si>
  <si>
    <t xml:space="preserve">Transportation cost </t>
  </si>
  <si>
    <t xml:space="preserve">Factory </t>
  </si>
  <si>
    <t xml:space="preserve">Administration Cost </t>
  </si>
  <si>
    <t>...............</t>
  </si>
  <si>
    <t>Percentage of margin</t>
  </si>
  <si>
    <t>Margin of conversion cost</t>
  </si>
  <si>
    <t>Total Conversion Cost</t>
  </si>
  <si>
    <t>PREFORM COST</t>
  </si>
  <si>
    <t>Material Cost per MT</t>
  </si>
  <si>
    <t>USD/ton</t>
  </si>
  <si>
    <t>Material Cost per preform</t>
  </si>
  <si>
    <t>Additive cost</t>
  </si>
  <si>
    <t>Chi phí vận chuyển</t>
  </si>
  <si>
    <t>Vảy sạch</t>
  </si>
  <si>
    <t>No.</t>
  </si>
  <si>
    <t>Chi phí
 Cost Items</t>
  </si>
  <si>
    <t>A</t>
  </si>
  <si>
    <t>LAB</t>
  </si>
  <si>
    <t>OTH</t>
  </si>
  <si>
    <t>DEP</t>
  </si>
  <si>
    <t>ELEC</t>
  </si>
  <si>
    <t>Chi phí bằng tiền khác</t>
  </si>
  <si>
    <t>B</t>
  </si>
  <si>
    <t>CHE</t>
  </si>
  <si>
    <t>H2O</t>
  </si>
  <si>
    <t>C</t>
  </si>
  <si>
    <t>Chi phí tạo phôi</t>
  </si>
  <si>
    <t>Chi phí quản lý</t>
  </si>
  <si>
    <t>QLC</t>
  </si>
  <si>
    <t>LN</t>
  </si>
  <si>
    <t>Lợi nhuận</t>
  </si>
  <si>
    <t>TAX</t>
  </si>
  <si>
    <t>Kwh/giờ</t>
  </si>
  <si>
    <t>Cavity</t>
  </si>
  <si>
    <t>Chu kỳ</t>
  </si>
  <si>
    <t>giây</t>
  </si>
  <si>
    <t>Khấu hao</t>
  </si>
  <si>
    <t>6.</t>
  </si>
  <si>
    <t>Chi phí đóng bao bì</t>
  </si>
  <si>
    <t>dedicated</t>
  </si>
  <si>
    <t>1 người/ca</t>
  </si>
  <si>
    <t>Số lượng phôi/chu kỳ:</t>
  </si>
  <si>
    <t>7.</t>
  </si>
  <si>
    <t>CHI PHÍ VẬN HÀNH XE ĐIỆN</t>
  </si>
  <si>
    <t>Chi phí thuê</t>
  </si>
  <si>
    <t>Chi phí điện vận hành</t>
  </si>
  <si>
    <t>kg/giờ</t>
  </si>
  <si>
    <t>Công suất</t>
  </si>
  <si>
    <t>Sản lượng sản xuất</t>
  </si>
  <si>
    <t>Hao hụt</t>
  </si>
  <si>
    <t>HyPET400 HPP5e rMtP P120/120</t>
  </si>
  <si>
    <t>Khuôn 15g PCO 1881 128 cavtiy</t>
  </si>
  <si>
    <t>Máy nén khí</t>
  </si>
  <si>
    <t>Cooling tower</t>
  </si>
  <si>
    <t>Pump system</t>
  </si>
  <si>
    <t>Chiller</t>
  </si>
  <si>
    <t>Hệ thống nước, khí nén</t>
  </si>
  <si>
    <t>Trạm điện</t>
  </si>
  <si>
    <t>Hệ thống điện</t>
  </si>
  <si>
    <t>Overhead crane</t>
  </si>
  <si>
    <t>1.2.10</t>
  </si>
  <si>
    <t>1.1.01</t>
  </si>
  <si>
    <t>1.1.02</t>
  </si>
  <si>
    <t>1.1.03</t>
  </si>
  <si>
    <t>1.1.04</t>
  </si>
  <si>
    <t>1.1.05</t>
  </si>
  <si>
    <t>1.2.06</t>
  </si>
  <si>
    <t>1.2.07</t>
  </si>
  <si>
    <t>1.2.08</t>
  </si>
  <si>
    <t>1.2.09</t>
  </si>
  <si>
    <t>Máy đo kích thước tự động Gawis 4D</t>
  </si>
  <si>
    <t>Máy đo AA Piovan Inspecta</t>
  </si>
  <si>
    <t>Thickness Gauge</t>
  </si>
  <si>
    <t>Perpendicular Prefrom Thickness Gauge</t>
  </si>
  <si>
    <t>Light Polarizer</t>
  </si>
  <si>
    <t>Digital Scale</t>
  </si>
  <si>
    <t>Colorimeter/Spectrophotometer</t>
  </si>
  <si>
    <t>Moisture analyzer</t>
  </si>
  <si>
    <t>Radius gauges</t>
  </si>
  <si>
    <t>Torque tester</t>
  </si>
  <si>
    <t>Black Ligth/UV light</t>
  </si>
  <si>
    <t>Pitch gauges</t>
  </si>
  <si>
    <t>Melt Flow Index Tester</t>
  </si>
  <si>
    <t>Thickness, thread, body gauge</t>
  </si>
  <si>
    <t>Inspection bench</t>
  </si>
  <si>
    <t>Inspection block</t>
  </si>
  <si>
    <t>Height Gauge</t>
  </si>
  <si>
    <t>2.01</t>
  </si>
  <si>
    <t>2.02</t>
  </si>
  <si>
    <t>3.01</t>
  </si>
  <si>
    <t>3.02</t>
  </si>
  <si>
    <t>3.03</t>
  </si>
  <si>
    <t>3.04</t>
  </si>
  <si>
    <t>3.05</t>
  </si>
  <si>
    <t>3.06</t>
  </si>
  <si>
    <t>3.07</t>
  </si>
  <si>
    <t>3.08</t>
  </si>
  <si>
    <t>3.09</t>
  </si>
  <si>
    <t>3.10</t>
  </si>
  <si>
    <t>3.11</t>
  </si>
  <si>
    <t>3.12</t>
  </si>
  <si>
    <t>3.13</t>
  </si>
  <si>
    <t>3.14</t>
  </si>
  <si>
    <t>3.15</t>
  </si>
  <si>
    <t>3.16</t>
  </si>
  <si>
    <t>3.17</t>
  </si>
  <si>
    <t>3.18</t>
  </si>
  <si>
    <t>3.19</t>
  </si>
  <si>
    <t>Ước tính dự án FtoP</t>
  </si>
  <si>
    <t>SẢN LƯỢNG</t>
  </si>
  <si>
    <t>Chu ký</t>
  </si>
  <si>
    <t>Preform/24h</t>
  </si>
  <si>
    <t>Preform / 1 tháng</t>
  </si>
  <si>
    <t>Số tấn/tháng</t>
  </si>
  <si>
    <t>Diện tích (m2/Pallet)</t>
  </si>
  <si>
    <t>Số Preform</t>
  </si>
  <si>
    <t>Preform quy tấn</t>
  </si>
  <si>
    <t>Số Pallet nhập kho ngày</t>
  </si>
  <si>
    <t>Pallet</t>
  </si>
  <si>
    <t>Diện tích tồn kho 1 tháng</t>
  </si>
  <si>
    <t>Dầu xe nâng</t>
  </si>
  <si>
    <t>Lít/ngày</t>
  </si>
  <si>
    <t>1 ca</t>
  </si>
  <si>
    <t>1 ngày (theo 2 ca 3 kíp)</t>
  </si>
  <si>
    <t>Công nhân đứng máy</t>
  </si>
  <si>
    <t>Nhân sự kho</t>
  </si>
  <si>
    <t>Tổ trưởng Kho</t>
  </si>
  <si>
    <t>Nhân viên xe nâng</t>
  </si>
  <si>
    <t>Nhân viên xuất hàng, soạn hàng</t>
  </si>
  <si>
    <t>2 người/ca</t>
  </si>
  <si>
    <t>Tổ trưởng kho</t>
  </si>
  <si>
    <t>Diện tích đề xuất</t>
  </si>
  <si>
    <t>Máy chính</t>
  </si>
  <si>
    <t>Thiết  bị phụ</t>
  </si>
  <si>
    <t>Thiết bị lab</t>
  </si>
  <si>
    <t>1.5 người/ca</t>
  </si>
  <si>
    <t>năm</t>
  </si>
  <si>
    <t>Lợi nhuận trước thuế</t>
  </si>
  <si>
    <t>Thuế</t>
  </si>
  <si>
    <t>Kế toán kho</t>
  </si>
  <si>
    <t>Máy scan</t>
  </si>
  <si>
    <t xml:space="preserve">Máy đo IV PSL IV 4603 </t>
  </si>
  <si>
    <t>QA</t>
  </si>
  <si>
    <t>SAP</t>
  </si>
  <si>
    <t>Cơ cấu % chi phí /Giá</t>
  </si>
  <si>
    <t>Thuyết minh</t>
  </si>
  <si>
    <t>Chi phí nguyên vật liệu</t>
  </si>
  <si>
    <t>Hao hụt về tiền</t>
  </si>
  <si>
    <t>Chi phí biến đổi</t>
  </si>
  <si>
    <t>Chi phí nhân công</t>
  </si>
  <si>
    <t>Chi phí gián tiếp</t>
  </si>
  <si>
    <t>Điện</t>
  </si>
  <si>
    <t>BAG</t>
  </si>
  <si>
    <t>Đóng gói</t>
  </si>
  <si>
    <t>Hóa chất</t>
  </si>
  <si>
    <t>Nước</t>
  </si>
  <si>
    <t>Giá thành</t>
  </si>
  <si>
    <t>Thuế thu nhập</t>
  </si>
  <si>
    <t>D</t>
  </si>
  <si>
    <t>A+B+C+D</t>
  </si>
  <si>
    <t>% Lãi gộp nguyên liệu/Giá bán</t>
  </si>
  <si>
    <t>Mesh sắt (1x1.1x1.2 m)</t>
  </si>
  <si>
    <t>Số phôi/mesh sắt</t>
  </si>
  <si>
    <t>Bao PE</t>
  </si>
  <si>
    <t>gram</t>
  </si>
  <si>
    <t>phôi/giờ</t>
  </si>
  <si>
    <t>phôi/năm</t>
  </si>
  <si>
    <t>Số lần luân chuyển/tháng</t>
  </si>
  <si>
    <t>CHI PHÍ XÂY DỰNG XƯỞNG SẢN XUẤT</t>
  </si>
  <si>
    <t>Chi phí
VNĐ / Phôi</t>
  </si>
  <si>
    <t>1.4</t>
  </si>
  <si>
    <t>1.3</t>
  </si>
  <si>
    <t>1.7</t>
  </si>
  <si>
    <t>1.5</t>
  </si>
  <si>
    <t>1.6</t>
  </si>
  <si>
    <t>1.8</t>
  </si>
  <si>
    <t>1.9</t>
  </si>
  <si>
    <t>1.10</t>
  </si>
  <si>
    <t>1.11</t>
  </si>
  <si>
    <t>2.1</t>
  </si>
  <si>
    <t>2.2</t>
  </si>
  <si>
    <t>2.3</t>
  </si>
  <si>
    <t>Gía trị bán lại = giá trị ban đầu - khấu hao * sản lượng sx</t>
  </si>
  <si>
    <t>Đàm phán</t>
  </si>
  <si>
    <t>III.</t>
  </si>
  <si>
    <t>GIÁ BÁN PHÔI</t>
  </si>
  <si>
    <t>IV.</t>
  </si>
  <si>
    <t>Ghi chú - Nếu dừng dự án thì Suntory mua lại</t>
  </si>
  <si>
    <t>QA/QC staff</t>
  </si>
  <si>
    <t>Điện 765KW/giờ (tất cả các máy + thiết bị)
không có dùng nước
Nhân công: cần 3 khu vực: vân hành máy: 2 người/3 cụm máy, QC: , bảo trì máy : 1 người.</t>
  </si>
  <si>
    <t>Husky 128 cavs Injection Machine</t>
  </si>
  <si>
    <t>Inspection machine - Lab facilities</t>
  </si>
  <si>
    <t>Auxiliary Equipment</t>
  </si>
  <si>
    <t>Installing &amp; delivery cost</t>
  </si>
  <si>
    <t>Loan - Structure</t>
  </si>
  <si>
    <t>Equity - Structure</t>
  </si>
  <si>
    <t>Year 1 - Effective within the first year after fully approval</t>
  </si>
  <si>
    <t>Depreciation Year - Machine</t>
  </si>
  <si>
    <t>Depreciation Month - Machine</t>
  </si>
  <si>
    <t>Depreciation Year - Factory</t>
  </si>
  <si>
    <t>Depreciation Month - Factory</t>
  </si>
  <si>
    <t>Rental payment</t>
  </si>
  <si>
    <t>Rental Warehouse</t>
  </si>
  <si>
    <t>VND/m2</t>
  </si>
  <si>
    <t>Rental Warehouse Payment</t>
  </si>
  <si>
    <t>Rental Warehouse cost</t>
  </si>
  <si>
    <t>Months</t>
  </si>
  <si>
    <t>Mark-up</t>
  </si>
  <si>
    <t>Total Preform Costing</t>
  </si>
  <si>
    <t>(Năm)</t>
  </si>
  <si>
    <t>1.2.11</t>
  </si>
  <si>
    <t>Hệ thống IT</t>
  </si>
  <si>
    <t>Hệ thống điện dự phòng</t>
  </si>
  <si>
    <t>Conversion + Utility</t>
  </si>
  <si>
    <t>VND/phôi</t>
  </si>
  <si>
    <t>USD/tấn</t>
  </si>
  <si>
    <t>Packaging</t>
  </si>
  <si>
    <t>Giá phôi</t>
  </si>
  <si>
    <t>1.2.12</t>
  </si>
  <si>
    <t>1.2.13</t>
  </si>
  <si>
    <t>Chiết khấu</t>
  </si>
  <si>
    <t>DTR</t>
  </si>
  <si>
    <t>SUNTORY PEPSICO VIETNAM - DỰ ÁN FLAKE TO PREFORM</t>
  </si>
  <si>
    <t>LOẠI PHÔI</t>
  </si>
  <si>
    <t>SỐ LƯỢNG PHÔI/KG</t>
  </si>
  <si>
    <t>Giá mua resin</t>
  </si>
  <si>
    <t>USD</t>
  </si>
  <si>
    <t>PET</t>
  </si>
  <si>
    <t>rPET</t>
  </si>
  <si>
    <t>TẤN/KG</t>
  </si>
  <si>
    <t>CÔNG TY B</t>
  </si>
  <si>
    <t>Tỷ lệ %</t>
  </si>
  <si>
    <t>*Giá rPET mua từ DTR</t>
  </si>
  <si>
    <t>Hao hụt (yield)</t>
  </si>
  <si>
    <r>
      <t xml:space="preserve">Giá mua </t>
    </r>
    <r>
      <rPr>
        <b/>
        <sz val="11"/>
        <color theme="1"/>
        <rFont val="Calibri"/>
        <family val="2"/>
      </rPr>
      <t>VẢY</t>
    </r>
  </si>
  <si>
    <t>Giá resin hoặc Vảy</t>
  </si>
  <si>
    <t>* Công ty A &amp;B: chuyên về sản xuất phôi Hotfill, sử dụng các dòng máy Husky/Sidel</t>
  </si>
  <si>
    <t>Điểm thuận lợi của DTR</t>
  </si>
  <si>
    <t>- Kiểm soát nguồn cung về sản lượng, giá mua vảy, chất lượng đầu vào</t>
  </si>
  <si>
    <t>Điểm bất lợi của DTR</t>
  </si>
  <si>
    <t>- Chưa có kinh nghiệm và kỹ thuật sản xuất phôi Hotfill</t>
  </si>
  <si>
    <t>- Nhiều kinh nghiệm trong lĩnh vực Tái chế, sản xuất hạt nhựa tái chế</t>
  </si>
  <si>
    <t>- SPVB độc quyền công nghệ này và DTR không được sản xuất sản phẩm này cho bất cứ đối tác nào khác</t>
  </si>
  <si>
    <t>- SPVB phụ thuộc vào các converter (Hon-chuan, SPVN) về khuôn tạo phôi, khuôn thổi và máy thổi chai</t>
  </si>
  <si>
    <t>- SPVB yêu cầu cải tiến, các chương trình light weight, do vậy DTR sẽ bị động trong công nghệ, kỹ thuật và phụ thuộc vào converter</t>
  </si>
  <si>
    <t>- Chưa có kinh nghiệm về công nghệ và dây chuyển từ vảy sản xuất thành phôi (công nghệ nhật bản)</t>
  </si>
  <si>
    <t>- Đối thủ cạnh tranh có nhiều kinh nghiệm về phôi, khuôn</t>
  </si>
  <si>
    <t>Dòng tiền thuần chiết khấu (NPV)</t>
  </si>
  <si>
    <t>Tỷ suất hoàn vốn nội bộ (IRR)</t>
  </si>
  <si>
    <t>Thời gian hoàn vốn (DPP)</t>
  </si>
  <si>
    <t>Option 1</t>
  </si>
  <si>
    <t>Option 2</t>
  </si>
  <si>
    <t>BASE</t>
  </si>
  <si>
    <t>Option 3</t>
  </si>
  <si>
    <t>COVER PAGE</t>
  </si>
  <si>
    <t>CAPEX</t>
  </si>
  <si>
    <t>Lạm Phát</t>
  </si>
  <si>
    <t>Tỷ giá</t>
  </si>
  <si>
    <t>% Tăng</t>
  </si>
  <si>
    <t>1.2.14</t>
  </si>
  <si>
    <t>1.2.15</t>
  </si>
  <si>
    <t>1.2.16</t>
  </si>
  <si>
    <t>1.2.17</t>
  </si>
  <si>
    <t>1.2.18</t>
  </si>
  <si>
    <t>KẾT QUẢ</t>
  </si>
  <si>
    <t>GIẢ ĐỊNH</t>
  </si>
  <si>
    <t>5.1</t>
  </si>
  <si>
    <t>CHUNG</t>
  </si>
  <si>
    <t>OPTION 1</t>
  </si>
  <si>
    <t>OPTION 2</t>
  </si>
  <si>
    <t>OPTION 3</t>
  </si>
  <si>
    <t>Khuôn phôi</t>
  </si>
  <si>
    <t>phôi/chu kỳ</t>
  </si>
  <si>
    <t>Sản lượng công suất máy</t>
  </si>
  <si>
    <t>Hạng mục</t>
  </si>
  <si>
    <t>Lương</t>
  </si>
  <si>
    <t>- Nhân công trực tiếp</t>
  </si>
  <si>
    <t>- Nhân công gián tiếp</t>
  </si>
  <si>
    <t>Bảo trì</t>
  </si>
  <si>
    <t>Vận hành xe điện</t>
  </si>
  <si>
    <t>Định phí sản xuất</t>
  </si>
  <si>
    <t>Biến phí sản xuất</t>
  </si>
  <si>
    <t>kg/năm</t>
  </si>
  <si>
    <t>DEF</t>
  </si>
  <si>
    <t>Số phôi/kg</t>
  </si>
  <si>
    <t>phôi/kg</t>
  </si>
  <si>
    <t>7.1</t>
  </si>
  <si>
    <t>7.2</t>
  </si>
  <si>
    <t>7.3</t>
  </si>
  <si>
    <t>7.4</t>
  </si>
  <si>
    <t>Canada</t>
  </si>
  <si>
    <t>Áo</t>
  </si>
  <si>
    <t>NHẬP KHẨU TỪ</t>
  </si>
  <si>
    <t>LAB-direct</t>
  </si>
  <si>
    <t>LAB-indirect</t>
  </si>
  <si>
    <t>LAB-Direct</t>
  </si>
  <si>
    <t>LAB-Indirect</t>
  </si>
  <si>
    <t>LEASE_STORAGE</t>
  </si>
  <si>
    <t>MAINTENANCE</t>
  </si>
  <si>
    <t>LEASE_FORK</t>
  </si>
  <si>
    <t>Nguyên vật liệu</t>
  </si>
  <si>
    <t>8.</t>
  </si>
  <si>
    <t>Currency</t>
  </si>
  <si>
    <t>Row Labels</t>
  </si>
  <si>
    <t>Grand Total</t>
  </si>
  <si>
    <t>FLAKE</t>
  </si>
  <si>
    <t>Hiệu suất sử dụng tối đa</t>
  </si>
  <si>
    <t>Hệ số điều chỉnh sản xuất</t>
  </si>
  <si>
    <t>PACKAGE</t>
  </si>
  <si>
    <t>9.</t>
  </si>
  <si>
    <t>TỔNG CHI PHÍ SẢN XUẤT</t>
  </si>
  <si>
    <t>10.</t>
  </si>
  <si>
    <t>% / chi phí sản xuất</t>
  </si>
  <si>
    <t>11.</t>
  </si>
  <si>
    <t>Chi phí quản lý chung</t>
  </si>
  <si>
    <t xml:space="preserve">Chi phí nhân sự BH,QLDN </t>
  </si>
  <si>
    <t>Chi phí lãi vay</t>
  </si>
  <si>
    <t>Tổng mức đầu tư</t>
  </si>
  <si>
    <t>TỔNG CHI PHÍ</t>
  </si>
  <si>
    <t>CHI PHÍ/TẤN</t>
  </si>
  <si>
    <t>TỔNG CHI PHÍ/TẤN</t>
  </si>
  <si>
    <t>tr. VND/tấn</t>
  </si>
  <si>
    <t>CHI PHÍ/PHÔI</t>
  </si>
  <si>
    <t>ĐẦU TƯ</t>
  </si>
  <si>
    <t>Xây dựng xưởng sản xuất</t>
  </si>
  <si>
    <t>Công cụ dụng cụ LAB</t>
  </si>
  <si>
    <t>CAPEX-MAIN</t>
  </si>
  <si>
    <t>CAPEX-SUB</t>
  </si>
  <si>
    <t>CAPEX-FACTORY</t>
  </si>
  <si>
    <t>CAPEX-LAB</t>
  </si>
  <si>
    <t>Thời gian thu hồi vốn</t>
  </si>
  <si>
    <t>Link từ các W1,W2</t>
  </si>
  <si>
    <t>Link tới W4</t>
  </si>
  <si>
    <t>TỔNG CHI PHÍ/PHÔI</t>
  </si>
  <si>
    <t>LNST</t>
  </si>
  <si>
    <t>%LNST</t>
  </si>
  <si>
    <t>Giá bán mong muốn</t>
  </si>
  <si>
    <t>LNST mong muốn</t>
  </si>
  <si>
    <t>%LNST mong muốn</t>
  </si>
  <si>
    <t>Giá bán thực tế</t>
  </si>
  <si>
    <t>USD/1.000 phôi</t>
  </si>
  <si>
    <t>LNTT</t>
  </si>
  <si>
    <t>%LNTT</t>
  </si>
  <si>
    <t>DOANH THU</t>
  </si>
  <si>
    <t>DÒNG TIỀN THUẦN TRƯỚC THUẾ</t>
  </si>
  <si>
    <t>DÒNG TIỀN THUẦN SAU THUẾ</t>
  </si>
  <si>
    <t>WACC</t>
  </si>
  <si>
    <t>DÒNG TIỀN THUẦN CHIẾT KHẤU</t>
  </si>
  <si>
    <t>Khấu hao/chiết khấu</t>
  </si>
  <si>
    <t>Dòng tiền thuần chiết khấu LK</t>
  </si>
  <si>
    <t>Giá mua VẢY</t>
  </si>
  <si>
    <t>Link qua W3</t>
  </si>
  <si>
    <t>Link qua Sun-W6</t>
  </si>
  <si>
    <t>Tỷ lệ tăng đơn giá</t>
  </si>
  <si>
    <t>Đơn giá ban đầu</t>
  </si>
  <si>
    <t>9.1</t>
  </si>
  <si>
    <t>9.2</t>
  </si>
  <si>
    <t>9.3</t>
  </si>
  <si>
    <t>9.4</t>
  </si>
  <si>
    <t>9.5</t>
  </si>
  <si>
    <t>Link tới CoverPage</t>
  </si>
  <si>
    <t>NPV</t>
  </si>
  <si>
    <t>IRR</t>
  </si>
  <si>
    <t>DPP</t>
  </si>
  <si>
    <t>Link to W6-Preform cost</t>
  </si>
  <si>
    <t>12.</t>
  </si>
  <si>
    <t>Bảo hiểm tài sản</t>
  </si>
  <si>
    <t>ASSET_INSURANCE</t>
  </si>
  <si>
    <t>OVERHEAD_641,642</t>
  </si>
  <si>
    <t>Asset Insurance</t>
  </si>
  <si>
    <t>Inflation</t>
  </si>
  <si>
    <t>PE</t>
  </si>
  <si>
    <t>VND/PE</t>
  </si>
  <si>
    <t>LAB_641,642</t>
  </si>
  <si>
    <t>Electric Forklift</t>
  </si>
  <si>
    <t>Electric Forklift lease</t>
  </si>
  <si>
    <t>VND/forklift</t>
  </si>
  <si>
    <t>forklifts</t>
  </si>
  <si>
    <t>Electric Forklift operation cost</t>
  </si>
  <si>
    <t>Electric forklift cost</t>
  </si>
  <si>
    <t>Other production cost</t>
  </si>
  <si>
    <t>Link tới W5</t>
  </si>
  <si>
    <t>1521</t>
  </si>
  <si>
    <t>1522</t>
  </si>
  <si>
    <t>Chi phí
USD/tấn</t>
  </si>
  <si>
    <t>Chi trả</t>
  </si>
  <si>
    <t>Lãi gốc-ĐK</t>
  </si>
  <si>
    <t>Lãi gốc-CK</t>
  </si>
  <si>
    <t>Lãi vay</t>
  </si>
  <si>
    <t>Lãi suất</t>
  </si>
  <si>
    <t>Total NPV</t>
  </si>
  <si>
    <t>Dòng tiền chiết khẩu</t>
  </si>
  <si>
    <t>Gía thành - DTR</t>
  </si>
  <si>
    <t>A. Quân</t>
  </si>
  <si>
    <t>Nguồn:</t>
  </si>
  <si>
    <t>Calipers with data output</t>
  </si>
  <si>
    <t>* CAPEX/năm</t>
  </si>
  <si>
    <t>không nên thay đổi công suất sử dụng điện</t>
  </si>
  <si>
    <t>Gía bán với %giá bán mong muốn</t>
  </si>
  <si>
    <t>= Gía thàng * (1-tax) / (1-tax-%ln mong muốn)</t>
  </si>
  <si>
    <t>Thời gian hoàn vốn</t>
  </si>
  <si>
    <t>triệu VND</t>
  </si>
  <si>
    <t>CHỈ TIÊU</t>
  </si>
  <si>
    <t>CÔNG SUẤT</t>
  </si>
  <si>
    <t>Năm thứ</t>
  </si>
  <si>
    <t>Năm</t>
  </si>
  <si>
    <t>(không tăng chi phí xây dựng nhà xưởng)</t>
  </si>
  <si>
    <t>Tăng</t>
  </si>
  <si>
    <t>%Lợi nhuận sau thuế</t>
  </si>
  <si>
    <t>6.1</t>
  </si>
  <si>
    <t>6.2</t>
  </si>
  <si>
    <t>Giá điện</t>
  </si>
  <si>
    <t>LỢI NHUẬN SAU THUẾ ƯỚC TÍNH (25 năm)</t>
  </si>
  <si>
    <t>Thực tế</t>
  </si>
  <si>
    <t>Mark-up giá bán</t>
  </si>
  <si>
    <t>Link tới W6-Pre</t>
  </si>
  <si>
    <t>Actual_Price</t>
  </si>
  <si>
    <t>Giả định: sau 25 năm thì giá trị các tài sản còn lại =0</t>
  </si>
  <si>
    <t>tăng mỗi năm</t>
  </si>
  <si>
    <t>Đơn giá bán: tăng mỗi năm</t>
  </si>
  <si>
    <t>KG/NAM</t>
  </si>
  <si>
    <t>PHOI/NAM</t>
  </si>
  <si>
    <t>rPET (không có nhà xưởng)</t>
  </si>
  <si>
    <t>WORKING - NẾU NHƯ KHÔNG CÓ CAPEX XƯỞNG Ở OPTION 3</t>
  </si>
  <si>
    <t>Hệ số K</t>
  </si>
  <si>
    <t>(chỗ này nhân vào capex xưởng ở option 3 - cho bằng 0 thì là ko đầu tư)</t>
  </si>
  <si>
    <t>Trình bày theo W4</t>
  </si>
  <si>
    <t>10.1</t>
  </si>
  <si>
    <t>10.2</t>
  </si>
  <si>
    <t>10.3</t>
  </si>
  <si>
    <t>10.4</t>
  </si>
  <si>
    <t>10.5</t>
  </si>
  <si>
    <t>10.6</t>
  </si>
  <si>
    <t>Lần1</t>
  </si>
  <si>
    <t>Lần 2</t>
  </si>
  <si>
    <t>Lạm phát 5%/năm + tăng lương</t>
  </si>
  <si>
    <t>giảm đầu tư 1 triệu USD (anh Quân)</t>
  </si>
  <si>
    <t>Lạm phát 5%/năm</t>
  </si>
  <si>
    <t>Điều chỉnh giảm lại chi phí</t>
  </si>
  <si>
    <t>Tổng</t>
  </si>
  <si>
    <t>Hạng mục chi phí</t>
  </si>
  <si>
    <t>+/</t>
  </si>
  <si>
    <t xml:space="preserve">CÔNG TY A </t>
  </si>
  <si>
    <t>Lãi nguyên liệu</t>
  </si>
  <si>
    <t>Số pallet chứa được</t>
  </si>
  <si>
    <t>Số ngày chứa</t>
  </si>
  <si>
    <t>Diện tích kho</t>
  </si>
  <si>
    <t>1.1.06</t>
  </si>
  <si>
    <t>Thuế nhà thầu</t>
  </si>
  <si>
    <t>Ghi chú cho W5</t>
  </si>
  <si>
    <t>(không tăng chi phí xây dựng nhà xưởng) - Roundup</t>
  </si>
  <si>
    <t>Total investment amount of production facilities</t>
  </si>
  <si>
    <t>Cooperation period</t>
  </si>
  <si>
    <t>Rest depreciation period</t>
  </si>
  <si>
    <t>Rest value of facilities</t>
  </si>
  <si>
    <t>Compensation amount by SPVB</t>
  </si>
  <si>
    <t>Compensation % of rest value by SPVB</t>
  </si>
  <si>
    <t>Remark if any</t>
  </si>
  <si>
    <t>Investment amount of NGR system &amp; Injection machine</t>
  </si>
  <si>
    <t>Investment amount of utilities and others</t>
  </si>
  <si>
    <t>Chi phí vảy tăng</t>
  </si>
  <si>
    <t>Cp Vảy sạch tăng</t>
  </si>
  <si>
    <t>VND/Cage</t>
  </si>
  <si>
    <t>13.</t>
  </si>
  <si>
    <t>Số mesh sắt</t>
  </si>
  <si>
    <t>Mesh/chuyến</t>
  </si>
  <si>
    <t>Số kilogram/chuyến</t>
  </si>
  <si>
    <t>Kg/chuyến</t>
  </si>
  <si>
    <t>DELIVER</t>
  </si>
  <si>
    <t>Fixed</t>
  </si>
  <si>
    <t>Variable</t>
  </si>
  <si>
    <t>Others</t>
  </si>
  <si>
    <t>Lấy số từ W5</t>
  </si>
  <si>
    <t>tháng</t>
  </si>
  <si>
    <t>Ban đầu</t>
  </si>
  <si>
    <t>Cắt giảm</t>
  </si>
  <si>
    <t>ĐIỀU CHỈNH</t>
  </si>
  <si>
    <t>Conversion cost</t>
  </si>
  <si>
    <t>Cắt giảm NS</t>
  </si>
  <si>
    <t>%+/-</t>
  </si>
  <si>
    <t>Toner AY090</t>
  </si>
  <si>
    <t>AA scavenger</t>
  </si>
  <si>
    <t>%SLSX</t>
  </si>
  <si>
    <t>Liều lượng</t>
  </si>
  <si>
    <t>VẢY SẠCH</t>
  </si>
  <si>
    <t>MÀU/PHỤ GIA</t>
  </si>
  <si>
    <t>CHI PHÍ THUÊ XƯỞNG</t>
  </si>
  <si>
    <t>Year 2 - Mass Production</t>
  </si>
  <si>
    <t>Year 3 - Mass Production</t>
  </si>
  <si>
    <t>Year 4 - Mass Production</t>
  </si>
  <si>
    <t>Year 5 - Mass Production</t>
  </si>
  <si>
    <t>Year 6 - Mass Production</t>
  </si>
  <si>
    <t>Year 7 - Mass Production</t>
  </si>
  <si>
    <t>Year 8 - Mass Production</t>
  </si>
  <si>
    <t>Year 9 - Mass Production</t>
  </si>
  <si>
    <t>Year 10 - Mass Production</t>
  </si>
  <si>
    <t>Price increase per year</t>
  </si>
  <si>
    <t>Material Cost increase per year</t>
  </si>
  <si>
    <t>Thời gian sử dụng Mesh sắt</t>
  </si>
  <si>
    <t>lần/tháng</t>
  </si>
  <si>
    <t>phôi/mesh</t>
  </si>
  <si>
    <t>14.</t>
  </si>
  <si>
    <t>Thuê kho,xưởng</t>
  </si>
  <si>
    <t>(cái,m2)</t>
  </si>
  <si>
    <t>(VND)</t>
  </si>
  <si>
    <t>TỔNG</t>
  </si>
  <si>
    <t>PHÔI 15 GRAM</t>
  </si>
  <si>
    <t>PHÔI 19 GRAM</t>
  </si>
  <si>
    <t>PHÔI 21.2 GRAM</t>
  </si>
  <si>
    <t>Tỷ lệ sử dụng màu Toner AY090</t>
  </si>
  <si>
    <t>Tỷ lệ sử dụng hóa chất AA scavenger</t>
  </si>
  <si>
    <t>AY090_USE</t>
  </si>
  <si>
    <t>AASCAVENGER_USE</t>
  </si>
  <si>
    <t>AY090_PRICE</t>
  </si>
  <si>
    <t>AASCAVENGER_PRICE</t>
  </si>
  <si>
    <t>SỐ LƯỢNG SẢN XUẤT/BÁN</t>
  </si>
  <si>
    <t>SỐ LƯỢNG MÀU/HÓA CHẤT</t>
  </si>
  <si>
    <t>Số lượng màu Toner AY090</t>
  </si>
  <si>
    <t>tr. VND</t>
  </si>
  <si>
    <t>Màu Toner AY090</t>
  </si>
  <si>
    <t>Phụ gia AA Scavenger</t>
  </si>
  <si>
    <t>Số lượng phụ gia AA Scavenger</t>
  </si>
  <si>
    <t>Màu, phụ gia</t>
  </si>
  <si>
    <t>Preform Costing</t>
  </si>
  <si>
    <t>CHI PHÍ QUẢN LÝ CHUNG</t>
  </si>
  <si>
    <t>CHI PHÍ VẬN CHUYỂN</t>
  </si>
  <si>
    <t>BẢO HIỂM TÀI SẢN</t>
  </si>
  <si>
    <t>Hiệu suất sử dụng</t>
  </si>
  <si>
    <t>Số ngày chứa tối đa</t>
  </si>
  <si>
    <t>YEAR 3</t>
  </si>
  <si>
    <t>Value</t>
  </si>
  <si>
    <t>CHI PHÍ SẢN XUẤT KHÁC</t>
  </si>
  <si>
    <t>CHI PHÍ NHÂN SỰ BH+QLDN</t>
  </si>
  <si>
    <t>VND/preform</t>
  </si>
  <si>
    <t>+/-</t>
  </si>
  <si>
    <t>Lợi nhuận mong muốn cổ đông:</t>
  </si>
  <si>
    <t>Conversion cost-1st</t>
  </si>
  <si>
    <t>Conversiono cost-2nd</t>
  </si>
  <si>
    <t>Option 4</t>
  </si>
  <si>
    <t>Option 5</t>
  </si>
  <si>
    <t>Option 6</t>
  </si>
  <si>
    <t>OPTION 6</t>
  </si>
  <si>
    <t>OPTION 4</t>
  </si>
  <si>
    <t>OPTION 5</t>
  </si>
  <si>
    <t>Lấy Option 3 để báo giá</t>
  </si>
  <si>
    <t>Quote 2nd vs 1st</t>
  </si>
  <si>
    <t>Year 11 - Mass Production</t>
  </si>
  <si>
    <t>Year 12 - Mass Production</t>
  </si>
  <si>
    <t>Year 13 - Mass Production</t>
  </si>
  <si>
    <t>Year 14 - Mass Production</t>
  </si>
  <si>
    <t>Year 15 - Mass Production</t>
  </si>
  <si>
    <t>Year 16 - Mass Production</t>
  </si>
  <si>
    <t>Year 17 - Mass Production</t>
  </si>
  <si>
    <t>Year 18 - Mass Production</t>
  </si>
  <si>
    <t>Year 19 - Mass Production</t>
  </si>
  <si>
    <t>Year 20 - Mass Production</t>
  </si>
  <si>
    <t>Year 21 - Mass Production</t>
  </si>
  <si>
    <t>Year 22 - Mass Production</t>
  </si>
  <si>
    <t>Year 23 - Mass Production</t>
  </si>
  <si>
    <t>Year 24 - Mass Production</t>
  </si>
  <si>
    <t>Year 25 - Mass Production</t>
  </si>
  <si>
    <t>Kéo dài thời gian khấu hao từ 10 năm -&gt; 15 năm</t>
  </si>
  <si>
    <t>Công thức có đi theo khấu hao nên giảm cùng lúc</t>
  </si>
  <si>
    <t>Công suất máy</t>
  </si>
  <si>
    <t>Đơn giá năm đầu</t>
  </si>
  <si>
    <t>BÁO GIÁ L1</t>
  </si>
  <si>
    <t>BÁO GIÁ L2</t>
  </si>
  <si>
    <t>Doanh thu</t>
  </si>
  <si>
    <t>Dthu</t>
  </si>
  <si>
    <t>%Dthu</t>
  </si>
  <si>
    <t>Suntory muốn tiết kiệm (USD)</t>
  </si>
  <si>
    <t>Suntory muốn tiết kiệm (VND)</t>
  </si>
  <si>
    <t>Số lượng phôi</t>
  </si>
  <si>
    <t>Giảm (VND/Phôi)</t>
  </si>
  <si>
    <t>Báo giá:</t>
  </si>
  <si>
    <t>V.</t>
  </si>
  <si>
    <t>Chi phí
tr. VND/tấn</t>
  </si>
  <si>
    <t>Check</t>
  </si>
  <si>
    <t>Option 1: Base</t>
  </si>
  <si>
    <t>Option 2: Báo giá L1</t>
  </si>
  <si>
    <t>Option 3: Báo giá L2</t>
  </si>
  <si>
    <t>Option 5-T12.25 updated</t>
  </si>
  <si>
    <r>
      <t xml:space="preserve">PHƯƠNG ÁN SẢN XUẤT TỪ </t>
    </r>
    <r>
      <rPr>
        <b/>
        <sz val="18"/>
        <color rgb="FFFF0000"/>
        <rFont val="Arial"/>
        <family val="2"/>
      </rPr>
      <t>VẢY SẠCH</t>
    </r>
    <r>
      <rPr>
        <b/>
        <sz val="18"/>
        <color rgb="FF0070C0"/>
        <rFont val="Arial"/>
        <family val="2"/>
      </rPr>
      <t xml:space="preserve"> RA PHÔI (tr.VND/tấn)</t>
    </r>
  </si>
  <si>
    <t>KHỞI ĐỘNG</t>
  </si>
  <si>
    <t>Giá EXW</t>
  </si>
  <si>
    <t>Giá DDP</t>
  </si>
  <si>
    <t>THỜI ĐIỂM</t>
  </si>
  <si>
    <t>(VND/phôi)</t>
  </si>
  <si>
    <t>Đơn giá tăng (công thức: dựa vào năm 2027,+1)</t>
  </si>
  <si>
    <t>x</t>
  </si>
  <si>
    <t>Lam phát (công thức: dựa vào năm 2026,+1)</t>
  </si>
  <si>
    <t>tỷ VND</t>
  </si>
  <si>
    <r>
      <t>BÁO GIÁ LẦN 1-</t>
    </r>
    <r>
      <rPr>
        <b/>
        <sz val="11"/>
        <color theme="3" tint="0.499984740745262"/>
        <rFont val="Aptos Display"/>
        <family val="2"/>
        <scheme val="major"/>
      </rPr>
      <t>CÓ TÍNH ĐẦU TƯ XƯỞNG</t>
    </r>
  </si>
  <si>
    <r>
      <t xml:space="preserve">BÁO GIÁ LẦN 2 - </t>
    </r>
    <r>
      <rPr>
        <b/>
        <sz val="11"/>
        <color theme="3" tint="0.499984740745262"/>
        <rFont val="Aptos Display"/>
        <family val="2"/>
        <scheme val="major"/>
      </rPr>
      <t>CÓ TÍNH ĐẦU TƯ XƯỞNG</t>
    </r>
  </si>
  <si>
    <t>Tháng 10/2024</t>
  </si>
  <si>
    <t>Giá bán phôi (VND/phôi)</t>
  </si>
  <si>
    <t>Giá bán phôi (USD/tấn)</t>
  </si>
  <si>
    <t>Giá thành phôi (VND/phôi)</t>
  </si>
  <si>
    <t>Giá thành phôi (USD/tấn)</t>
  </si>
  <si>
    <t>Chi phí: tăng theo lạm phát</t>
  </si>
  <si>
    <t>Lợi nhuận sau thuế</t>
  </si>
  <si>
    <t>Lợi nhuận sau thuế (VND/phôi)</t>
  </si>
  <si>
    <t>Lợi nhuận sau thuế (USD/tấn)</t>
  </si>
  <si>
    <t>Đơn giá bán phôi</t>
  </si>
  <si>
    <t>Giá thành phôi</t>
  </si>
  <si>
    <t>Chi phí đầu tư</t>
  </si>
  <si>
    <t>MỘT SỐ CHỈ TIÊU TRỌNG YẾU</t>
  </si>
  <si>
    <t>NPV (triệu VND)</t>
  </si>
  <si>
    <t>%LN sau thuế</t>
  </si>
  <si>
    <t>GIÁ ĐỀ XUẤT - THÁNG 12/2025 :</t>
  </si>
  <si>
    <r>
      <t xml:space="preserve">PHƯƠNG ÁN SẢN XUẤT TỪ </t>
    </r>
    <r>
      <rPr>
        <b/>
        <sz val="18"/>
        <color rgb="FFFF0000"/>
        <rFont val="Arial"/>
        <family val="2"/>
      </rPr>
      <t>VẢY SẠCH</t>
    </r>
    <r>
      <rPr>
        <b/>
        <sz val="18"/>
        <color rgb="FF0070C0"/>
        <rFont val="Arial"/>
        <family val="2"/>
      </rPr>
      <t xml:space="preserve"> RA PHÔI (USD/tấn)</t>
    </r>
  </si>
  <si>
    <r>
      <t xml:space="preserve">PHƯƠNG ÁN SẢN XUẤT TỪ </t>
    </r>
    <r>
      <rPr>
        <b/>
        <sz val="18"/>
        <color rgb="FFFF0000"/>
        <rFont val="Arial"/>
        <family val="2"/>
      </rPr>
      <t>VẢY SẠCH</t>
    </r>
    <r>
      <rPr>
        <b/>
        <sz val="18"/>
        <color rgb="FF0070C0"/>
        <rFont val="Arial"/>
        <family val="2"/>
      </rPr>
      <t xml:space="preserve"> RA PHÔI (VND/phôi)</t>
    </r>
  </si>
  <si>
    <t>15gr Hotfill</t>
  </si>
  <si>
    <t>MÁY MÓC THIẾT BỊ PHÒNG LAB</t>
  </si>
  <si>
    <t>m2/tháng</t>
  </si>
  <si>
    <t>Đầu tư khuôn</t>
  </si>
  <si>
    <t>Đầu tư xưởng</t>
  </si>
  <si>
    <t>9 năm 08 tháng</t>
  </si>
  <si>
    <t>Tháng 02/2025</t>
  </si>
  <si>
    <t>10 năm 08 tháng</t>
  </si>
  <si>
    <t>CƠ SỞ-BÁO GIÁ L2-
KHÔNG TÍNH ĐẦU TƯ XƯỞNG</t>
  </si>
  <si>
    <t>CƠ SỞ-BÁO GIÁ L1-
KHÔNG TÍNH ĐẦU TƯ XƯỞNG</t>
  </si>
  <si>
    <t>5 năm 05 tháng</t>
  </si>
  <si>
    <t>5 năm 07 tháng</t>
  </si>
  <si>
    <t>(VND/năm)</t>
  </si>
  <si>
    <t>(USD)</t>
  </si>
  <si>
    <t>2.03</t>
  </si>
  <si>
    <t>2.04</t>
  </si>
  <si>
    <t>2.05</t>
  </si>
  <si>
    <t>2.06</t>
  </si>
  <si>
    <t>2.07</t>
  </si>
  <si>
    <t>2.08</t>
  </si>
  <si>
    <t>2.09</t>
  </si>
  <si>
    <t>2.10</t>
  </si>
  <si>
    <t>2.11</t>
  </si>
  <si>
    <t>2.12</t>
  </si>
  <si>
    <t>2.13</t>
  </si>
  <si>
    <t>2.14</t>
  </si>
  <si>
    <t>2.15</t>
  </si>
  <si>
    <t>2.16</t>
  </si>
  <si>
    <t>2.17</t>
  </si>
  <si>
    <t>2.18</t>
  </si>
  <si>
    <t>2.19</t>
  </si>
  <si>
    <t>Paste chết</t>
  </si>
  <si>
    <t>CÁC GIẢ ĐỊNH CỦA DỰ ÁN</t>
  </si>
  <si>
    <t>GIÁ TRỊ</t>
  </si>
  <si>
    <t>ĐVT/Ghi chú</t>
  </si>
  <si>
    <t>Thông tin chung</t>
  </si>
  <si>
    <t>Sản lượng bán</t>
  </si>
  <si>
    <t>Chủ đầu tư</t>
  </si>
  <si>
    <t>Sản lượng bán năm 1</t>
  </si>
  <si>
    <t>50.0% Sản lượng sản xuất tối đa</t>
  </si>
  <si>
    <t>Thời gian khai thác</t>
  </si>
  <si>
    <t>Sản lượng bán năm 2</t>
  </si>
  <si>
    <t>70.0% Sản lượng sản xuất tối đa</t>
  </si>
  <si>
    <t>Tổng dự toán đầu tư máy móc thiết bị (VND)</t>
  </si>
  <si>
    <t>Sản lượng bán năm 3</t>
  </si>
  <si>
    <t>Tổng dự toán đầu tư máy móc thiết bị (USD)</t>
  </si>
  <si>
    <t>100.0% Sản lượng sản xuất tối đa</t>
  </si>
  <si>
    <t>Thời gian khấu hao (PP đường thẳng)</t>
  </si>
  <si>
    <t>đ/kg</t>
  </si>
  <si>
    <t>Tỷ lệ chiết khấu/cơ cấu vay</t>
  </si>
  <si>
    <t>Vốn vay</t>
  </si>
  <si>
    <t>Sản lượng sản xuất tối đa</t>
  </si>
  <si>
    <t>tấn/năm</t>
  </si>
  <si>
    <t>Vốn tự có</t>
  </si>
  <si>
    <t>Lãi vay trung dài hạn</t>
  </si>
  <si>
    <t>Nhân công trực tiếp (2 người x 3 ca)</t>
  </si>
  <si>
    <t>VND/năm</t>
  </si>
  <si>
    <t>Thuế suất thuế TNDN</t>
  </si>
  <si>
    <t>Nhân viên kỹ thuật, QC, kho</t>
  </si>
  <si>
    <t>Tỷ lệ chiết khấu = WACC</t>
  </si>
  <si>
    <t>kwh</t>
  </si>
  <si>
    <t>Đơn giá điện</t>
  </si>
  <si>
    <t>đ/kwh</t>
  </si>
  <si>
    <t>đ/kg thành phẩm</t>
  </si>
  <si>
    <t>Nguồn nguyên vật liệu: Vảy sạch từ chai B1</t>
  </si>
  <si>
    <t>(tấn)</t>
  </si>
  <si>
    <t>Từ năm thứ 4 trở đi bằng với năm 3</t>
  </si>
  <si>
    <t>Hiệu suất sử dụng máy</t>
  </si>
  <si>
    <t>Lạm phát</t>
  </si>
  <si>
    <t>Chi phí vận hành xe điện</t>
  </si>
  <si>
    <t>(Số xe thuê: 2 với đơn giá thuê 20 triệu/tháng, chi phí điện 3 triệu/xe/tháng)</t>
  </si>
  <si>
    <t>Chi phí bảo hiểm</t>
  </si>
  <si>
    <t>/tổng tài sản</t>
  </si>
  <si>
    <t>VND/chuyến</t>
  </si>
  <si>
    <t>Liều lượng phụ gia</t>
  </si>
  <si>
    <t>Đơn giá phụ gia</t>
  </si>
  <si>
    <t>VND/kg</t>
  </si>
  <si>
    <t>Đơn giá chai B1</t>
  </si>
  <si>
    <t>Đơn giá vảy sạch cho dự án</t>
  </si>
  <si>
    <t>Tỷ lệ hao hụt FtoP</t>
  </si>
  <si>
    <t>Dự án chưa tính giá trị đầu tư xưởng (khoảng 150 tỷ đồng ~ 6 triệu USD)</t>
  </si>
  <si>
    <t>Dòng tiền</t>
  </si>
  <si>
    <t>Dòng tiền chiết khấu</t>
  </si>
  <si>
    <t>Dòng tiền chiết khấu Lũy kế</t>
  </si>
  <si>
    <r>
      <t>BÁO GIÁ LẦN 1-</t>
    </r>
    <r>
      <rPr>
        <b/>
        <sz val="11"/>
        <color theme="3" tint="0.499984740745262"/>
        <rFont val="Aptos Display"/>
        <family val="2"/>
        <scheme val="major"/>
      </rPr>
      <t>KHÔNG TÍNH ĐẦU TƯ XƯỞNG</t>
    </r>
  </si>
  <si>
    <r>
      <t xml:space="preserve">BÁO GIÁ LẦN 2 - </t>
    </r>
    <r>
      <rPr>
        <b/>
        <sz val="11"/>
        <color theme="3" tint="0.499984740745262"/>
        <rFont val="Aptos Display"/>
        <family val="2"/>
        <scheme val="major"/>
      </rPr>
      <t>KHÔNG TÍNH ĐẦU TƯ XƯỞNG</t>
    </r>
  </si>
  <si>
    <t>BASE-CÓ XƯỞNG</t>
  </si>
  <si>
    <t>BASE-KHÔNG XƯỞNG</t>
  </si>
  <si>
    <t>Chi phí sửa chữa bảo trì (3%*giá trị đầu tư)</t>
  </si>
  <si>
    <t>Option 7</t>
  </si>
  <si>
    <t>Option 8</t>
  </si>
  <si>
    <t>Option 9</t>
  </si>
  <si>
    <t>Option 10</t>
  </si>
  <si>
    <t>OPTION 7</t>
  </si>
  <si>
    <t>OPTION 8</t>
  </si>
  <si>
    <t>OPTION 9</t>
  </si>
  <si>
    <t>OPTION 10</t>
  </si>
  <si>
    <t>650 VND/Phôi-KHÔNG XƯỞNG</t>
  </si>
  <si>
    <t>650 VND/Phôi-CÓ XƯỞNG</t>
  </si>
  <si>
    <t>THỦ</t>
  </si>
  <si>
    <t>GIÁ ĐỀ XUẤT SUNTORY</t>
  </si>
  <si>
    <t>GIÁ TRUNG BÌNH</t>
  </si>
  <si>
    <t>SUNTORY-KHÔNG XƯỞNG</t>
  </si>
  <si>
    <t>SUNTORY-CÓ XƯỞNG</t>
  </si>
  <si>
    <t>Chi phí thuê xưởng (2.000 m2 * 100.000đ/m2/tháng)</t>
  </si>
  <si>
    <t>Đơn giá bán tăng</t>
  </si>
  <si>
    <t>/năm</t>
  </si>
  <si>
    <t xml:space="preserve">6 năm </t>
  </si>
  <si>
    <t>6 năm 06 tháng</t>
  </si>
  <si>
    <t>Có</t>
  </si>
  <si>
    <t>Đơn giá vảy sạch tăng</t>
  </si>
  <si>
    <t>NPV=0 - KHÔNG XƯỞNG</t>
  </si>
  <si>
    <t>NPV=0 - CÓ XƯỞNG</t>
  </si>
  <si>
    <t>6 năm 11 tháng</t>
  </si>
  <si>
    <t>10 năm 11 tháng</t>
  </si>
  <si>
    <t>8 năm 04 tháng</t>
  </si>
  <si>
    <t>14 năm 01 tháng</t>
  </si>
  <si>
    <t>12 năm 02 tháng</t>
  </si>
  <si>
    <t>Không đạt hoàn vốn</t>
  </si>
  <si>
    <r>
      <rPr>
        <b/>
        <u/>
        <sz val="11"/>
        <color theme="0" tint="-4.9989318521683403E-2"/>
        <rFont val="Aptos Display"/>
        <family val="2"/>
        <scheme val="major"/>
      </rPr>
      <t>KHÔNG TÍNH</t>
    </r>
    <r>
      <rPr>
        <b/>
        <sz val="11"/>
        <color theme="0" tint="-4.9989318521683403E-2"/>
        <rFont val="Aptos Display"/>
        <family val="2"/>
        <scheme val="major"/>
      </rPr>
      <t xml:space="preserve"> ĐẦU TƯ XƯỞNG</t>
    </r>
  </si>
  <si>
    <r>
      <rPr>
        <b/>
        <u/>
        <sz val="11"/>
        <color theme="0" tint="-4.9989318521683403E-2"/>
        <rFont val="Aptos Display"/>
        <family val="2"/>
        <scheme val="major"/>
      </rPr>
      <t>CÓ TÍNH</t>
    </r>
    <r>
      <rPr>
        <b/>
        <sz val="11"/>
        <color theme="0" tint="-4.9989318521683403E-2"/>
        <rFont val="Aptos Display"/>
        <family val="2"/>
        <scheme val="major"/>
      </rPr>
      <t xml:space="preserve"> ĐẦU TƯ XƯỞNG</t>
    </r>
  </si>
  <si>
    <r>
      <rPr>
        <b/>
        <u/>
        <sz val="11"/>
        <color theme="1"/>
        <rFont val="Aptos Display"/>
        <family val="2"/>
        <scheme val="major"/>
      </rPr>
      <t>KHÔNG TÍNH</t>
    </r>
    <r>
      <rPr>
        <b/>
        <sz val="11"/>
        <color theme="1"/>
        <rFont val="Aptos Display"/>
        <family val="2"/>
        <scheme val="major"/>
      </rPr>
      <t xml:space="preserve"> ĐẦU TƯ XƯỞNG</t>
    </r>
  </si>
  <si>
    <r>
      <rPr>
        <b/>
        <u/>
        <sz val="11"/>
        <color theme="1"/>
        <rFont val="Aptos Display"/>
        <family val="2"/>
        <scheme val="major"/>
      </rPr>
      <t>CÓ TÍNH</t>
    </r>
    <r>
      <rPr>
        <b/>
        <sz val="11"/>
        <color theme="1"/>
        <rFont val="Aptos Display"/>
        <family val="2"/>
        <scheme val="major"/>
      </rPr>
      <t xml:space="preserve"> ĐẦU TƯ XƯỞNG</t>
    </r>
  </si>
  <si>
    <r>
      <rPr>
        <b/>
        <u/>
        <sz val="11"/>
        <color theme="1"/>
        <rFont val="Aptos Display"/>
        <family val="2"/>
        <scheme val="major"/>
      </rPr>
      <t xml:space="preserve">CÓ TÍNH </t>
    </r>
    <r>
      <rPr>
        <b/>
        <sz val="11"/>
        <color theme="1"/>
        <rFont val="Aptos Display"/>
        <family val="2"/>
        <scheme val="major"/>
      </rPr>
      <t>ĐẦU TƯ XƯỞNG</t>
    </r>
  </si>
  <si>
    <t>KẾ TOÁN ĐỀ XUẤT
680 VND/PHÔI</t>
  </si>
  <si>
    <t>GIÁ TRUNG BÌNH
650 VND/PHÔI</t>
  </si>
  <si>
    <t>THEO GIÁ SUNTORY YÊU CẦU 
610 VND/phôi</t>
  </si>
  <si>
    <t>DTR-Đầu tư khuôn</t>
  </si>
  <si>
    <t>DTR-Đầu tư xưởng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</si>
</sst>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_);[Red]\(&quot;$&quot;#,##0\)"/>
    <numFmt numFmtId="43" formatCode="_(* #,##0.00_);_(* \(#,##0.00\);_(* &quot;-&quot;??_);_(@_)"/>
    <numFmt numFmtId="164" formatCode="_(* #,##0_);_(* \(#,##0\);_(* &quot;-&quot;??_);_(@_)"/>
    <numFmt numFmtId="165" formatCode="0.0%"/>
    <numFmt numFmtId="166" formatCode="_-* #,##0.00_-;\-* #,##0.00_-;_-* &quot;-&quot;??_-;_-@_-"/>
    <numFmt numFmtId="167" formatCode="_(* #,##0.0_);_(* \(#,##0.0\);_(* &quot;-&quot;??_);_(@_)"/>
    <numFmt numFmtId="168" formatCode="_(* #,##0.000_);_(* \(#,##0.000\);_(* &quot;-&quot;??_);_(@_)"/>
    <numFmt numFmtId="169" formatCode="_(* #,##0.000_);_(* \(#,##0.000\);_(* &quot;-&quot;???_);_(@_)"/>
    <numFmt numFmtId="170" formatCode="0.000000000000000%"/>
    <numFmt numFmtId="171" formatCode="#,##0\ &quot;gram&quot;"/>
    <numFmt numFmtId="172" formatCode="#,##0\ &quot;cái&quot;"/>
    <numFmt numFmtId="173" formatCode="&quot;Năm thứ: &quot;\ #,##0"/>
    <numFmt numFmtId="174" formatCode="#,##0_);\(#,##0\);;"/>
    <numFmt numFmtId="175" formatCode="&quot;Năm thứ: &quot;\ 00"/>
    <numFmt numFmtId="176" formatCode="0.0%;\-0.0.%;"/>
    <numFmt numFmtId="177" formatCode="\+0%"/>
    <numFmt numFmtId="178" formatCode="00"/>
    <numFmt numFmtId="179" formatCode="_(* #,##0.000000_);_(* \(#,##0.000000\);_(* &quot;-&quot;??_);_(@_)"/>
    <numFmt numFmtId="180" formatCode="_(* #,##0.00_);_(* \(#,##0.00\);;_(@_)"/>
    <numFmt numFmtId="181" formatCode="0.0%\';\-0.0%;;"/>
    <numFmt numFmtId="182" formatCode="#,##0.0_);\(#,##0.0\);"/>
    <numFmt numFmtId="183" formatCode="\+0%;\-0%;;"/>
    <numFmt numFmtId="184" formatCode="\+0%;\-0%;0%"/>
    <numFmt numFmtId="185" formatCode="_(* #,##0_)&quot;VND/phôi&quot;;_(* \(#,##0\);_(* &quot;-&quot;??_);_(@_)"/>
    <numFmt numFmtId="186" formatCode="\~_(* #,##0_);_(* \(#,##0\);_(* &quot;-&quot;??_);_(@_)"/>
    <numFmt numFmtId="187" formatCode="#,##0;\(#,##0\);;_(@_)"/>
  </numFmts>
  <fonts count="120" x14ac:knownFonts="1">
    <font>
      <sz val="11"/>
      <color theme="1"/>
      <name val="Aptos Display"/>
      <family val="2"/>
      <scheme val="major"/>
    </font>
    <font>
      <sz val="11"/>
      <color theme="1"/>
      <name val="Aptos Display"/>
      <family val="2"/>
      <scheme val="major"/>
    </font>
    <font>
      <b/>
      <sz val="11"/>
      <color theme="1"/>
      <name val="Aptos Display"/>
      <family val="2"/>
      <scheme val="major"/>
    </font>
    <font>
      <b/>
      <sz val="18"/>
      <color rgb="FF0000FF"/>
      <name val="Aptos Narrow"/>
      <family val="2"/>
      <scheme val="minor"/>
    </font>
    <font>
      <b/>
      <sz val="11"/>
      <color theme="0"/>
      <name val="Aptos Narrow"/>
      <family val="2"/>
      <scheme val="minor"/>
    </font>
    <font>
      <b/>
      <sz val="11"/>
      <color rgb="FF0000FF"/>
      <name val="Aptos Display"/>
      <family val="2"/>
      <scheme val="major"/>
    </font>
    <font>
      <b/>
      <sz val="20"/>
      <color rgb="FF0000FF"/>
      <name val="Aptos Display"/>
      <family val="2"/>
      <scheme val="major"/>
    </font>
    <font>
      <i/>
      <sz val="11"/>
      <color theme="1"/>
      <name val="Aptos Display"/>
      <family val="2"/>
      <scheme val="major"/>
    </font>
    <font>
      <b/>
      <sz val="13"/>
      <color rgb="FF0000FF"/>
      <name val="Aptos Display"/>
      <family val="2"/>
      <scheme val="major"/>
    </font>
    <font>
      <b/>
      <sz val="13"/>
      <color theme="1"/>
      <name val="Aptos Display"/>
      <family val="2"/>
      <scheme val="major"/>
    </font>
    <font>
      <sz val="11"/>
      <color theme="0" tint="-0.34998626667073579"/>
      <name val="Aptos Display"/>
      <family val="2"/>
      <scheme val="major"/>
    </font>
    <font>
      <i/>
      <vertAlign val="superscript"/>
      <sz val="11"/>
      <color theme="1"/>
      <name val="Aptos Display"/>
      <family val="2"/>
      <scheme val="major"/>
    </font>
    <font>
      <sz val="8"/>
      <name val="Aptos Display"/>
      <family val="2"/>
      <scheme val="major"/>
    </font>
    <font>
      <b/>
      <sz val="15"/>
      <color rgb="FF0000FF"/>
      <name val="Aptos Display"/>
      <family val="2"/>
      <scheme val="major"/>
    </font>
    <font>
      <b/>
      <i/>
      <sz val="11"/>
      <color theme="1"/>
      <name val="Aptos Display"/>
      <family val="2"/>
      <scheme val="major"/>
    </font>
    <font>
      <b/>
      <i/>
      <sz val="11"/>
      <color rgb="FF0000FF"/>
      <name val="Aptos Display"/>
      <family val="2"/>
      <scheme val="major"/>
    </font>
    <font>
      <b/>
      <sz val="11"/>
      <color theme="5" tint="-0.249977111117893"/>
      <name val="Aptos Narrow"/>
      <family val="2"/>
      <scheme val="minor"/>
    </font>
    <font>
      <b/>
      <sz val="13"/>
      <color theme="9" tint="-0.249977111117893"/>
      <name val="Aptos Narrow"/>
      <family val="2"/>
      <scheme val="minor"/>
    </font>
    <font>
      <b/>
      <sz val="11"/>
      <color theme="1"/>
      <name val="Aptos Narrow"/>
      <family val="2"/>
      <scheme val="minor"/>
    </font>
    <font>
      <sz val="11"/>
      <color theme="1"/>
      <name val="Aptos Narrow"/>
      <family val="1"/>
      <charset val="136"/>
      <scheme val="minor"/>
    </font>
    <font>
      <sz val="11"/>
      <color theme="1"/>
      <name val="Calibri"/>
      <family val="2"/>
    </font>
    <font>
      <sz val="11"/>
      <color rgb="FFFF0000"/>
      <name val="Aptos Display"/>
      <family val="2"/>
      <scheme val="major"/>
    </font>
    <font>
      <u/>
      <sz val="11"/>
      <color theme="10"/>
      <name val="Aptos Narrow"/>
      <family val="2"/>
      <charset val="163"/>
      <scheme val="minor"/>
    </font>
    <font>
      <sz val="11"/>
      <color theme="1"/>
      <name val="Aptos Narrow"/>
      <family val="2"/>
      <charset val="163"/>
      <scheme val="minor"/>
    </font>
    <font>
      <sz val="11"/>
      <color theme="1"/>
      <name val="Aptos Narrow"/>
      <family val="2"/>
      <scheme val="minor"/>
    </font>
    <font>
      <sz val="9"/>
      <color theme="1"/>
      <name val="Aptos Display"/>
      <family val="2"/>
      <scheme val="major"/>
    </font>
    <font>
      <b/>
      <sz val="9"/>
      <color theme="0"/>
      <name val="Aptos Display"/>
      <family val="2"/>
      <scheme val="major"/>
    </font>
    <font>
      <b/>
      <sz val="9"/>
      <color theme="1"/>
      <name val="Aptos Display"/>
      <family val="2"/>
      <scheme val="major"/>
    </font>
    <font>
      <sz val="11"/>
      <color theme="0" tint="-0.249977111117893"/>
      <name val="Aptos Display"/>
      <family val="2"/>
      <scheme val="major"/>
    </font>
    <font>
      <sz val="9"/>
      <color theme="0" tint="-0.249977111117893"/>
      <name val="Aptos Display"/>
      <family val="2"/>
      <scheme val="major"/>
    </font>
    <font>
      <sz val="10"/>
      <color theme="1"/>
      <name val="Times New Roman"/>
      <family val="1"/>
    </font>
    <font>
      <b/>
      <sz val="11"/>
      <color rgb="FFFF0000"/>
      <name val="Aptos Narrow"/>
      <family val="2"/>
    </font>
    <font>
      <b/>
      <sz val="11"/>
      <color rgb="FF000000"/>
      <name val="Aptos Narrow"/>
      <family val="2"/>
    </font>
    <font>
      <b/>
      <sz val="11"/>
      <color rgb="FFFA7D00"/>
      <name val="Aptos Narrow"/>
      <family val="2"/>
    </font>
    <font>
      <b/>
      <sz val="11"/>
      <color rgb="FF0000FF"/>
      <name val="Aptos Narrow"/>
      <family val="2"/>
    </font>
    <font>
      <sz val="11"/>
      <color rgb="FF000000"/>
      <name val="Aptos Narrow"/>
      <family val="2"/>
    </font>
    <font>
      <b/>
      <sz val="18"/>
      <color rgb="FF0070C0"/>
      <name val="Arial"/>
      <family val="2"/>
    </font>
    <font>
      <sz val="11"/>
      <color theme="1"/>
      <name val="Arial"/>
      <family val="2"/>
    </font>
    <font>
      <b/>
      <sz val="13"/>
      <color theme="0"/>
      <name val="Arial"/>
      <family val="2"/>
    </font>
    <font>
      <b/>
      <sz val="13"/>
      <color rgb="FF0033CC"/>
      <name val="Arial"/>
      <family val="2"/>
    </font>
    <font>
      <sz val="13"/>
      <color theme="1"/>
      <name val="Arial"/>
      <family val="2"/>
    </font>
    <font>
      <sz val="13"/>
      <color rgb="FF0033CC"/>
      <name val="Arial"/>
      <family val="2"/>
    </font>
    <font>
      <b/>
      <sz val="13"/>
      <color rgb="FF0000FF"/>
      <name val="Arial"/>
      <family val="2"/>
    </font>
    <font>
      <b/>
      <sz val="11"/>
      <color theme="1"/>
      <name val="Arial"/>
      <family val="2"/>
    </font>
    <font>
      <sz val="13"/>
      <name val="Arial"/>
      <family val="2"/>
    </font>
    <font>
      <i/>
      <sz val="9"/>
      <color rgb="FFFF33CC"/>
      <name val="Aptos Display"/>
      <family val="2"/>
      <scheme val="major"/>
    </font>
    <font>
      <i/>
      <sz val="11"/>
      <color rgb="FFFF33CC"/>
      <name val="Aptos Display"/>
      <family val="2"/>
      <scheme val="major"/>
    </font>
    <font>
      <b/>
      <sz val="11"/>
      <color theme="1"/>
      <name val="Calibri"/>
      <family val="2"/>
    </font>
    <font>
      <b/>
      <sz val="11"/>
      <color theme="0" tint="-0.499984740745262"/>
      <name val="Calibri"/>
      <family val="2"/>
    </font>
    <font>
      <sz val="11"/>
      <color theme="0" tint="-0.499984740745262"/>
      <name val="Calibri"/>
      <family val="2"/>
    </font>
    <font>
      <sz val="11"/>
      <color rgb="FFFF0000"/>
      <name val="Calibri"/>
      <family val="2"/>
    </font>
    <font>
      <b/>
      <sz val="11"/>
      <name val="Calibri"/>
      <family val="2"/>
    </font>
    <font>
      <i/>
      <sz val="11"/>
      <color theme="1"/>
      <name val="Calibri"/>
      <family val="2"/>
    </font>
    <font>
      <b/>
      <sz val="11"/>
      <color rgb="FFC00000"/>
      <name val="Calibri"/>
      <family val="2"/>
    </font>
    <font>
      <i/>
      <sz val="11"/>
      <color theme="0" tint="-0.499984740745262"/>
      <name val="Calibri"/>
      <family val="2"/>
    </font>
    <font>
      <b/>
      <sz val="12"/>
      <color theme="1"/>
      <name val="Aptos Display"/>
      <family val="2"/>
      <scheme val="major"/>
    </font>
    <font>
      <b/>
      <sz val="11"/>
      <color rgb="FFFF0000"/>
      <name val="Calibri"/>
      <family val="2"/>
    </font>
    <font>
      <i/>
      <sz val="11"/>
      <color rgb="FFFF0000"/>
      <name val="Calibri"/>
      <family val="2"/>
    </font>
    <font>
      <i/>
      <sz val="11"/>
      <color theme="4" tint="0.39997558519241921"/>
      <name val="Aptos Display"/>
      <family val="2"/>
      <scheme val="major"/>
    </font>
    <font>
      <sz val="11"/>
      <color rgb="FF0000FF"/>
      <name val="Aptos Display"/>
      <family val="2"/>
      <scheme val="major"/>
    </font>
    <font>
      <i/>
      <sz val="11"/>
      <color rgb="FF0000FF"/>
      <name val="Aptos Display"/>
      <family val="2"/>
      <scheme val="major"/>
    </font>
    <font>
      <sz val="13"/>
      <color rgb="FF0000FF"/>
      <name val="Aptos Display"/>
      <family val="2"/>
      <scheme val="major"/>
    </font>
    <font>
      <sz val="15"/>
      <color rgb="FF0000FF"/>
      <name val="Aptos Display"/>
      <family val="2"/>
      <scheme val="major"/>
    </font>
    <font>
      <sz val="9"/>
      <color rgb="FF0000FF"/>
      <name val="Aptos Display"/>
      <family val="2"/>
      <scheme val="major"/>
    </font>
    <font>
      <b/>
      <sz val="12"/>
      <color theme="0"/>
      <name val="Aptos Display"/>
      <family val="2"/>
      <scheme val="major"/>
    </font>
    <font>
      <b/>
      <sz val="13"/>
      <color theme="0"/>
      <name val="Aptos Display"/>
      <family val="2"/>
      <scheme val="major"/>
    </font>
    <font>
      <b/>
      <sz val="9"/>
      <color rgb="FF0000FF"/>
      <name val="Aptos Display"/>
      <family val="2"/>
      <scheme val="major"/>
    </font>
    <font>
      <sz val="13"/>
      <color theme="1"/>
      <name val="Aptos Display"/>
      <family val="2"/>
      <scheme val="major"/>
    </font>
    <font>
      <i/>
      <sz val="11"/>
      <color theme="3" tint="0.499984740745262"/>
      <name val="Aptos Display"/>
      <family val="2"/>
      <scheme val="major"/>
    </font>
    <font>
      <i/>
      <sz val="9"/>
      <color theme="3" tint="0.499984740745262"/>
      <name val="Aptos Display"/>
      <family val="2"/>
      <scheme val="major"/>
    </font>
    <font>
      <b/>
      <sz val="11"/>
      <color theme="4" tint="0.39997558519241921"/>
      <name val="Aptos Display"/>
      <family val="2"/>
      <scheme val="major"/>
    </font>
    <font>
      <b/>
      <sz val="9"/>
      <color theme="4" tint="0.39997558519241921"/>
      <name val="Aptos Display"/>
      <family val="2"/>
      <scheme val="major"/>
    </font>
    <font>
      <sz val="11"/>
      <color theme="4" tint="0.39997558519241921"/>
      <name val="Aptos Display"/>
      <family val="2"/>
      <scheme val="major"/>
    </font>
    <font>
      <sz val="9"/>
      <color theme="4" tint="0.39997558519241921"/>
      <name val="Aptos Display"/>
      <family val="2"/>
      <scheme val="major"/>
    </font>
    <font>
      <b/>
      <sz val="11"/>
      <color theme="7" tint="-0.499984740745262"/>
      <name val="Aptos Display"/>
      <family val="2"/>
      <scheme val="major"/>
    </font>
    <font>
      <b/>
      <sz val="13"/>
      <color theme="7" tint="-0.499984740745262"/>
      <name val="Aptos Display"/>
      <family val="2"/>
      <scheme val="major"/>
    </font>
    <font>
      <b/>
      <sz val="9"/>
      <color theme="7" tint="-0.499984740745262"/>
      <name val="Aptos Display"/>
      <family val="2"/>
      <scheme val="major"/>
    </font>
    <font>
      <sz val="11"/>
      <color theme="0"/>
      <name val="Aptos Display"/>
      <family val="2"/>
      <scheme val="major"/>
    </font>
    <font>
      <b/>
      <sz val="11"/>
      <color rgb="FFFF0000"/>
      <name val="Aptos Display"/>
      <family val="2"/>
      <scheme val="major"/>
    </font>
    <font>
      <b/>
      <sz val="9"/>
      <color rgb="FFFF0000"/>
      <name val="Aptos Display"/>
      <family val="2"/>
      <scheme val="major"/>
    </font>
    <font>
      <sz val="11"/>
      <color rgb="FF0000FF"/>
      <name val="Arial"/>
      <family val="2"/>
    </font>
    <font>
      <b/>
      <sz val="11"/>
      <color rgb="FF0000FF"/>
      <name val="Arial"/>
      <family val="2"/>
    </font>
    <font>
      <b/>
      <sz val="13"/>
      <color theme="1"/>
      <name val="Arial"/>
      <family val="2"/>
    </font>
    <font>
      <i/>
      <sz val="11"/>
      <color rgb="FF00B0F0"/>
      <name val="Aptos Display"/>
      <family val="2"/>
      <scheme val="major"/>
    </font>
    <font>
      <b/>
      <sz val="11"/>
      <color rgb="FF002060"/>
      <name val="Aptos Display"/>
      <family val="2"/>
      <scheme val="major"/>
    </font>
    <font>
      <b/>
      <u/>
      <sz val="11"/>
      <color theme="1"/>
      <name val="Aptos Display"/>
      <family val="2"/>
      <scheme val="major"/>
    </font>
    <font>
      <b/>
      <sz val="11"/>
      <color rgb="FFFFFF00"/>
      <name val="Arial"/>
      <family val="2"/>
    </font>
    <font>
      <i/>
      <sz val="9"/>
      <color rgb="FF0000FF"/>
      <name val="Arial"/>
      <family val="2"/>
    </font>
    <font>
      <b/>
      <sz val="11"/>
      <color theme="0"/>
      <name val="Aptos Display"/>
      <family val="2"/>
      <scheme val="major"/>
    </font>
    <font>
      <sz val="11"/>
      <color rgb="FFFFFF00"/>
      <name val="Arial"/>
      <family val="2"/>
    </font>
    <font>
      <b/>
      <i/>
      <sz val="11"/>
      <color theme="1"/>
      <name val="Calibri"/>
      <family val="2"/>
    </font>
    <font>
      <b/>
      <i/>
      <sz val="11"/>
      <color theme="1"/>
      <name val="Aptos Narrow"/>
      <family val="2"/>
      <scheme val="minor"/>
    </font>
    <font>
      <i/>
      <sz val="11"/>
      <color theme="0"/>
      <name val="Aptos Display"/>
      <family val="2"/>
      <scheme val="major"/>
    </font>
    <font>
      <sz val="15"/>
      <color theme="7" tint="-0.249977111117893"/>
      <name val="Aptos Display"/>
      <family val="2"/>
      <scheme val="major"/>
    </font>
    <font>
      <b/>
      <sz val="15"/>
      <color theme="7" tint="-0.249977111117893"/>
      <name val="Aptos Display"/>
      <family val="2"/>
      <scheme val="major"/>
    </font>
    <font>
      <sz val="9"/>
      <color indexed="81"/>
      <name val="Tahoma"/>
      <family val="2"/>
    </font>
    <font>
      <b/>
      <sz val="9"/>
      <color indexed="81"/>
      <name val="Tahoma"/>
      <family val="2"/>
    </font>
    <font>
      <b/>
      <sz val="9"/>
      <color rgb="FFFF33CC"/>
      <name val="Aptos Display"/>
      <family val="2"/>
      <scheme val="major"/>
    </font>
    <font>
      <sz val="9"/>
      <color rgb="FFFF33CC"/>
      <name val="Aptos Display"/>
      <family val="2"/>
      <scheme val="major"/>
    </font>
    <font>
      <i/>
      <sz val="11"/>
      <color rgb="FF00B0F0"/>
      <name val="Arial"/>
      <family val="2"/>
    </font>
    <font>
      <i/>
      <u/>
      <sz val="13"/>
      <name val="Arial"/>
      <family val="2"/>
    </font>
    <font>
      <b/>
      <sz val="18"/>
      <color rgb="FFFF0000"/>
      <name val="Arial"/>
      <family val="2"/>
    </font>
    <font>
      <sz val="9"/>
      <color theme="1"/>
      <name val="Arial"/>
      <family val="2"/>
    </font>
    <font>
      <i/>
      <sz val="11"/>
      <color theme="0" tint="-0.249977111117893"/>
      <name val="Aptos Display"/>
      <family val="2"/>
      <scheme val="major"/>
    </font>
    <font>
      <b/>
      <sz val="11"/>
      <color theme="0" tint="-4.9989318521683403E-2"/>
      <name val="Aptos Display"/>
      <family val="2"/>
      <scheme val="major"/>
    </font>
    <font>
      <sz val="11"/>
      <color rgb="FF000099"/>
      <name val="Aptos Display"/>
      <family val="2"/>
      <scheme val="major"/>
    </font>
    <font>
      <b/>
      <sz val="11"/>
      <color theme="7" tint="-0.249977111117893"/>
      <name val="Aptos Display"/>
      <family val="2"/>
      <scheme val="major"/>
    </font>
    <font>
      <b/>
      <sz val="11"/>
      <color theme="3" tint="0.499984740745262"/>
      <name val="Aptos Display"/>
      <family val="2"/>
      <scheme val="major"/>
    </font>
    <font>
      <b/>
      <sz val="11"/>
      <color theme="7" tint="-0.249977111117893"/>
      <name val="Arial"/>
      <family val="2"/>
    </font>
    <font>
      <sz val="11"/>
      <color rgb="FFC00000"/>
      <name val="Aptos Display"/>
      <family val="2"/>
      <scheme val="major"/>
    </font>
    <font>
      <b/>
      <sz val="11"/>
      <color rgb="FFC00000"/>
      <name val="Aptos Display"/>
      <family val="2"/>
      <scheme val="major"/>
    </font>
    <font>
      <b/>
      <sz val="18"/>
      <color theme="1"/>
      <name val="Aptos Display"/>
      <family val="2"/>
      <scheme val="major"/>
    </font>
    <font>
      <b/>
      <sz val="18"/>
      <color rgb="FF0000FF"/>
      <name val="Aptos Display"/>
      <family val="2"/>
      <scheme val="major"/>
    </font>
    <font>
      <b/>
      <sz val="14"/>
      <color theme="0"/>
      <name val="Aptos Display"/>
      <family val="2"/>
      <scheme val="major"/>
    </font>
    <font>
      <sz val="14"/>
      <color rgb="FF0000FF"/>
      <name val="Aptos Display"/>
      <family val="2"/>
      <scheme val="major"/>
    </font>
    <font>
      <b/>
      <sz val="12"/>
      <color rgb="FF0000FF"/>
      <name val="Aptos Display"/>
      <family val="2"/>
      <scheme val="major"/>
    </font>
    <font>
      <sz val="12"/>
      <color rgb="FF0000FF"/>
      <name val="Aptos Display"/>
      <family val="2"/>
      <scheme val="major"/>
    </font>
    <font>
      <i/>
      <sz val="12"/>
      <color rgb="FF0000FF"/>
      <name val="Aptos Display"/>
      <family val="2"/>
      <scheme val="major"/>
    </font>
    <font>
      <b/>
      <sz val="13"/>
      <color theme="3"/>
      <name val="Arial"/>
      <family val="2"/>
    </font>
    <font>
      <b/>
      <u/>
      <sz val="11"/>
      <color theme="0" tint="-4.9989318521683403E-2"/>
      <name val="Aptos Display"/>
      <family val="2"/>
      <scheme val="major"/>
    </font>
  </fonts>
  <fills count="35">
    <fill>
      <patternFill patternType="none"/>
    </fill>
    <fill>
      <patternFill patternType="gray125"/>
    </fill>
    <fill>
      <patternFill patternType="solid">
        <fgColor theme="3" tint="0.249977111117893"/>
        <bgColor indexed="64"/>
      </patternFill>
    </fill>
    <fill>
      <patternFill patternType="solid">
        <fgColor rgb="FFFFFF00"/>
        <bgColor indexed="64"/>
      </patternFill>
    </fill>
    <fill>
      <patternFill patternType="solid">
        <fgColor rgb="FFFFFF99"/>
        <bgColor indexed="64"/>
      </patternFill>
    </fill>
    <fill>
      <patternFill patternType="solid">
        <fgColor rgb="FFCCCC00"/>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2F2F2"/>
        <bgColor indexed="64"/>
      </patternFill>
    </fill>
    <fill>
      <patternFill patternType="solid">
        <fgColor theme="6" tint="0.39997558519241921"/>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rgb="FF002060"/>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rgb="FF0000FF"/>
        <bgColor indexed="64"/>
      </patternFill>
    </fill>
    <fill>
      <patternFill patternType="solid">
        <fgColor rgb="FF000099"/>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499984740745262"/>
        <bgColor indexed="64"/>
      </patternFill>
    </fill>
  </fills>
  <borders count="1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style="thin">
        <color auto="1"/>
      </top>
      <bottom/>
      <diagonal/>
    </border>
    <border>
      <left/>
      <right/>
      <top style="thin">
        <color auto="1"/>
      </top>
      <bottom style="thin">
        <color auto="1"/>
      </bottom>
      <diagonal/>
    </border>
    <border>
      <left/>
      <right/>
      <top style="medium">
        <color auto="1"/>
      </top>
      <bottom style="medium">
        <color auto="1"/>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medium">
        <color rgb="FFB2B2B2"/>
      </left>
      <right/>
      <top style="medium">
        <color rgb="FFB2B2B2"/>
      </top>
      <bottom style="medium">
        <color rgb="FF7F7F7F"/>
      </bottom>
      <diagonal/>
    </border>
    <border>
      <left/>
      <right/>
      <top style="medium">
        <color rgb="FFB2B2B2"/>
      </top>
      <bottom style="medium">
        <color rgb="FF7F7F7F"/>
      </bottom>
      <diagonal/>
    </border>
    <border>
      <left/>
      <right style="medium">
        <color rgb="FFB2B2B2"/>
      </right>
      <top style="medium">
        <color rgb="FFB2B2B2"/>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medium">
        <color rgb="FF7F7F7F"/>
      </left>
      <right style="medium">
        <color rgb="FF7F7F7F"/>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B2B2B2"/>
      </left>
      <right/>
      <top/>
      <bottom style="medium">
        <color rgb="FF7F7F7F"/>
      </bottom>
      <diagonal/>
    </border>
    <border>
      <left/>
      <right/>
      <top/>
      <bottom style="medium">
        <color rgb="FF7F7F7F"/>
      </bottom>
      <diagonal/>
    </border>
    <border>
      <left/>
      <right style="medium">
        <color rgb="FFB2B2B2"/>
      </right>
      <top/>
      <bottom style="medium">
        <color rgb="FF7F7F7F"/>
      </bottom>
      <diagonal/>
    </border>
    <border>
      <left/>
      <right/>
      <top/>
      <bottom style="medium">
        <color rgb="FFB2B2B2"/>
      </bottom>
      <diagonal/>
    </border>
    <border>
      <left style="medium">
        <color rgb="FFB2B2B2"/>
      </left>
      <right/>
      <top style="medium">
        <color rgb="FF7F7F7F"/>
      </top>
      <bottom style="medium">
        <color rgb="FF7F7F7F"/>
      </bottom>
      <diagonal/>
    </border>
    <border>
      <left/>
      <right/>
      <top style="medium">
        <color rgb="FF7F7F7F"/>
      </top>
      <bottom style="medium">
        <color rgb="FF7F7F7F"/>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2" tint="-9.9948118533890809E-2"/>
      </left>
      <right style="thin">
        <color theme="2" tint="-9.9948118533890809E-2"/>
      </right>
      <top style="thin">
        <color theme="2" tint="-9.9948118533890809E-2"/>
      </top>
      <bottom/>
      <diagonal/>
    </border>
    <border>
      <left style="medium">
        <color auto="1"/>
      </left>
      <right/>
      <top style="medium">
        <color auto="1"/>
      </top>
      <bottom style="medium">
        <color auto="1"/>
      </bottom>
      <diagonal/>
    </border>
    <border>
      <left style="medium">
        <color auto="1"/>
      </left>
      <right/>
      <top/>
      <bottom/>
      <diagonal/>
    </border>
    <border>
      <left/>
      <right style="medium">
        <color auto="1"/>
      </right>
      <top/>
      <bottom/>
      <diagonal/>
    </border>
    <border>
      <left/>
      <right/>
      <top/>
      <bottom style="thin">
        <color auto="1"/>
      </bottom>
      <diagonal/>
    </border>
    <border>
      <left/>
      <right/>
      <top/>
      <bottom style="dotted">
        <color auto="1"/>
      </bottom>
      <diagonal/>
    </border>
    <border>
      <left/>
      <right/>
      <top style="dotted">
        <color auto="1"/>
      </top>
      <bottom style="dotted">
        <color auto="1"/>
      </bottom>
      <diagonal/>
    </border>
    <border>
      <left/>
      <right/>
      <top style="hair">
        <color theme="0" tint="-0.24994659260841701"/>
      </top>
      <bottom style="dotted">
        <color auto="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medium">
        <color auto="1"/>
      </bottom>
      <diagonal/>
    </border>
    <border>
      <left/>
      <right style="thin">
        <color theme="0" tint="-0.24994659260841701"/>
      </right>
      <top/>
      <bottom style="medium">
        <color auto="1"/>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style="thin">
        <color theme="2" tint="-9.9948118533890809E-2"/>
      </top>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right style="thin">
        <color theme="2" tint="-9.9948118533890809E-2"/>
      </right>
      <top style="thin">
        <color theme="2" tint="-9.9948118533890809E-2"/>
      </top>
      <bottom/>
      <diagonal/>
    </border>
    <border>
      <left/>
      <right style="thin">
        <color theme="2" tint="-9.9948118533890809E-2"/>
      </right>
      <top/>
      <bottom style="thin">
        <color theme="2" tint="-9.9948118533890809E-2"/>
      </bottom>
      <diagonal/>
    </border>
    <border>
      <left style="thick">
        <color rgb="FFC00000"/>
      </left>
      <right style="thin">
        <color theme="2" tint="-9.9948118533890809E-2"/>
      </right>
      <top style="thick">
        <color rgb="FFC00000"/>
      </top>
      <bottom style="thin">
        <color theme="2" tint="-9.9948118533890809E-2"/>
      </bottom>
      <diagonal/>
    </border>
    <border>
      <left style="thin">
        <color theme="2" tint="-9.9948118533890809E-2"/>
      </left>
      <right style="thick">
        <color rgb="FFC00000"/>
      </right>
      <top style="thick">
        <color rgb="FFC00000"/>
      </top>
      <bottom style="thin">
        <color theme="2" tint="-9.9948118533890809E-2"/>
      </bottom>
      <diagonal/>
    </border>
    <border>
      <left style="thick">
        <color rgb="FFC00000"/>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rgb="FFC00000"/>
      </right>
      <top style="thin">
        <color theme="2" tint="-9.9948118533890809E-2"/>
      </top>
      <bottom style="thin">
        <color theme="2" tint="-9.9948118533890809E-2"/>
      </bottom>
      <diagonal/>
    </border>
    <border>
      <left style="thick">
        <color rgb="FFC00000"/>
      </left>
      <right style="thin">
        <color theme="2" tint="-9.9948118533890809E-2"/>
      </right>
      <top style="thin">
        <color theme="2" tint="-9.9948118533890809E-2"/>
      </top>
      <bottom/>
      <diagonal/>
    </border>
    <border>
      <left style="thin">
        <color theme="2" tint="-9.9948118533890809E-2"/>
      </left>
      <right style="thick">
        <color rgb="FFC00000"/>
      </right>
      <top style="thin">
        <color theme="2" tint="-9.9948118533890809E-2"/>
      </top>
      <bottom/>
      <diagonal/>
    </border>
    <border>
      <left style="thick">
        <color rgb="FFC00000"/>
      </left>
      <right style="thin">
        <color theme="2" tint="-9.9948118533890809E-2"/>
      </right>
      <top/>
      <bottom style="thin">
        <color theme="2" tint="-9.9948118533890809E-2"/>
      </bottom>
      <diagonal/>
    </border>
    <border>
      <left style="thin">
        <color theme="2" tint="-9.9948118533890809E-2"/>
      </left>
      <right style="thick">
        <color rgb="FFC00000"/>
      </right>
      <top/>
      <bottom style="thin">
        <color theme="2" tint="-9.9948118533890809E-2"/>
      </bottom>
      <diagonal/>
    </border>
    <border>
      <left style="thick">
        <color rgb="FFC00000"/>
      </left>
      <right style="thin">
        <color theme="2" tint="-9.9948118533890809E-2"/>
      </right>
      <top style="thin">
        <color theme="2" tint="-9.9948118533890809E-2"/>
      </top>
      <bottom style="thick">
        <color rgb="FFC00000"/>
      </bottom>
      <diagonal/>
    </border>
    <border>
      <left style="thin">
        <color theme="2" tint="-9.9948118533890809E-2"/>
      </left>
      <right style="thick">
        <color rgb="FFC00000"/>
      </right>
      <top style="thin">
        <color theme="2" tint="-9.9948118533890809E-2"/>
      </top>
      <bottom style="thick">
        <color rgb="FFC00000"/>
      </bottom>
      <diagonal/>
    </border>
    <border>
      <left/>
      <right/>
      <top/>
      <bottom style="hair">
        <color theme="0" tint="-0.14996795556505021"/>
      </bottom>
      <diagonal/>
    </border>
    <border>
      <left/>
      <right/>
      <top style="hair">
        <color theme="0" tint="-0.14996795556505021"/>
      </top>
      <bottom style="hair">
        <color theme="0" tint="-0.14996795556505021"/>
      </bottom>
      <diagonal/>
    </border>
    <border>
      <left/>
      <right/>
      <top/>
      <bottom style="thin">
        <color rgb="FF0033CC"/>
      </bottom>
      <diagonal/>
    </border>
    <border>
      <left style="medium">
        <color theme="1"/>
      </left>
      <right/>
      <top style="medium">
        <color theme="1"/>
      </top>
      <bottom style="hair">
        <color theme="0" tint="-0.14996795556505021"/>
      </bottom>
      <diagonal/>
    </border>
    <border>
      <left/>
      <right/>
      <top style="medium">
        <color theme="1"/>
      </top>
      <bottom style="hair">
        <color theme="0" tint="-0.14996795556505021"/>
      </bottom>
      <diagonal/>
    </border>
    <border>
      <left style="medium">
        <color theme="1"/>
      </left>
      <right/>
      <top style="hair">
        <color theme="0" tint="-0.14996795556505021"/>
      </top>
      <bottom style="hair">
        <color theme="0" tint="-0.14996795556505021"/>
      </bottom>
      <diagonal/>
    </border>
    <border>
      <left style="medium">
        <color theme="1"/>
      </left>
      <right/>
      <top style="hair">
        <color theme="0" tint="-0.14996795556505021"/>
      </top>
      <bottom style="medium">
        <color theme="1"/>
      </bottom>
      <diagonal/>
    </border>
    <border>
      <left/>
      <right/>
      <top style="hair">
        <color theme="0" tint="-0.14996795556505021"/>
      </top>
      <bottom style="medium">
        <color theme="1"/>
      </bottom>
      <diagonal/>
    </border>
    <border>
      <left/>
      <right/>
      <top style="medium">
        <color auto="1"/>
      </top>
      <bottom style="hair">
        <color theme="0" tint="-0.14996795556505021"/>
      </bottom>
      <diagonal/>
    </border>
    <border>
      <left style="thin">
        <color theme="0" tint="-0.24994659260841701"/>
      </left>
      <right/>
      <top style="medium">
        <color auto="1"/>
      </top>
      <bottom style="hair">
        <color theme="0" tint="-0.14996795556505021"/>
      </bottom>
      <diagonal/>
    </border>
    <border>
      <left/>
      <right style="thin">
        <color theme="0" tint="-0.24994659260841701"/>
      </right>
      <top style="medium">
        <color auto="1"/>
      </top>
      <bottom style="hair">
        <color theme="0" tint="-0.14996795556505021"/>
      </bottom>
      <diagonal/>
    </border>
    <border>
      <left style="thin">
        <color theme="0" tint="-0.24994659260841701"/>
      </left>
      <right/>
      <top style="hair">
        <color theme="0" tint="-0.14996795556505021"/>
      </top>
      <bottom style="hair">
        <color theme="0" tint="-0.14996795556505021"/>
      </bottom>
      <diagonal/>
    </border>
    <border>
      <left/>
      <right style="thin">
        <color theme="0" tint="-0.24994659260841701"/>
      </right>
      <top style="hair">
        <color theme="0" tint="-0.14996795556505021"/>
      </top>
      <bottom style="hair">
        <color theme="0" tint="-0.14996795556505021"/>
      </bottom>
      <diagonal/>
    </border>
    <border>
      <left/>
      <right/>
      <top/>
      <bottom style="thin">
        <color theme="0"/>
      </bottom>
      <diagonal/>
    </border>
    <border>
      <left/>
      <right/>
      <top style="thin">
        <color theme="0"/>
      </top>
      <bottom/>
      <diagonal/>
    </border>
    <border>
      <left/>
      <right/>
      <top style="thin">
        <color auto="1"/>
      </top>
      <bottom style="hair">
        <color theme="0" tint="-0.14996795556505021"/>
      </bottom>
      <diagonal/>
    </border>
    <border>
      <left/>
      <right/>
      <top style="thin">
        <color auto="1"/>
      </top>
      <bottom style="hair">
        <color theme="3" tint="0.499984740745262"/>
      </bottom>
      <diagonal/>
    </border>
    <border>
      <left/>
      <right/>
      <top style="hair">
        <color theme="3" tint="0.499984740745262"/>
      </top>
      <bottom style="hair">
        <color theme="3" tint="0.499984740745262"/>
      </bottom>
      <diagonal/>
    </border>
    <border>
      <left/>
      <right/>
      <top/>
      <bottom style="hair">
        <color theme="3" tint="0.499984740745262"/>
      </bottom>
      <diagonal/>
    </border>
    <border>
      <left/>
      <right/>
      <top style="thin">
        <color auto="1"/>
      </top>
      <bottom style="hair">
        <color theme="5" tint="-0.24994659260841701"/>
      </bottom>
      <diagonal/>
    </border>
    <border>
      <left/>
      <right/>
      <top style="hair">
        <color theme="5" tint="-0.24994659260841701"/>
      </top>
      <bottom style="hair">
        <color theme="5" tint="-0.24994659260841701"/>
      </bottom>
      <diagonal/>
    </border>
    <border>
      <left/>
      <right/>
      <top/>
      <bottom style="hair">
        <color theme="5" tint="-0.24994659260841701"/>
      </bottom>
      <diagonal/>
    </border>
    <border>
      <left/>
      <right/>
      <top style="hair">
        <color theme="0" tint="-0.14996795556505021"/>
      </top>
      <bottom/>
      <diagonal/>
    </border>
    <border>
      <left/>
      <right/>
      <top style="hair">
        <color theme="3" tint="0.499984740745262"/>
      </top>
      <bottom/>
      <diagonal/>
    </border>
    <border>
      <left/>
      <right/>
      <top style="hair">
        <color theme="5" tint="-0.24994659260841701"/>
      </top>
      <bottom/>
      <diagonal/>
    </border>
    <border>
      <left/>
      <right/>
      <top/>
      <bottom style="thin">
        <color rgb="FF0000FF"/>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style="thin">
        <color theme="0" tint="-0.24994659260841701"/>
      </left>
      <right/>
      <top style="medium">
        <color auto="1"/>
      </top>
      <bottom/>
      <diagonal/>
    </border>
    <border>
      <left/>
      <right style="thin">
        <color theme="0" tint="-0.24994659260841701"/>
      </right>
      <top style="medium">
        <color auto="1"/>
      </top>
      <bottom/>
      <diagonal/>
    </border>
    <border>
      <left style="medium">
        <color theme="1"/>
      </left>
      <right style="thin">
        <color theme="2" tint="-9.9948118533890809E-2"/>
      </right>
      <top style="thin">
        <color theme="2" tint="-9.9948118533890809E-2"/>
      </top>
      <bottom style="thin">
        <color theme="2" tint="-9.9948118533890809E-2"/>
      </bottom>
      <diagonal/>
    </border>
    <border>
      <left style="thin">
        <color theme="2" tint="-9.9948118533890809E-2"/>
      </left>
      <right style="medium">
        <color theme="1"/>
      </right>
      <top style="thin">
        <color theme="2" tint="-9.9948118533890809E-2"/>
      </top>
      <bottom style="thin">
        <color theme="2" tint="-9.9948118533890809E-2"/>
      </bottom>
      <diagonal/>
    </border>
    <border>
      <left style="medium">
        <color theme="1"/>
      </left>
      <right style="thin">
        <color theme="2" tint="-9.9948118533890809E-2"/>
      </right>
      <top style="thin">
        <color theme="2" tint="-9.9948118533890809E-2"/>
      </top>
      <bottom/>
      <diagonal/>
    </border>
    <border>
      <left style="thin">
        <color theme="2" tint="-9.9948118533890809E-2"/>
      </left>
      <right style="medium">
        <color theme="1"/>
      </right>
      <top style="thin">
        <color theme="2" tint="-9.9948118533890809E-2"/>
      </top>
      <bottom/>
      <diagonal/>
    </border>
    <border>
      <left style="medium">
        <color theme="1"/>
      </left>
      <right style="thin">
        <color theme="2" tint="-9.9948118533890809E-2"/>
      </right>
      <top/>
      <bottom style="thin">
        <color theme="2" tint="-9.9948118533890809E-2"/>
      </bottom>
      <diagonal/>
    </border>
    <border>
      <left style="thin">
        <color theme="2" tint="-9.9948118533890809E-2"/>
      </left>
      <right style="medium">
        <color theme="1"/>
      </right>
      <top/>
      <bottom style="thin">
        <color theme="2" tint="-9.9948118533890809E-2"/>
      </bottom>
      <diagonal/>
    </border>
    <border>
      <left/>
      <right/>
      <top style="thin">
        <color theme="2" tint="-9.9948118533890809E-2"/>
      </top>
      <bottom/>
      <diagonal/>
    </border>
    <border>
      <left/>
      <right/>
      <top style="thick">
        <color rgb="FFC00000"/>
      </top>
      <bottom/>
      <diagonal/>
    </border>
    <border>
      <left/>
      <right/>
      <top style="medium">
        <color theme="1"/>
      </top>
      <bottom/>
      <diagonal/>
    </border>
    <border>
      <left/>
      <right/>
      <top/>
      <bottom style="medium">
        <color theme="1"/>
      </bottom>
      <diagonal/>
    </border>
    <border>
      <left/>
      <right/>
      <top style="hair">
        <color theme="0" tint="-0.14996795556505021"/>
      </top>
      <bottom style="medium">
        <color auto="1"/>
      </bottom>
      <diagonal/>
    </border>
    <border>
      <left/>
      <right style="medium">
        <color auto="1"/>
      </right>
      <top style="medium">
        <color auto="1"/>
      </top>
      <bottom style="hair">
        <color theme="0" tint="-0.14996795556505021"/>
      </bottom>
      <diagonal/>
    </border>
    <border>
      <left/>
      <right style="medium">
        <color auto="1"/>
      </right>
      <top style="hair">
        <color theme="0" tint="-0.14996795556505021"/>
      </top>
      <bottom style="hair">
        <color theme="0" tint="-0.14996795556505021"/>
      </bottom>
      <diagonal/>
    </border>
    <border>
      <left/>
      <right style="medium">
        <color auto="1"/>
      </right>
      <top style="hair">
        <color theme="0" tint="-0.14996795556505021"/>
      </top>
      <bottom style="medium">
        <color auto="1"/>
      </bottom>
      <diagonal/>
    </border>
    <border>
      <left style="thick">
        <color rgb="FFFF0000"/>
      </left>
      <right style="thin">
        <color theme="2" tint="-9.9948118533890809E-2"/>
      </right>
      <top style="thick">
        <color rgb="FFFF0000"/>
      </top>
      <bottom style="thin">
        <color theme="2" tint="-9.9948118533890809E-2"/>
      </bottom>
      <diagonal/>
    </border>
    <border>
      <left style="thin">
        <color theme="2" tint="-9.9948118533890809E-2"/>
      </left>
      <right style="thick">
        <color rgb="FFFF0000"/>
      </right>
      <top style="thick">
        <color rgb="FFFF0000"/>
      </top>
      <bottom style="thin">
        <color theme="2" tint="-9.9948118533890809E-2"/>
      </bottom>
      <diagonal/>
    </border>
    <border>
      <left style="thick">
        <color rgb="FFFF0000"/>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rgb="FFFF0000"/>
      </right>
      <top style="thin">
        <color theme="2" tint="-9.9948118533890809E-2"/>
      </top>
      <bottom style="thin">
        <color theme="2" tint="-9.9948118533890809E-2"/>
      </bottom>
      <diagonal/>
    </border>
    <border>
      <left style="thick">
        <color rgb="FFFF0000"/>
      </left>
      <right style="thin">
        <color theme="2" tint="-9.9948118533890809E-2"/>
      </right>
      <top style="thin">
        <color theme="2" tint="-9.9948118533890809E-2"/>
      </top>
      <bottom/>
      <diagonal/>
    </border>
    <border>
      <left style="thin">
        <color theme="2" tint="-9.9948118533890809E-2"/>
      </left>
      <right style="thick">
        <color rgb="FFFF0000"/>
      </right>
      <top style="thin">
        <color theme="2" tint="-9.9948118533890809E-2"/>
      </top>
      <bottom/>
      <diagonal/>
    </border>
    <border>
      <left style="thick">
        <color rgb="FFFF0000"/>
      </left>
      <right style="thin">
        <color theme="2" tint="-9.9948118533890809E-2"/>
      </right>
      <top/>
      <bottom style="thin">
        <color theme="2" tint="-9.9948118533890809E-2"/>
      </bottom>
      <diagonal/>
    </border>
    <border>
      <left style="thin">
        <color theme="2" tint="-9.9948118533890809E-2"/>
      </left>
      <right style="thick">
        <color rgb="FFFF0000"/>
      </right>
      <top/>
      <bottom style="thin">
        <color theme="2" tint="-9.9948118533890809E-2"/>
      </bottom>
      <diagonal/>
    </border>
    <border>
      <left style="thick">
        <color rgb="FFFF0000"/>
      </left>
      <right style="thin">
        <color theme="2" tint="-9.9948118533890809E-2"/>
      </right>
      <top style="thin">
        <color theme="2" tint="-9.9948118533890809E-2"/>
      </top>
      <bottom style="thick">
        <color rgb="FFFF0000"/>
      </bottom>
      <diagonal/>
    </border>
    <border>
      <left style="thin">
        <color theme="2" tint="-9.9948118533890809E-2"/>
      </left>
      <right style="thick">
        <color rgb="FFFF0000"/>
      </right>
      <top style="thin">
        <color theme="2" tint="-9.9948118533890809E-2"/>
      </top>
      <bottom style="thick">
        <color rgb="FFFF0000"/>
      </bottom>
      <diagonal/>
    </border>
    <border>
      <left/>
      <right/>
      <top/>
      <bottom style="hair">
        <color theme="0" tint="-0.24994659260841701"/>
      </bottom>
      <diagonal/>
    </border>
    <border>
      <left/>
      <right/>
      <top style="hair">
        <color theme="0" tint="-0.24994659260841701"/>
      </top>
      <bottom style="hair">
        <color theme="0" tint="-0.24994659260841701"/>
      </bottom>
      <diagonal/>
    </border>
    <border>
      <left/>
      <right style="medium">
        <color auto="1"/>
      </right>
      <top style="medium">
        <color auto="1"/>
      </top>
      <bottom style="medium">
        <color auto="1"/>
      </bottom>
      <diagonal/>
    </border>
    <border>
      <left/>
      <right/>
      <top style="hair">
        <color theme="0" tint="-0.14996795556505021"/>
      </top>
      <bottom style="hair">
        <color theme="0" tint="-0.14993743705557422"/>
      </bottom>
      <diagonal/>
    </border>
    <border>
      <left/>
      <right/>
      <top style="hair">
        <color theme="0" tint="-0.14993743705557422"/>
      </top>
      <bottom style="hair">
        <color theme="0" tint="-0.14993743705557422"/>
      </bottom>
      <diagonal/>
    </border>
    <border>
      <left/>
      <right/>
      <top style="thin">
        <color auto="1"/>
      </top>
      <bottom style="hair">
        <color auto="1"/>
      </bottom>
      <diagonal/>
    </border>
    <border>
      <left/>
      <right/>
      <top style="hair">
        <color auto="1"/>
      </top>
      <bottom style="thin">
        <color auto="1"/>
      </bottom>
      <diagonal/>
    </border>
    <border>
      <left/>
      <right style="thick">
        <color rgb="FFC00000"/>
      </right>
      <top/>
      <bottom/>
      <diagonal/>
    </border>
    <border>
      <left/>
      <right style="thick">
        <color rgb="FFC00000"/>
      </right>
      <top/>
      <bottom style="thick">
        <color rgb="FFC00000"/>
      </bottom>
      <diagonal/>
    </border>
    <border>
      <left style="thick">
        <color rgb="FFC00000"/>
      </left>
      <right/>
      <top/>
      <bottom/>
      <diagonal/>
    </border>
    <border>
      <left style="thick">
        <color rgb="FFC00000"/>
      </left>
      <right/>
      <top/>
      <bottom style="hair">
        <color theme="0" tint="-0.14996795556505021"/>
      </bottom>
      <diagonal/>
    </border>
    <border>
      <left style="thick">
        <color rgb="FFC00000"/>
      </left>
      <right/>
      <top style="hair">
        <color theme="0" tint="-0.14996795556505021"/>
      </top>
      <bottom style="hair">
        <color theme="0" tint="-0.14996795556505021"/>
      </bottom>
      <diagonal/>
    </border>
    <border>
      <left style="thick">
        <color rgb="FFC00000"/>
      </left>
      <right/>
      <top style="hair">
        <color theme="0" tint="-0.14996795556505021"/>
      </top>
      <bottom/>
      <diagonal/>
    </border>
    <border>
      <left style="thick">
        <color rgb="FFC00000"/>
      </left>
      <right/>
      <top style="hair">
        <color theme="0" tint="-0.14996795556505021"/>
      </top>
      <bottom style="hair">
        <color theme="0" tint="-0.14993743705557422"/>
      </bottom>
      <diagonal/>
    </border>
    <border>
      <left style="thick">
        <color rgb="FFC00000"/>
      </left>
      <right/>
      <top style="hair">
        <color theme="0" tint="-0.14993743705557422"/>
      </top>
      <bottom style="hair">
        <color theme="0" tint="-0.14993743705557422"/>
      </bottom>
      <diagonal/>
    </border>
    <border>
      <left style="thick">
        <color rgb="FFC00000"/>
      </left>
      <right/>
      <top/>
      <bottom style="thick">
        <color rgb="FFC00000"/>
      </bottom>
      <diagonal/>
    </border>
    <border>
      <left style="thick">
        <color rgb="FFC00000"/>
      </left>
      <right/>
      <top style="thick">
        <color rgb="FFC00000"/>
      </top>
      <bottom style="thin">
        <color theme="0"/>
      </bottom>
      <diagonal/>
    </border>
    <border>
      <left/>
      <right style="thick">
        <color rgb="FFC00000"/>
      </right>
      <top style="thick">
        <color rgb="FFC00000"/>
      </top>
      <bottom style="thin">
        <color theme="0"/>
      </bottom>
      <diagonal/>
    </border>
    <border>
      <left/>
      <right style="thick">
        <color rgb="FFC00000"/>
      </right>
      <top style="thin">
        <color theme="0"/>
      </top>
      <bottom/>
      <diagonal/>
    </border>
    <border>
      <left/>
      <right style="thick">
        <color rgb="FFC00000"/>
      </right>
      <top/>
      <bottom style="hair">
        <color theme="0" tint="-0.14996795556505021"/>
      </bottom>
      <diagonal/>
    </border>
    <border>
      <left/>
      <right style="thick">
        <color rgb="FFC00000"/>
      </right>
      <top style="hair">
        <color theme="0" tint="-0.14996795556505021"/>
      </top>
      <bottom style="hair">
        <color theme="0" tint="-0.14996795556505021"/>
      </bottom>
      <diagonal/>
    </border>
    <border>
      <left style="thick">
        <color theme="7" tint="-0.24994659260841701"/>
      </left>
      <right/>
      <top style="thick">
        <color theme="7" tint="-0.24994659260841701"/>
      </top>
      <bottom style="thin">
        <color theme="0"/>
      </bottom>
      <diagonal/>
    </border>
    <border>
      <left/>
      <right style="thick">
        <color theme="7" tint="-0.24994659260841701"/>
      </right>
      <top style="thick">
        <color theme="7" tint="-0.24994659260841701"/>
      </top>
      <bottom style="thin">
        <color theme="0"/>
      </bottom>
      <diagonal/>
    </border>
    <border>
      <left style="thick">
        <color theme="7" tint="-0.24994659260841701"/>
      </left>
      <right/>
      <top/>
      <bottom/>
      <diagonal/>
    </border>
    <border>
      <left/>
      <right style="thick">
        <color theme="7" tint="-0.24994659260841701"/>
      </right>
      <top style="thin">
        <color theme="0"/>
      </top>
      <bottom/>
      <diagonal/>
    </border>
    <border>
      <left/>
      <right style="thick">
        <color theme="7" tint="-0.24994659260841701"/>
      </right>
      <top/>
      <bottom/>
      <diagonal/>
    </border>
    <border>
      <left style="thick">
        <color theme="7" tint="-0.24994659260841701"/>
      </left>
      <right/>
      <top/>
      <bottom style="hair">
        <color theme="0" tint="-0.14996795556505021"/>
      </bottom>
      <diagonal/>
    </border>
    <border>
      <left/>
      <right style="thick">
        <color theme="7" tint="-0.24994659260841701"/>
      </right>
      <top/>
      <bottom style="hair">
        <color theme="0" tint="-0.14996795556505021"/>
      </bottom>
      <diagonal/>
    </border>
    <border>
      <left style="thick">
        <color theme="7" tint="-0.24994659260841701"/>
      </left>
      <right/>
      <top style="hair">
        <color theme="0" tint="-0.14996795556505021"/>
      </top>
      <bottom style="hair">
        <color theme="0" tint="-0.14996795556505021"/>
      </bottom>
      <diagonal/>
    </border>
    <border>
      <left/>
      <right style="thick">
        <color theme="7" tint="-0.24994659260841701"/>
      </right>
      <top style="hair">
        <color theme="0" tint="-0.14996795556505021"/>
      </top>
      <bottom style="hair">
        <color theme="0" tint="-0.14996795556505021"/>
      </bottom>
      <diagonal/>
    </border>
    <border>
      <left style="thick">
        <color theme="7" tint="-0.24994659260841701"/>
      </left>
      <right/>
      <top style="hair">
        <color theme="0" tint="-0.14996795556505021"/>
      </top>
      <bottom/>
      <diagonal/>
    </border>
    <border>
      <left style="thick">
        <color theme="7" tint="-0.24994659260841701"/>
      </left>
      <right/>
      <top style="hair">
        <color theme="0" tint="-0.14996795556505021"/>
      </top>
      <bottom style="hair">
        <color theme="0" tint="-0.14993743705557422"/>
      </bottom>
      <diagonal/>
    </border>
    <border>
      <left style="thick">
        <color theme="7" tint="-0.24994659260841701"/>
      </left>
      <right/>
      <top style="hair">
        <color theme="0" tint="-0.14993743705557422"/>
      </top>
      <bottom style="hair">
        <color theme="0" tint="-0.14993743705557422"/>
      </bottom>
      <diagonal/>
    </border>
    <border>
      <left style="thick">
        <color theme="7" tint="-0.24994659260841701"/>
      </left>
      <right/>
      <top/>
      <bottom style="thick">
        <color theme="7" tint="-0.24994659260841701"/>
      </bottom>
      <diagonal/>
    </border>
    <border>
      <left/>
      <right style="thick">
        <color theme="7" tint="-0.24994659260841701"/>
      </right>
      <top/>
      <bottom style="thick">
        <color theme="7" tint="-0.24994659260841701"/>
      </bottom>
      <diagonal/>
    </border>
    <border>
      <left style="thick">
        <color theme="8" tint="0.39994506668294322"/>
      </left>
      <right/>
      <top style="thick">
        <color theme="8" tint="0.39994506668294322"/>
      </top>
      <bottom style="thin">
        <color theme="0"/>
      </bottom>
      <diagonal/>
    </border>
    <border>
      <left/>
      <right style="thick">
        <color theme="8" tint="0.39994506668294322"/>
      </right>
      <top style="thick">
        <color theme="8" tint="0.39994506668294322"/>
      </top>
      <bottom style="thin">
        <color theme="0"/>
      </bottom>
      <diagonal/>
    </border>
    <border>
      <left style="thick">
        <color theme="8" tint="0.39994506668294322"/>
      </left>
      <right/>
      <top/>
      <bottom/>
      <diagonal/>
    </border>
    <border>
      <left/>
      <right style="thick">
        <color theme="8" tint="0.39994506668294322"/>
      </right>
      <top style="thin">
        <color theme="0"/>
      </top>
      <bottom/>
      <diagonal/>
    </border>
    <border>
      <left/>
      <right style="thick">
        <color theme="8" tint="0.39994506668294322"/>
      </right>
      <top/>
      <bottom/>
      <diagonal/>
    </border>
    <border>
      <left style="thick">
        <color theme="8" tint="0.39994506668294322"/>
      </left>
      <right/>
      <top/>
      <bottom style="hair">
        <color theme="0" tint="-0.14996795556505021"/>
      </bottom>
      <diagonal/>
    </border>
    <border>
      <left/>
      <right style="thick">
        <color theme="8" tint="0.39994506668294322"/>
      </right>
      <top/>
      <bottom style="hair">
        <color theme="0" tint="-0.14996795556505021"/>
      </bottom>
      <diagonal/>
    </border>
    <border>
      <left style="thick">
        <color theme="8" tint="0.39994506668294322"/>
      </left>
      <right/>
      <top style="hair">
        <color theme="0" tint="-0.14996795556505021"/>
      </top>
      <bottom style="hair">
        <color theme="0" tint="-0.14996795556505021"/>
      </bottom>
      <diagonal/>
    </border>
    <border>
      <left/>
      <right style="thick">
        <color theme="8" tint="0.39994506668294322"/>
      </right>
      <top style="hair">
        <color theme="0" tint="-0.14996795556505021"/>
      </top>
      <bottom style="hair">
        <color theme="0" tint="-0.14996795556505021"/>
      </bottom>
      <diagonal/>
    </border>
    <border>
      <left style="thick">
        <color theme="8" tint="0.39994506668294322"/>
      </left>
      <right/>
      <top style="hair">
        <color theme="0" tint="-0.14996795556505021"/>
      </top>
      <bottom/>
      <diagonal/>
    </border>
    <border>
      <left style="thick">
        <color theme="8" tint="0.39994506668294322"/>
      </left>
      <right/>
      <top style="hair">
        <color theme="0" tint="-0.14996795556505021"/>
      </top>
      <bottom style="hair">
        <color theme="0" tint="-0.14993743705557422"/>
      </bottom>
      <diagonal/>
    </border>
    <border>
      <left style="thick">
        <color theme="8" tint="0.39994506668294322"/>
      </left>
      <right/>
      <top style="hair">
        <color theme="0" tint="-0.14993743705557422"/>
      </top>
      <bottom style="hair">
        <color theme="0" tint="-0.14993743705557422"/>
      </bottom>
      <diagonal/>
    </border>
    <border>
      <left style="thick">
        <color theme="8" tint="0.39994506668294322"/>
      </left>
      <right/>
      <top/>
      <bottom style="thick">
        <color theme="8" tint="0.39994506668294322"/>
      </bottom>
      <diagonal/>
    </border>
    <border>
      <left/>
      <right style="thick">
        <color theme="8" tint="0.39994506668294322"/>
      </right>
      <top/>
      <bottom style="thick">
        <color theme="8" tint="0.39994506668294322"/>
      </bottom>
      <diagonal/>
    </border>
    <border>
      <left/>
      <right/>
      <top style="hair">
        <color theme="0" tint="-0.14993743705557422"/>
      </top>
      <bottom style="hair">
        <color theme="0" tint="-0.14990691854609822"/>
      </bottom>
      <diagonal/>
    </border>
    <border>
      <left/>
      <right/>
      <top style="hair">
        <color theme="0" tint="-0.14990691854609822"/>
      </top>
      <bottom style="hair">
        <color theme="0" tint="-0.14990691854609822"/>
      </bottom>
      <diagonal/>
    </border>
    <border>
      <left/>
      <right/>
      <top style="hair">
        <color theme="0" tint="-0.14990691854609822"/>
      </top>
      <bottom style="hair">
        <color theme="0" tint="-0.14993743705557422"/>
      </bottom>
      <diagonal/>
    </border>
  </borders>
  <cellStyleXfs count="10">
    <xf numFmtId="0" fontId="0" fillId="0" borderId="0"/>
    <xf numFmtId="43" fontId="1" fillId="0" borderId="0" applyFont="0" applyFill="0" applyBorder="0" applyAlignment="0" applyProtection="0"/>
    <xf numFmtId="0" fontId="19" fillId="0" borderId="0"/>
    <xf numFmtId="0" fontId="22" fillId="0" borderId="0" applyNumberFormat="0" applyFill="0" applyBorder="0" applyAlignment="0" applyProtection="0"/>
    <xf numFmtId="0" fontId="23" fillId="0" borderId="0"/>
    <xf numFmtId="166" fontId="24" fillId="0" borderId="0" applyFont="0" applyFill="0" applyBorder="0" applyAlignment="0" applyProtection="0"/>
    <xf numFmtId="9" fontId="24" fillId="0" borderId="0" applyFont="0" applyFill="0" applyBorder="0" applyAlignment="0" applyProtection="0"/>
    <xf numFmtId="166" fontId="23" fillId="0" borderId="0" applyFont="0" applyFill="0" applyBorder="0" applyAlignment="0" applyProtection="0"/>
    <xf numFmtId="9" fontId="23" fillId="0" borderId="0" applyFont="0" applyFill="0" applyBorder="0" applyAlignment="0" applyProtection="0"/>
    <xf numFmtId="9" fontId="1" fillId="0" borderId="0" applyFont="0" applyFill="0" applyBorder="0" applyAlignment="0" applyProtection="0"/>
  </cellStyleXfs>
  <cellXfs count="118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xf>
    <xf numFmtId="0" fontId="0" fillId="0" borderId="2" xfId="0" applyBorder="1" applyAlignment="1">
      <alignment horizontal="center" vertical="top"/>
    </xf>
    <xf numFmtId="0" fontId="0" fillId="0" borderId="2" xfId="0" applyBorder="1" applyAlignment="1">
      <alignment vertical="top" wrapText="1"/>
    </xf>
    <xf numFmtId="0" fontId="0" fillId="0" borderId="3" xfId="0" applyBorder="1" applyAlignment="1">
      <alignment horizontal="center" vertical="top"/>
    </xf>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horizontal="center" vertical="top"/>
    </xf>
    <xf numFmtId="0" fontId="0" fillId="0" borderId="4" xfId="0" applyBorder="1" applyAlignment="1">
      <alignment vertical="top" wrapText="1"/>
    </xf>
    <xf numFmtId="0" fontId="0" fillId="3" borderId="5" xfId="0" applyFill="1" applyBorder="1" applyAlignment="1">
      <alignment vertical="top" wrapText="1"/>
    </xf>
    <xf numFmtId="0" fontId="0" fillId="0" borderId="5" xfId="0" applyBorder="1" applyAlignment="1">
      <alignment vertical="top" wrapText="1"/>
    </xf>
    <xf numFmtId="0" fontId="0" fillId="0" borderId="0" xfId="0" applyAlignment="1">
      <alignment vertical="top" wrapText="1"/>
    </xf>
    <xf numFmtId="0" fontId="0" fillId="3" borderId="0" xfId="0" applyFill="1" applyAlignment="1">
      <alignment vertical="top" wrapText="1"/>
    </xf>
    <xf numFmtId="164" fontId="0" fillId="0" borderId="0" xfId="1" applyNumberFormat="1" applyFont="1"/>
    <xf numFmtId="0" fontId="5" fillId="0" borderId="0" xfId="0" applyFont="1"/>
    <xf numFmtId="43" fontId="2" fillId="0" borderId="0" xfId="1" applyFont="1"/>
    <xf numFmtId="0" fontId="0" fillId="4" borderId="0" xfId="0" applyFill="1"/>
    <xf numFmtId="0" fontId="5" fillId="0" borderId="0" xfId="0" applyFont="1" applyAlignment="1">
      <alignment horizontal="center"/>
    </xf>
    <xf numFmtId="0" fontId="0" fillId="0" borderId="0" xfId="0" applyAlignment="1">
      <alignment horizontal="center"/>
    </xf>
    <xf numFmtId="0" fontId="8" fillId="0" borderId="0" xfId="0" applyFont="1" applyAlignment="1">
      <alignment horizontal="center"/>
    </xf>
    <xf numFmtId="0" fontId="8" fillId="0" borderId="0" xfId="0" applyFont="1"/>
    <xf numFmtId="0" fontId="9" fillId="5" borderId="0" xfId="0" applyFont="1" applyFill="1" applyAlignment="1">
      <alignment horizontal="center" vertical="center"/>
    </xf>
    <xf numFmtId="0" fontId="9" fillId="0" borderId="0" xfId="0" applyFont="1"/>
    <xf numFmtId="0" fontId="7" fillId="5" borderId="6" xfId="0" applyFont="1" applyFill="1" applyBorder="1" applyAlignment="1">
      <alignment horizontal="center" vertical="center"/>
    </xf>
    <xf numFmtId="0" fontId="2" fillId="0" borderId="7" xfId="0" applyFont="1" applyBorder="1"/>
    <xf numFmtId="164" fontId="0" fillId="4" borderId="0" xfId="1" applyNumberFormat="1" applyFont="1" applyFill="1"/>
    <xf numFmtId="164" fontId="8" fillId="0" borderId="0" xfId="1" applyNumberFormat="1" applyFont="1"/>
    <xf numFmtId="164" fontId="5" fillId="0" borderId="0" xfId="1" applyNumberFormat="1" applyFont="1"/>
    <xf numFmtId="164" fontId="2" fillId="0" borderId="7" xfId="1" applyNumberFormat="1" applyFont="1" applyBorder="1"/>
    <xf numFmtId="0" fontId="13" fillId="0" borderId="0" xfId="0" applyFont="1"/>
    <xf numFmtId="9" fontId="0" fillId="0" borderId="0" xfId="0" applyNumberFormat="1"/>
    <xf numFmtId="0" fontId="2" fillId="6" borderId="8" xfId="0" applyFont="1" applyFill="1" applyBorder="1"/>
    <xf numFmtId="0" fontId="10" fillId="0" borderId="0" xfId="0" applyFont="1" applyAlignment="1">
      <alignment horizontal="left" indent="2"/>
    </xf>
    <xf numFmtId="0" fontId="13" fillId="0" borderId="0" xfId="0" applyFont="1" applyAlignment="1">
      <alignment horizontal="left" indent="2"/>
    </xf>
    <xf numFmtId="0" fontId="6" fillId="0" borderId="0" xfId="0" applyFont="1" applyAlignment="1">
      <alignment horizontal="left" indent="2"/>
    </xf>
    <xf numFmtId="0" fontId="2" fillId="0" borderId="7" xfId="0" quotePrefix="1" applyFont="1" applyBorder="1" applyAlignment="1">
      <alignment horizontal="center"/>
    </xf>
    <xf numFmtId="0" fontId="8" fillId="0" borderId="0" xfId="0" quotePrefix="1" applyFont="1" applyAlignment="1">
      <alignment horizontal="center"/>
    </xf>
    <xf numFmtId="164" fontId="2" fillId="0" borderId="0" xfId="1" applyNumberFormat="1" applyFont="1"/>
    <xf numFmtId="0" fontId="15" fillId="0" borderId="0" xfId="0" applyFont="1"/>
    <xf numFmtId="0" fontId="7" fillId="0" borderId="0" xfId="0" applyFont="1"/>
    <xf numFmtId="0" fontId="8" fillId="0" borderId="8" xfId="0" applyFont="1" applyBorder="1" applyAlignment="1">
      <alignment vertical="center"/>
    </xf>
    <xf numFmtId="164" fontId="8" fillId="0" borderId="8" xfId="0" applyNumberFormat="1" applyFont="1" applyBorder="1" applyAlignment="1">
      <alignment vertical="center"/>
    </xf>
    <xf numFmtId="164" fontId="8" fillId="0" borderId="0" xfId="0" applyNumberFormat="1" applyFont="1"/>
    <xf numFmtId="0" fontId="10" fillId="0" borderId="0" xfId="0" applyFont="1" applyAlignment="1">
      <alignment horizontal="left" indent="3"/>
    </xf>
    <xf numFmtId="0" fontId="13" fillId="0" borderId="0" xfId="0" applyFont="1" applyAlignment="1">
      <alignment horizontal="left" indent="3"/>
    </xf>
    <xf numFmtId="0" fontId="6" fillId="0" borderId="0" xfId="0" applyFont="1" applyAlignment="1">
      <alignment horizontal="left" indent="3"/>
    </xf>
    <xf numFmtId="0" fontId="2" fillId="6" borderId="0" xfId="0" applyFont="1" applyFill="1"/>
    <xf numFmtId="0" fontId="17" fillId="0" borderId="0" xfId="0" applyFont="1" applyAlignment="1">
      <alignment horizontal="centerContinuous"/>
    </xf>
    <xf numFmtId="0" fontId="16" fillId="0" borderId="0" xfId="0" applyFont="1" applyAlignment="1">
      <alignment horizontal="left"/>
    </xf>
    <xf numFmtId="0" fontId="4" fillId="9" borderId="1" xfId="0" applyFont="1" applyFill="1" applyBorder="1" applyAlignment="1">
      <alignment wrapText="1"/>
    </xf>
    <xf numFmtId="0" fontId="4" fillId="9" borderId="1" xfId="0" applyFont="1" applyFill="1" applyBorder="1"/>
    <xf numFmtId="0" fontId="18" fillId="10" borderId="1" xfId="0" applyFont="1" applyFill="1" applyBorder="1" applyAlignment="1">
      <alignment wrapText="1"/>
    </xf>
    <xf numFmtId="0" fontId="0" fillId="10" borderId="1" xfId="0" applyFill="1" applyBorder="1"/>
    <xf numFmtId="0" fontId="0" fillId="0" borderId="1" xfId="0" applyBorder="1"/>
    <xf numFmtId="0" fontId="0" fillId="0" borderId="1" xfId="0" applyBorder="1" applyAlignment="1">
      <alignment wrapText="1"/>
    </xf>
    <xf numFmtId="0" fontId="20" fillId="0" borderId="1" xfId="2" applyFont="1" applyBorder="1" applyAlignment="1">
      <alignment horizontal="left" vertical="center" wrapText="1"/>
    </xf>
    <xf numFmtId="0" fontId="20" fillId="0" borderId="1" xfId="0" applyFont="1" applyBorder="1" applyAlignment="1">
      <alignment horizontal="left"/>
    </xf>
    <xf numFmtId="0" fontId="18" fillId="0" borderId="0" xfId="0" applyFont="1"/>
    <xf numFmtId="0" fontId="0" fillId="0" borderId="0" xfId="0" applyAlignment="1">
      <alignment wrapText="1"/>
    </xf>
    <xf numFmtId="0" fontId="18" fillId="10" borderId="1" xfId="0" applyFont="1" applyFill="1" applyBorder="1"/>
    <xf numFmtId="0" fontId="18" fillId="0" borderId="1" xfId="0" applyFont="1" applyBorder="1"/>
    <xf numFmtId="164" fontId="8" fillId="0" borderId="8" xfId="1" applyNumberFormat="1" applyFont="1" applyBorder="1" applyAlignment="1">
      <alignment vertical="center"/>
    </xf>
    <xf numFmtId="164" fontId="0" fillId="0" borderId="0" xfId="0" applyNumberFormat="1"/>
    <xf numFmtId="0" fontId="25" fillId="0" borderId="0" xfId="0" applyFont="1"/>
    <xf numFmtId="0" fontId="27" fillId="0" borderId="0" xfId="0" applyFont="1"/>
    <xf numFmtId="0" fontId="0" fillId="0" borderId="0" xfId="0" applyAlignment="1">
      <alignment horizontal="left" indent="2"/>
    </xf>
    <xf numFmtId="0" fontId="29" fillId="0" borderId="0" xfId="0" applyFont="1"/>
    <xf numFmtId="0" fontId="28" fillId="0" borderId="0" xfId="0" applyFont="1"/>
    <xf numFmtId="43" fontId="0" fillId="0" borderId="0" xfId="0" applyNumberFormat="1"/>
    <xf numFmtId="169" fontId="0" fillId="0" borderId="0" xfId="0" applyNumberFormat="1"/>
    <xf numFmtId="0" fontId="0" fillId="0" borderId="0" xfId="0" quotePrefix="1" applyAlignment="1">
      <alignment horizontal="center"/>
    </xf>
    <xf numFmtId="0" fontId="30" fillId="0" borderId="0" xfId="0" applyFont="1" applyAlignment="1">
      <alignment vertical="center"/>
    </xf>
    <xf numFmtId="0" fontId="32" fillId="13" borderId="10" xfId="0" applyFont="1" applyFill="1" applyBorder="1" applyAlignment="1">
      <alignment vertical="center"/>
    </xf>
    <xf numFmtId="0" fontId="32" fillId="13" borderId="11" xfId="0" applyFont="1" applyFill="1" applyBorder="1" applyAlignment="1">
      <alignment vertical="center"/>
    </xf>
    <xf numFmtId="0" fontId="32" fillId="13" borderId="12" xfId="0" applyFont="1" applyFill="1" applyBorder="1" applyAlignment="1">
      <alignment vertical="center"/>
    </xf>
    <xf numFmtId="0" fontId="33" fillId="14" borderId="13" xfId="0" applyFont="1" applyFill="1" applyBorder="1" applyAlignment="1">
      <alignment horizontal="right" vertical="center"/>
    </xf>
    <xf numFmtId="0" fontId="33" fillId="14" borderId="14" xfId="0" applyFont="1" applyFill="1" applyBorder="1" applyAlignment="1">
      <alignment horizontal="right" vertical="center"/>
    </xf>
    <xf numFmtId="0" fontId="33" fillId="14" borderId="14" xfId="0" applyFont="1" applyFill="1" applyBorder="1" applyAlignment="1">
      <alignment horizontal="right" vertical="center" wrapText="1"/>
    </xf>
    <xf numFmtId="0" fontId="34" fillId="0" borderId="0" xfId="0" applyFont="1" applyAlignment="1">
      <alignment horizontal="right" vertical="center"/>
    </xf>
    <xf numFmtId="0" fontId="33" fillId="14" borderId="15" xfId="0" applyFont="1" applyFill="1" applyBorder="1" applyAlignment="1">
      <alignment horizontal="right" vertical="center" wrapText="1"/>
    </xf>
    <xf numFmtId="0" fontId="33" fillId="14" borderId="16" xfId="0" applyFont="1" applyFill="1" applyBorder="1" applyAlignment="1">
      <alignment horizontal="right" vertical="center"/>
    </xf>
    <xf numFmtId="0" fontId="33" fillId="14" borderId="16" xfId="0" applyFont="1" applyFill="1" applyBorder="1" applyAlignment="1">
      <alignment horizontal="right" vertical="center" wrapText="1"/>
    </xf>
    <xf numFmtId="0" fontId="30" fillId="13" borderId="11" xfId="0" applyFont="1" applyFill="1" applyBorder="1" applyAlignment="1">
      <alignment vertical="center"/>
    </xf>
    <xf numFmtId="0" fontId="34" fillId="13" borderId="11" xfId="0" applyFont="1" applyFill="1" applyBorder="1" applyAlignment="1">
      <alignment horizontal="center" vertical="center"/>
    </xf>
    <xf numFmtId="0" fontId="35" fillId="13" borderId="12" xfId="0" applyFont="1" applyFill="1" applyBorder="1" applyAlignment="1">
      <alignment vertical="center"/>
    </xf>
    <xf numFmtId="0" fontId="32" fillId="13" borderId="17" xfId="0" applyFont="1" applyFill="1" applyBorder="1" applyAlignment="1">
      <alignment vertical="center"/>
    </xf>
    <xf numFmtId="0" fontId="30" fillId="13" borderId="18" xfId="0" applyFont="1" applyFill="1" applyBorder="1" applyAlignment="1">
      <alignment vertical="center"/>
    </xf>
    <xf numFmtId="0" fontId="34" fillId="13" borderId="18" xfId="0" applyFont="1" applyFill="1" applyBorder="1" applyAlignment="1">
      <alignment horizontal="center" vertical="center"/>
    </xf>
    <xf numFmtId="0" fontId="35" fillId="13" borderId="19" xfId="0" applyFont="1" applyFill="1" applyBorder="1" applyAlignment="1">
      <alignment vertical="center"/>
    </xf>
    <xf numFmtId="0" fontId="32" fillId="13" borderId="18" xfId="0" applyFont="1" applyFill="1" applyBorder="1" applyAlignment="1">
      <alignment vertical="center"/>
    </xf>
    <xf numFmtId="0" fontId="33" fillId="14" borderId="15" xfId="0" applyFont="1" applyFill="1" applyBorder="1" applyAlignment="1">
      <alignment horizontal="right" vertical="center"/>
    </xf>
    <xf numFmtId="164" fontId="34" fillId="0" borderId="0" xfId="1" applyNumberFormat="1" applyFont="1" applyAlignment="1">
      <alignment horizontal="right" vertical="center"/>
    </xf>
    <xf numFmtId="168" fontId="34" fillId="0" borderId="0" xfId="1" applyNumberFormat="1" applyFont="1" applyAlignment="1">
      <alignment horizontal="right" vertical="center"/>
    </xf>
    <xf numFmtId="165" fontId="0" fillId="0" borderId="0" xfId="0" applyNumberFormat="1"/>
    <xf numFmtId="0" fontId="2" fillId="6" borderId="23" xfId="0" applyFont="1" applyFill="1" applyBorder="1"/>
    <xf numFmtId="164" fontId="2" fillId="6" borderId="25" xfId="0" applyNumberFormat="1" applyFont="1" applyFill="1" applyBorder="1"/>
    <xf numFmtId="0" fontId="2" fillId="6" borderId="26" xfId="0" applyFont="1" applyFill="1" applyBorder="1"/>
    <xf numFmtId="10" fontId="0" fillId="0" borderId="0" xfId="1" applyNumberFormat="1" applyFont="1"/>
    <xf numFmtId="164" fontId="0" fillId="0" borderId="1" xfId="1" applyNumberFormat="1" applyFont="1" applyBorder="1"/>
    <xf numFmtId="43" fontId="0" fillId="0" borderId="1" xfId="0" applyNumberFormat="1" applyBorder="1"/>
    <xf numFmtId="0" fontId="27" fillId="6" borderId="8" xfId="0" applyFont="1" applyFill="1" applyBorder="1"/>
    <xf numFmtId="164" fontId="2" fillId="6" borderId="8" xfId="1" applyNumberFormat="1" applyFont="1" applyFill="1" applyBorder="1"/>
    <xf numFmtId="0" fontId="36" fillId="11" borderId="0" xfId="4" applyFont="1" applyFill="1" applyAlignment="1">
      <alignment horizontal="center" vertical="center"/>
    </xf>
    <xf numFmtId="0" fontId="37" fillId="11" borderId="0" xfId="4" applyFont="1" applyFill="1"/>
    <xf numFmtId="0" fontId="38" fillId="8" borderId="29" xfId="4" applyFont="1" applyFill="1" applyBorder="1" applyAlignment="1">
      <alignment horizontal="center" vertical="center"/>
    </xf>
    <xf numFmtId="2" fontId="38" fillId="8" borderId="9" xfId="4" applyNumberFormat="1" applyFont="1" applyFill="1" applyBorder="1" applyAlignment="1">
      <alignment horizontal="center" vertical="center" wrapText="1"/>
    </xf>
    <xf numFmtId="0" fontId="39" fillId="16" borderId="9" xfId="4" applyFont="1" applyFill="1" applyBorder="1" applyAlignment="1">
      <alignment horizontal="center" vertical="center"/>
    </xf>
    <xf numFmtId="9" fontId="39" fillId="16" borderId="9" xfId="6" applyFont="1" applyFill="1" applyBorder="1" applyAlignment="1">
      <alignment horizontal="center" vertical="center"/>
    </xf>
    <xf numFmtId="0" fontId="40" fillId="11" borderId="9" xfId="4" applyFont="1" applyFill="1" applyBorder="1" applyAlignment="1">
      <alignment horizontal="center" vertical="center"/>
    </xf>
    <xf numFmtId="9" fontId="40" fillId="11" borderId="9" xfId="6" applyFont="1" applyFill="1" applyBorder="1" applyAlignment="1">
      <alignment horizontal="center" vertical="center"/>
    </xf>
    <xf numFmtId="9" fontId="40" fillId="11" borderId="9" xfId="6" applyFont="1" applyFill="1" applyBorder="1" applyAlignment="1">
      <alignment horizontal="left" vertical="center"/>
    </xf>
    <xf numFmtId="9" fontId="39" fillId="16" borderId="9" xfId="6" applyFont="1" applyFill="1" applyBorder="1" applyAlignment="1">
      <alignment horizontal="left" vertical="center" wrapText="1"/>
    </xf>
    <xf numFmtId="0" fontId="39" fillId="11" borderId="9" xfId="4" applyFont="1" applyFill="1" applyBorder="1" applyAlignment="1">
      <alignment vertical="center"/>
    </xf>
    <xf numFmtId="9" fontId="39" fillId="11" borderId="9" xfId="6" applyFont="1" applyFill="1" applyBorder="1" applyAlignment="1">
      <alignment horizontal="center" vertical="center"/>
    </xf>
    <xf numFmtId="0" fontId="41" fillId="11" borderId="9" xfId="4" applyFont="1" applyFill="1" applyBorder="1" applyAlignment="1">
      <alignment vertical="center"/>
    </xf>
    <xf numFmtId="0" fontId="40" fillId="17" borderId="9" xfId="4" applyFont="1" applyFill="1" applyBorder="1" applyAlignment="1">
      <alignment vertical="center"/>
    </xf>
    <xf numFmtId="9" fontId="42" fillId="17" borderId="9" xfId="4" applyNumberFormat="1" applyFont="1" applyFill="1" applyBorder="1" applyAlignment="1">
      <alignment horizontal="center" vertical="center"/>
    </xf>
    <xf numFmtId="164" fontId="21" fillId="0" borderId="0" xfId="1" applyNumberFormat="1" applyFont="1" applyFill="1"/>
    <xf numFmtId="43" fontId="30" fillId="0" borderId="0" xfId="1" applyFont="1" applyAlignment="1">
      <alignment vertical="center"/>
    </xf>
    <xf numFmtId="0" fontId="34" fillId="13" borderId="18" xfId="1" applyNumberFormat="1" applyFont="1" applyFill="1" applyBorder="1" applyAlignment="1">
      <alignment horizontal="center" vertical="center"/>
    </xf>
    <xf numFmtId="165" fontId="37" fillId="11" borderId="0" xfId="4" applyNumberFormat="1" applyFont="1" applyFill="1"/>
    <xf numFmtId="164" fontId="37" fillId="11" borderId="0" xfId="1" applyNumberFormat="1" applyFont="1" applyFill="1"/>
    <xf numFmtId="43" fontId="37" fillId="11" borderId="0" xfId="4" applyNumberFormat="1" applyFont="1" applyFill="1"/>
    <xf numFmtId="0" fontId="37" fillId="11" borderId="0" xfId="4" applyFont="1" applyFill="1" applyAlignment="1">
      <alignment vertical="center"/>
    </xf>
    <xf numFmtId="0" fontId="43" fillId="11" borderId="30" xfId="4" applyFont="1" applyFill="1" applyBorder="1" applyAlignment="1">
      <alignment vertical="center"/>
    </xf>
    <xf numFmtId="0" fontId="0" fillId="6" borderId="0" xfId="0" applyFill="1"/>
    <xf numFmtId="43" fontId="0" fillId="0" borderId="1" xfId="1" applyFont="1" applyBorder="1"/>
    <xf numFmtId="9" fontId="0" fillId="0" borderId="1" xfId="0" applyNumberFormat="1" applyBorder="1"/>
    <xf numFmtId="0" fontId="4" fillId="9" borderId="1" xfId="0" applyFont="1" applyFill="1" applyBorder="1" applyAlignment="1">
      <alignment horizontal="right"/>
    </xf>
    <xf numFmtId="167" fontId="0" fillId="0" borderId="1" xfId="1" applyNumberFormat="1" applyFont="1" applyBorder="1"/>
    <xf numFmtId="164" fontId="0" fillId="3" borderId="1" xfId="1" applyNumberFormat="1" applyFont="1" applyFill="1" applyBorder="1"/>
    <xf numFmtId="164" fontId="0" fillId="10" borderId="1" xfId="0" applyNumberFormat="1" applyFill="1" applyBorder="1"/>
    <xf numFmtId="164" fontId="0" fillId="0" borderId="1" xfId="0" applyNumberFormat="1" applyBorder="1"/>
    <xf numFmtId="167" fontId="17" fillId="0" borderId="0" xfId="1" applyNumberFormat="1" applyFont="1" applyAlignment="1">
      <alignment horizontal="centerContinuous"/>
    </xf>
    <xf numFmtId="170" fontId="0" fillId="0" borderId="1" xfId="0" applyNumberFormat="1" applyBorder="1"/>
    <xf numFmtId="169" fontId="0" fillId="0" borderId="1" xfId="0" applyNumberFormat="1" applyBorder="1"/>
    <xf numFmtId="165" fontId="0" fillId="0" borderId="1" xfId="0" applyNumberFormat="1" applyBorder="1"/>
    <xf numFmtId="165" fontId="8" fillId="0" borderId="0" xfId="1" applyNumberFormat="1" applyFont="1"/>
    <xf numFmtId="165" fontId="2" fillId="0" borderId="7" xfId="1" applyNumberFormat="1" applyFont="1" applyBorder="1"/>
    <xf numFmtId="165" fontId="8" fillId="0" borderId="8" xfId="0" applyNumberFormat="1" applyFont="1" applyBorder="1" applyAlignment="1">
      <alignment vertical="center"/>
    </xf>
    <xf numFmtId="0" fontId="21" fillId="0" borderId="0" xfId="0" applyFont="1"/>
    <xf numFmtId="164" fontId="21" fillId="0" borderId="0" xfId="1" applyNumberFormat="1" applyFont="1"/>
    <xf numFmtId="0" fontId="45" fillId="0" borderId="0" xfId="0" applyFont="1"/>
    <xf numFmtId="43" fontId="37" fillId="11" borderId="0" xfId="1" applyFont="1" applyFill="1"/>
    <xf numFmtId="0" fontId="46" fillId="0" borderId="0" xfId="0" applyFont="1"/>
    <xf numFmtId="165" fontId="46" fillId="0" borderId="0" xfId="0" applyNumberFormat="1" applyFont="1"/>
    <xf numFmtId="0" fontId="47" fillId="0" borderId="33" xfId="0" applyFont="1" applyBorder="1" applyAlignment="1">
      <alignment horizontal="center" vertical="center"/>
    </xf>
    <xf numFmtId="0" fontId="47" fillId="0" borderId="33" xfId="0" applyFont="1" applyBorder="1" applyAlignment="1">
      <alignment vertical="center"/>
    </xf>
    <xf numFmtId="0" fontId="48" fillId="0" borderId="33" xfId="0" applyFont="1" applyBorder="1" applyAlignment="1">
      <alignment vertical="center"/>
    </xf>
    <xf numFmtId="0" fontId="47" fillId="0" borderId="0" xfId="0" applyFont="1" applyAlignment="1">
      <alignment vertical="center"/>
    </xf>
    <xf numFmtId="0" fontId="48"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vertical="center"/>
    </xf>
    <xf numFmtId="171" fontId="20" fillId="0" borderId="0" xfId="0" applyNumberFormat="1" applyFont="1" applyAlignment="1">
      <alignment vertical="center"/>
    </xf>
    <xf numFmtId="0" fontId="49" fillId="0" borderId="0" xfId="0" applyFont="1" applyAlignment="1">
      <alignment vertical="center"/>
    </xf>
    <xf numFmtId="172" fontId="20" fillId="0" borderId="0" xfId="0" applyNumberFormat="1" applyFont="1" applyAlignment="1">
      <alignment vertical="center"/>
    </xf>
    <xf numFmtId="164" fontId="50" fillId="0" borderId="0" xfId="1" applyNumberFormat="1" applyFont="1" applyAlignment="1">
      <alignment vertical="center"/>
    </xf>
    <xf numFmtId="164" fontId="20" fillId="0" borderId="0" xfId="1" applyNumberFormat="1" applyFont="1" applyAlignment="1">
      <alignment vertical="center"/>
    </xf>
    <xf numFmtId="172" fontId="49" fillId="0" borderId="0" xfId="0" applyNumberFormat="1" applyFont="1" applyAlignment="1">
      <alignment vertical="center"/>
    </xf>
    <xf numFmtId="0" fontId="47" fillId="0" borderId="0" xfId="0" applyFont="1" applyAlignment="1">
      <alignment horizontal="center" vertical="center"/>
    </xf>
    <xf numFmtId="0" fontId="47" fillId="0" borderId="0" xfId="0" applyFont="1" applyAlignment="1">
      <alignment horizontal="centerContinuous" vertical="center"/>
    </xf>
    <xf numFmtId="0" fontId="20" fillId="0" borderId="0" xfId="0" applyFont="1" applyAlignment="1">
      <alignment horizontal="centerContinuous" vertical="center"/>
    </xf>
    <xf numFmtId="0" fontId="47" fillId="5" borderId="33" xfId="0" applyFont="1" applyFill="1" applyBorder="1" applyAlignment="1">
      <alignment horizontal="centerContinuous" vertical="center"/>
    </xf>
    <xf numFmtId="0" fontId="47" fillId="18" borderId="33" xfId="0" applyFont="1" applyFill="1" applyBorder="1" applyAlignment="1">
      <alignment horizontal="centerContinuous" vertical="center"/>
    </xf>
    <xf numFmtId="0" fontId="47" fillId="12" borderId="33" xfId="0" applyFont="1" applyFill="1" applyBorder="1" applyAlignment="1">
      <alignment horizontal="centerContinuous" vertical="center"/>
    </xf>
    <xf numFmtId="0" fontId="47" fillId="0" borderId="0" xfId="0" applyFont="1" applyAlignment="1">
      <alignment vertical="center" wrapText="1"/>
    </xf>
    <xf numFmtId="0" fontId="47" fillId="5" borderId="0" xfId="0" applyFont="1" applyFill="1" applyAlignment="1">
      <alignment horizontal="center" vertical="center" wrapText="1"/>
    </xf>
    <xf numFmtId="0" fontId="47" fillId="0" borderId="0" xfId="0" applyFont="1" applyAlignment="1">
      <alignment horizontal="center" vertical="center" wrapText="1"/>
    </xf>
    <xf numFmtId="0" fontId="47" fillId="18" borderId="0" xfId="0" applyFont="1" applyFill="1" applyAlignment="1">
      <alignment horizontal="center" vertical="center" wrapText="1"/>
    </xf>
    <xf numFmtId="0" fontId="47" fillId="12" borderId="0" xfId="0" applyFont="1" applyFill="1" applyAlignment="1">
      <alignment horizontal="center" vertical="center" wrapText="1"/>
    </xf>
    <xf numFmtId="0" fontId="49" fillId="0" borderId="0" xfId="0" applyFont="1" applyAlignment="1">
      <alignment horizontal="centerContinuous" vertical="center"/>
    </xf>
    <xf numFmtId="0" fontId="48" fillId="5" borderId="33" xfId="0" applyFont="1" applyFill="1" applyBorder="1" applyAlignment="1">
      <alignment horizontal="centerContinuous" vertical="center"/>
    </xf>
    <xf numFmtId="0" fontId="48" fillId="18" borderId="33" xfId="0" applyFont="1" applyFill="1" applyBorder="1" applyAlignment="1">
      <alignment horizontal="centerContinuous" vertical="center"/>
    </xf>
    <xf numFmtId="0" fontId="48" fillId="12" borderId="33" xfId="0" applyFont="1" applyFill="1" applyBorder="1" applyAlignment="1">
      <alignment horizontal="centerContinuous" vertical="center"/>
    </xf>
    <xf numFmtId="0" fontId="51" fillId="5" borderId="0" xfId="0" applyFont="1" applyFill="1" applyAlignment="1">
      <alignment horizontal="center" vertical="center" wrapText="1"/>
    </xf>
    <xf numFmtId="0" fontId="48" fillId="12" borderId="0" xfId="0" applyFont="1" applyFill="1" applyAlignment="1">
      <alignment horizontal="center" vertical="center" wrapText="1"/>
    </xf>
    <xf numFmtId="0" fontId="52" fillId="0" borderId="0" xfId="0" applyFont="1" applyAlignment="1">
      <alignment horizontal="left" vertical="center"/>
    </xf>
    <xf numFmtId="164" fontId="47" fillId="0" borderId="33" xfId="1" applyNumberFormat="1" applyFont="1" applyBorder="1" applyAlignment="1">
      <alignment vertical="center"/>
    </xf>
    <xf numFmtId="9" fontId="48" fillId="0" borderId="33" xfId="1" applyNumberFormat="1" applyFont="1" applyBorder="1" applyAlignment="1">
      <alignment vertical="center"/>
    </xf>
    <xf numFmtId="0" fontId="20" fillId="0" borderId="34" xfId="0" applyFont="1" applyBorder="1" applyAlignment="1">
      <alignment vertical="center"/>
    </xf>
    <xf numFmtId="0" fontId="53" fillId="0" borderId="33" xfId="0" applyFont="1" applyBorder="1" applyAlignment="1">
      <alignment horizontal="center" vertical="center"/>
    </xf>
    <xf numFmtId="0" fontId="53" fillId="0" borderId="33" xfId="0" applyFont="1" applyBorder="1" applyAlignment="1">
      <alignment vertical="center"/>
    </xf>
    <xf numFmtId="0" fontId="53" fillId="0" borderId="0" xfId="0" applyFont="1" applyAlignment="1">
      <alignment vertical="center"/>
    </xf>
    <xf numFmtId="164" fontId="53" fillId="0" borderId="33" xfId="1" applyNumberFormat="1" applyFont="1" applyBorder="1" applyAlignment="1">
      <alignment vertical="center"/>
    </xf>
    <xf numFmtId="9" fontId="53" fillId="0" borderId="33" xfId="1" applyNumberFormat="1" applyFont="1" applyBorder="1" applyAlignment="1">
      <alignment vertical="center"/>
    </xf>
    <xf numFmtId="0" fontId="20" fillId="0" borderId="35" xfId="0" applyFont="1" applyBorder="1" applyAlignment="1">
      <alignment horizontal="center" vertical="center"/>
    </xf>
    <xf numFmtId="0" fontId="20" fillId="0" borderId="35" xfId="0" applyFont="1" applyBorder="1" applyAlignment="1">
      <alignment vertical="center"/>
    </xf>
    <xf numFmtId="164" fontId="20" fillId="0" borderId="35" xfId="1" applyNumberFormat="1" applyFont="1" applyBorder="1" applyAlignment="1">
      <alignment vertical="center"/>
    </xf>
    <xf numFmtId="9" fontId="49" fillId="0" borderId="35" xfId="1" applyNumberFormat="1" applyFont="1" applyBorder="1" applyAlignment="1">
      <alignment vertical="center"/>
    </xf>
    <xf numFmtId="0" fontId="20" fillId="0" borderId="36" xfId="0" applyFont="1" applyBorder="1" applyAlignment="1">
      <alignment horizontal="center" vertical="center"/>
    </xf>
    <xf numFmtId="0" fontId="20" fillId="0" borderId="36" xfId="0" applyFont="1" applyBorder="1" applyAlignment="1">
      <alignment vertical="center"/>
    </xf>
    <xf numFmtId="164" fontId="20" fillId="0" borderId="36" xfId="1" applyNumberFormat="1" applyFont="1" applyFill="1" applyBorder="1" applyAlignment="1">
      <alignment vertical="center"/>
    </xf>
    <xf numFmtId="164" fontId="49" fillId="0" borderId="36" xfId="1" applyNumberFormat="1" applyFont="1" applyFill="1" applyBorder="1" applyAlignment="1">
      <alignment vertical="center"/>
    </xf>
    <xf numFmtId="0" fontId="47" fillId="0" borderId="35" xfId="0" applyFont="1" applyBorder="1" applyAlignment="1">
      <alignment horizontal="center" vertical="center"/>
    </xf>
    <xf numFmtId="0" fontId="47" fillId="0" borderId="35" xfId="0" applyFont="1" applyBorder="1" applyAlignment="1">
      <alignment vertical="center"/>
    </xf>
    <xf numFmtId="164" fontId="47" fillId="0" borderId="35" xfId="1" applyNumberFormat="1" applyFont="1" applyFill="1" applyBorder="1" applyAlignment="1">
      <alignment vertical="center"/>
    </xf>
    <xf numFmtId="164" fontId="48" fillId="0" borderId="35" xfId="1" applyNumberFormat="1" applyFont="1" applyFill="1" applyBorder="1" applyAlignment="1">
      <alignment vertical="center"/>
    </xf>
    <xf numFmtId="165" fontId="49" fillId="0" borderId="35" xfId="1" applyNumberFormat="1" applyFont="1" applyBorder="1" applyAlignment="1">
      <alignment vertical="center"/>
    </xf>
    <xf numFmtId="164" fontId="53" fillId="12" borderId="35" xfId="1" applyNumberFormat="1" applyFont="1" applyFill="1" applyBorder="1" applyAlignment="1">
      <alignment vertical="center"/>
    </xf>
    <xf numFmtId="164" fontId="53" fillId="12" borderId="36" xfId="1" applyNumberFormat="1" applyFont="1" applyFill="1" applyBorder="1" applyAlignment="1">
      <alignment vertical="center"/>
    </xf>
    <xf numFmtId="0" fontId="52" fillId="0" borderId="35" xfId="0" applyFont="1" applyBorder="1" applyAlignment="1">
      <alignment horizontal="center" vertical="center"/>
    </xf>
    <xf numFmtId="0" fontId="52" fillId="0" borderId="35" xfId="0" applyFont="1" applyBorder="1" applyAlignment="1">
      <alignment vertical="center"/>
    </xf>
    <xf numFmtId="164" fontId="52" fillId="0" borderId="35" xfId="1" applyNumberFormat="1" applyFont="1" applyBorder="1" applyAlignment="1">
      <alignment vertical="center"/>
    </xf>
    <xf numFmtId="165" fontId="54" fillId="0" borderId="35" xfId="1" applyNumberFormat="1" applyFont="1" applyBorder="1" applyAlignment="1">
      <alignment vertical="center"/>
    </xf>
    <xf numFmtId="0" fontId="52" fillId="0" borderId="0" xfId="0" applyFont="1" applyAlignment="1">
      <alignment vertical="center"/>
    </xf>
    <xf numFmtId="0" fontId="52" fillId="0" borderId="35" xfId="0" applyFont="1" applyBorder="1" applyAlignment="1">
      <alignment horizontal="left" vertical="center" indent="2"/>
    </xf>
    <xf numFmtId="0" fontId="53" fillId="12" borderId="0" xfId="0" applyFont="1" applyFill="1" applyAlignment="1">
      <alignment vertical="center"/>
    </xf>
    <xf numFmtId="0" fontId="20" fillId="0" borderId="0" xfId="0" quotePrefix="1" applyFont="1" applyAlignment="1">
      <alignment vertical="center"/>
    </xf>
    <xf numFmtId="43" fontId="0" fillId="10" borderId="1" xfId="1" applyFont="1" applyFill="1" applyBorder="1"/>
    <xf numFmtId="164" fontId="0" fillId="6" borderId="0" xfId="1" applyNumberFormat="1" applyFont="1" applyFill="1"/>
    <xf numFmtId="0" fontId="2" fillId="6" borderId="31" xfId="0" applyFont="1" applyFill="1" applyBorder="1"/>
    <xf numFmtId="0" fontId="25" fillId="6" borderId="0" xfId="0" applyFont="1" applyFill="1"/>
    <xf numFmtId="0" fontId="0" fillId="0" borderId="24" xfId="0" applyBorder="1"/>
    <xf numFmtId="0" fontId="9" fillId="0" borderId="0" xfId="0" applyFont="1" applyAlignment="1">
      <alignment vertical="center"/>
    </xf>
    <xf numFmtId="0" fontId="21" fillId="3" borderId="0" xfId="0" applyFont="1" applyFill="1"/>
    <xf numFmtId="0" fontId="2" fillId="16" borderId="0" xfId="0" applyFont="1" applyFill="1"/>
    <xf numFmtId="0" fontId="7" fillId="0" borderId="0" xfId="0" applyFont="1" applyAlignment="1">
      <alignment horizontal="center" vertical="center"/>
    </xf>
    <xf numFmtId="164" fontId="8" fillId="0" borderId="0" xfId="1" applyNumberFormat="1" applyFont="1" applyFill="1" applyBorder="1"/>
    <xf numFmtId="164" fontId="2" fillId="0" borderId="0" xfId="1" applyNumberFormat="1" applyFont="1" applyFill="1" applyBorder="1"/>
    <xf numFmtId="164" fontId="0" fillId="0" borderId="0" xfId="1" applyNumberFormat="1" applyFont="1" applyFill="1" applyBorder="1"/>
    <xf numFmtId="164" fontId="1" fillId="0" borderId="0" xfId="1" applyNumberFormat="1" applyFont="1" applyFill="1" applyBorder="1"/>
    <xf numFmtId="164" fontId="5" fillId="0" borderId="0" xfId="1" applyNumberFormat="1" applyFont="1" applyFill="1" applyBorder="1"/>
    <xf numFmtId="164" fontId="21" fillId="0" borderId="0" xfId="1" applyNumberFormat="1" applyFont="1" applyFill="1" applyBorder="1"/>
    <xf numFmtId="164" fontId="8" fillId="0" borderId="0" xfId="1" applyNumberFormat="1" applyFont="1" applyFill="1" applyBorder="1" applyAlignment="1">
      <alignment vertical="center"/>
    </xf>
    <xf numFmtId="9" fontId="2" fillId="16" borderId="0" xfId="0" applyNumberFormat="1" applyFont="1" applyFill="1"/>
    <xf numFmtId="0" fontId="55" fillId="5" borderId="0" xfId="0" applyFont="1" applyFill="1" applyAlignment="1">
      <alignment horizontal="center" vertical="center" wrapText="1"/>
    </xf>
    <xf numFmtId="0" fontId="55" fillId="0" borderId="0" xfId="0" applyFont="1" applyAlignment="1">
      <alignment horizontal="center" vertical="center" wrapText="1"/>
    </xf>
    <xf numFmtId="0" fontId="55" fillId="0" borderId="0" xfId="0" applyFont="1" applyAlignment="1">
      <alignment wrapText="1"/>
    </xf>
    <xf numFmtId="0" fontId="2" fillId="0" borderId="7" xfId="0" applyFont="1" applyBorder="1" applyAlignment="1">
      <alignment horizontal="left" indent="1"/>
    </xf>
    <xf numFmtId="0" fontId="55" fillId="0" borderId="0" xfId="0" applyFont="1" applyAlignment="1">
      <alignment vertical="center" wrapText="1"/>
    </xf>
    <xf numFmtId="0" fontId="7" fillId="0" borderId="0" xfId="0" applyFont="1" applyAlignment="1">
      <alignment vertical="center"/>
    </xf>
    <xf numFmtId="0" fontId="56" fillId="0" borderId="33" xfId="0" applyFont="1" applyBorder="1" applyAlignment="1">
      <alignment vertical="center"/>
    </xf>
    <xf numFmtId="0" fontId="50" fillId="0" borderId="0" xfId="0" applyFont="1" applyAlignment="1">
      <alignment vertical="center"/>
    </xf>
    <xf numFmtId="0" fontId="56" fillId="0" borderId="0" xfId="0" applyFont="1" applyAlignment="1">
      <alignment horizontal="centerContinuous" vertical="center"/>
    </xf>
    <xf numFmtId="0" fontId="56" fillId="12" borderId="33" xfId="0" applyFont="1" applyFill="1" applyBorder="1" applyAlignment="1">
      <alignment horizontal="centerContinuous" vertical="center"/>
    </xf>
    <xf numFmtId="0" fontId="56" fillId="12" borderId="0" xfId="0" applyFont="1" applyFill="1" applyAlignment="1">
      <alignment horizontal="center" vertical="center" wrapText="1"/>
    </xf>
    <xf numFmtId="164" fontId="50" fillId="0" borderId="36" xfId="1" applyNumberFormat="1" applyFont="1" applyFill="1" applyBorder="1" applyAlignment="1">
      <alignment vertical="center"/>
    </xf>
    <xf numFmtId="164" fontId="56" fillId="0" borderId="35" xfId="1" applyNumberFormat="1" applyFont="1" applyFill="1" applyBorder="1" applyAlignment="1">
      <alignment vertical="center"/>
    </xf>
    <xf numFmtId="164" fontId="50" fillId="0" borderId="35" xfId="1" applyNumberFormat="1" applyFont="1" applyBorder="1" applyAlignment="1">
      <alignment vertical="center"/>
    </xf>
    <xf numFmtId="164" fontId="56" fillId="0" borderId="33" xfId="1" applyNumberFormat="1" applyFont="1" applyBorder="1" applyAlignment="1">
      <alignment vertical="center"/>
    </xf>
    <xf numFmtId="164" fontId="57" fillId="0" borderId="35" xfId="1" applyNumberFormat="1" applyFont="1" applyBorder="1" applyAlignment="1">
      <alignment vertical="center"/>
    </xf>
    <xf numFmtId="164" fontId="0" fillId="0" borderId="0" xfId="1" applyNumberFormat="1" applyFont="1" applyAlignment="1">
      <alignment horizontal="center"/>
    </xf>
    <xf numFmtId="164" fontId="0" fillId="0" borderId="0" xfId="1" applyNumberFormat="1" applyFont="1" applyFill="1"/>
    <xf numFmtId="0" fontId="58" fillId="0" borderId="0" xfId="0" applyFont="1"/>
    <xf numFmtId="165" fontId="58" fillId="0" borderId="0" xfId="9" applyNumberFormat="1" applyFont="1"/>
    <xf numFmtId="0" fontId="0" fillId="16" borderId="0" xfId="0" applyFill="1"/>
    <xf numFmtId="9" fontId="0" fillId="16" borderId="0" xfId="0" applyNumberFormat="1" applyFill="1"/>
    <xf numFmtId="0" fontId="2" fillId="16" borderId="0" xfId="0" applyFont="1" applyFill="1" applyAlignment="1">
      <alignment horizontal="right"/>
    </xf>
    <xf numFmtId="0" fontId="59" fillId="0" borderId="0" xfId="0" applyFont="1"/>
    <xf numFmtId="0" fontId="61" fillId="0" borderId="0" xfId="0" applyFont="1"/>
    <xf numFmtId="0" fontId="26" fillId="19" borderId="0" xfId="0" applyFont="1" applyFill="1"/>
    <xf numFmtId="0" fontId="62" fillId="0" borderId="0" xfId="0" applyFont="1" applyAlignment="1">
      <alignment horizontal="center"/>
    </xf>
    <xf numFmtId="0" fontId="62" fillId="0" borderId="0" xfId="0" applyFont="1"/>
    <xf numFmtId="0" fontId="27" fillId="6" borderId="0" xfId="0" applyFont="1" applyFill="1"/>
    <xf numFmtId="164" fontId="2" fillId="6" borderId="0" xfId="1" applyNumberFormat="1" applyFont="1" applyFill="1" applyBorder="1"/>
    <xf numFmtId="164" fontId="1" fillId="6" borderId="0" xfId="1" applyNumberFormat="1" applyFont="1" applyFill="1" applyBorder="1"/>
    <xf numFmtId="0" fontId="2" fillId="0" borderId="0" xfId="0" quotePrefix="1" applyFont="1" applyAlignment="1">
      <alignment horizontal="center"/>
    </xf>
    <xf numFmtId="0" fontId="9" fillId="15" borderId="0" xfId="0" applyFont="1" applyFill="1"/>
    <xf numFmtId="0" fontId="65" fillId="20" borderId="0" xfId="0" applyFont="1" applyFill="1"/>
    <xf numFmtId="0" fontId="65" fillId="21" borderId="0" xfId="0" applyFont="1" applyFill="1"/>
    <xf numFmtId="43" fontId="8" fillId="0" borderId="0" xfId="0" applyNumberFormat="1" applyFont="1"/>
    <xf numFmtId="43" fontId="0" fillId="0" borderId="0" xfId="1" applyFont="1"/>
    <xf numFmtId="0" fontId="0" fillId="0" borderId="0" xfId="0" pivotButton="1"/>
    <xf numFmtId="0" fontId="0" fillId="0" borderId="0" xfId="0" applyAlignment="1">
      <alignment horizontal="left"/>
    </xf>
    <xf numFmtId="0" fontId="2" fillId="0" borderId="33" xfId="0" applyFont="1" applyBorder="1"/>
    <xf numFmtId="0" fontId="27" fillId="0" borderId="33" xfId="0" applyFont="1" applyBorder="1"/>
    <xf numFmtId="164" fontId="2" fillId="0" borderId="33" xfId="1" applyNumberFormat="1" applyFont="1" applyBorder="1" applyAlignment="1">
      <alignment horizontal="center"/>
    </xf>
    <xf numFmtId="164" fontId="2" fillId="0" borderId="33" xfId="1" applyNumberFormat="1" applyFont="1" applyBorder="1"/>
    <xf numFmtId="0" fontId="5" fillId="0" borderId="33" xfId="0" applyFont="1" applyBorder="1"/>
    <xf numFmtId="0" fontId="66" fillId="0" borderId="33" xfId="0" applyFont="1" applyBorder="1"/>
    <xf numFmtId="164" fontId="5" fillId="0" borderId="33" xfId="1" applyNumberFormat="1" applyFont="1" applyBorder="1"/>
    <xf numFmtId="0" fontId="2" fillId="16" borderId="33" xfId="0" applyFont="1" applyFill="1" applyBorder="1"/>
    <xf numFmtId="0" fontId="27" fillId="16" borderId="33" xfId="0" applyFont="1" applyFill="1" applyBorder="1"/>
    <xf numFmtId="0" fontId="25" fillId="16" borderId="0" xfId="0" applyFont="1" applyFill="1"/>
    <xf numFmtId="0" fontId="5" fillId="16" borderId="33" xfId="0" applyFont="1" applyFill="1" applyBorder="1"/>
    <xf numFmtId="0" fontId="66" fillId="16" borderId="33" xfId="0" applyFont="1" applyFill="1" applyBorder="1"/>
    <xf numFmtId="164" fontId="2" fillId="16" borderId="33" xfId="1" applyNumberFormat="1" applyFont="1" applyFill="1" applyBorder="1" applyAlignment="1">
      <alignment horizontal="center"/>
    </xf>
    <xf numFmtId="164" fontId="0" fillId="16" borderId="0" xfId="1" applyNumberFormat="1" applyFont="1" applyFill="1" applyAlignment="1">
      <alignment horizontal="center"/>
    </xf>
    <xf numFmtId="164" fontId="2" fillId="16" borderId="33" xfId="1" applyNumberFormat="1" applyFont="1" applyFill="1" applyBorder="1"/>
    <xf numFmtId="164" fontId="0" fillId="16" borderId="0" xfId="1" applyNumberFormat="1" applyFont="1" applyFill="1"/>
    <xf numFmtId="43" fontId="0" fillId="16" borderId="0" xfId="1" applyFont="1" applyFill="1"/>
    <xf numFmtId="164" fontId="5" fillId="16" borderId="33" xfId="1" applyNumberFormat="1" applyFont="1" applyFill="1" applyBorder="1"/>
    <xf numFmtId="0" fontId="2" fillId="0" borderId="0" xfId="0" applyFont="1" applyAlignment="1">
      <alignment vertical="center"/>
    </xf>
    <xf numFmtId="0" fontId="65" fillId="7" borderId="0" xfId="0" applyFont="1" applyFill="1" applyAlignment="1">
      <alignment horizontal="center" vertical="center"/>
    </xf>
    <xf numFmtId="0" fontId="67" fillId="0" borderId="0" xfId="0" applyFont="1"/>
    <xf numFmtId="0" fontId="2" fillId="22" borderId="33" xfId="0" applyFont="1" applyFill="1" applyBorder="1"/>
    <xf numFmtId="0" fontId="27" fillId="22" borderId="33" xfId="0" applyFont="1" applyFill="1" applyBorder="1"/>
    <xf numFmtId="0" fontId="0" fillId="22" borderId="0" xfId="0" applyFill="1"/>
    <xf numFmtId="0" fontId="25" fillId="22" borderId="0" xfId="0" applyFont="1" applyFill="1"/>
    <xf numFmtId="0" fontId="5" fillId="22" borderId="33" xfId="0" applyFont="1" applyFill="1" applyBorder="1"/>
    <xf numFmtId="0" fontId="66" fillId="22" borderId="33" xfId="0" applyFont="1" applyFill="1" applyBorder="1"/>
    <xf numFmtId="164" fontId="2" fillId="22" borderId="33" xfId="1" applyNumberFormat="1" applyFont="1" applyFill="1" applyBorder="1" applyAlignment="1">
      <alignment horizontal="center"/>
    </xf>
    <xf numFmtId="164" fontId="0" fillId="22" borderId="0" xfId="1" applyNumberFormat="1" applyFont="1" applyFill="1" applyAlignment="1">
      <alignment horizontal="center"/>
    </xf>
    <xf numFmtId="164" fontId="2" fillId="22" borderId="33" xfId="1" applyNumberFormat="1" applyFont="1" applyFill="1" applyBorder="1"/>
    <xf numFmtId="164" fontId="0" fillId="22" borderId="0" xfId="1" applyNumberFormat="1" applyFont="1" applyFill="1"/>
    <xf numFmtId="43" fontId="0" fillId="22" borderId="0" xfId="1" applyFont="1" applyFill="1"/>
    <xf numFmtId="164" fontId="5" fillId="22" borderId="33" xfId="1" applyNumberFormat="1" applyFont="1" applyFill="1" applyBorder="1"/>
    <xf numFmtId="0" fontId="68" fillId="0" borderId="0" xfId="0" applyFont="1"/>
    <xf numFmtId="0" fontId="70" fillId="0" borderId="0" xfId="0" applyFont="1"/>
    <xf numFmtId="0" fontId="70" fillId="0" borderId="33" xfId="0" applyFont="1" applyBorder="1"/>
    <xf numFmtId="0" fontId="71" fillId="0" borderId="33" xfId="0" applyFont="1" applyBorder="1"/>
    <xf numFmtId="164" fontId="70" fillId="0" borderId="33" xfId="1" applyNumberFormat="1" applyFont="1" applyBorder="1"/>
    <xf numFmtId="0" fontId="0" fillId="23" borderId="0" xfId="0" applyFill="1"/>
    <xf numFmtId="0" fontId="25" fillId="23" borderId="0" xfId="0" applyFont="1" applyFill="1"/>
    <xf numFmtId="0" fontId="65" fillId="19" borderId="0" xfId="0" applyFont="1" applyFill="1" applyAlignment="1">
      <alignment horizontal="center"/>
    </xf>
    <xf numFmtId="0" fontId="65" fillId="19" borderId="0" xfId="0" applyFont="1" applyFill="1"/>
    <xf numFmtId="0" fontId="66" fillId="0" borderId="0" xfId="0" applyFont="1"/>
    <xf numFmtId="0" fontId="20" fillId="3" borderId="0" xfId="0" applyFont="1" applyFill="1" applyAlignment="1">
      <alignment vertical="center"/>
    </xf>
    <xf numFmtId="0" fontId="27" fillId="6" borderId="24" xfId="0" applyFont="1" applyFill="1" applyBorder="1"/>
    <xf numFmtId="0" fontId="2" fillId="6" borderId="24" xfId="0" applyFont="1" applyFill="1" applyBorder="1"/>
    <xf numFmtId="0" fontId="27" fillId="6" borderId="27" xfId="0" applyFont="1" applyFill="1" applyBorder="1"/>
    <xf numFmtId="0" fontId="2" fillId="6" borderId="27" xfId="0" applyFont="1" applyFill="1" applyBorder="1"/>
    <xf numFmtId="9" fontId="2" fillId="6" borderId="32" xfId="0" applyNumberFormat="1" applyFont="1" applyFill="1" applyBorder="1"/>
    <xf numFmtId="43" fontId="2" fillId="6" borderId="28" xfId="1" applyFont="1" applyFill="1" applyBorder="1"/>
    <xf numFmtId="0" fontId="0" fillId="0" borderId="0" xfId="0" applyAlignment="1">
      <alignment horizontal="right"/>
    </xf>
    <xf numFmtId="0" fontId="0" fillId="3" borderId="0" xfId="0" applyFill="1" applyAlignment="1">
      <alignment wrapText="1"/>
    </xf>
    <xf numFmtId="0" fontId="25" fillId="0" borderId="24" xfId="0" applyFont="1" applyBorder="1"/>
    <xf numFmtId="0" fontId="0" fillId="3" borderId="0" xfId="0" applyFill="1" applyAlignment="1">
      <alignment horizontal="center"/>
    </xf>
    <xf numFmtId="43" fontId="25" fillId="0" borderId="0" xfId="1" applyFont="1" applyAlignment="1">
      <alignment horizontal="right"/>
    </xf>
    <xf numFmtId="0" fontId="0" fillId="3" borderId="0" xfId="0" applyFill="1"/>
    <xf numFmtId="0" fontId="0" fillId="16" borderId="0" xfId="0" applyFill="1" applyAlignment="1">
      <alignment wrapText="1"/>
    </xf>
    <xf numFmtId="9" fontId="0" fillId="16" borderId="0" xfId="0" applyNumberFormat="1" applyFill="1" applyAlignment="1">
      <alignment horizontal="center"/>
    </xf>
    <xf numFmtId="167" fontId="0" fillId="0" borderId="0" xfId="1" applyNumberFormat="1" applyFont="1"/>
    <xf numFmtId="0" fontId="2" fillId="0" borderId="1" xfId="0" applyFont="1" applyBorder="1"/>
    <xf numFmtId="164" fontId="2" fillId="0" borderId="1" xfId="0" applyNumberFormat="1" applyFont="1" applyBorder="1"/>
    <xf numFmtId="164" fontId="17" fillId="0" borderId="0" xfId="1" applyNumberFormat="1" applyFont="1" applyAlignment="1">
      <alignment horizontal="centerContinuous"/>
    </xf>
    <xf numFmtId="164" fontId="17" fillId="0" borderId="0" xfId="0" applyNumberFormat="1" applyFont="1" applyAlignment="1">
      <alignment horizontal="centerContinuous"/>
    </xf>
    <xf numFmtId="164" fontId="0" fillId="0" borderId="1" xfId="1" applyNumberFormat="1" applyFont="1" applyFill="1" applyBorder="1"/>
    <xf numFmtId="164" fontId="43" fillId="4" borderId="8" xfId="1" applyNumberFormat="1" applyFont="1" applyFill="1" applyBorder="1" applyAlignment="1">
      <alignment vertical="center"/>
    </xf>
    <xf numFmtId="49" fontId="68" fillId="0" borderId="0" xfId="0" applyNumberFormat="1" applyFont="1"/>
    <xf numFmtId="49" fontId="40" fillId="11" borderId="9" xfId="4" applyNumberFormat="1" applyFont="1" applyFill="1" applyBorder="1" applyAlignment="1">
      <alignment horizontal="center" vertical="center"/>
    </xf>
    <xf numFmtId="174" fontId="44" fillId="11" borderId="9" xfId="4" applyNumberFormat="1" applyFont="1" applyFill="1" applyBorder="1" applyAlignment="1">
      <alignment horizontal="center" vertical="center"/>
    </xf>
    <xf numFmtId="164" fontId="43" fillId="11" borderId="0" xfId="1" applyNumberFormat="1" applyFont="1" applyFill="1"/>
    <xf numFmtId="0" fontId="74" fillId="0" borderId="0" xfId="0" applyFont="1" applyAlignment="1">
      <alignment horizontal="center"/>
    </xf>
    <xf numFmtId="0" fontId="75" fillId="0" borderId="0" xfId="0" applyFont="1"/>
    <xf numFmtId="0" fontId="76" fillId="0" borderId="0" xfId="0" applyFont="1"/>
    <xf numFmtId="0" fontId="74" fillId="0" borderId="0" xfId="0" applyFont="1"/>
    <xf numFmtId="0" fontId="2" fillId="0" borderId="27" xfId="0" applyFont="1" applyBorder="1"/>
    <xf numFmtId="0" fontId="0" fillId="0" borderId="27" xfId="0" applyBorder="1"/>
    <xf numFmtId="164" fontId="2" fillId="0" borderId="27" xfId="0" applyNumberFormat="1" applyFont="1" applyBorder="1"/>
    <xf numFmtId="0" fontId="27" fillId="0" borderId="27" xfId="0" applyFont="1" applyBorder="1"/>
    <xf numFmtId="0" fontId="77" fillId="19" borderId="0" xfId="0" applyFont="1" applyFill="1"/>
    <xf numFmtId="164" fontId="2" fillId="0" borderId="0" xfId="0" applyNumberFormat="1" applyFont="1"/>
    <xf numFmtId="164" fontId="0" fillId="6" borderId="0" xfId="0" applyNumberFormat="1" applyFill="1"/>
    <xf numFmtId="164" fontId="2" fillId="6" borderId="0" xfId="0" applyNumberFormat="1" applyFont="1" applyFill="1"/>
    <xf numFmtId="165" fontId="0" fillId="6" borderId="0" xfId="0" applyNumberFormat="1" applyFill="1"/>
    <xf numFmtId="0" fontId="21" fillId="6" borderId="0" xfId="0" applyFont="1" applyFill="1"/>
    <xf numFmtId="164" fontId="21" fillId="6" borderId="0" xfId="1" applyNumberFormat="1" applyFont="1" applyFill="1"/>
    <xf numFmtId="0" fontId="2" fillId="3" borderId="0" xfId="0" applyFont="1" applyFill="1"/>
    <xf numFmtId="175" fontId="49" fillId="0" borderId="0" xfId="0" applyNumberFormat="1" applyFont="1" applyAlignment="1">
      <alignment vertical="center"/>
    </xf>
    <xf numFmtId="164" fontId="20" fillId="0" borderId="0" xfId="0" applyNumberFormat="1" applyFont="1" applyAlignment="1">
      <alignment vertical="center"/>
    </xf>
    <xf numFmtId="164" fontId="47" fillId="0" borderId="0" xfId="1" applyNumberFormat="1" applyFont="1" applyAlignment="1">
      <alignment vertical="center"/>
    </xf>
    <xf numFmtId="164" fontId="47" fillId="0" borderId="0" xfId="0" applyNumberFormat="1" applyFont="1" applyAlignment="1">
      <alignment vertical="center"/>
    </xf>
    <xf numFmtId="165" fontId="0" fillId="4" borderId="0" xfId="1" applyNumberFormat="1" applyFont="1" applyFill="1"/>
    <xf numFmtId="174" fontId="37" fillId="11" borderId="0" xfId="4" applyNumberFormat="1" applyFont="1" applyFill="1"/>
    <xf numFmtId="0" fontId="0" fillId="6" borderId="0" xfId="0" quotePrefix="1" applyFill="1"/>
    <xf numFmtId="9" fontId="37" fillId="11" borderId="0" xfId="4" applyNumberFormat="1" applyFont="1" applyFill="1"/>
    <xf numFmtId="0" fontId="43" fillId="11" borderId="0" xfId="4" applyFont="1" applyFill="1"/>
    <xf numFmtId="164" fontId="37" fillId="11" borderId="38" xfId="1" applyNumberFormat="1" applyFont="1" applyFill="1" applyBorder="1"/>
    <xf numFmtId="164" fontId="37" fillId="11" borderId="37" xfId="1" applyNumberFormat="1" applyFont="1" applyFill="1" applyBorder="1"/>
    <xf numFmtId="0" fontId="37" fillId="11" borderId="38" xfId="4" applyFont="1" applyFill="1" applyBorder="1"/>
    <xf numFmtId="9" fontId="37" fillId="11" borderId="37" xfId="4" applyNumberFormat="1" applyFont="1" applyFill="1" applyBorder="1"/>
    <xf numFmtId="0" fontId="37" fillId="6" borderId="0" xfId="4" applyFont="1" applyFill="1"/>
    <xf numFmtId="43" fontId="37" fillId="6" borderId="0" xfId="4" applyNumberFormat="1" applyFont="1" applyFill="1" applyAlignment="1">
      <alignment horizontal="centerContinuous"/>
    </xf>
    <xf numFmtId="164" fontId="37" fillId="6" borderId="0" xfId="1" applyNumberFormat="1" applyFont="1" applyFill="1" applyAlignment="1">
      <alignment horizontal="centerContinuous"/>
    </xf>
    <xf numFmtId="164" fontId="37" fillId="6" borderId="38" xfId="1" applyNumberFormat="1" applyFont="1" applyFill="1" applyBorder="1" applyAlignment="1">
      <alignment horizontal="centerContinuous"/>
    </xf>
    <xf numFmtId="0" fontId="38" fillId="19" borderId="0" xfId="4" applyFont="1" applyFill="1" applyAlignment="1">
      <alignment vertical="center"/>
    </xf>
    <xf numFmtId="164" fontId="38" fillId="19" borderId="0" xfId="1" applyNumberFormat="1" applyFont="1" applyFill="1" applyAlignment="1">
      <alignment horizontal="centerContinuous" vertical="center"/>
    </xf>
    <xf numFmtId="164" fontId="38" fillId="19" borderId="38" xfId="1" applyNumberFormat="1" applyFont="1" applyFill="1" applyBorder="1" applyAlignment="1">
      <alignment horizontal="centerContinuous" vertical="center"/>
    </xf>
    <xf numFmtId="0" fontId="82" fillId="11" borderId="0" xfId="4" applyFont="1" applyFill="1" applyAlignment="1">
      <alignment vertical="center"/>
    </xf>
    <xf numFmtId="0" fontId="37" fillId="11" borderId="0" xfId="4" applyFont="1" applyFill="1" applyAlignment="1">
      <alignment horizontal="center"/>
    </xf>
    <xf numFmtId="0" fontId="38" fillId="19" borderId="0" xfId="4" applyFont="1" applyFill="1" applyAlignment="1">
      <alignment horizontal="center" vertical="center"/>
    </xf>
    <xf numFmtId="0" fontId="81" fillId="11" borderId="0" xfId="4" applyFont="1" applyFill="1"/>
    <xf numFmtId="164" fontId="81" fillId="11" borderId="0" xfId="1" applyNumberFormat="1" applyFont="1" applyFill="1" applyBorder="1" applyAlignment="1">
      <alignment horizontal="right"/>
    </xf>
    <xf numFmtId="164" fontId="81" fillId="11" borderId="37" xfId="1" applyNumberFormat="1" applyFont="1" applyFill="1" applyBorder="1" applyAlignment="1">
      <alignment horizontal="right"/>
    </xf>
    <xf numFmtId="164" fontId="81" fillId="11" borderId="38" xfId="1" applyNumberFormat="1" applyFont="1" applyFill="1" applyBorder="1" applyAlignment="1">
      <alignment horizontal="right"/>
    </xf>
    <xf numFmtId="0" fontId="81" fillId="11" borderId="27" xfId="4" applyFont="1" applyFill="1" applyBorder="1" applyAlignment="1">
      <alignment horizontal="center"/>
    </xf>
    <xf numFmtId="0" fontId="81" fillId="11" borderId="0" xfId="4" applyFont="1" applyFill="1" applyAlignment="1">
      <alignment horizontal="center"/>
    </xf>
    <xf numFmtId="0" fontId="83" fillId="0" borderId="0" xfId="0" applyFont="1"/>
    <xf numFmtId="164" fontId="83" fillId="0" borderId="0" xfId="0" applyNumberFormat="1" applyFont="1"/>
    <xf numFmtId="0" fontId="37" fillId="6" borderId="0" xfId="4" applyFont="1" applyFill="1" applyAlignment="1">
      <alignment horizontal="center"/>
    </xf>
    <xf numFmtId="0" fontId="43" fillId="24" borderId="0" xfId="4" applyFont="1" applyFill="1" applyAlignment="1">
      <alignment horizontal="center"/>
    </xf>
    <xf numFmtId="0" fontId="43" fillId="24" borderId="0" xfId="4" applyFont="1" applyFill="1"/>
    <xf numFmtId="164" fontId="43" fillId="24" borderId="0" xfId="1" applyNumberFormat="1" applyFont="1" applyFill="1"/>
    <xf numFmtId="164" fontId="43" fillId="24" borderId="37" xfId="1" applyNumberFormat="1" applyFont="1" applyFill="1" applyBorder="1"/>
    <xf numFmtId="164" fontId="43" fillId="24" borderId="38" xfId="1" applyNumberFormat="1" applyFont="1" applyFill="1" applyBorder="1"/>
    <xf numFmtId="165" fontId="37" fillId="6" borderId="0" xfId="1" applyNumberFormat="1" applyFont="1" applyFill="1"/>
    <xf numFmtId="165" fontId="37" fillId="6" borderId="37" xfId="1" applyNumberFormat="1" applyFont="1" applyFill="1" applyBorder="1"/>
    <xf numFmtId="164" fontId="37" fillId="6" borderId="38" xfId="1" applyNumberFormat="1" applyFont="1" applyFill="1" applyBorder="1"/>
    <xf numFmtId="164" fontId="2" fillId="0" borderId="1" xfId="1" applyNumberFormat="1" applyFont="1" applyFill="1" applyBorder="1"/>
    <xf numFmtId="164" fontId="0" fillId="10" borderId="1" xfId="1" applyNumberFormat="1" applyFont="1" applyFill="1" applyBorder="1"/>
    <xf numFmtId="0" fontId="21" fillId="0" borderId="1" xfId="0" applyFont="1" applyBorder="1"/>
    <xf numFmtId="165" fontId="21" fillId="0" borderId="1" xfId="0" applyNumberFormat="1" applyFont="1" applyBorder="1"/>
    <xf numFmtId="164" fontId="21" fillId="0" borderId="1" xfId="0" applyNumberFormat="1" applyFont="1" applyBorder="1"/>
    <xf numFmtId="165" fontId="37" fillId="6" borderId="0" xfId="1" applyNumberFormat="1" applyFont="1" applyFill="1" applyBorder="1"/>
    <xf numFmtId="9" fontId="49" fillId="6" borderId="35" xfId="1" applyNumberFormat="1" applyFont="1" applyFill="1" applyBorder="1" applyAlignment="1">
      <alignment vertical="center"/>
    </xf>
    <xf numFmtId="164" fontId="20" fillId="6" borderId="35" xfId="1" applyNumberFormat="1" applyFont="1" applyFill="1" applyBorder="1" applyAlignment="1">
      <alignment vertical="center"/>
    </xf>
    <xf numFmtId="171" fontId="20" fillId="4" borderId="0" xfId="0" applyNumberFormat="1" applyFont="1" applyFill="1" applyAlignment="1">
      <alignment vertical="center"/>
    </xf>
    <xf numFmtId="164" fontId="52" fillId="4" borderId="35" xfId="1" applyNumberFormat="1" applyFont="1" applyFill="1" applyBorder="1" applyAlignment="1">
      <alignment vertical="center"/>
    </xf>
    <xf numFmtId="0" fontId="84" fillId="0" borderId="0" xfId="0" applyFont="1"/>
    <xf numFmtId="167" fontId="0" fillId="3" borderId="0" xfId="1" applyNumberFormat="1" applyFont="1" applyFill="1"/>
    <xf numFmtId="0" fontId="85" fillId="0" borderId="0" xfId="0" applyFont="1"/>
    <xf numFmtId="164" fontId="52" fillId="0" borderId="0" xfId="0" applyNumberFormat="1" applyFont="1" applyAlignment="1">
      <alignment vertical="center"/>
    </xf>
    <xf numFmtId="0" fontId="87" fillId="11" borderId="27" xfId="4" applyFont="1" applyFill="1" applyBorder="1" applyAlignment="1">
      <alignment horizontal="right"/>
    </xf>
    <xf numFmtId="0" fontId="87" fillId="11" borderId="39" xfId="4" applyFont="1" applyFill="1" applyBorder="1" applyAlignment="1">
      <alignment horizontal="right"/>
    </xf>
    <xf numFmtId="0" fontId="87" fillId="11" borderId="40" xfId="4" applyFont="1" applyFill="1" applyBorder="1" applyAlignment="1">
      <alignment horizontal="right"/>
    </xf>
    <xf numFmtId="0" fontId="40" fillId="11" borderId="29" xfId="4" applyFont="1" applyFill="1" applyBorder="1" applyAlignment="1">
      <alignment horizontal="center" vertical="center"/>
    </xf>
    <xf numFmtId="174" fontId="44" fillId="11" borderId="29" xfId="4" applyNumberFormat="1" applyFont="1" applyFill="1" applyBorder="1" applyAlignment="1">
      <alignment horizontal="center" vertical="center"/>
    </xf>
    <xf numFmtId="9" fontId="40" fillId="11" borderId="29" xfId="6" applyFont="1" applyFill="1" applyBorder="1" applyAlignment="1">
      <alignment horizontal="center" vertical="center"/>
    </xf>
    <xf numFmtId="0" fontId="40" fillId="11" borderId="41" xfId="4" applyFont="1" applyFill="1" applyBorder="1" applyAlignment="1">
      <alignment horizontal="center" vertical="center"/>
    </xf>
    <xf numFmtId="9" fontId="40" fillId="11" borderId="41" xfId="6" applyFont="1" applyFill="1" applyBorder="1" applyAlignment="1">
      <alignment horizontal="center" vertical="center"/>
    </xf>
    <xf numFmtId="0" fontId="37" fillId="11" borderId="24" xfId="4" applyFont="1" applyFill="1" applyBorder="1"/>
    <xf numFmtId="0" fontId="88" fillId="19" borderId="0" xfId="0" applyFont="1" applyFill="1"/>
    <xf numFmtId="0" fontId="88" fillId="19" borderId="0" xfId="0" applyFont="1" applyFill="1" applyAlignment="1">
      <alignment horizontal="right"/>
    </xf>
    <xf numFmtId="0" fontId="2" fillId="0" borderId="8" xfId="0" applyFont="1" applyBorder="1"/>
    <xf numFmtId="43" fontId="2" fillId="0" borderId="8" xfId="1" applyFont="1" applyBorder="1"/>
    <xf numFmtId="43" fontId="2" fillId="0" borderId="0" xfId="1" applyFont="1" applyBorder="1"/>
    <xf numFmtId="0" fontId="88" fillId="19" borderId="0" xfId="0" quotePrefix="1" applyFont="1" applyFill="1" applyAlignment="1">
      <alignment horizontal="right"/>
    </xf>
    <xf numFmtId="0" fontId="40" fillId="11" borderId="43" xfId="4" applyFont="1" applyFill="1" applyBorder="1" applyAlignment="1">
      <alignment vertical="center" wrapText="1"/>
    </xf>
    <xf numFmtId="2" fontId="38" fillId="8" borderId="45" xfId="4" applyNumberFormat="1" applyFont="1" applyFill="1" applyBorder="1" applyAlignment="1">
      <alignment horizontal="center" vertical="center" wrapText="1"/>
    </xf>
    <xf numFmtId="174" fontId="44" fillId="11" borderId="45" xfId="4" applyNumberFormat="1" applyFont="1" applyFill="1" applyBorder="1" applyAlignment="1">
      <alignment horizontal="center" vertical="center"/>
    </xf>
    <xf numFmtId="174" fontId="44" fillId="11" borderId="46" xfId="4" applyNumberFormat="1" applyFont="1" applyFill="1" applyBorder="1" applyAlignment="1">
      <alignment horizontal="center" vertical="center"/>
    </xf>
    <xf numFmtId="2" fontId="38" fillId="8" borderId="48" xfId="4" applyNumberFormat="1" applyFont="1" applyFill="1" applyBorder="1" applyAlignment="1">
      <alignment horizontal="center" vertical="center" wrapText="1"/>
    </xf>
    <xf numFmtId="174" fontId="44" fillId="11" borderId="50" xfId="4" applyNumberFormat="1" applyFont="1" applyFill="1" applyBorder="1" applyAlignment="1">
      <alignment horizontal="center" vertical="center"/>
    </xf>
    <xf numFmtId="174" fontId="44" fillId="11" borderId="52" xfId="4" applyNumberFormat="1" applyFont="1" applyFill="1" applyBorder="1" applyAlignment="1">
      <alignment horizontal="center" vertical="center"/>
    </xf>
    <xf numFmtId="2" fontId="38" fillId="8" borderId="42" xfId="4" applyNumberFormat="1" applyFont="1" applyFill="1" applyBorder="1" applyAlignment="1">
      <alignment horizontal="center" vertical="center" wrapText="1"/>
    </xf>
    <xf numFmtId="0" fontId="39" fillId="16" borderId="43" xfId="4" applyFont="1" applyFill="1" applyBorder="1" applyAlignment="1">
      <alignment vertical="center" wrapText="1"/>
    </xf>
    <xf numFmtId="0" fontId="40" fillId="11" borderId="43" xfId="4" applyFont="1" applyFill="1" applyBorder="1" applyAlignment="1">
      <alignment horizontal="left" vertical="center" indent="1"/>
    </xf>
    <xf numFmtId="0" fontId="40" fillId="11" borderId="43" xfId="4" applyFont="1" applyFill="1" applyBorder="1" applyAlignment="1">
      <alignment horizontal="left" vertical="center" wrapText="1" indent="1"/>
    </xf>
    <xf numFmtId="0" fontId="40" fillId="11" borderId="42" xfId="4" applyFont="1" applyFill="1" applyBorder="1" applyAlignment="1">
      <alignment horizontal="left" vertical="center" wrapText="1" indent="1"/>
    </xf>
    <xf numFmtId="0" fontId="40" fillId="11" borderId="44" xfId="4" applyFont="1" applyFill="1" applyBorder="1" applyAlignment="1">
      <alignment horizontal="left" vertical="center" indent="1"/>
    </xf>
    <xf numFmtId="0" fontId="39" fillId="11" borderId="43" xfId="4" applyFont="1" applyFill="1" applyBorder="1" applyAlignment="1">
      <alignment horizontal="left" vertical="center" wrapText="1"/>
    </xf>
    <xf numFmtId="0" fontId="42" fillId="17" borderId="43" xfId="4" applyFont="1" applyFill="1" applyBorder="1" applyAlignment="1">
      <alignment vertical="center"/>
    </xf>
    <xf numFmtId="2" fontId="38" fillId="8" borderId="49" xfId="4" applyNumberFormat="1" applyFont="1" applyFill="1" applyBorder="1" applyAlignment="1">
      <alignment horizontal="center" vertical="center" wrapText="1"/>
    </xf>
    <xf numFmtId="0" fontId="86" fillId="25" borderId="0" xfId="4" applyFont="1" applyFill="1" applyAlignment="1">
      <alignment horizontal="right"/>
    </xf>
    <xf numFmtId="0" fontId="90" fillId="0" borderId="0" xfId="0" applyFont="1" applyAlignment="1">
      <alignment horizontal="left" vertical="center"/>
    </xf>
    <xf numFmtId="164" fontId="2" fillId="3" borderId="0" xfId="1" applyNumberFormat="1" applyFont="1" applyFill="1"/>
    <xf numFmtId="0" fontId="2" fillId="0" borderId="0" xfId="0" applyFont="1" applyAlignment="1">
      <alignment horizontal="right"/>
    </xf>
    <xf numFmtId="0" fontId="43" fillId="3" borderId="0" xfId="4" applyFont="1" applyFill="1" applyAlignment="1">
      <alignment vertical="center"/>
    </xf>
    <xf numFmtId="0" fontId="37" fillId="3" borderId="0" xfId="4" applyFont="1" applyFill="1" applyAlignment="1">
      <alignment vertical="center"/>
    </xf>
    <xf numFmtId="164" fontId="89" fillId="25" borderId="0" xfId="1" applyNumberFormat="1" applyFont="1" applyFill="1"/>
    <xf numFmtId="0" fontId="18" fillId="3" borderId="0" xfId="0" applyFont="1" applyFill="1"/>
    <xf numFmtId="0" fontId="4" fillId="2" borderId="1" xfId="0" applyFont="1" applyFill="1" applyBorder="1" applyAlignment="1">
      <alignment horizontal="center" wrapText="1"/>
    </xf>
    <xf numFmtId="0" fontId="0" fillId="0" borderId="1" xfId="0" applyBorder="1" applyAlignment="1">
      <alignment horizontal="left"/>
    </xf>
    <xf numFmtId="0" fontId="91" fillId="0" borderId="0" xfId="0" applyFont="1"/>
    <xf numFmtId="0" fontId="8" fillId="0" borderId="58" xfId="0" quotePrefix="1" applyFont="1" applyBorder="1" applyAlignment="1">
      <alignment horizontal="center"/>
    </xf>
    <xf numFmtId="0" fontId="8" fillId="0" borderId="58" xfId="0" applyFont="1" applyBorder="1"/>
    <xf numFmtId="0" fontId="2" fillId="0" borderId="59" xfId="0" applyFont="1" applyBorder="1"/>
    <xf numFmtId="0" fontId="14" fillId="0" borderId="59" xfId="0" applyFont="1" applyBorder="1"/>
    <xf numFmtId="43" fontId="2" fillId="0" borderId="59" xfId="1" applyFont="1" applyBorder="1"/>
    <xf numFmtId="164" fontId="2" fillId="0" borderId="59" xfId="1" applyNumberFormat="1" applyFont="1" applyBorder="1"/>
    <xf numFmtId="0" fontId="0" fillId="0" borderId="59" xfId="0" quotePrefix="1" applyBorder="1"/>
    <xf numFmtId="0" fontId="0" fillId="0" borderId="59" xfId="0" applyBorder="1"/>
    <xf numFmtId="0" fontId="7" fillId="0" borderId="59" xfId="0" applyFont="1" applyBorder="1"/>
    <xf numFmtId="43" fontId="0" fillId="4" borderId="59" xfId="1" applyFont="1" applyFill="1" applyBorder="1"/>
    <xf numFmtId="164" fontId="0" fillId="0" borderId="59" xfId="1" applyNumberFormat="1" applyFont="1" applyBorder="1"/>
    <xf numFmtId="0" fontId="0" fillId="0" borderId="58" xfId="0" quotePrefix="1" applyBorder="1"/>
    <xf numFmtId="0" fontId="0" fillId="0" borderId="58" xfId="0" applyBorder="1"/>
    <xf numFmtId="0" fontId="7" fillId="0" borderId="58" xfId="0" applyFont="1" applyBorder="1"/>
    <xf numFmtId="164" fontId="0" fillId="0" borderId="58" xfId="1" applyNumberFormat="1" applyFont="1" applyBorder="1"/>
    <xf numFmtId="164" fontId="0" fillId="0" borderId="58" xfId="1" applyNumberFormat="1" applyFont="1" applyFill="1" applyBorder="1"/>
    <xf numFmtId="164" fontId="0" fillId="0" borderId="59" xfId="1" applyNumberFormat="1" applyFont="1" applyFill="1" applyBorder="1"/>
    <xf numFmtId="164" fontId="2" fillId="4" borderId="58" xfId="1" applyNumberFormat="1" applyFont="1" applyFill="1" applyBorder="1"/>
    <xf numFmtId="164" fontId="0" fillId="4" borderId="58" xfId="1" applyNumberFormat="1" applyFont="1" applyFill="1" applyBorder="1"/>
    <xf numFmtId="0" fontId="0" fillId="4" borderId="58" xfId="0" applyFill="1" applyBorder="1"/>
    <xf numFmtId="0" fontId="0" fillId="4" borderId="59" xfId="0" applyFill="1" applyBorder="1"/>
    <xf numFmtId="164" fontId="0" fillId="4" borderId="59" xfId="1" applyNumberFormat="1" applyFont="1" applyFill="1" applyBorder="1"/>
    <xf numFmtId="9" fontId="21" fillId="4" borderId="58" xfId="0" applyNumberFormat="1" applyFont="1" applyFill="1" applyBorder="1"/>
    <xf numFmtId="0" fontId="2" fillId="0" borderId="58" xfId="0" applyFont="1" applyBorder="1"/>
    <xf numFmtId="164" fontId="2" fillId="0" borderId="58" xfId="1" applyNumberFormat="1" applyFont="1" applyBorder="1"/>
    <xf numFmtId="164" fontId="21" fillId="4" borderId="59" xfId="1" applyNumberFormat="1" applyFont="1" applyFill="1" applyBorder="1"/>
    <xf numFmtId="164" fontId="21" fillId="0" borderId="59" xfId="1" applyNumberFormat="1" applyFont="1" applyFill="1" applyBorder="1"/>
    <xf numFmtId="164" fontId="0" fillId="0" borderId="59" xfId="0" applyNumberFormat="1" applyBorder="1"/>
    <xf numFmtId="10" fontId="28" fillId="0" borderId="59" xfId="0" applyNumberFormat="1" applyFont="1" applyBorder="1"/>
    <xf numFmtId="0" fontId="14" fillId="0" borderId="58" xfId="0" applyFont="1" applyBorder="1"/>
    <xf numFmtId="43" fontId="2" fillId="0" borderId="58" xfId="1" applyFont="1" applyBorder="1"/>
    <xf numFmtId="0" fontId="8" fillId="0" borderId="60" xfId="0" quotePrefix="1" applyFont="1" applyBorder="1" applyAlignment="1">
      <alignment horizontal="center"/>
    </xf>
    <xf numFmtId="0" fontId="8" fillId="0" borderId="60" xfId="0" applyFont="1" applyBorder="1"/>
    <xf numFmtId="0" fontId="15" fillId="0" borderId="60" xfId="0" applyFont="1" applyBorder="1"/>
    <xf numFmtId="43" fontId="8" fillId="0" borderId="60" xfId="1" applyFont="1" applyBorder="1"/>
    <xf numFmtId="164" fontId="8" fillId="0" borderId="60" xfId="1" applyNumberFormat="1" applyFont="1" applyBorder="1"/>
    <xf numFmtId="0" fontId="0" fillId="0" borderId="60" xfId="0" applyBorder="1"/>
    <xf numFmtId="0" fontId="60" fillId="0" borderId="60" xfId="0" applyFont="1" applyBorder="1"/>
    <xf numFmtId="164" fontId="61" fillId="0" borderId="60" xfId="1" applyNumberFormat="1" applyFont="1" applyBorder="1"/>
    <xf numFmtId="0" fontId="61" fillId="0" borderId="60" xfId="0" applyFont="1" applyBorder="1"/>
    <xf numFmtId="165" fontId="61" fillId="0" borderId="60" xfId="1" applyNumberFormat="1" applyFont="1" applyBorder="1"/>
    <xf numFmtId="168" fontId="8" fillId="0" borderId="60" xfId="1" applyNumberFormat="1" applyFont="1" applyFill="1" applyBorder="1"/>
    <xf numFmtId="168" fontId="8" fillId="0" borderId="60" xfId="1" applyNumberFormat="1" applyFont="1" applyBorder="1"/>
    <xf numFmtId="164" fontId="8" fillId="0" borderId="60" xfId="1" applyNumberFormat="1" applyFont="1" applyFill="1" applyBorder="1"/>
    <xf numFmtId="165" fontId="8" fillId="0" borderId="60" xfId="1" applyNumberFormat="1" applyFont="1" applyBorder="1"/>
    <xf numFmtId="0" fontId="0" fillId="0" borderId="58" xfId="0" applyBorder="1" applyAlignment="1">
      <alignment horizontal="center"/>
    </xf>
    <xf numFmtId="0" fontId="25" fillId="0" borderId="58" xfId="0" applyFont="1" applyBorder="1"/>
    <xf numFmtId="177" fontId="0" fillId="0" borderId="58" xfId="0" applyNumberFormat="1" applyBorder="1" applyAlignment="1">
      <alignment horizontal="center"/>
    </xf>
    <xf numFmtId="0" fontId="0" fillId="0" borderId="59" xfId="0" applyBorder="1" applyAlignment="1">
      <alignment horizontal="center"/>
    </xf>
    <xf numFmtId="0" fontId="25" fillId="0" borderId="59" xfId="0" applyFont="1" applyBorder="1"/>
    <xf numFmtId="177" fontId="0" fillId="0" borderId="59" xfId="0" applyNumberFormat="1" applyBorder="1" applyAlignment="1">
      <alignment horizontal="center"/>
    </xf>
    <xf numFmtId="9" fontId="0" fillId="0" borderId="59" xfId="0" applyNumberFormat="1" applyBorder="1" applyAlignment="1">
      <alignment horizontal="center"/>
    </xf>
    <xf numFmtId="9" fontId="0" fillId="0" borderId="59" xfId="0" applyNumberFormat="1" applyBorder="1"/>
    <xf numFmtId="0" fontId="0" fillId="6" borderId="59" xfId="0" applyFill="1" applyBorder="1" applyAlignment="1">
      <alignment horizontal="center"/>
    </xf>
    <xf numFmtId="0" fontId="0" fillId="6" borderId="59" xfId="0" applyFill="1" applyBorder="1"/>
    <xf numFmtId="0" fontId="25" fillId="6" borderId="59" xfId="0" applyFont="1" applyFill="1" applyBorder="1"/>
    <xf numFmtId="9" fontId="0" fillId="6" borderId="59" xfId="0" applyNumberFormat="1" applyFill="1" applyBorder="1"/>
    <xf numFmtId="43" fontId="0" fillId="6" borderId="59" xfId="1" applyFont="1" applyFill="1" applyBorder="1"/>
    <xf numFmtId="0" fontId="72" fillId="6" borderId="59" xfId="0" applyFont="1" applyFill="1" applyBorder="1" applyAlignment="1">
      <alignment horizontal="center"/>
    </xf>
    <xf numFmtId="0" fontId="72" fillId="6" borderId="59" xfId="0" applyFont="1" applyFill="1" applyBorder="1"/>
    <xf numFmtId="0" fontId="73" fillId="6" borderId="59" xfId="0" applyFont="1" applyFill="1" applyBorder="1"/>
    <xf numFmtId="9" fontId="72" fillId="6" borderId="59" xfId="0" applyNumberFormat="1" applyFont="1" applyFill="1" applyBorder="1"/>
    <xf numFmtId="164" fontId="72" fillId="6" borderId="59" xfId="1" applyNumberFormat="1" applyFont="1" applyFill="1" applyBorder="1"/>
    <xf numFmtId="0" fontId="78" fillId="0" borderId="59" xfId="0" applyFont="1" applyBorder="1" applyAlignment="1">
      <alignment horizontal="center"/>
    </xf>
    <xf numFmtId="0" fontId="78" fillId="0" borderId="59" xfId="0" applyFont="1" applyBorder="1"/>
    <xf numFmtId="0" fontId="79" fillId="0" borderId="59" xfId="0" applyFont="1" applyBorder="1"/>
    <xf numFmtId="9" fontId="78" fillId="0" borderId="59" xfId="0" applyNumberFormat="1" applyFont="1" applyBorder="1"/>
    <xf numFmtId="0" fontId="0" fillId="0" borderId="61" xfId="0" quotePrefix="1" applyBorder="1" applyAlignment="1">
      <alignment horizontal="center"/>
    </xf>
    <xf numFmtId="0" fontId="0" fillId="0" borderId="62" xfId="0" applyBorder="1"/>
    <xf numFmtId="0" fontId="25" fillId="0" borderId="62" xfId="0" applyFont="1" applyBorder="1"/>
    <xf numFmtId="9" fontId="0" fillId="0" borderId="62" xfId="0" applyNumberFormat="1" applyBorder="1"/>
    <xf numFmtId="0" fontId="0" fillId="0" borderId="63" xfId="0" quotePrefix="1" applyBorder="1" applyAlignment="1">
      <alignment horizontal="center"/>
    </xf>
    <xf numFmtId="0" fontId="2" fillId="24" borderId="64" xfId="0" quotePrefix="1" applyFont="1" applyFill="1" applyBorder="1" applyAlignment="1">
      <alignment horizontal="center"/>
    </xf>
    <xf numFmtId="0" fontId="2" fillId="24" borderId="65" xfId="0" applyFont="1" applyFill="1" applyBorder="1"/>
    <xf numFmtId="0" fontId="27" fillId="24" borderId="65" xfId="0" applyFont="1" applyFill="1" applyBorder="1"/>
    <xf numFmtId="165" fontId="2" fillId="24" borderId="65" xfId="0" applyNumberFormat="1" applyFont="1" applyFill="1" applyBorder="1"/>
    <xf numFmtId="165" fontId="8" fillId="0" borderId="60" xfId="1" applyNumberFormat="1" applyFont="1" applyFill="1" applyBorder="1"/>
    <xf numFmtId="178" fontId="80" fillId="11" borderId="66" xfId="4" applyNumberFormat="1" applyFont="1" applyFill="1" applyBorder="1" applyAlignment="1">
      <alignment horizontal="center"/>
    </xf>
    <xf numFmtId="0" fontId="80" fillId="11" borderId="66" xfId="4" applyFont="1" applyFill="1" applyBorder="1" applyAlignment="1">
      <alignment horizontal="center"/>
    </xf>
    <xf numFmtId="9" fontId="80" fillId="11" borderId="66" xfId="4" applyNumberFormat="1" applyFont="1" applyFill="1" applyBorder="1" applyAlignment="1">
      <alignment horizontal="center"/>
    </xf>
    <xf numFmtId="38" fontId="80" fillId="11" borderId="66" xfId="1" applyNumberFormat="1" applyFont="1" applyFill="1" applyBorder="1"/>
    <xf numFmtId="38" fontId="80" fillId="11" borderId="67" xfId="1" applyNumberFormat="1" applyFont="1" applyFill="1" applyBorder="1"/>
    <xf numFmtId="38" fontId="80" fillId="11" borderId="68" xfId="1" applyNumberFormat="1" applyFont="1" applyFill="1" applyBorder="1"/>
    <xf numFmtId="178" fontId="80" fillId="11" borderId="59" xfId="4" applyNumberFormat="1" applyFont="1" applyFill="1" applyBorder="1" applyAlignment="1">
      <alignment horizontal="center"/>
    </xf>
    <xf numFmtId="0" fontId="80" fillId="11" borderId="59" xfId="4" applyFont="1" applyFill="1" applyBorder="1" applyAlignment="1">
      <alignment horizontal="center"/>
    </xf>
    <xf numFmtId="9" fontId="80" fillId="11" borderId="59" xfId="4" applyNumberFormat="1" applyFont="1" applyFill="1" applyBorder="1" applyAlignment="1">
      <alignment horizontal="center"/>
    </xf>
    <xf numFmtId="38" fontId="80" fillId="11" borderId="59" xfId="1" applyNumberFormat="1" applyFont="1" applyFill="1" applyBorder="1"/>
    <xf numFmtId="38" fontId="80" fillId="11" borderId="69" xfId="1" applyNumberFormat="1" applyFont="1" applyFill="1" applyBorder="1"/>
    <xf numFmtId="38" fontId="80" fillId="11" borderId="70" xfId="1" applyNumberFormat="1" applyFont="1" applyFill="1" applyBorder="1"/>
    <xf numFmtId="0" fontId="59" fillId="0" borderId="59" xfId="0" applyFont="1" applyBorder="1"/>
    <xf numFmtId="179" fontId="0" fillId="0" borderId="0" xfId="0" applyNumberFormat="1"/>
    <xf numFmtId="175" fontId="0" fillId="0" borderId="66" xfId="0" applyNumberFormat="1" applyBorder="1" applyAlignment="1">
      <alignment horizontal="left"/>
    </xf>
    <xf numFmtId="0" fontId="25" fillId="0" borderId="66" xfId="0" applyFont="1" applyBorder="1"/>
    <xf numFmtId="0" fontId="0" fillId="0" borderId="66" xfId="0" applyBorder="1"/>
    <xf numFmtId="164" fontId="0" fillId="0" borderId="66" xfId="1" applyNumberFormat="1" applyFont="1" applyBorder="1"/>
    <xf numFmtId="175" fontId="0" fillId="0" borderId="59" xfId="0" applyNumberFormat="1" applyBorder="1" applyAlignment="1">
      <alignment horizontal="left"/>
    </xf>
    <xf numFmtId="0" fontId="65" fillId="7" borderId="71" xfId="0" applyFont="1" applyFill="1" applyBorder="1" applyAlignment="1">
      <alignment horizontal="center" vertical="center"/>
    </xf>
    <xf numFmtId="0" fontId="92" fillId="7" borderId="72" xfId="0" quotePrefix="1" applyFont="1" applyFill="1" applyBorder="1" applyAlignment="1">
      <alignment horizontal="center" vertical="center"/>
    </xf>
    <xf numFmtId="167" fontId="59" fillId="0" borderId="59" xfId="1" applyNumberFormat="1" applyFont="1" applyBorder="1"/>
    <xf numFmtId="165" fontId="0" fillId="0" borderId="59" xfId="1" applyNumberFormat="1" applyFont="1" applyBorder="1"/>
    <xf numFmtId="0" fontId="63" fillId="0" borderId="59" xfId="0" applyFont="1" applyBorder="1"/>
    <xf numFmtId="164" fontId="0" fillId="0" borderId="58" xfId="1" applyNumberFormat="1" applyFont="1" applyBorder="1" applyAlignment="1">
      <alignment horizontal="center"/>
    </xf>
    <xf numFmtId="164" fontId="0" fillId="0" borderId="59" xfId="1" applyNumberFormat="1" applyFont="1" applyBorder="1" applyAlignment="1">
      <alignment horizontal="center"/>
    </xf>
    <xf numFmtId="0" fontId="59" fillId="0" borderId="59" xfId="0" applyFont="1" applyBorder="1" applyAlignment="1">
      <alignment horizontal="center"/>
    </xf>
    <xf numFmtId="9" fontId="59" fillId="0" borderId="59" xfId="0" applyNumberFormat="1" applyFont="1" applyBorder="1" applyAlignment="1">
      <alignment horizontal="right"/>
    </xf>
    <xf numFmtId="165" fontId="0" fillId="0" borderId="59" xfId="1" applyNumberFormat="1" applyFont="1" applyBorder="1" applyAlignment="1">
      <alignment horizontal="right"/>
    </xf>
    <xf numFmtId="0" fontId="68" fillId="0" borderId="59" xfId="0" quotePrefix="1" applyFont="1" applyBorder="1"/>
    <xf numFmtId="0" fontId="69" fillId="0" borderId="59" xfId="0" applyFont="1" applyBorder="1"/>
    <xf numFmtId="164" fontId="68" fillId="0" borderId="59" xfId="1" applyNumberFormat="1" applyFont="1" applyBorder="1" applyAlignment="1">
      <alignment horizontal="center"/>
    </xf>
    <xf numFmtId="0" fontId="0" fillId="16" borderId="74" xfId="0" applyFill="1" applyBorder="1"/>
    <xf numFmtId="0" fontId="25" fillId="16" borderId="74" xfId="0" applyFont="1" applyFill="1" applyBorder="1"/>
    <xf numFmtId="0" fontId="0" fillId="16" borderId="75" xfId="0" applyFill="1" applyBorder="1"/>
    <xf numFmtId="0" fontId="25" fillId="16" borderId="75" xfId="0" applyFont="1" applyFill="1" applyBorder="1"/>
    <xf numFmtId="0" fontId="68" fillId="16" borderId="75" xfId="0" quotePrefix="1" applyFont="1" applyFill="1" applyBorder="1"/>
    <xf numFmtId="0" fontId="69" fillId="16" borderId="75" xfId="0" applyFont="1" applyFill="1" applyBorder="1"/>
    <xf numFmtId="0" fontId="0" fillId="16" borderId="74" xfId="0" applyFill="1" applyBorder="1" applyAlignment="1">
      <alignment horizontal="center"/>
    </xf>
    <xf numFmtId="164" fontId="0" fillId="16" borderId="74" xfId="1" applyNumberFormat="1" applyFont="1" applyFill="1" applyBorder="1" applyAlignment="1">
      <alignment horizontal="center"/>
    </xf>
    <xf numFmtId="164" fontId="0" fillId="16" borderId="75" xfId="1" applyNumberFormat="1" applyFont="1" applyFill="1" applyBorder="1" applyAlignment="1">
      <alignment horizontal="center"/>
    </xf>
    <xf numFmtId="164" fontId="68" fillId="16" borderId="75" xfId="1" applyNumberFormat="1" applyFont="1" applyFill="1" applyBorder="1" applyAlignment="1">
      <alignment horizontal="center"/>
    </xf>
    <xf numFmtId="164" fontId="1" fillId="16" borderId="74" xfId="1" applyNumberFormat="1" applyFont="1" applyFill="1" applyBorder="1"/>
    <xf numFmtId="164" fontId="1" fillId="16" borderId="75" xfId="1" applyNumberFormat="1" applyFont="1" applyFill="1" applyBorder="1"/>
    <xf numFmtId="0" fontId="0" fillId="16" borderId="76" xfId="0" applyFill="1" applyBorder="1"/>
    <xf numFmtId="0" fontId="25" fillId="16" borderId="76" xfId="0" applyFont="1" applyFill="1" applyBorder="1"/>
    <xf numFmtId="164" fontId="0" fillId="16" borderId="76" xfId="1" applyNumberFormat="1" applyFont="1" applyFill="1" applyBorder="1"/>
    <xf numFmtId="164" fontId="0" fillId="16" borderId="75" xfId="1" applyNumberFormat="1" applyFont="1" applyFill="1" applyBorder="1"/>
    <xf numFmtId="0" fontId="0" fillId="22" borderId="77" xfId="0" applyFill="1" applyBorder="1"/>
    <xf numFmtId="0" fontId="25" fillId="22" borderId="77" xfId="0" applyFont="1" applyFill="1" applyBorder="1"/>
    <xf numFmtId="0" fontId="0" fillId="22" borderId="78" xfId="0" applyFill="1" applyBorder="1"/>
    <xf numFmtId="0" fontId="25" fillId="22" borderId="78" xfId="0" applyFont="1" applyFill="1" applyBorder="1"/>
    <xf numFmtId="0" fontId="68" fillId="22" borderId="78" xfId="0" quotePrefix="1" applyFont="1" applyFill="1" applyBorder="1"/>
    <xf numFmtId="0" fontId="69" fillId="22" borderId="78" xfId="0" applyFont="1" applyFill="1" applyBorder="1"/>
    <xf numFmtId="0" fontId="0" fillId="22" borderId="77" xfId="0" applyFill="1" applyBorder="1" applyAlignment="1">
      <alignment horizontal="center"/>
    </xf>
    <xf numFmtId="164" fontId="0" fillId="22" borderId="77" xfId="1" applyNumberFormat="1" applyFont="1" applyFill="1" applyBorder="1" applyAlignment="1">
      <alignment horizontal="center"/>
    </xf>
    <xf numFmtId="164" fontId="0" fillId="22" borderId="78" xfId="1" applyNumberFormat="1" applyFont="1" applyFill="1" applyBorder="1" applyAlignment="1">
      <alignment horizontal="center"/>
    </xf>
    <xf numFmtId="164" fontId="68" fillId="22" borderId="78" xfId="1" applyNumberFormat="1" applyFont="1" applyFill="1" applyBorder="1" applyAlignment="1">
      <alignment horizontal="center"/>
    </xf>
    <xf numFmtId="164" fontId="1" fillId="22" borderId="77" xfId="1" applyNumberFormat="1" applyFont="1" applyFill="1" applyBorder="1"/>
    <xf numFmtId="164" fontId="1" fillId="22" borderId="78" xfId="1" applyNumberFormat="1" applyFont="1" applyFill="1" applyBorder="1"/>
    <xf numFmtId="164" fontId="0" fillId="22" borderId="78" xfId="1" applyNumberFormat="1" applyFont="1" applyFill="1" applyBorder="1"/>
    <xf numFmtId="0" fontId="2" fillId="16" borderId="75" xfId="0" applyFont="1" applyFill="1" applyBorder="1"/>
    <xf numFmtId="0" fontId="27" fillId="16" borderId="75" xfId="0" applyFont="1" applyFill="1" applyBorder="1"/>
    <xf numFmtId="0" fontId="46" fillId="16" borderId="75" xfId="0" applyFont="1" applyFill="1" applyBorder="1"/>
    <xf numFmtId="0" fontId="45" fillId="16" borderId="75" xfId="0" applyFont="1" applyFill="1" applyBorder="1"/>
    <xf numFmtId="9" fontId="0" fillId="16" borderId="76" xfId="0" applyNumberFormat="1" applyFill="1" applyBorder="1"/>
    <xf numFmtId="164" fontId="2" fillId="16" borderId="75" xfId="1" applyNumberFormat="1" applyFont="1" applyFill="1" applyBorder="1"/>
    <xf numFmtId="165" fontId="0" fillId="16" borderId="75" xfId="0" applyNumberFormat="1" applyFill="1" applyBorder="1"/>
    <xf numFmtId="165" fontId="46" fillId="16" borderId="75" xfId="0" applyNumberFormat="1" applyFont="1" applyFill="1" applyBorder="1"/>
    <xf numFmtId="0" fontId="0" fillId="22" borderId="79" xfId="0" applyFill="1" applyBorder="1"/>
    <xf numFmtId="0" fontId="25" fillId="22" borderId="79" xfId="0" applyFont="1" applyFill="1" applyBorder="1"/>
    <xf numFmtId="0" fontId="2" fillId="22" borderId="78" xfId="0" applyFont="1" applyFill="1" applyBorder="1"/>
    <xf numFmtId="0" fontId="27" fillId="22" borderId="78" xfId="0" applyFont="1" applyFill="1" applyBorder="1"/>
    <xf numFmtId="0" fontId="46" fillId="22" borderId="78" xfId="0" applyFont="1" applyFill="1" applyBorder="1"/>
    <xf numFmtId="0" fontId="45" fillId="22" borderId="78" xfId="0" applyFont="1" applyFill="1" applyBorder="1"/>
    <xf numFmtId="9" fontId="0" fillId="22" borderId="79" xfId="0" applyNumberFormat="1" applyFill="1" applyBorder="1"/>
    <xf numFmtId="164" fontId="2" fillId="22" borderId="78" xfId="1" applyNumberFormat="1" applyFont="1" applyFill="1" applyBorder="1"/>
    <xf numFmtId="165" fontId="0" fillId="22" borderId="78" xfId="0" applyNumberFormat="1" applyFill="1" applyBorder="1"/>
    <xf numFmtId="165" fontId="46" fillId="22" borderId="78" xfId="0" applyNumberFormat="1" applyFont="1" applyFill="1" applyBorder="1"/>
    <xf numFmtId="10" fontId="0" fillId="0" borderId="0" xfId="0" applyNumberFormat="1"/>
    <xf numFmtId="164" fontId="0" fillId="22" borderId="79" xfId="1" applyNumberFormat="1" applyFont="1" applyFill="1" applyBorder="1"/>
    <xf numFmtId="164" fontId="1" fillId="0" borderId="0" xfId="1" applyNumberFormat="1" applyFont="1" applyFill="1"/>
    <xf numFmtId="0" fontId="9" fillId="5" borderId="0" xfId="0" applyFont="1" applyFill="1" applyAlignment="1">
      <alignment horizontal="center" vertical="center" wrapText="1"/>
    </xf>
    <xf numFmtId="0" fontId="9" fillId="5" borderId="33" xfId="0" applyFont="1" applyFill="1" applyBorder="1" applyAlignment="1">
      <alignment horizontal="centerContinuous" vertical="center"/>
    </xf>
    <xf numFmtId="0" fontId="7" fillId="5" borderId="0" xfId="0" applyFont="1" applyFill="1" applyAlignment="1">
      <alignment horizontal="center" vertical="center"/>
    </xf>
    <xf numFmtId="0" fontId="0" fillId="0" borderId="73" xfId="0" applyBorder="1" applyAlignment="1">
      <alignment horizontal="center"/>
    </xf>
    <xf numFmtId="0" fontId="0" fillId="0" borderId="73" xfId="0" applyBorder="1" applyAlignment="1">
      <alignment horizontal="left" indent="2"/>
    </xf>
    <xf numFmtId="0" fontId="0" fillId="4" borderId="73" xfId="0" applyFill="1" applyBorder="1"/>
    <xf numFmtId="164" fontId="0" fillId="0" borderId="73" xfId="1" applyNumberFormat="1" applyFont="1" applyBorder="1"/>
    <xf numFmtId="0" fontId="0" fillId="0" borderId="59" xfId="0" applyBorder="1" applyAlignment="1">
      <alignment horizontal="left" indent="2"/>
    </xf>
    <xf numFmtId="164" fontId="0" fillId="4" borderId="73" xfId="1" applyNumberFormat="1" applyFont="1" applyFill="1" applyBorder="1"/>
    <xf numFmtId="164" fontId="1" fillId="3" borderId="59" xfId="1" applyNumberFormat="1" applyFont="1" applyFill="1" applyBorder="1"/>
    <xf numFmtId="164" fontId="1" fillId="0" borderId="59" xfId="1" applyNumberFormat="1" applyFont="1" applyBorder="1"/>
    <xf numFmtId="164" fontId="0" fillId="3" borderId="59" xfId="1" applyNumberFormat="1" applyFont="1" applyFill="1" applyBorder="1"/>
    <xf numFmtId="0" fontId="21" fillId="0" borderId="59" xfId="0" applyFont="1" applyBorder="1" applyAlignment="1">
      <alignment horizontal="center"/>
    </xf>
    <xf numFmtId="0" fontId="21" fillId="0" borderId="59" xfId="0" applyFont="1" applyBorder="1" applyAlignment="1">
      <alignment horizontal="left" indent="2"/>
    </xf>
    <xf numFmtId="0" fontId="21" fillId="4" borderId="59" xfId="0" applyFont="1" applyFill="1" applyBorder="1"/>
    <xf numFmtId="164" fontId="21" fillId="0" borderId="59" xfId="1" applyNumberFormat="1" applyFont="1" applyBorder="1"/>
    <xf numFmtId="0" fontId="0" fillId="0" borderId="73" xfId="0" quotePrefix="1" applyBorder="1" applyAlignment="1">
      <alignment horizontal="center"/>
    </xf>
    <xf numFmtId="0" fontId="0" fillId="0" borderId="59" xfId="0" quotePrefix="1" applyBorder="1" applyAlignment="1">
      <alignment horizontal="center"/>
    </xf>
    <xf numFmtId="164" fontId="0" fillId="3" borderId="73" xfId="1" applyNumberFormat="1" applyFont="1" applyFill="1" applyBorder="1"/>
    <xf numFmtId="0" fontId="59" fillId="0" borderId="58" xfId="0" applyFont="1" applyBorder="1"/>
    <xf numFmtId="0" fontId="63" fillId="0" borderId="58" xfId="0" applyFont="1" applyBorder="1"/>
    <xf numFmtId="164" fontId="59" fillId="0" borderId="58" xfId="1" applyNumberFormat="1" applyFont="1" applyBorder="1" applyAlignment="1">
      <alignment horizontal="center"/>
    </xf>
    <xf numFmtId="164" fontId="59" fillId="0" borderId="59" xfId="1" applyNumberFormat="1" applyFont="1" applyBorder="1" applyAlignment="1">
      <alignment horizontal="center"/>
    </xf>
    <xf numFmtId="165" fontId="59" fillId="0" borderId="58" xfId="1" applyNumberFormat="1" applyFont="1" applyBorder="1" applyAlignment="1">
      <alignment horizontal="center"/>
    </xf>
    <xf numFmtId="165" fontId="59" fillId="0" borderId="58" xfId="1" applyNumberFormat="1" applyFont="1" applyBorder="1" applyAlignment="1">
      <alignment horizontal="right"/>
    </xf>
    <xf numFmtId="0" fontId="93" fillId="0" borderId="0" xfId="0" applyFont="1"/>
    <xf numFmtId="0" fontId="94" fillId="0" borderId="0" xfId="0" applyFont="1"/>
    <xf numFmtId="0" fontId="93" fillId="0" borderId="0" xfId="0" applyFont="1" applyAlignment="1">
      <alignment horizontal="center"/>
    </xf>
    <xf numFmtId="0" fontId="9" fillId="0" borderId="0" xfId="0" applyFont="1" applyAlignment="1">
      <alignment horizontal="center"/>
    </xf>
    <xf numFmtId="164" fontId="9" fillId="0" borderId="0" xfId="1" applyNumberFormat="1" applyFont="1" applyAlignment="1">
      <alignment horizontal="center"/>
    </xf>
    <xf numFmtId="0" fontId="0" fillId="0" borderId="73" xfId="0" applyBorder="1"/>
    <xf numFmtId="0" fontId="25" fillId="0" borderId="73" xfId="0" applyFont="1" applyBorder="1"/>
    <xf numFmtId="164" fontId="1" fillId="0" borderId="73" xfId="1" applyNumberFormat="1" applyFont="1" applyBorder="1"/>
    <xf numFmtId="164" fontId="68" fillId="0" borderId="80" xfId="1" applyNumberFormat="1" applyFont="1" applyBorder="1" applyAlignment="1">
      <alignment horizontal="center"/>
    </xf>
    <xf numFmtId="0" fontId="68" fillId="16" borderId="81" xfId="0" quotePrefix="1" applyFont="1" applyFill="1" applyBorder="1"/>
    <xf numFmtId="0" fontId="69" fillId="16" borderId="81" xfId="0" applyFont="1" applyFill="1" applyBorder="1"/>
    <xf numFmtId="164" fontId="68" fillId="16" borderId="81" xfId="1" applyNumberFormat="1" applyFont="1" applyFill="1" applyBorder="1" applyAlignment="1">
      <alignment horizontal="center"/>
    </xf>
    <xf numFmtId="0" fontId="9" fillId="16" borderId="0" xfId="0" applyFont="1" applyFill="1"/>
    <xf numFmtId="0" fontId="9" fillId="22" borderId="0" xfId="0" applyFont="1" applyFill="1"/>
    <xf numFmtId="0" fontId="68" fillId="22" borderId="82" xfId="0" quotePrefix="1" applyFont="1" applyFill="1" applyBorder="1"/>
    <xf numFmtId="0" fontId="69" fillId="22" borderId="82" xfId="0" applyFont="1" applyFill="1" applyBorder="1"/>
    <xf numFmtId="164" fontId="68" fillId="22" borderId="82" xfId="1" applyNumberFormat="1" applyFont="1" applyFill="1" applyBorder="1" applyAlignment="1">
      <alignment horizontal="center"/>
    </xf>
    <xf numFmtId="165" fontId="8" fillId="0" borderId="0" xfId="0" applyNumberFormat="1" applyFont="1"/>
    <xf numFmtId="165" fontId="0" fillId="0" borderId="1" xfId="1" applyNumberFormat="1" applyFont="1" applyBorder="1"/>
    <xf numFmtId="164" fontId="0" fillId="0" borderId="0" xfId="1" quotePrefix="1" applyNumberFormat="1" applyFont="1"/>
    <xf numFmtId="0" fontId="8" fillId="0" borderId="83" xfId="0" quotePrefix="1" applyFont="1" applyBorder="1" applyAlignment="1">
      <alignment horizontal="center"/>
    </xf>
    <xf numFmtId="0" fontId="8" fillId="0" borderId="83" xfId="0" applyFont="1" applyBorder="1"/>
    <xf numFmtId="0" fontId="15" fillId="0" borderId="83" xfId="0" applyFont="1" applyBorder="1"/>
    <xf numFmtId="164" fontId="8" fillId="0" borderId="83" xfId="1" applyNumberFormat="1" applyFont="1" applyBorder="1"/>
    <xf numFmtId="169" fontId="30" fillId="0" borderId="0" xfId="0" applyNumberFormat="1" applyFont="1" applyAlignment="1">
      <alignment vertical="center"/>
    </xf>
    <xf numFmtId="164" fontId="1" fillId="3" borderId="0" xfId="1" applyNumberFormat="1" applyFont="1" applyFill="1"/>
    <xf numFmtId="165" fontId="1" fillId="3" borderId="0" xfId="1" applyNumberFormat="1" applyFont="1" applyFill="1"/>
    <xf numFmtId="0" fontId="0" fillId="0" borderId="84" xfId="0" applyBorder="1"/>
    <xf numFmtId="0" fontId="0" fillId="0" borderId="85" xfId="0" applyBorder="1"/>
    <xf numFmtId="0" fontId="0" fillId="0" borderId="86" xfId="0" applyBorder="1"/>
    <xf numFmtId="167" fontId="8" fillId="0" borderId="60" xfId="1" applyNumberFormat="1" applyFont="1" applyBorder="1"/>
    <xf numFmtId="167" fontId="2" fillId="0" borderId="58" xfId="1" applyNumberFormat="1" applyFont="1" applyBorder="1"/>
    <xf numFmtId="167" fontId="0" fillId="4" borderId="59" xfId="1" applyNumberFormat="1" applyFont="1" applyFill="1" applyBorder="1"/>
    <xf numFmtId="167" fontId="2" fillId="0" borderId="59" xfId="1" applyNumberFormat="1" applyFont="1" applyBorder="1"/>
    <xf numFmtId="165" fontId="0" fillId="0" borderId="0" xfId="1" applyNumberFormat="1" applyFont="1"/>
    <xf numFmtId="165" fontId="98" fillId="0" borderId="84" xfId="1" applyNumberFormat="1" applyFont="1" applyBorder="1"/>
    <xf numFmtId="165" fontId="98" fillId="0" borderId="85" xfId="1" applyNumberFormat="1" applyFont="1" applyBorder="1"/>
    <xf numFmtId="165" fontId="98" fillId="0" borderId="86" xfId="1" applyNumberFormat="1" applyFont="1" applyBorder="1"/>
    <xf numFmtId="165" fontId="97" fillId="0" borderId="8" xfId="0" applyNumberFormat="1" applyFont="1" applyBorder="1"/>
    <xf numFmtId="0" fontId="88" fillId="26" borderId="72" xfId="0" applyFont="1" applyFill="1" applyBorder="1" applyAlignment="1">
      <alignment horizontal="right"/>
    </xf>
    <xf numFmtId="0" fontId="26" fillId="26" borderId="72" xfId="0" applyFont="1" applyFill="1" applyBorder="1" applyAlignment="1">
      <alignment horizontal="right"/>
    </xf>
    <xf numFmtId="0" fontId="88" fillId="20" borderId="72" xfId="0" applyFont="1" applyFill="1" applyBorder="1" applyAlignment="1">
      <alignment horizontal="right"/>
    </xf>
    <xf numFmtId="0" fontId="26" fillId="20" borderId="72" xfId="0" applyFont="1" applyFill="1" applyBorder="1" applyAlignment="1">
      <alignment horizontal="right"/>
    </xf>
    <xf numFmtId="0" fontId="88" fillId="20" borderId="72" xfId="0" quotePrefix="1" applyFont="1" applyFill="1" applyBorder="1" applyAlignment="1">
      <alignment horizontal="right"/>
    </xf>
    <xf numFmtId="180" fontId="0" fillId="0" borderId="84" xfId="1" applyNumberFormat="1" applyFont="1" applyBorder="1"/>
    <xf numFmtId="180" fontId="0" fillId="0" borderId="85" xfId="1" applyNumberFormat="1" applyFont="1" applyBorder="1"/>
    <xf numFmtId="180" fontId="0" fillId="0" borderId="86" xfId="1" applyNumberFormat="1" applyFont="1" applyBorder="1"/>
    <xf numFmtId="180" fontId="2" fillId="0" borderId="8" xfId="1" applyNumberFormat="1" applyFont="1" applyBorder="1"/>
    <xf numFmtId="181" fontId="98" fillId="0" borderId="84" xfId="1" applyNumberFormat="1" applyFont="1" applyBorder="1"/>
    <xf numFmtId="181" fontId="98" fillId="0" borderId="85" xfId="1" applyNumberFormat="1" applyFont="1" applyBorder="1"/>
    <xf numFmtId="181" fontId="98" fillId="0" borderId="86" xfId="1" applyNumberFormat="1" applyFont="1" applyBorder="1"/>
    <xf numFmtId="181" fontId="97" fillId="0" borderId="8" xfId="0" applyNumberFormat="1" applyFont="1" applyBorder="1"/>
    <xf numFmtId="165" fontId="98" fillId="0" borderId="0" xfId="1" applyNumberFormat="1" applyFont="1" applyFill="1" applyBorder="1"/>
    <xf numFmtId="174" fontId="44" fillId="0" borderId="45" xfId="4" applyNumberFormat="1" applyFont="1" applyBorder="1" applyAlignment="1">
      <alignment horizontal="center" vertical="center"/>
    </xf>
    <xf numFmtId="174" fontId="44" fillId="0" borderId="46" xfId="4" applyNumberFormat="1" applyFont="1" applyBorder="1" applyAlignment="1">
      <alignment horizontal="center" vertical="center"/>
    </xf>
    <xf numFmtId="165" fontId="0" fillId="0" borderId="62" xfId="0" applyNumberFormat="1" applyBorder="1"/>
    <xf numFmtId="0" fontId="55" fillId="15" borderId="71" xfId="0" applyFont="1" applyFill="1" applyBorder="1" applyAlignment="1">
      <alignment horizontal="right" wrapText="1"/>
    </xf>
    <xf numFmtId="0" fontId="64" fillId="20" borderId="71" xfId="0" applyFont="1" applyFill="1" applyBorder="1" applyAlignment="1">
      <alignment horizontal="right" wrapText="1"/>
    </xf>
    <xf numFmtId="0" fontId="64" fillId="21" borderId="71" xfId="0" applyFont="1" applyFill="1" applyBorder="1" applyAlignment="1">
      <alignment horizontal="right" wrapText="1"/>
    </xf>
    <xf numFmtId="0" fontId="64" fillId="27" borderId="71" xfId="0" applyFont="1" applyFill="1" applyBorder="1" applyAlignment="1">
      <alignment horizontal="right" wrapText="1"/>
    </xf>
    <xf numFmtId="0" fontId="65" fillId="27" borderId="0" xfId="0" applyFont="1" applyFill="1"/>
    <xf numFmtId="0" fontId="64" fillId="8" borderId="71" xfId="0" applyFont="1" applyFill="1" applyBorder="1" applyAlignment="1">
      <alignment horizontal="right" wrapText="1"/>
    </xf>
    <xf numFmtId="0" fontId="65" fillId="8" borderId="0" xfId="0" applyFont="1" applyFill="1"/>
    <xf numFmtId="0" fontId="13" fillId="16" borderId="0" xfId="0" applyFont="1" applyFill="1"/>
    <xf numFmtId="0" fontId="64" fillId="7" borderId="71" xfId="0" applyFont="1" applyFill="1" applyBorder="1" applyAlignment="1">
      <alignment horizontal="right" wrapText="1"/>
    </xf>
    <xf numFmtId="0" fontId="65" fillId="7" borderId="0" xfId="0" applyFont="1" applyFill="1"/>
    <xf numFmtId="164" fontId="37" fillId="11" borderId="0" xfId="1" applyNumberFormat="1" applyFont="1" applyFill="1" applyBorder="1"/>
    <xf numFmtId="164" fontId="43" fillId="24" borderId="0" xfId="1" applyNumberFormat="1" applyFont="1" applyFill="1" applyBorder="1"/>
    <xf numFmtId="164" fontId="37" fillId="6" borderId="0" xfId="1" applyNumberFormat="1" applyFont="1" applyFill="1" applyBorder="1" applyAlignment="1">
      <alignment horizontal="centerContinuous"/>
    </xf>
    <xf numFmtId="164" fontId="38" fillId="19" borderId="87" xfId="1" applyNumberFormat="1" applyFont="1" applyFill="1" applyBorder="1" applyAlignment="1">
      <alignment horizontal="centerContinuous" vertical="center"/>
    </xf>
    <xf numFmtId="164" fontId="38" fillId="19" borderId="88" xfId="1" applyNumberFormat="1" applyFont="1" applyFill="1" applyBorder="1" applyAlignment="1">
      <alignment horizontal="centerContinuous" vertical="center"/>
    </xf>
    <xf numFmtId="164" fontId="37" fillId="6" borderId="37" xfId="1" applyNumberFormat="1" applyFont="1" applyFill="1" applyBorder="1" applyAlignment="1">
      <alignment horizontal="centerContinuous"/>
    </xf>
    <xf numFmtId="2" fontId="38" fillId="8" borderId="89" xfId="4" applyNumberFormat="1" applyFont="1" applyFill="1" applyBorder="1" applyAlignment="1">
      <alignment horizontal="center" vertical="center" wrapText="1"/>
    </xf>
    <xf numFmtId="174" fontId="44" fillId="0" borderId="89" xfId="4" applyNumberFormat="1" applyFont="1" applyBorder="1" applyAlignment="1">
      <alignment horizontal="center" vertical="center"/>
    </xf>
    <xf numFmtId="174" fontId="44" fillId="0" borderId="91" xfId="4" applyNumberFormat="1" applyFont="1" applyBorder="1" applyAlignment="1">
      <alignment horizontal="center" vertical="center"/>
    </xf>
    <xf numFmtId="0" fontId="37" fillId="11" borderId="95" xfId="4" applyFont="1" applyFill="1" applyBorder="1"/>
    <xf numFmtId="0" fontId="37" fillId="11" borderId="96" xfId="4" applyFont="1" applyFill="1" applyBorder="1"/>
    <xf numFmtId="2" fontId="38" fillId="8" borderId="43" xfId="4" applyNumberFormat="1" applyFont="1" applyFill="1" applyBorder="1" applyAlignment="1">
      <alignment horizontal="center" vertical="center" wrapText="1"/>
    </xf>
    <xf numFmtId="174" fontId="44" fillId="11" borderId="89" xfId="4" applyNumberFormat="1" applyFont="1" applyFill="1" applyBorder="1" applyAlignment="1">
      <alignment horizontal="center" vertical="center"/>
    </xf>
    <xf numFmtId="174" fontId="44" fillId="11" borderId="91" xfId="4" applyNumberFormat="1" applyFont="1" applyFill="1" applyBorder="1" applyAlignment="1">
      <alignment horizontal="center" vertical="center"/>
    </xf>
    <xf numFmtId="10" fontId="59" fillId="0" borderId="0" xfId="1" applyNumberFormat="1" applyFont="1" applyFill="1" applyBorder="1"/>
    <xf numFmtId="10" fontId="59" fillId="0" borderId="0" xfId="0" applyNumberFormat="1" applyFont="1"/>
    <xf numFmtId="0" fontId="67" fillId="0" borderId="0" xfId="0" applyFont="1" applyAlignment="1">
      <alignment horizontal="center" vertical="center"/>
    </xf>
    <xf numFmtId="0" fontId="67" fillId="0" borderId="0" xfId="0" applyFont="1" applyAlignment="1">
      <alignment vertical="center"/>
    </xf>
    <xf numFmtId="0" fontId="8" fillId="0" borderId="0" xfId="0" applyFont="1" applyAlignment="1">
      <alignment vertical="center"/>
    </xf>
    <xf numFmtId="0" fontId="63" fillId="0" borderId="0" xfId="0" applyFont="1"/>
    <xf numFmtId="0" fontId="26" fillId="19" borderId="0" xfId="0" applyFont="1" applyFill="1" applyAlignment="1">
      <alignment horizontal="center"/>
    </xf>
    <xf numFmtId="9" fontId="25" fillId="0" borderId="59" xfId="0" applyNumberFormat="1" applyFont="1" applyBorder="1" applyAlignment="1">
      <alignment horizontal="center"/>
    </xf>
    <xf numFmtId="9" fontId="25" fillId="0" borderId="59" xfId="0" applyNumberFormat="1" applyFont="1" applyBorder="1"/>
    <xf numFmtId="43" fontId="25" fillId="6" borderId="59" xfId="1" applyFont="1" applyFill="1" applyBorder="1"/>
    <xf numFmtId="164" fontId="73" fillId="6" borderId="59" xfId="1" applyNumberFormat="1" applyFont="1" applyFill="1" applyBorder="1"/>
    <xf numFmtId="164" fontId="25" fillId="0" borderId="59" xfId="1" applyNumberFormat="1" applyFont="1" applyFill="1" applyBorder="1"/>
    <xf numFmtId="9" fontId="79" fillId="0" borderId="59" xfId="0" applyNumberFormat="1" applyFont="1" applyBorder="1"/>
    <xf numFmtId="9" fontId="25" fillId="0" borderId="0" xfId="0" applyNumberFormat="1" applyFont="1"/>
    <xf numFmtId="165" fontId="25" fillId="0" borderId="62" xfId="0" applyNumberFormat="1" applyFont="1" applyBorder="1"/>
    <xf numFmtId="165" fontId="27" fillId="24" borderId="65" xfId="0" applyNumberFormat="1" applyFont="1" applyFill="1" applyBorder="1"/>
    <xf numFmtId="164" fontId="25" fillId="0" borderId="0" xfId="1" applyNumberFormat="1" applyFont="1"/>
    <xf numFmtId="164" fontId="27" fillId="0" borderId="0" xfId="1" applyNumberFormat="1" applyFont="1"/>
    <xf numFmtId="43" fontId="25" fillId="0" borderId="0" xfId="1" applyFont="1"/>
    <xf numFmtId="164" fontId="27" fillId="0" borderId="27" xfId="0" applyNumberFormat="1" applyFont="1" applyBorder="1"/>
    <xf numFmtId="164" fontId="25" fillId="0" borderId="66" xfId="1" applyNumberFormat="1" applyFont="1" applyBorder="1"/>
    <xf numFmtId="164" fontId="25" fillId="0" borderId="59" xfId="1" applyNumberFormat="1" applyFont="1" applyBorder="1"/>
    <xf numFmtId="0" fontId="97" fillId="0" borderId="0" xfId="0" applyFont="1" applyAlignment="1">
      <alignment horizontal="right"/>
    </xf>
    <xf numFmtId="165" fontId="97" fillId="0" borderId="27" xfId="0" applyNumberFormat="1" applyFont="1" applyBorder="1"/>
    <xf numFmtId="165" fontId="98" fillId="0" borderId="66" xfId="1" applyNumberFormat="1" applyFont="1" applyBorder="1"/>
    <xf numFmtId="165" fontId="98" fillId="0" borderId="59" xfId="1" applyNumberFormat="1" applyFont="1" applyBorder="1"/>
    <xf numFmtId="10" fontId="37" fillId="11" borderId="95" xfId="4" applyNumberFormat="1" applyFont="1" applyFill="1" applyBorder="1"/>
    <xf numFmtId="43" fontId="0" fillId="6" borderId="0" xfId="1" applyFont="1" applyFill="1" applyBorder="1"/>
    <xf numFmtId="164" fontId="72" fillId="6" borderId="0" xfId="1" applyNumberFormat="1" applyFont="1" applyFill="1" applyBorder="1"/>
    <xf numFmtId="9" fontId="78" fillId="0" borderId="0" xfId="0" applyNumberFormat="1" applyFont="1"/>
    <xf numFmtId="164" fontId="0" fillId="0" borderId="0" xfId="1" applyNumberFormat="1" applyFont="1" applyBorder="1"/>
    <xf numFmtId="0" fontId="0" fillId="0" borderId="97" xfId="0" applyBorder="1"/>
    <xf numFmtId="0" fontId="0" fillId="0" borderId="98" xfId="0" applyBorder="1"/>
    <xf numFmtId="0" fontId="70" fillId="0" borderId="0" xfId="0" applyFont="1" applyAlignment="1">
      <alignment horizontal="center"/>
    </xf>
    <xf numFmtId="0" fontId="71" fillId="0" borderId="0" xfId="0" applyFont="1"/>
    <xf numFmtId="164" fontId="70" fillId="0" borderId="0" xfId="0" applyNumberFormat="1" applyFont="1"/>
    <xf numFmtId="164" fontId="71" fillId="0" borderId="0" xfId="0" applyNumberFormat="1" applyFont="1"/>
    <xf numFmtId="165" fontId="0" fillId="0" borderId="66" xfId="0" applyNumberFormat="1" applyBorder="1"/>
    <xf numFmtId="165" fontId="2" fillId="24" borderId="99" xfId="0" applyNumberFormat="1" applyFont="1" applyFill="1" applyBorder="1"/>
    <xf numFmtId="165" fontId="0" fillId="0" borderId="100" xfId="0" applyNumberFormat="1" applyBorder="1"/>
    <xf numFmtId="9" fontId="0" fillId="0" borderId="101" xfId="0" applyNumberFormat="1" applyBorder="1"/>
    <xf numFmtId="165" fontId="2" fillId="24" borderId="102" xfId="0" applyNumberFormat="1" applyFont="1" applyFill="1" applyBorder="1"/>
    <xf numFmtId="164" fontId="70" fillId="0" borderId="0" xfId="1" applyNumberFormat="1" applyFont="1"/>
    <xf numFmtId="10" fontId="0" fillId="0" borderId="58" xfId="1" applyNumberFormat="1" applyFont="1" applyBorder="1"/>
    <xf numFmtId="43" fontId="8" fillId="0" borderId="0" xfId="1" applyFont="1"/>
    <xf numFmtId="182" fontId="44" fillId="11" borderId="50" xfId="4" applyNumberFormat="1" applyFont="1" applyFill="1" applyBorder="1" applyAlignment="1">
      <alignment horizontal="center" vertical="center"/>
    </xf>
    <xf numFmtId="182" fontId="44" fillId="11" borderId="52" xfId="4" applyNumberFormat="1" applyFont="1" applyFill="1" applyBorder="1" applyAlignment="1">
      <alignment horizontal="center" vertical="center"/>
    </xf>
    <xf numFmtId="0" fontId="99" fillId="11" borderId="0" xfId="4" applyFont="1" applyFill="1"/>
    <xf numFmtId="164" fontId="99" fillId="11" borderId="0" xfId="1" applyNumberFormat="1" applyFont="1" applyFill="1"/>
    <xf numFmtId="43" fontId="99" fillId="11" borderId="0" xfId="1" applyFont="1" applyFill="1"/>
    <xf numFmtId="182" fontId="44" fillId="11" borderId="45" xfId="4" applyNumberFormat="1" applyFont="1" applyFill="1" applyBorder="1" applyAlignment="1">
      <alignment horizontal="center" vertical="center"/>
    </xf>
    <xf numFmtId="182" fontId="44" fillId="11" borderId="46" xfId="4" applyNumberFormat="1" applyFont="1" applyFill="1" applyBorder="1" applyAlignment="1">
      <alignment horizontal="center" vertical="center"/>
    </xf>
    <xf numFmtId="182" fontId="44" fillId="11" borderId="89" xfId="4" applyNumberFormat="1" applyFont="1" applyFill="1" applyBorder="1" applyAlignment="1">
      <alignment horizontal="center" vertical="center"/>
    </xf>
    <xf numFmtId="182" fontId="44" fillId="11" borderId="91" xfId="4" applyNumberFormat="1" applyFont="1" applyFill="1" applyBorder="1" applyAlignment="1">
      <alignment horizontal="center" vertical="center"/>
    </xf>
    <xf numFmtId="2" fontId="38" fillId="8" borderId="103" xfId="4" applyNumberFormat="1" applyFont="1" applyFill="1" applyBorder="1" applyAlignment="1">
      <alignment horizontal="center" vertical="center" wrapText="1"/>
    </xf>
    <xf numFmtId="174" fontId="44" fillId="11" borderId="105" xfId="4" applyNumberFormat="1" applyFont="1" applyFill="1" applyBorder="1" applyAlignment="1">
      <alignment horizontal="center" vertical="center"/>
    </xf>
    <xf numFmtId="174" fontId="44" fillId="11" borderId="107" xfId="4" applyNumberFormat="1" applyFont="1" applyFill="1" applyBorder="1" applyAlignment="1">
      <alignment horizontal="center" vertical="center"/>
    </xf>
    <xf numFmtId="182" fontId="44" fillId="11" borderId="105" xfId="4" applyNumberFormat="1" applyFont="1" applyFill="1" applyBorder="1" applyAlignment="1">
      <alignment horizontal="center" vertical="center"/>
    </xf>
    <xf numFmtId="182" fontId="44" fillId="11" borderId="107" xfId="4" applyNumberFormat="1" applyFont="1" applyFill="1" applyBorder="1" applyAlignment="1">
      <alignment horizontal="center" vertical="center"/>
    </xf>
    <xf numFmtId="0" fontId="38" fillId="19" borderId="24" xfId="4" applyFont="1" applyFill="1" applyBorder="1" applyAlignment="1">
      <alignment horizontal="centerContinuous" vertical="center" wrapText="1"/>
    </xf>
    <xf numFmtId="0" fontId="38" fillId="19" borderId="88" xfId="4" applyFont="1" applyFill="1" applyBorder="1" applyAlignment="1">
      <alignment horizontal="centerContinuous" vertical="center" wrapText="1"/>
    </xf>
    <xf numFmtId="0" fontId="100" fillId="11" borderId="0" xfId="4" applyFont="1" applyFill="1" applyAlignment="1">
      <alignment horizontal="right" vertical="center"/>
    </xf>
    <xf numFmtId="164" fontId="100" fillId="11" borderId="37" xfId="4" applyNumberFormat="1" applyFont="1" applyFill="1" applyBorder="1" applyAlignment="1">
      <alignment horizontal="right" vertical="center"/>
    </xf>
    <xf numFmtId="164" fontId="100" fillId="11" borderId="0" xfId="4" applyNumberFormat="1" applyFont="1" applyFill="1" applyAlignment="1">
      <alignment horizontal="right" vertical="center"/>
    </xf>
    <xf numFmtId="0" fontId="36" fillId="11" borderId="0" xfId="4" applyFont="1" applyFill="1" applyAlignment="1">
      <alignment vertical="center"/>
    </xf>
    <xf numFmtId="2" fontId="38" fillId="8" borderId="90" xfId="4" applyNumberFormat="1" applyFont="1" applyFill="1" applyBorder="1" applyAlignment="1">
      <alignment horizontal="center" vertical="center" wrapText="1"/>
    </xf>
    <xf numFmtId="49" fontId="39" fillId="16" borderId="9" xfId="4" applyNumberFormat="1" applyFont="1" applyFill="1" applyBorder="1" applyAlignment="1">
      <alignment horizontal="center" vertical="center"/>
    </xf>
    <xf numFmtId="174" fontId="39" fillId="16" borderId="50" xfId="4" applyNumberFormat="1" applyFont="1" applyFill="1" applyBorder="1" applyAlignment="1">
      <alignment horizontal="center" vertical="center"/>
    </xf>
    <xf numFmtId="176" fontId="39" fillId="16" borderId="51" xfId="6" applyNumberFormat="1" applyFont="1" applyFill="1" applyBorder="1" applyAlignment="1">
      <alignment horizontal="center" vertical="center"/>
    </xf>
    <xf numFmtId="174" fontId="39" fillId="16" borderId="45" xfId="4" applyNumberFormat="1" applyFont="1" applyFill="1" applyBorder="1" applyAlignment="1">
      <alignment horizontal="center" vertical="center"/>
    </xf>
    <xf numFmtId="176" fontId="39" fillId="16" borderId="43" xfId="6" applyNumberFormat="1" applyFont="1" applyFill="1" applyBorder="1" applyAlignment="1">
      <alignment horizontal="center" vertical="center"/>
    </xf>
    <xf numFmtId="174" fontId="39" fillId="16" borderId="89" xfId="4" applyNumberFormat="1" applyFont="1" applyFill="1" applyBorder="1" applyAlignment="1">
      <alignment horizontal="center" vertical="center"/>
    </xf>
    <xf numFmtId="176" fontId="39" fillId="16" borderId="90" xfId="6" applyNumberFormat="1" applyFont="1" applyFill="1" applyBorder="1" applyAlignment="1">
      <alignment horizontal="center" vertical="center"/>
    </xf>
    <xf numFmtId="174" fontId="39" fillId="16" borderId="9" xfId="4" applyNumberFormat="1" applyFont="1" applyFill="1" applyBorder="1" applyAlignment="1">
      <alignment horizontal="center" vertical="center"/>
    </xf>
    <xf numFmtId="176" fontId="39" fillId="16" borderId="9" xfId="6" applyNumberFormat="1" applyFont="1" applyFill="1" applyBorder="1" applyAlignment="1">
      <alignment horizontal="center" vertical="center"/>
    </xf>
    <xf numFmtId="174" fontId="40" fillId="11" borderId="50" xfId="4" applyNumberFormat="1" applyFont="1" applyFill="1" applyBorder="1" applyAlignment="1">
      <alignment horizontal="center" vertical="center"/>
    </xf>
    <xf numFmtId="176" fontId="40" fillId="11" borderId="51" xfId="6" applyNumberFormat="1" applyFont="1" applyFill="1" applyBorder="1" applyAlignment="1">
      <alignment horizontal="center" vertical="center"/>
    </xf>
    <xf numFmtId="174" fontId="40" fillId="11" borderId="45" xfId="4" applyNumberFormat="1" applyFont="1" applyFill="1" applyBorder="1" applyAlignment="1">
      <alignment horizontal="center" vertical="center"/>
    </xf>
    <xf numFmtId="176" fontId="40" fillId="11" borderId="43" xfId="6" applyNumberFormat="1" applyFont="1" applyFill="1" applyBorder="1" applyAlignment="1">
      <alignment horizontal="center" vertical="center"/>
    </xf>
    <xf numFmtId="174" fontId="40" fillId="11" borderId="89" xfId="4" applyNumberFormat="1" applyFont="1" applyFill="1" applyBorder="1" applyAlignment="1">
      <alignment horizontal="center" vertical="center"/>
    </xf>
    <xf numFmtId="176" fontId="40" fillId="11" borderId="90" xfId="6" applyNumberFormat="1" applyFont="1" applyFill="1" applyBorder="1" applyAlignment="1">
      <alignment horizontal="center" vertical="center"/>
    </xf>
    <xf numFmtId="174" fontId="40" fillId="11" borderId="9" xfId="4" applyNumberFormat="1" applyFont="1" applyFill="1" applyBorder="1" applyAlignment="1">
      <alignment horizontal="center" vertical="center"/>
    </xf>
    <xf numFmtId="176" fontId="40" fillId="11" borderId="9" xfId="6" applyNumberFormat="1" applyFont="1" applyFill="1" applyBorder="1" applyAlignment="1">
      <alignment horizontal="center" vertical="center"/>
    </xf>
    <xf numFmtId="49" fontId="40" fillId="11" borderId="29" xfId="4" applyNumberFormat="1" applyFont="1" applyFill="1" applyBorder="1" applyAlignment="1">
      <alignment horizontal="center" vertical="center"/>
    </xf>
    <xf numFmtId="176" fontId="40" fillId="11" borderId="53" xfId="6" applyNumberFormat="1" applyFont="1" applyFill="1" applyBorder="1" applyAlignment="1">
      <alignment horizontal="center" vertical="center"/>
    </xf>
    <xf numFmtId="176" fontId="40" fillId="11" borderId="42" xfId="6" applyNumberFormat="1" applyFont="1" applyFill="1" applyBorder="1" applyAlignment="1">
      <alignment horizontal="center" vertical="center"/>
    </xf>
    <xf numFmtId="176" fontId="40" fillId="11" borderId="92" xfId="6" applyNumberFormat="1" applyFont="1" applyFill="1" applyBorder="1" applyAlignment="1">
      <alignment horizontal="center" vertical="center"/>
    </xf>
    <xf numFmtId="176" fontId="40" fillId="11" borderId="29" xfId="6" applyNumberFormat="1" applyFont="1" applyFill="1" applyBorder="1" applyAlignment="1">
      <alignment horizontal="center" vertical="center"/>
    </xf>
    <xf numFmtId="174" fontId="39" fillId="11" borderId="50" xfId="4" applyNumberFormat="1" applyFont="1" applyFill="1" applyBorder="1" applyAlignment="1">
      <alignment horizontal="center" vertical="center"/>
    </xf>
    <xf numFmtId="176" fontId="39" fillId="11" borderId="51" xfId="6" applyNumberFormat="1" applyFont="1" applyFill="1" applyBorder="1" applyAlignment="1">
      <alignment horizontal="center" vertical="center"/>
    </xf>
    <xf numFmtId="174" fontId="39" fillId="11" borderId="45" xfId="4" applyNumberFormat="1" applyFont="1" applyFill="1" applyBorder="1" applyAlignment="1">
      <alignment horizontal="center" vertical="center"/>
    </xf>
    <xf numFmtId="176" fontId="39" fillId="11" borderId="43" xfId="6" applyNumberFormat="1" applyFont="1" applyFill="1" applyBorder="1" applyAlignment="1">
      <alignment horizontal="center" vertical="center"/>
    </xf>
    <xf numFmtId="174" fontId="39" fillId="11" borderId="89" xfId="4" applyNumberFormat="1" applyFont="1" applyFill="1" applyBorder="1" applyAlignment="1">
      <alignment horizontal="center" vertical="center"/>
    </xf>
    <xf numFmtId="176" fontId="39" fillId="11" borderId="90" xfId="6" applyNumberFormat="1" applyFont="1" applyFill="1" applyBorder="1" applyAlignment="1">
      <alignment horizontal="center" vertical="center"/>
    </xf>
    <xf numFmtId="174" fontId="39" fillId="11" borderId="9" xfId="4" applyNumberFormat="1" applyFont="1" applyFill="1" applyBorder="1" applyAlignment="1">
      <alignment horizontal="center" vertical="center"/>
    </xf>
    <xf numFmtId="176" fontId="39" fillId="11" borderId="9" xfId="6" applyNumberFormat="1" applyFont="1" applyFill="1" applyBorder="1" applyAlignment="1">
      <alignment horizontal="center" vertical="center"/>
    </xf>
    <xf numFmtId="49" fontId="40" fillId="11" borderId="41" xfId="4" applyNumberFormat="1" applyFont="1" applyFill="1" applyBorder="1" applyAlignment="1">
      <alignment horizontal="center" vertical="center"/>
    </xf>
    <xf numFmtId="174" fontId="40" fillId="11" borderId="54" xfId="4" applyNumberFormat="1" applyFont="1" applyFill="1" applyBorder="1" applyAlignment="1">
      <alignment horizontal="center" vertical="center"/>
    </xf>
    <xf numFmtId="176" fontId="40" fillId="11" borderId="55" xfId="6" applyNumberFormat="1" applyFont="1" applyFill="1" applyBorder="1" applyAlignment="1">
      <alignment horizontal="center" vertical="center"/>
    </xf>
    <xf numFmtId="174" fontId="40" fillId="11" borderId="47" xfId="4" applyNumberFormat="1" applyFont="1" applyFill="1" applyBorder="1" applyAlignment="1">
      <alignment horizontal="center" vertical="center"/>
    </xf>
    <xf numFmtId="176" fontId="40" fillId="11" borderId="44" xfId="6" applyNumberFormat="1" applyFont="1" applyFill="1" applyBorder="1" applyAlignment="1">
      <alignment horizontal="center" vertical="center"/>
    </xf>
    <xf numFmtId="174" fontId="40" fillId="11" borderId="93" xfId="4" applyNumberFormat="1" applyFont="1" applyFill="1" applyBorder="1" applyAlignment="1">
      <alignment horizontal="center" vertical="center"/>
    </xf>
    <xf numFmtId="176" fontId="40" fillId="11" borderId="94" xfId="6" applyNumberFormat="1" applyFont="1" applyFill="1" applyBorder="1" applyAlignment="1">
      <alignment horizontal="center" vertical="center"/>
    </xf>
    <xf numFmtId="174" fontId="40" fillId="11" borderId="41" xfId="4" applyNumberFormat="1" applyFont="1" applyFill="1" applyBorder="1" applyAlignment="1">
      <alignment horizontal="center" vertical="center"/>
    </xf>
    <xf numFmtId="176" fontId="40" fillId="11" borderId="41" xfId="6" applyNumberFormat="1" applyFont="1" applyFill="1" applyBorder="1" applyAlignment="1">
      <alignment horizontal="center" vertical="center"/>
    </xf>
    <xf numFmtId="174" fontId="40" fillId="17" borderId="56" xfId="6" applyNumberFormat="1" applyFont="1" applyFill="1" applyBorder="1" applyAlignment="1">
      <alignment vertical="center"/>
    </xf>
    <xf numFmtId="176" fontId="42" fillId="17" borderId="57" xfId="4" applyNumberFormat="1" applyFont="1" applyFill="1" applyBorder="1" applyAlignment="1">
      <alignment horizontal="center" vertical="center"/>
    </xf>
    <xf numFmtId="174" fontId="40" fillId="17" borderId="45" xfId="6" applyNumberFormat="1" applyFont="1" applyFill="1" applyBorder="1" applyAlignment="1">
      <alignment vertical="center"/>
    </xf>
    <xf numFmtId="176" fontId="42" fillId="17" borderId="43" xfId="4" applyNumberFormat="1" applyFont="1" applyFill="1" applyBorder="1" applyAlignment="1">
      <alignment horizontal="center" vertical="center"/>
    </xf>
    <xf numFmtId="174" fontId="40" fillId="17" borderId="89" xfId="6" applyNumberFormat="1" applyFont="1" applyFill="1" applyBorder="1" applyAlignment="1">
      <alignment vertical="center"/>
    </xf>
    <xf numFmtId="176" fontId="42" fillId="17" borderId="90" xfId="4" applyNumberFormat="1" applyFont="1" applyFill="1" applyBorder="1" applyAlignment="1">
      <alignment horizontal="center" vertical="center"/>
    </xf>
    <xf numFmtId="174" fontId="40" fillId="17" borderId="9" xfId="6" applyNumberFormat="1" applyFont="1" applyFill="1" applyBorder="1" applyAlignment="1">
      <alignment vertical="center"/>
    </xf>
    <xf numFmtId="176" fontId="42" fillId="17" borderId="9" xfId="4" applyNumberFormat="1" applyFont="1" applyFill="1" applyBorder="1" applyAlignment="1">
      <alignment horizontal="center" vertical="center"/>
    </xf>
    <xf numFmtId="2" fontId="38" fillId="8" borderId="104" xfId="4" applyNumberFormat="1" applyFont="1" applyFill="1" applyBorder="1" applyAlignment="1">
      <alignment horizontal="center" vertical="center" wrapText="1"/>
    </xf>
    <xf numFmtId="174" fontId="39" fillId="16" borderId="105" xfId="4" applyNumberFormat="1" applyFont="1" applyFill="1" applyBorder="1" applyAlignment="1">
      <alignment horizontal="center" vertical="center"/>
    </xf>
    <xf numFmtId="176" fontId="39" fillId="16" borderId="106" xfId="6" applyNumberFormat="1" applyFont="1" applyFill="1" applyBorder="1" applyAlignment="1">
      <alignment horizontal="center" vertical="center"/>
    </xf>
    <xf numFmtId="174" fontId="40" fillId="11" borderId="105" xfId="4" applyNumberFormat="1" applyFont="1" applyFill="1" applyBorder="1" applyAlignment="1">
      <alignment horizontal="center" vertical="center"/>
    </xf>
    <xf numFmtId="176" fontId="40" fillId="11" borderId="106" xfId="6" applyNumberFormat="1" applyFont="1" applyFill="1" applyBorder="1" applyAlignment="1">
      <alignment horizontal="center" vertical="center"/>
    </xf>
    <xf numFmtId="176" fontId="40" fillId="11" borderId="108" xfId="6" applyNumberFormat="1" applyFont="1" applyFill="1" applyBorder="1" applyAlignment="1">
      <alignment horizontal="center" vertical="center"/>
    </xf>
    <xf numFmtId="174" fontId="39" fillId="11" borderId="105" xfId="4" applyNumberFormat="1" applyFont="1" applyFill="1" applyBorder="1" applyAlignment="1">
      <alignment horizontal="center" vertical="center"/>
    </xf>
    <xf numFmtId="176" fontId="39" fillId="11" borderId="106" xfId="6" applyNumberFormat="1" applyFont="1" applyFill="1" applyBorder="1" applyAlignment="1">
      <alignment horizontal="center" vertical="center"/>
    </xf>
    <xf numFmtId="174" fontId="40" fillId="11" borderId="109" xfId="4" applyNumberFormat="1" applyFont="1" applyFill="1" applyBorder="1" applyAlignment="1">
      <alignment horizontal="center" vertical="center"/>
    </xf>
    <xf numFmtId="176" fontId="40" fillId="11" borderId="110" xfId="6" applyNumberFormat="1" applyFont="1" applyFill="1" applyBorder="1" applyAlignment="1">
      <alignment horizontal="center" vertical="center"/>
    </xf>
    <xf numFmtId="174" fontId="40" fillId="17" borderId="111" xfId="6" applyNumberFormat="1" applyFont="1" applyFill="1" applyBorder="1" applyAlignment="1">
      <alignment vertical="center"/>
    </xf>
    <xf numFmtId="176" fontId="42" fillId="17" borderId="112" xfId="4" applyNumberFormat="1" applyFont="1" applyFill="1" applyBorder="1" applyAlignment="1">
      <alignment horizontal="center" vertical="center"/>
    </xf>
    <xf numFmtId="0" fontId="100" fillId="11" borderId="0" xfId="4" applyFont="1" applyFill="1" applyAlignment="1">
      <alignment horizontal="center" vertical="center"/>
    </xf>
    <xf numFmtId="182" fontId="39" fillId="16" borderId="50" xfId="4" applyNumberFormat="1" applyFont="1" applyFill="1" applyBorder="1" applyAlignment="1">
      <alignment horizontal="center" vertical="center"/>
    </xf>
    <xf numFmtId="182" fontId="39" fillId="16" borderId="45" xfId="4" applyNumberFormat="1" applyFont="1" applyFill="1" applyBorder="1" applyAlignment="1">
      <alignment horizontal="center" vertical="center"/>
    </xf>
    <xf numFmtId="182" fontId="39" fillId="16" borderId="89" xfId="4" applyNumberFormat="1" applyFont="1" applyFill="1" applyBorder="1" applyAlignment="1">
      <alignment horizontal="center" vertical="center"/>
    </xf>
    <xf numFmtId="182" fontId="39" fillId="16" borderId="105" xfId="4" applyNumberFormat="1" applyFont="1" applyFill="1" applyBorder="1" applyAlignment="1">
      <alignment horizontal="center" vertical="center"/>
    </xf>
    <xf numFmtId="182" fontId="40" fillId="11" borderId="50" xfId="4" applyNumberFormat="1" applyFont="1" applyFill="1" applyBorder="1" applyAlignment="1">
      <alignment horizontal="center" vertical="center"/>
    </xf>
    <xf numFmtId="182" fontId="40" fillId="11" borderId="45" xfId="4" applyNumberFormat="1" applyFont="1" applyFill="1" applyBorder="1" applyAlignment="1">
      <alignment horizontal="center" vertical="center"/>
    </xf>
    <xf numFmtId="182" fontId="40" fillId="11" borderId="89" xfId="4" applyNumberFormat="1" applyFont="1" applyFill="1" applyBorder="1" applyAlignment="1">
      <alignment horizontal="center" vertical="center"/>
    </xf>
    <xf numFmtId="182" fontId="40" fillId="11" borderId="105" xfId="4" applyNumberFormat="1" applyFont="1" applyFill="1" applyBorder="1" applyAlignment="1">
      <alignment horizontal="center" vertical="center"/>
    </xf>
    <xf numFmtId="182" fontId="39" fillId="11" borderId="50" xfId="4" applyNumberFormat="1" applyFont="1" applyFill="1" applyBorder="1" applyAlignment="1">
      <alignment horizontal="center" vertical="center"/>
    </xf>
    <xf numFmtId="182" fontId="39" fillId="11" borderId="45" xfId="4" applyNumberFormat="1" applyFont="1" applyFill="1" applyBorder="1" applyAlignment="1">
      <alignment horizontal="center" vertical="center"/>
    </xf>
    <xf numFmtId="182" fontId="39" fillId="11" borderId="89" xfId="4" applyNumberFormat="1" applyFont="1" applyFill="1" applyBorder="1" applyAlignment="1">
      <alignment horizontal="center" vertical="center"/>
    </xf>
    <xf numFmtId="182" fontId="39" fillId="11" borderId="105" xfId="4" applyNumberFormat="1" applyFont="1" applyFill="1" applyBorder="1" applyAlignment="1">
      <alignment horizontal="center" vertical="center"/>
    </xf>
    <xf numFmtId="182" fontId="40" fillId="11" borderId="54" xfId="4" applyNumberFormat="1" applyFont="1" applyFill="1" applyBorder="1" applyAlignment="1">
      <alignment horizontal="center" vertical="center"/>
    </xf>
    <xf numFmtId="182" fontId="40" fillId="11" borderId="47" xfId="4" applyNumberFormat="1" applyFont="1" applyFill="1" applyBorder="1" applyAlignment="1">
      <alignment horizontal="center" vertical="center"/>
    </xf>
    <xf numFmtId="182" fontId="40" fillId="11" borderId="93" xfId="4" applyNumberFormat="1" applyFont="1" applyFill="1" applyBorder="1" applyAlignment="1">
      <alignment horizontal="center" vertical="center"/>
    </xf>
    <xf numFmtId="182" fontId="40" fillId="11" borderId="109" xfId="4" applyNumberFormat="1" applyFont="1" applyFill="1" applyBorder="1" applyAlignment="1">
      <alignment horizontal="center" vertical="center"/>
    </xf>
    <xf numFmtId="182" fontId="40" fillId="17" borderId="45" xfId="6" applyNumberFormat="1" applyFont="1" applyFill="1" applyBorder="1" applyAlignment="1">
      <alignment vertical="center"/>
    </xf>
    <xf numFmtId="182" fontId="40" fillId="17" borderId="89" xfId="6" applyNumberFormat="1" applyFont="1" applyFill="1" applyBorder="1" applyAlignment="1">
      <alignment vertical="center"/>
    </xf>
    <xf numFmtId="182" fontId="40" fillId="17" borderId="111" xfId="6" applyNumberFormat="1" applyFont="1" applyFill="1" applyBorder="1" applyAlignment="1">
      <alignment vertical="center"/>
    </xf>
    <xf numFmtId="164" fontId="37" fillId="11" borderId="0" xfId="4" applyNumberFormat="1" applyFont="1" applyFill="1"/>
    <xf numFmtId="0" fontId="102" fillId="11" borderId="8" xfId="4" applyFont="1" applyFill="1" applyBorder="1" applyAlignment="1">
      <alignment vertical="center"/>
    </xf>
    <xf numFmtId="0" fontId="37" fillId="0" borderId="0" xfId="4" applyFont="1" applyAlignment="1">
      <alignment horizontal="center"/>
    </xf>
    <xf numFmtId="0" fontId="37" fillId="0" borderId="0" xfId="4" applyFont="1"/>
    <xf numFmtId="165" fontId="37" fillId="0" borderId="0" xfId="4" applyNumberFormat="1" applyFont="1" applyAlignment="1">
      <alignment horizontal="centerContinuous"/>
    </xf>
    <xf numFmtId="165" fontId="37" fillId="0" borderId="0" xfId="1" applyNumberFormat="1" applyFont="1" applyFill="1" applyAlignment="1">
      <alignment horizontal="centerContinuous"/>
    </xf>
    <xf numFmtId="165" fontId="37" fillId="0" borderId="38" xfId="1" applyNumberFormat="1" applyFont="1" applyFill="1" applyBorder="1" applyAlignment="1">
      <alignment horizontal="centerContinuous"/>
    </xf>
    <xf numFmtId="165" fontId="37" fillId="0" borderId="37" xfId="1" applyNumberFormat="1" applyFont="1" applyFill="1" applyBorder="1" applyAlignment="1">
      <alignment horizontal="centerContinuous"/>
    </xf>
    <xf numFmtId="165" fontId="37" fillId="0" borderId="0" xfId="1" applyNumberFormat="1" applyFont="1" applyFill="1" applyBorder="1" applyAlignment="1">
      <alignment horizontal="centerContinuous"/>
    </xf>
    <xf numFmtId="14" fontId="0" fillId="0" borderId="0" xfId="0" applyNumberFormat="1"/>
    <xf numFmtId="0" fontId="2" fillId="10" borderId="0" xfId="0" applyFont="1" applyFill="1"/>
    <xf numFmtId="0" fontId="2" fillId="10" borderId="0" xfId="0" applyFont="1" applyFill="1" applyAlignment="1">
      <alignment horizontal="center"/>
    </xf>
    <xf numFmtId="0" fontId="103" fillId="0" borderId="0" xfId="0" applyFont="1"/>
    <xf numFmtId="0" fontId="103" fillId="0" borderId="0" xfId="0" applyFont="1" applyAlignment="1">
      <alignment horizontal="center"/>
    </xf>
    <xf numFmtId="0" fontId="0" fillId="0" borderId="113" xfId="0" applyBorder="1" applyAlignment="1">
      <alignment horizontal="center"/>
    </xf>
    <xf numFmtId="0" fontId="0" fillId="0" borderId="113" xfId="0" applyBorder="1"/>
    <xf numFmtId="0" fontId="0" fillId="0" borderId="114" xfId="0" applyBorder="1" applyAlignment="1">
      <alignment horizontal="center"/>
    </xf>
    <xf numFmtId="0" fontId="0" fillId="0" borderId="114" xfId="0" applyBorder="1"/>
    <xf numFmtId="183" fontId="0" fillId="0" borderId="58" xfId="0" applyNumberFormat="1" applyBorder="1" applyAlignment="1">
      <alignment horizontal="center"/>
    </xf>
    <xf numFmtId="173" fontId="43" fillId="4" borderId="115" xfId="1" applyNumberFormat="1" applyFont="1" applyFill="1" applyBorder="1" applyAlignment="1">
      <alignment vertical="center"/>
    </xf>
    <xf numFmtId="164" fontId="68" fillId="0" borderId="0" xfId="1" applyNumberFormat="1" applyFont="1"/>
    <xf numFmtId="0" fontId="0" fillId="0" borderId="0" xfId="0" applyAlignment="1">
      <alignment vertical="center"/>
    </xf>
    <xf numFmtId="184" fontId="0" fillId="0" borderId="58" xfId="0" applyNumberFormat="1" applyBorder="1" applyAlignment="1">
      <alignment horizontal="center"/>
    </xf>
    <xf numFmtId="0" fontId="105" fillId="0" borderId="0" xfId="0" applyFont="1"/>
    <xf numFmtId="0" fontId="7" fillId="0" borderId="0" xfId="0" applyFont="1" applyAlignment="1">
      <alignment horizontal="center"/>
    </xf>
    <xf numFmtId="0" fontId="38" fillId="19" borderId="37" xfId="4" applyFont="1" applyFill="1" applyBorder="1" applyAlignment="1">
      <alignment horizontal="centerContinuous" vertical="center" wrapText="1"/>
    </xf>
    <xf numFmtId="0" fontId="108" fillId="11" borderId="0" xfId="4" applyFont="1" applyFill="1" applyAlignment="1">
      <alignment horizontal="center"/>
    </xf>
    <xf numFmtId="0" fontId="108" fillId="11" borderId="0" xfId="4" applyFont="1" applyFill="1"/>
    <xf numFmtId="164" fontId="108" fillId="11" borderId="0" xfId="1" applyNumberFormat="1" applyFont="1" applyFill="1"/>
    <xf numFmtId="164" fontId="108" fillId="11" borderId="38" xfId="1" applyNumberFormat="1" applyFont="1" applyFill="1" applyBorder="1"/>
    <xf numFmtId="164" fontId="108" fillId="11" borderId="37" xfId="1" applyNumberFormat="1" applyFont="1" applyFill="1" applyBorder="1"/>
    <xf numFmtId="167" fontId="108" fillId="11" borderId="0" xfId="1" applyNumberFormat="1" applyFont="1" applyFill="1"/>
    <xf numFmtId="0" fontId="106" fillId="0" borderId="0" xfId="0" applyFont="1"/>
    <xf numFmtId="0" fontId="10" fillId="0" borderId="0" xfId="0" applyFont="1" applyAlignment="1">
      <alignment horizontal="left" indent="7"/>
    </xf>
    <xf numFmtId="0" fontId="13" fillId="0" borderId="0" xfId="0" applyFont="1" applyAlignment="1">
      <alignment horizontal="left" indent="7"/>
    </xf>
    <xf numFmtId="0" fontId="6" fillId="0" borderId="0" xfId="0" applyFont="1" applyAlignment="1">
      <alignment horizontal="left" indent="7"/>
    </xf>
    <xf numFmtId="0" fontId="110" fillId="0" borderId="0" xfId="0" applyFont="1"/>
    <xf numFmtId="0" fontId="7" fillId="30" borderId="0" xfId="0" applyFont="1" applyFill="1" applyAlignment="1">
      <alignment horizontal="center" vertical="center" wrapText="1"/>
    </xf>
    <xf numFmtId="165" fontId="0" fillId="0" borderId="59" xfId="0" applyNumberFormat="1" applyBorder="1"/>
    <xf numFmtId="0" fontId="2" fillId="0" borderId="0" xfId="0" applyFont="1" applyAlignment="1">
      <alignment horizontal="center" vertical="center"/>
    </xf>
    <xf numFmtId="3" fontId="37" fillId="0" borderId="0" xfId="1" applyNumberFormat="1" applyFont="1" applyAlignment="1">
      <alignment horizontal="centerContinuous"/>
    </xf>
    <xf numFmtId="3" fontId="37" fillId="0" borderId="0" xfId="1" applyNumberFormat="1" applyFont="1" applyFill="1" applyAlignment="1">
      <alignment horizontal="centerContinuous"/>
    </xf>
    <xf numFmtId="3" fontId="37" fillId="0" borderId="38" xfId="1" applyNumberFormat="1" applyFont="1" applyFill="1" applyBorder="1" applyAlignment="1">
      <alignment horizontal="centerContinuous"/>
    </xf>
    <xf numFmtId="0" fontId="111" fillId="0" borderId="0" xfId="0" applyFont="1" applyAlignment="1">
      <alignment horizontal="left" vertical="center"/>
    </xf>
    <xf numFmtId="0" fontId="0" fillId="0" borderId="0" xfId="0" applyAlignment="1">
      <alignment horizontal="center" vertical="center"/>
    </xf>
    <xf numFmtId="6" fontId="0" fillId="0" borderId="0" xfId="0" applyNumberFormat="1"/>
    <xf numFmtId="165" fontId="8" fillId="0" borderId="0" xfId="1" applyNumberFormat="1" applyFont="1" applyFill="1"/>
    <xf numFmtId="164" fontId="8" fillId="0" borderId="0" xfId="1" applyNumberFormat="1" applyFont="1" applyFill="1"/>
    <xf numFmtId="164" fontId="5" fillId="0" borderId="0" xfId="1" applyNumberFormat="1" applyFont="1" applyFill="1"/>
    <xf numFmtId="165" fontId="2" fillId="0" borderId="7" xfId="1" applyNumberFormat="1" applyFont="1" applyFill="1" applyBorder="1"/>
    <xf numFmtId="164" fontId="2" fillId="0" borderId="7" xfId="1" applyNumberFormat="1" applyFont="1" applyFill="1" applyBorder="1"/>
    <xf numFmtId="164" fontId="0" fillId="0" borderId="73" xfId="1" applyNumberFormat="1" applyFont="1" applyFill="1" applyBorder="1"/>
    <xf numFmtId="164" fontId="1" fillId="0" borderId="59" xfId="1" applyNumberFormat="1" applyFont="1" applyFill="1" applyBorder="1"/>
    <xf numFmtId="0" fontId="21" fillId="0" borderId="59" xfId="0" applyFont="1" applyBorder="1"/>
    <xf numFmtId="164" fontId="8" fillId="0" borderId="8" xfId="1" applyNumberFormat="1" applyFont="1" applyFill="1" applyBorder="1" applyAlignment="1">
      <alignment vertical="center"/>
    </xf>
    <xf numFmtId="0" fontId="114" fillId="0" borderId="0" xfId="0" applyFont="1"/>
    <xf numFmtId="0" fontId="115" fillId="0" borderId="59" xfId="0" applyFont="1" applyBorder="1" applyAlignment="1">
      <alignment horizontal="center" vertical="center"/>
    </xf>
    <xf numFmtId="0" fontId="115" fillId="0" borderId="59" xfId="0" applyFont="1" applyBorder="1" applyAlignment="1">
      <alignment vertical="center"/>
    </xf>
    <xf numFmtId="0" fontId="115" fillId="0" borderId="59" xfId="0" applyFont="1" applyBorder="1" applyAlignment="1">
      <alignment horizontal="right" vertical="center"/>
    </xf>
    <xf numFmtId="0" fontId="115" fillId="0" borderId="0" xfId="0" applyFont="1"/>
    <xf numFmtId="165" fontId="116" fillId="0" borderId="59" xfId="6" applyNumberFormat="1" applyFont="1" applyBorder="1" applyAlignment="1">
      <alignment horizontal="right" vertical="center"/>
    </xf>
    <xf numFmtId="0" fontId="116" fillId="0" borderId="59" xfId="0" applyFont="1" applyBorder="1" applyAlignment="1">
      <alignment horizontal="center" vertical="center"/>
    </xf>
    <xf numFmtId="0" fontId="116" fillId="0" borderId="59" xfId="0" applyFont="1" applyBorder="1" applyAlignment="1">
      <alignment vertical="center"/>
    </xf>
    <xf numFmtId="0" fontId="116" fillId="0" borderId="59" xfId="0" applyFont="1" applyBorder="1" applyAlignment="1">
      <alignment horizontal="right" vertical="center"/>
    </xf>
    <xf numFmtId="0" fontId="116" fillId="0" borderId="0" xfId="0" applyFont="1"/>
    <xf numFmtId="164" fontId="116" fillId="0" borderId="59" xfId="1" applyNumberFormat="1" applyFont="1" applyBorder="1" applyAlignment="1">
      <alignment horizontal="right" vertical="center"/>
    </xf>
    <xf numFmtId="0" fontId="116" fillId="0" borderId="59" xfId="0" applyFont="1" applyBorder="1"/>
    <xf numFmtId="164" fontId="116" fillId="0" borderId="59" xfId="1" applyNumberFormat="1" applyFont="1" applyBorder="1"/>
    <xf numFmtId="164" fontId="115" fillId="0" borderId="59" xfId="1" applyNumberFormat="1" applyFont="1" applyBorder="1" applyAlignment="1">
      <alignment horizontal="right" vertical="center"/>
    </xf>
    <xf numFmtId="165" fontId="116" fillId="0" borderId="59" xfId="1" applyNumberFormat="1" applyFont="1" applyBorder="1"/>
    <xf numFmtId="0" fontId="117" fillId="0" borderId="59" xfId="0" applyFont="1" applyBorder="1" applyAlignment="1">
      <alignment vertical="center"/>
    </xf>
    <xf numFmtId="0" fontId="116" fillId="0" borderId="0" xfId="0" applyFont="1" applyAlignment="1">
      <alignment horizontal="center" vertical="center"/>
    </xf>
    <xf numFmtId="0" fontId="116" fillId="0" borderId="0" xfId="0" applyFont="1" applyAlignment="1">
      <alignment vertical="center"/>
    </xf>
    <xf numFmtId="165" fontId="116" fillId="0" borderId="0" xfId="1" applyNumberFormat="1" applyFont="1" applyBorder="1" applyAlignment="1">
      <alignment horizontal="right" vertical="center"/>
    </xf>
    <xf numFmtId="0" fontId="116" fillId="0" borderId="0" xfId="0" quotePrefix="1" applyFont="1" applyAlignment="1">
      <alignment horizontal="center" vertical="center"/>
    </xf>
    <xf numFmtId="0" fontId="116" fillId="0" borderId="59" xfId="0" quotePrefix="1" applyFont="1" applyBorder="1" applyAlignment="1">
      <alignment horizontal="center" vertical="center"/>
    </xf>
    <xf numFmtId="10" fontId="116" fillId="0" borderId="59" xfId="6" applyNumberFormat="1" applyFont="1" applyBorder="1" applyAlignment="1">
      <alignment horizontal="right" vertical="center"/>
    </xf>
    <xf numFmtId="0" fontId="115" fillId="0" borderId="116" xfId="0" applyFont="1" applyBorder="1" applyAlignment="1">
      <alignment horizontal="center" vertical="center"/>
    </xf>
    <xf numFmtId="0" fontId="115" fillId="0" borderId="116" xfId="0" applyFont="1" applyBorder="1" applyAlignment="1">
      <alignment vertical="center"/>
    </xf>
    <xf numFmtId="0" fontId="116" fillId="0" borderId="116" xfId="0" applyFont="1" applyBorder="1" applyAlignment="1">
      <alignment horizontal="center" vertical="center"/>
    </xf>
    <xf numFmtId="0" fontId="59" fillId="0" borderId="117" xfId="0" applyFont="1" applyBorder="1"/>
    <xf numFmtId="0" fontId="116" fillId="0" borderId="117" xfId="0" applyFont="1" applyBorder="1" applyAlignment="1">
      <alignment horizontal="center" vertical="center"/>
    </xf>
    <xf numFmtId="0" fontId="116" fillId="0" borderId="117" xfId="0" applyFont="1" applyBorder="1" applyAlignment="1">
      <alignment vertical="center"/>
    </xf>
    <xf numFmtId="164" fontId="116" fillId="0" borderId="117" xfId="1" applyNumberFormat="1" applyFont="1" applyBorder="1" applyAlignment="1">
      <alignment horizontal="right" vertical="center"/>
    </xf>
    <xf numFmtId="0" fontId="116" fillId="0" borderId="117" xfId="0" applyFont="1" applyBorder="1" applyAlignment="1">
      <alignment horizontal="right"/>
    </xf>
    <xf numFmtId="186" fontId="117" fillId="0" borderId="117" xfId="1" applyNumberFormat="1" applyFont="1" applyBorder="1"/>
    <xf numFmtId="0" fontId="117" fillId="0" borderId="117" xfId="0" applyFont="1" applyBorder="1" applyAlignment="1">
      <alignment horizontal="center" vertical="center"/>
    </xf>
    <xf numFmtId="0" fontId="115" fillId="0" borderId="117" xfId="0" applyFont="1" applyBorder="1" applyAlignment="1">
      <alignment horizontal="center" vertical="center"/>
    </xf>
    <xf numFmtId="0" fontId="115" fillId="0" borderId="117" xfId="0" applyFont="1" applyBorder="1" applyAlignment="1">
      <alignment vertical="center"/>
    </xf>
    <xf numFmtId="165" fontId="117" fillId="0" borderId="117" xfId="6" applyNumberFormat="1" applyFont="1" applyBorder="1" applyAlignment="1">
      <alignment horizontal="right" vertical="center"/>
    </xf>
    <xf numFmtId="164" fontId="115" fillId="0" borderId="117" xfId="1" applyNumberFormat="1" applyFont="1" applyBorder="1" applyAlignment="1">
      <alignment horizontal="right" vertical="center"/>
    </xf>
    <xf numFmtId="164" fontId="113" fillId="31" borderId="0" xfId="1" applyNumberFormat="1" applyFont="1" applyFill="1" applyBorder="1" applyAlignment="1">
      <alignment horizontal="center" vertical="center" wrapText="1"/>
    </xf>
    <xf numFmtId="3" fontId="0" fillId="0" borderId="0" xfId="0" applyNumberFormat="1"/>
    <xf numFmtId="0" fontId="0" fillId="0" borderId="121" xfId="0" applyBorder="1"/>
    <xf numFmtId="0" fontId="0" fillId="0" borderId="128" xfId="0" applyBorder="1"/>
    <xf numFmtId="0" fontId="109" fillId="0" borderId="0" xfId="0" applyFont="1" applyAlignment="1">
      <alignment vertical="center"/>
    </xf>
    <xf numFmtId="0" fontId="5" fillId="0" borderId="33" xfId="0" applyFont="1" applyBorder="1" applyAlignment="1">
      <alignment horizontal="center"/>
    </xf>
    <xf numFmtId="0" fontId="2" fillId="0" borderId="33" xfId="0" applyFont="1" applyBorder="1" applyAlignment="1">
      <alignment horizontal="center"/>
    </xf>
    <xf numFmtId="0" fontId="68" fillId="0" borderId="59" xfId="0" quotePrefix="1" applyFont="1" applyBorder="1" applyAlignment="1">
      <alignment horizontal="center"/>
    </xf>
    <xf numFmtId="0" fontId="70" fillId="0" borderId="33" xfId="0" applyFont="1" applyBorder="1" applyAlignment="1">
      <alignment horizontal="center"/>
    </xf>
    <xf numFmtId="0" fontId="46" fillId="0" borderId="0" xfId="0" applyFont="1" applyAlignment="1">
      <alignment horizontal="center"/>
    </xf>
    <xf numFmtId="0" fontId="2" fillId="0" borderId="0" xfId="0" applyFont="1" applyAlignment="1">
      <alignment horizontal="center"/>
    </xf>
    <xf numFmtId="187" fontId="0" fillId="0" borderId="0" xfId="1" applyNumberFormat="1" applyFont="1"/>
    <xf numFmtId="187" fontId="0" fillId="0" borderId="0" xfId="0" applyNumberFormat="1"/>
    <xf numFmtId="164" fontId="2" fillId="0" borderId="1" xfId="1" applyNumberFormat="1" applyFont="1" applyBorder="1"/>
    <xf numFmtId="0" fontId="64" fillId="32" borderId="71" xfId="0" applyFont="1" applyFill="1" applyBorder="1" applyAlignment="1">
      <alignment horizontal="right" wrapText="1"/>
    </xf>
    <xf numFmtId="0" fontId="65" fillId="32" borderId="0" xfId="0" applyFont="1" applyFill="1"/>
    <xf numFmtId="0" fontId="64" fillId="33" borderId="71" xfId="0" applyFont="1" applyFill="1" applyBorder="1" applyAlignment="1">
      <alignment horizontal="right" wrapText="1"/>
    </xf>
    <xf numFmtId="0" fontId="65" fillId="33" borderId="0" xfId="0" applyFont="1" applyFill="1"/>
    <xf numFmtId="0" fontId="64" fillId="9" borderId="71" xfId="0" applyFont="1" applyFill="1" applyBorder="1" applyAlignment="1">
      <alignment horizontal="right" wrapText="1"/>
    </xf>
    <xf numFmtId="0" fontId="65" fillId="9" borderId="0" xfId="0" applyFont="1" applyFill="1"/>
    <xf numFmtId="0" fontId="64" fillId="34" borderId="71" xfId="0" applyFont="1" applyFill="1" applyBorder="1" applyAlignment="1">
      <alignment horizontal="right" wrapText="1"/>
    </xf>
    <xf numFmtId="0" fontId="65" fillId="34" borderId="0" xfId="0" applyFont="1" applyFill="1"/>
    <xf numFmtId="43" fontId="8" fillId="0" borderId="60" xfId="0" applyNumberFormat="1" applyFont="1" applyBorder="1"/>
    <xf numFmtId="0" fontId="43" fillId="24" borderId="38" xfId="4" applyFont="1" applyFill="1" applyBorder="1"/>
    <xf numFmtId="0" fontId="108" fillId="11" borderId="38" xfId="4" applyFont="1" applyFill="1" applyBorder="1"/>
    <xf numFmtId="0" fontId="37" fillId="6" borderId="38" xfId="4" applyFont="1" applyFill="1" applyBorder="1"/>
    <xf numFmtId="3" fontId="37" fillId="0" borderId="37" xfId="1" applyNumberFormat="1" applyFont="1" applyFill="1" applyBorder="1" applyAlignment="1">
      <alignment horizontal="centerContinuous"/>
    </xf>
    <xf numFmtId="43" fontId="59" fillId="0" borderId="0" xfId="1" applyFont="1"/>
    <xf numFmtId="43" fontId="68" fillId="0" borderId="0" xfId="1" applyFont="1"/>
    <xf numFmtId="164" fontId="0" fillId="0" borderId="0" xfId="1" applyNumberFormat="1" applyFont="1" applyFill="1" applyBorder="1" applyAlignment="1">
      <alignment horizontal="center"/>
    </xf>
    <xf numFmtId="9" fontId="59" fillId="0" borderId="0" xfId="0" applyNumberFormat="1" applyFont="1" applyAlignment="1">
      <alignment horizontal="right"/>
    </xf>
    <xf numFmtId="165" fontId="0" fillId="0" borderId="0" xfId="1" applyNumberFormat="1" applyFont="1" applyFill="1" applyBorder="1" applyAlignment="1">
      <alignment horizontal="right"/>
    </xf>
    <xf numFmtId="164" fontId="9" fillId="0" borderId="0" xfId="1" applyNumberFormat="1" applyFont="1" applyFill="1" applyBorder="1" applyAlignment="1">
      <alignment horizontal="center"/>
    </xf>
    <xf numFmtId="165" fontId="59" fillId="0" borderId="0" xfId="1" applyNumberFormat="1" applyFont="1" applyFill="1" applyBorder="1" applyAlignment="1">
      <alignment horizontal="right"/>
    </xf>
    <xf numFmtId="164" fontId="2" fillId="0" borderId="0" xfId="1" applyNumberFormat="1" applyFont="1" applyFill="1" applyBorder="1" applyAlignment="1">
      <alignment horizontal="center"/>
    </xf>
    <xf numFmtId="164" fontId="68" fillId="0" borderId="0" xfId="1" applyNumberFormat="1" applyFont="1" applyFill="1" applyBorder="1" applyAlignment="1">
      <alignment horizontal="center"/>
    </xf>
    <xf numFmtId="43" fontId="0" fillId="0" borderId="0" xfId="1" applyFont="1" applyFill="1" applyBorder="1"/>
    <xf numFmtId="164" fontId="70" fillId="0" borderId="0" xfId="1" applyNumberFormat="1" applyFont="1" applyFill="1" applyBorder="1"/>
    <xf numFmtId="0" fontId="2" fillId="27" borderId="0" xfId="0" applyFont="1" applyFill="1" applyAlignment="1">
      <alignment horizontal="left" vertical="center"/>
    </xf>
    <xf numFmtId="0" fontId="7" fillId="27" borderId="0" xfId="0" applyFont="1" applyFill="1" applyAlignment="1">
      <alignment horizontal="center" vertical="center"/>
    </xf>
    <xf numFmtId="185" fontId="2" fillId="27" borderId="0" xfId="0" applyNumberFormat="1" applyFont="1" applyFill="1" applyAlignment="1">
      <alignment horizontal="right" vertical="center"/>
    </xf>
    <xf numFmtId="0" fontId="2" fillId="18" borderId="0" xfId="0" applyFont="1" applyFill="1" applyAlignment="1">
      <alignment horizontal="left" vertical="center"/>
    </xf>
    <xf numFmtId="0" fontId="7" fillId="18" borderId="0" xfId="0" applyFont="1" applyFill="1" applyAlignment="1">
      <alignment horizontal="center" vertical="center"/>
    </xf>
    <xf numFmtId="185" fontId="2" fillId="18" borderId="0" xfId="0" applyNumberFormat="1" applyFont="1" applyFill="1" applyAlignment="1">
      <alignment horizontal="right" vertical="center"/>
    </xf>
    <xf numFmtId="0" fontId="0" fillId="0" borderId="146" xfId="0" applyBorder="1"/>
    <xf numFmtId="0" fontId="0" fillId="0" borderId="147" xfId="0" applyBorder="1"/>
    <xf numFmtId="0" fontId="88" fillId="29" borderId="0" xfId="0" applyFont="1" applyFill="1" applyAlignment="1">
      <alignment horizontal="left" vertical="center"/>
    </xf>
    <xf numFmtId="0" fontId="92" fillId="29" borderId="0" xfId="0" applyFont="1" applyFill="1" applyAlignment="1">
      <alignment horizontal="center" vertical="center"/>
    </xf>
    <xf numFmtId="185" fontId="88" fillId="29" borderId="0" xfId="0" applyNumberFormat="1" applyFont="1" applyFill="1" applyAlignment="1">
      <alignment horizontal="right" vertical="center"/>
    </xf>
    <xf numFmtId="0" fontId="0" fillId="0" borderId="160" xfId="0" applyBorder="1"/>
    <xf numFmtId="0" fontId="0" fillId="0" borderId="161" xfId="0" applyBorder="1"/>
    <xf numFmtId="164" fontId="118" fillId="18" borderId="87" xfId="1" applyNumberFormat="1" applyFont="1" applyFill="1" applyBorder="1" applyAlignment="1">
      <alignment horizontal="centerContinuous" vertical="center" wrapText="1"/>
    </xf>
    <xf numFmtId="164" fontId="118" fillId="18" borderId="88" xfId="1" applyNumberFormat="1" applyFont="1" applyFill="1" applyBorder="1" applyAlignment="1">
      <alignment horizontal="centerContinuous" vertical="center"/>
    </xf>
    <xf numFmtId="164" fontId="118" fillId="18" borderId="0" xfId="1" applyNumberFormat="1" applyFont="1" applyFill="1" applyBorder="1" applyAlignment="1">
      <alignment horizontal="centerContinuous" vertical="center" wrapText="1"/>
    </xf>
    <xf numFmtId="164" fontId="82" fillId="27" borderId="87" xfId="1" applyNumberFormat="1" applyFont="1" applyFill="1" applyBorder="1" applyAlignment="1">
      <alignment horizontal="centerContinuous" vertical="center"/>
    </xf>
    <xf numFmtId="164" fontId="82" fillId="27" borderId="88" xfId="1" applyNumberFormat="1" applyFont="1" applyFill="1" applyBorder="1" applyAlignment="1">
      <alignment horizontal="centerContinuous" vertical="center"/>
    </xf>
    <xf numFmtId="0" fontId="82" fillId="27" borderId="0" xfId="4" applyFont="1" applyFill="1" applyAlignment="1">
      <alignment horizontal="centerContinuous" vertical="center" wrapText="1"/>
    </xf>
    <xf numFmtId="164" fontId="82" fillId="27" borderId="0" xfId="1" applyNumberFormat="1" applyFont="1" applyFill="1" applyAlignment="1">
      <alignment horizontal="centerContinuous" vertical="center"/>
    </xf>
    <xf numFmtId="165" fontId="115" fillId="0" borderId="116" xfId="1" applyNumberFormat="1" applyFont="1" applyBorder="1" applyAlignment="1">
      <alignment horizontal="right" vertical="center"/>
    </xf>
    <xf numFmtId="167" fontId="2" fillId="0" borderId="0" xfId="1" applyNumberFormat="1" applyFont="1"/>
    <xf numFmtId="167" fontId="68" fillId="0" borderId="0" xfId="1" applyNumberFormat="1" applyFont="1"/>
    <xf numFmtId="167" fontId="5" fillId="0" borderId="0" xfId="1" applyNumberFormat="1" applyFont="1"/>
    <xf numFmtId="167" fontId="46" fillId="0" borderId="0" xfId="1" applyNumberFormat="1" applyFont="1"/>
    <xf numFmtId="0" fontId="116" fillId="0" borderId="162" xfId="0" applyFont="1" applyBorder="1"/>
    <xf numFmtId="186" fontId="117" fillId="0" borderId="162" xfId="1" applyNumberFormat="1" applyFont="1" applyBorder="1"/>
    <xf numFmtId="0" fontId="117" fillId="0" borderId="162" xfId="0" applyFont="1" applyBorder="1" applyAlignment="1">
      <alignment horizontal="center" vertical="center"/>
    </xf>
    <xf numFmtId="0" fontId="115" fillId="0" borderId="163" xfId="0" applyFont="1" applyBorder="1" applyAlignment="1">
      <alignment horizontal="center" vertical="center"/>
    </xf>
    <xf numFmtId="0" fontId="115" fillId="0" borderId="163" xfId="0" applyFont="1" applyBorder="1" applyAlignment="1">
      <alignment vertical="center"/>
    </xf>
    <xf numFmtId="164" fontId="115" fillId="0" borderId="163" xfId="1" applyNumberFormat="1" applyFont="1" applyBorder="1" applyAlignment="1">
      <alignment horizontal="right" vertical="center"/>
    </xf>
    <xf numFmtId="0" fontId="116" fillId="0" borderId="163" xfId="0" applyFont="1" applyBorder="1" applyAlignment="1">
      <alignment horizontal="center" vertical="center"/>
    </xf>
    <xf numFmtId="0" fontId="116" fillId="0" borderId="163" xfId="0" applyFont="1" applyBorder="1" applyAlignment="1">
      <alignment vertical="center"/>
    </xf>
    <xf numFmtId="9" fontId="116" fillId="0" borderId="163" xfId="6" applyFont="1" applyBorder="1" applyAlignment="1">
      <alignment horizontal="right" vertical="center"/>
    </xf>
    <xf numFmtId="165" fontId="116" fillId="0" borderId="163" xfId="6" applyNumberFormat="1" applyFont="1" applyBorder="1" applyAlignment="1">
      <alignment horizontal="right" vertical="center"/>
    </xf>
    <xf numFmtId="0" fontId="116" fillId="0" borderId="163" xfId="0" applyFont="1" applyBorder="1"/>
    <xf numFmtId="164" fontId="116" fillId="0" borderId="163" xfId="1" applyNumberFormat="1" applyFont="1" applyBorder="1"/>
    <xf numFmtId="0" fontId="116" fillId="0" borderId="163" xfId="0" applyFont="1" applyBorder="1" applyAlignment="1">
      <alignment horizontal="center"/>
    </xf>
    <xf numFmtId="43" fontId="115" fillId="0" borderId="163" xfId="1" applyFont="1" applyBorder="1" applyAlignment="1">
      <alignment horizontal="right" vertical="center"/>
    </xf>
    <xf numFmtId="0" fontId="59" fillId="0" borderId="164" xfId="0" applyFont="1" applyBorder="1"/>
    <xf numFmtId="0" fontId="59" fillId="0" borderId="163" xfId="0" applyFont="1" applyBorder="1"/>
    <xf numFmtId="9" fontId="59" fillId="0" borderId="163" xfId="0" applyNumberFormat="1" applyFont="1" applyBorder="1"/>
    <xf numFmtId="0" fontId="59" fillId="0" borderId="163" xfId="0" quotePrefix="1" applyFont="1" applyBorder="1"/>
    <xf numFmtId="0" fontId="2" fillId="6" borderId="58" xfId="0" applyFont="1" applyFill="1" applyBorder="1" applyAlignment="1">
      <alignment horizontal="center" vertical="center"/>
    </xf>
    <xf numFmtId="0" fontId="2" fillId="6" borderId="58" xfId="0" applyFont="1" applyFill="1" applyBorder="1" applyAlignment="1">
      <alignment vertical="center"/>
    </xf>
    <xf numFmtId="164" fontId="2" fillId="6" borderId="123" xfId="1" applyNumberFormat="1" applyFont="1" applyFill="1" applyBorder="1" applyAlignment="1">
      <alignment vertical="center"/>
    </xf>
    <xf numFmtId="164" fontId="2" fillId="6" borderId="132" xfId="1" applyNumberFormat="1" applyFont="1" applyFill="1" applyBorder="1" applyAlignment="1">
      <alignment vertical="center"/>
    </xf>
    <xf numFmtId="164" fontId="2" fillId="6" borderId="153" xfId="1" applyNumberFormat="1" applyFont="1" applyFill="1" applyBorder="1" applyAlignment="1">
      <alignment vertical="center"/>
    </xf>
    <xf numFmtId="164" fontId="2" fillId="6" borderId="154" xfId="1" applyNumberFormat="1" applyFont="1" applyFill="1" applyBorder="1" applyAlignment="1">
      <alignment vertical="center"/>
    </xf>
    <xf numFmtId="164" fontId="2" fillId="6" borderId="139" xfId="1" applyNumberFormat="1" applyFont="1" applyFill="1" applyBorder="1" applyAlignment="1">
      <alignment vertical="center"/>
    </xf>
    <xf numFmtId="164" fontId="2" fillId="6" borderId="140" xfId="1" applyNumberFormat="1" applyFont="1" applyFill="1" applyBorder="1" applyAlignment="1">
      <alignment vertical="center"/>
    </xf>
    <xf numFmtId="0" fontId="110" fillId="0" borderId="59" xfId="0" applyFont="1" applyBorder="1" applyAlignment="1">
      <alignment horizontal="center" vertical="center"/>
    </xf>
    <xf numFmtId="0" fontId="110" fillId="0" borderId="59" xfId="0" applyFont="1" applyBorder="1" applyAlignment="1">
      <alignment vertical="center"/>
    </xf>
    <xf numFmtId="0" fontId="110" fillId="0" borderId="0" xfId="0" applyFont="1" applyAlignment="1">
      <alignment vertical="center"/>
    </xf>
    <xf numFmtId="164" fontId="110" fillId="0" borderId="124" xfId="1" applyNumberFormat="1" applyFont="1" applyBorder="1" applyAlignment="1">
      <alignment vertical="center"/>
    </xf>
    <xf numFmtId="164" fontId="110" fillId="0" borderId="133" xfId="1" applyNumberFormat="1" applyFont="1" applyBorder="1" applyAlignment="1">
      <alignment vertical="center"/>
    </xf>
    <xf numFmtId="164" fontId="110" fillId="0" borderId="155" xfId="1" applyNumberFormat="1" applyFont="1" applyBorder="1" applyAlignment="1">
      <alignment vertical="center"/>
    </xf>
    <xf numFmtId="164" fontId="110" fillId="0" borderId="156" xfId="1" applyNumberFormat="1" applyFont="1" applyBorder="1" applyAlignment="1">
      <alignment vertical="center"/>
    </xf>
    <xf numFmtId="164" fontId="110" fillId="0" borderId="141" xfId="1" applyNumberFormat="1" applyFont="1" applyBorder="1" applyAlignment="1">
      <alignment vertical="center"/>
    </xf>
    <xf numFmtId="164" fontId="110" fillId="0" borderId="142" xfId="1" applyNumberFormat="1" applyFont="1" applyBorder="1" applyAlignment="1">
      <alignment vertical="center"/>
    </xf>
    <xf numFmtId="164" fontId="2" fillId="6" borderId="133" xfId="1" applyNumberFormat="1" applyFont="1" applyFill="1" applyBorder="1" applyAlignment="1">
      <alignment vertical="center"/>
    </xf>
    <xf numFmtId="164" fontId="2" fillId="6" borderId="156" xfId="1" applyNumberFormat="1" applyFont="1" applyFill="1" applyBorder="1" applyAlignment="1">
      <alignment vertical="center"/>
    </xf>
    <xf numFmtId="164" fontId="2" fillId="6" borderId="142" xfId="1" applyNumberFormat="1" applyFont="1" applyFill="1" applyBorder="1" applyAlignment="1">
      <alignment vertical="center"/>
    </xf>
    <xf numFmtId="0" fontId="0" fillId="0" borderId="59" xfId="0" applyBorder="1" applyAlignment="1">
      <alignment horizontal="center" vertical="center"/>
    </xf>
    <xf numFmtId="0" fontId="0" fillId="0" borderId="59" xfId="0" applyBorder="1" applyAlignment="1">
      <alignment vertical="center"/>
    </xf>
    <xf numFmtId="164" fontId="0" fillId="0" borderId="124" xfId="1" applyNumberFormat="1" applyFont="1" applyBorder="1" applyAlignment="1">
      <alignment vertical="center"/>
    </xf>
    <xf numFmtId="164" fontId="0" fillId="0" borderId="133" xfId="1" applyNumberFormat="1" applyFont="1" applyBorder="1" applyAlignment="1">
      <alignment vertical="center"/>
    </xf>
    <xf numFmtId="164" fontId="0" fillId="0" borderId="155" xfId="1" applyNumberFormat="1" applyFont="1" applyBorder="1" applyAlignment="1">
      <alignment vertical="center"/>
    </xf>
    <xf numFmtId="164" fontId="0" fillId="0" borderId="156" xfId="1" applyNumberFormat="1" applyFont="1" applyBorder="1" applyAlignment="1">
      <alignment vertical="center"/>
    </xf>
    <xf numFmtId="164" fontId="0" fillId="0" borderId="141" xfId="1" applyNumberFormat="1" applyFont="1" applyBorder="1" applyAlignment="1">
      <alignment vertical="center"/>
    </xf>
    <xf numFmtId="164" fontId="0" fillId="0" borderId="142" xfId="1" applyNumberFormat="1" applyFont="1" applyBorder="1" applyAlignment="1">
      <alignment vertical="center"/>
    </xf>
    <xf numFmtId="0" fontId="106" fillId="6" borderId="59" xfId="0" applyFont="1" applyFill="1" applyBorder="1" applyAlignment="1">
      <alignment horizontal="center" vertical="center"/>
    </xf>
    <xf numFmtId="0" fontId="106" fillId="6" borderId="59" xfId="0" applyFont="1" applyFill="1" applyBorder="1" applyAlignment="1">
      <alignment vertical="center"/>
    </xf>
    <xf numFmtId="0" fontId="106" fillId="0" borderId="0" xfId="0" applyFont="1" applyAlignment="1">
      <alignment vertical="center"/>
    </xf>
    <xf numFmtId="164" fontId="106" fillId="6" borderId="124" xfId="1" applyNumberFormat="1" applyFont="1" applyFill="1" applyBorder="1" applyAlignment="1">
      <alignment vertical="center"/>
    </xf>
    <xf numFmtId="164" fontId="106" fillId="6" borderId="133" xfId="1" applyNumberFormat="1" applyFont="1" applyFill="1" applyBorder="1" applyAlignment="1">
      <alignment vertical="center"/>
    </xf>
    <xf numFmtId="164" fontId="106" fillId="6" borderId="155" xfId="1" applyNumberFormat="1" applyFont="1" applyFill="1" applyBorder="1" applyAlignment="1">
      <alignment vertical="center"/>
    </xf>
    <xf numFmtId="164" fontId="106" fillId="6" borderId="156" xfId="1" applyNumberFormat="1" applyFont="1" applyFill="1" applyBorder="1" applyAlignment="1">
      <alignment vertical="center"/>
    </xf>
    <xf numFmtId="167" fontId="106" fillId="6" borderId="141" xfId="1" applyNumberFormat="1" applyFont="1" applyFill="1" applyBorder="1" applyAlignment="1">
      <alignment vertical="center"/>
    </xf>
    <xf numFmtId="164" fontId="106" fillId="6" borderId="142" xfId="1" applyNumberFormat="1" applyFont="1" applyFill="1" applyBorder="1" applyAlignment="1">
      <alignment vertical="center"/>
    </xf>
    <xf numFmtId="0" fontId="106" fillId="0" borderId="59" xfId="0" applyFont="1" applyBorder="1" applyAlignment="1">
      <alignment horizontal="center" vertical="center"/>
    </xf>
    <xf numFmtId="0" fontId="106" fillId="0" borderId="59" xfId="0" applyFont="1" applyBorder="1" applyAlignment="1">
      <alignment vertical="center"/>
    </xf>
    <xf numFmtId="164" fontId="106" fillId="0" borderId="124" xfId="1" applyNumberFormat="1" applyFont="1" applyBorder="1" applyAlignment="1">
      <alignment vertical="center"/>
    </xf>
    <xf numFmtId="164" fontId="106" fillId="0" borderId="133" xfId="1" applyNumberFormat="1" applyFont="1" applyBorder="1" applyAlignment="1">
      <alignment vertical="center"/>
    </xf>
    <xf numFmtId="164" fontId="106" fillId="0" borderId="155" xfId="1" applyNumberFormat="1" applyFont="1" applyBorder="1" applyAlignment="1">
      <alignment vertical="center"/>
    </xf>
    <xf numFmtId="164" fontId="106" fillId="0" borderId="156" xfId="1" applyNumberFormat="1" applyFont="1" applyBorder="1" applyAlignment="1">
      <alignment vertical="center"/>
    </xf>
    <xf numFmtId="167" fontId="106" fillId="0" borderId="141" xfId="1" applyNumberFormat="1" applyFont="1" applyBorder="1" applyAlignment="1">
      <alignment vertical="center"/>
    </xf>
    <xf numFmtId="164" fontId="106" fillId="0" borderId="142" xfId="1" applyNumberFormat="1" applyFont="1" applyBorder="1" applyAlignment="1">
      <alignment vertical="center"/>
    </xf>
    <xf numFmtId="0" fontId="46" fillId="0" borderId="59" xfId="0" applyFont="1" applyBorder="1" applyAlignment="1">
      <alignment horizontal="center" vertical="center"/>
    </xf>
    <xf numFmtId="0" fontId="46" fillId="0" borderId="59" xfId="0" applyFont="1" applyBorder="1" applyAlignment="1">
      <alignment vertical="center"/>
    </xf>
    <xf numFmtId="0" fontId="46" fillId="0" borderId="0" xfId="0" applyFont="1" applyAlignment="1">
      <alignment vertical="center"/>
    </xf>
    <xf numFmtId="165" fontId="46" fillId="0" borderId="124" xfId="1" applyNumberFormat="1" applyFont="1" applyBorder="1" applyAlignment="1">
      <alignment vertical="center"/>
    </xf>
    <xf numFmtId="165" fontId="46" fillId="0" borderId="133" xfId="1" applyNumberFormat="1" applyFont="1" applyBorder="1" applyAlignment="1">
      <alignment vertical="center"/>
    </xf>
    <xf numFmtId="165" fontId="46" fillId="0" borderId="155" xfId="1" applyNumberFormat="1" applyFont="1" applyBorder="1" applyAlignment="1">
      <alignment vertical="center"/>
    </xf>
    <xf numFmtId="165" fontId="46" fillId="0" borderId="156" xfId="1" applyNumberFormat="1" applyFont="1" applyBorder="1" applyAlignment="1">
      <alignment vertical="center"/>
    </xf>
    <xf numFmtId="165" fontId="46" fillId="0" borderId="141" xfId="1" applyNumberFormat="1" applyFont="1" applyBorder="1" applyAlignment="1">
      <alignment vertical="center"/>
    </xf>
    <xf numFmtId="165" fontId="46" fillId="0" borderId="142" xfId="1" applyNumberFormat="1" applyFont="1" applyBorder="1" applyAlignment="1">
      <alignment vertical="center"/>
    </xf>
    <xf numFmtId="0" fontId="2" fillId="6" borderId="59" xfId="0" applyFont="1" applyFill="1" applyBorder="1" applyAlignment="1">
      <alignment horizontal="center" vertical="center"/>
    </xf>
    <xf numFmtId="0" fontId="2" fillId="6" borderId="59" xfId="0" applyFont="1" applyFill="1" applyBorder="1" applyAlignment="1">
      <alignment vertical="center"/>
    </xf>
    <xf numFmtId="164" fontId="2" fillId="6" borderId="124" xfId="1" applyNumberFormat="1" applyFont="1" applyFill="1" applyBorder="1" applyAlignment="1">
      <alignment vertical="center"/>
    </xf>
    <xf numFmtId="164" fontId="2" fillId="6" borderId="155" xfId="1" applyNumberFormat="1" applyFont="1" applyFill="1" applyBorder="1" applyAlignment="1">
      <alignment vertical="center"/>
    </xf>
    <xf numFmtId="164" fontId="2" fillId="6" borderId="141" xfId="1" applyNumberFormat="1" applyFont="1" applyFill="1" applyBorder="1" applyAlignment="1">
      <alignment vertical="center"/>
    </xf>
    <xf numFmtId="0" fontId="0" fillId="0" borderId="80" xfId="0" applyBorder="1" applyAlignment="1">
      <alignment horizontal="center" vertical="center"/>
    </xf>
    <xf numFmtId="0" fontId="0" fillId="0" borderId="80" xfId="0" applyBorder="1" applyAlignment="1">
      <alignment vertical="center"/>
    </xf>
    <xf numFmtId="164" fontId="0" fillId="0" borderId="125" xfId="1" applyNumberFormat="1" applyFont="1" applyBorder="1" applyAlignment="1">
      <alignment horizontal="center" vertical="center"/>
    </xf>
    <xf numFmtId="164" fontId="0" fillId="0" borderId="133" xfId="1" applyNumberFormat="1" applyFont="1" applyBorder="1" applyAlignment="1">
      <alignment horizontal="center" vertical="center"/>
    </xf>
    <xf numFmtId="164" fontId="0" fillId="0" borderId="157" xfId="1" applyNumberFormat="1" applyFont="1" applyBorder="1" applyAlignment="1">
      <alignment horizontal="center" vertical="center"/>
    </xf>
    <xf numFmtId="164" fontId="0" fillId="0" borderId="156" xfId="1" applyNumberFormat="1" applyFont="1" applyBorder="1" applyAlignment="1">
      <alignment horizontal="center" vertical="center"/>
    </xf>
    <xf numFmtId="164" fontId="0" fillId="0" borderId="143" xfId="1" applyNumberFormat="1" applyFont="1" applyBorder="1" applyAlignment="1">
      <alignment horizontal="center" vertical="center"/>
    </xf>
    <xf numFmtId="164" fontId="0" fillId="0" borderId="142" xfId="1" applyNumberFormat="1" applyFont="1" applyBorder="1" applyAlignment="1">
      <alignment horizontal="center" vertical="center"/>
    </xf>
    <xf numFmtId="0" fontId="2" fillId="6" borderId="116" xfId="0" applyFont="1" applyFill="1" applyBorder="1" applyAlignment="1">
      <alignment horizontal="center" vertical="center"/>
    </xf>
    <xf numFmtId="0" fontId="2" fillId="6" borderId="116" xfId="0" applyFont="1" applyFill="1" applyBorder="1" applyAlignment="1">
      <alignment vertical="center"/>
    </xf>
    <xf numFmtId="164" fontId="2" fillId="6" borderId="126" xfId="1" applyNumberFormat="1" applyFont="1" applyFill="1" applyBorder="1" applyAlignment="1">
      <alignment vertical="center"/>
    </xf>
    <xf numFmtId="164" fontId="2" fillId="6" borderId="158" xfId="1" applyNumberFormat="1" applyFont="1" applyFill="1" applyBorder="1" applyAlignment="1">
      <alignment vertical="center"/>
    </xf>
    <xf numFmtId="164" fontId="2" fillId="6" borderId="144" xfId="1" applyNumberFormat="1" applyFont="1" applyFill="1" applyBorder="1" applyAlignment="1">
      <alignment vertical="center"/>
    </xf>
    <xf numFmtId="0" fontId="0" fillId="0" borderId="117" xfId="0" applyBorder="1" applyAlignment="1">
      <alignment horizontal="center" vertical="center"/>
    </xf>
    <xf numFmtId="0" fontId="0" fillId="0" borderId="117" xfId="0" applyBorder="1" applyAlignment="1">
      <alignment vertical="center"/>
    </xf>
    <xf numFmtId="43" fontId="0" fillId="0" borderId="127" xfId="0" applyNumberFormat="1" applyBorder="1" applyAlignment="1">
      <alignment horizontal="center" vertical="center"/>
    </xf>
    <xf numFmtId="43" fontId="0" fillId="0" borderId="133" xfId="0" applyNumberFormat="1" applyBorder="1" applyAlignment="1">
      <alignment horizontal="center" vertical="center"/>
    </xf>
    <xf numFmtId="43" fontId="0" fillId="0" borderId="159" xfId="0" applyNumberFormat="1" applyBorder="1" applyAlignment="1">
      <alignment horizontal="center" vertical="center"/>
    </xf>
    <xf numFmtId="43" fontId="0" fillId="0" borderId="156" xfId="0" applyNumberFormat="1" applyBorder="1" applyAlignment="1">
      <alignment horizontal="center" vertical="center"/>
    </xf>
    <xf numFmtId="43" fontId="0" fillId="0" borderId="145" xfId="0" applyNumberFormat="1" applyBorder="1" applyAlignment="1">
      <alignment horizontal="center" vertical="center"/>
    </xf>
    <xf numFmtId="43" fontId="78" fillId="0" borderId="142" xfId="0" applyNumberFormat="1" applyFont="1" applyBorder="1" applyAlignment="1">
      <alignment horizontal="center" vertical="center"/>
    </xf>
    <xf numFmtId="0" fontId="105" fillId="0" borderId="117" xfId="0" applyFont="1" applyBorder="1" applyAlignment="1">
      <alignment horizontal="center" vertical="center"/>
    </xf>
    <xf numFmtId="0" fontId="105" fillId="0" borderId="117" xfId="0" applyFont="1" applyBorder="1" applyAlignment="1">
      <alignment vertical="center"/>
    </xf>
    <xf numFmtId="0" fontId="105" fillId="0" borderId="0" xfId="0" applyFont="1" applyAlignment="1">
      <alignment vertical="center"/>
    </xf>
    <xf numFmtId="165" fontId="105" fillId="0" borderId="127" xfId="0" applyNumberFormat="1" applyFont="1" applyBorder="1" applyAlignment="1">
      <alignment vertical="center"/>
    </xf>
    <xf numFmtId="165" fontId="105" fillId="0" borderId="133" xfId="0" applyNumberFormat="1" applyFont="1" applyBorder="1" applyAlignment="1">
      <alignment vertical="center"/>
    </xf>
    <xf numFmtId="165" fontId="105" fillId="0" borderId="159" xfId="0" applyNumberFormat="1" applyFont="1" applyBorder="1" applyAlignment="1">
      <alignment vertical="center"/>
    </xf>
    <xf numFmtId="165" fontId="105" fillId="0" borderId="156" xfId="0" applyNumberFormat="1" applyFont="1" applyBorder="1" applyAlignment="1">
      <alignment vertical="center"/>
    </xf>
    <xf numFmtId="165" fontId="105" fillId="0" borderId="145" xfId="0" applyNumberFormat="1" applyFont="1" applyBorder="1" applyAlignment="1">
      <alignment vertical="center"/>
    </xf>
    <xf numFmtId="165" fontId="105" fillId="0" borderId="142" xfId="0" applyNumberFormat="1" applyFont="1" applyBorder="1" applyAlignment="1">
      <alignment vertical="center"/>
    </xf>
    <xf numFmtId="164" fontId="2" fillId="6" borderId="58" xfId="1" applyNumberFormat="1" applyFont="1" applyFill="1" applyBorder="1" applyAlignment="1">
      <alignment vertical="center"/>
    </xf>
    <xf numFmtId="164" fontId="110" fillId="0" borderId="59" xfId="1" applyNumberFormat="1" applyFont="1" applyBorder="1" applyAlignment="1">
      <alignment vertical="center"/>
    </xf>
    <xf numFmtId="164" fontId="0" fillId="0" borderId="59" xfId="1" applyNumberFormat="1" applyFont="1" applyBorder="1" applyAlignment="1">
      <alignment vertical="center"/>
    </xf>
    <xf numFmtId="164" fontId="106" fillId="6" borderId="59" xfId="1" applyNumberFormat="1" applyFont="1" applyFill="1" applyBorder="1" applyAlignment="1">
      <alignment vertical="center"/>
    </xf>
    <xf numFmtId="164" fontId="106" fillId="0" borderId="59" xfId="1" applyNumberFormat="1" applyFont="1" applyBorder="1" applyAlignment="1">
      <alignment vertical="center"/>
    </xf>
    <xf numFmtId="165" fontId="46" fillId="0" borderId="59" xfId="1" applyNumberFormat="1" applyFont="1" applyBorder="1" applyAlignment="1">
      <alignment vertical="center"/>
    </xf>
    <xf numFmtId="165" fontId="46" fillId="0" borderId="0" xfId="0" applyNumberFormat="1" applyFont="1" applyAlignment="1">
      <alignment vertical="center"/>
    </xf>
    <xf numFmtId="164" fontId="2" fillId="6" borderId="59" xfId="1" applyNumberFormat="1" applyFont="1" applyFill="1" applyBorder="1" applyAlignment="1">
      <alignment vertical="center"/>
    </xf>
    <xf numFmtId="164" fontId="0" fillId="0" borderId="80" xfId="1" applyNumberFormat="1" applyFont="1" applyBorder="1" applyAlignment="1">
      <alignment horizontal="center" vertical="center"/>
    </xf>
    <xf numFmtId="164" fontId="2" fillId="6" borderId="116" xfId="1" applyNumberFormat="1" applyFont="1" applyFill="1" applyBorder="1" applyAlignment="1">
      <alignment vertical="center"/>
    </xf>
    <xf numFmtId="43" fontId="0" fillId="0" borderId="117" xfId="0" applyNumberFormat="1" applyBorder="1" applyAlignment="1">
      <alignment horizontal="center" vertical="center"/>
    </xf>
    <xf numFmtId="165" fontId="105" fillId="0" borderId="117" xfId="0" applyNumberFormat="1" applyFont="1" applyBorder="1" applyAlignment="1">
      <alignment vertical="center"/>
    </xf>
    <xf numFmtId="0" fontId="0" fillId="0" borderId="128" xfId="0" applyBorder="1" applyAlignment="1">
      <alignment vertical="center"/>
    </xf>
    <xf numFmtId="0" fontId="0" fillId="0" borderId="121" xfId="0" applyBorder="1" applyAlignment="1">
      <alignment vertical="center"/>
    </xf>
    <xf numFmtId="0" fontId="0" fillId="0" borderId="160" xfId="0" applyBorder="1" applyAlignment="1">
      <alignment vertical="center"/>
    </xf>
    <xf numFmtId="0" fontId="0" fillId="0" borderId="161" xfId="0" applyBorder="1" applyAlignment="1">
      <alignment vertical="center"/>
    </xf>
    <xf numFmtId="0" fontId="0" fillId="0" borderId="146" xfId="0" applyBorder="1" applyAlignment="1">
      <alignment vertical="center"/>
    </xf>
    <xf numFmtId="0" fontId="0" fillId="0" borderId="147" xfId="0" applyBorder="1" applyAlignment="1">
      <alignment vertical="center"/>
    </xf>
    <xf numFmtId="0" fontId="0" fillId="0" borderId="118" xfId="0" applyBorder="1" applyAlignment="1">
      <alignment horizontal="center" vertical="center"/>
    </xf>
    <xf numFmtId="0" fontId="0" fillId="0" borderId="118" xfId="0" applyBorder="1" applyAlignment="1">
      <alignment vertical="center"/>
    </xf>
    <xf numFmtId="0" fontId="0" fillId="0" borderId="6" xfId="0" applyBorder="1" applyAlignment="1">
      <alignment vertical="center"/>
    </xf>
    <xf numFmtId="0" fontId="0" fillId="0" borderId="119" xfId="0" applyBorder="1" applyAlignment="1">
      <alignment horizontal="center" vertical="center"/>
    </xf>
    <xf numFmtId="0" fontId="0" fillId="0" borderId="119" xfId="0" applyBorder="1" applyAlignment="1">
      <alignment vertical="center"/>
    </xf>
    <xf numFmtId="0" fontId="0" fillId="0" borderId="33" xfId="0" applyBorder="1" applyAlignment="1">
      <alignment vertical="center"/>
    </xf>
    <xf numFmtId="0" fontId="112" fillId="0" borderId="0" xfId="0" applyFont="1" applyAlignment="1">
      <alignment horizontal="center" vertical="center"/>
    </xf>
    <xf numFmtId="0" fontId="9" fillId="5" borderId="0" xfId="0" applyFont="1" applyFill="1" applyAlignment="1">
      <alignment vertical="center"/>
    </xf>
    <xf numFmtId="0" fontId="104" fillId="29" borderId="0" xfId="0" applyFont="1" applyFill="1" applyAlignment="1">
      <alignment horizontal="center" vertical="center"/>
    </xf>
    <xf numFmtId="0" fontId="104" fillId="29" borderId="0" xfId="0" applyFont="1" applyFill="1" applyAlignment="1">
      <alignment vertical="center"/>
    </xf>
    <xf numFmtId="0" fontId="88" fillId="29" borderId="129" xfId="0" applyFont="1" applyFill="1" applyBorder="1" applyAlignment="1">
      <alignment horizontal="center" vertical="center" wrapText="1"/>
    </xf>
    <xf numFmtId="0" fontId="88" fillId="29" borderId="130" xfId="0" applyFont="1" applyFill="1" applyBorder="1" applyAlignment="1">
      <alignment horizontal="center" vertical="center"/>
    </xf>
    <xf numFmtId="0" fontId="2" fillId="18" borderId="148" xfId="0" applyFont="1" applyFill="1" applyBorder="1" applyAlignment="1">
      <alignment horizontal="center" vertical="center" wrapText="1"/>
    </xf>
    <xf numFmtId="0" fontId="2" fillId="18" borderId="149" xfId="0" applyFont="1" applyFill="1" applyBorder="1" applyAlignment="1">
      <alignment horizontal="center" vertical="center"/>
    </xf>
    <xf numFmtId="0" fontId="2" fillId="27" borderId="134" xfId="0" applyFont="1" applyFill="1" applyBorder="1" applyAlignment="1">
      <alignment horizontal="center" vertical="center" wrapText="1"/>
    </xf>
    <xf numFmtId="0" fontId="2" fillId="27" borderId="135" xfId="0" applyFont="1" applyFill="1" applyBorder="1" applyAlignment="1">
      <alignment horizontal="center" vertical="center"/>
    </xf>
    <xf numFmtId="0" fontId="104" fillId="29" borderId="122" xfId="0" applyFont="1" applyFill="1" applyBorder="1" applyAlignment="1">
      <alignment horizontal="center" vertical="center" wrapText="1"/>
    </xf>
    <xf numFmtId="0" fontId="104" fillId="29" borderId="131" xfId="0" applyFont="1" applyFill="1" applyBorder="1" applyAlignment="1">
      <alignment horizontal="center" vertical="center" wrapText="1"/>
    </xf>
    <xf numFmtId="0" fontId="104" fillId="29" borderId="120" xfId="0" applyFont="1" applyFill="1" applyBorder="1" applyAlignment="1">
      <alignment horizontal="center" vertical="center" wrapText="1"/>
    </xf>
    <xf numFmtId="0" fontId="2" fillId="18" borderId="150" xfId="0" applyFont="1" applyFill="1" applyBorder="1" applyAlignment="1">
      <alignment horizontal="center" vertical="center" wrapText="1"/>
    </xf>
    <xf numFmtId="0" fontId="2" fillId="18" borderId="151" xfId="0" applyFont="1" applyFill="1" applyBorder="1" applyAlignment="1">
      <alignment horizontal="center" vertical="center" wrapText="1"/>
    </xf>
    <xf numFmtId="0" fontId="2" fillId="18" borderId="152" xfId="0" applyFont="1" applyFill="1" applyBorder="1" applyAlignment="1">
      <alignment horizontal="center" vertical="center" wrapText="1"/>
    </xf>
    <xf numFmtId="0" fontId="2" fillId="27" borderId="136" xfId="0" applyFont="1" applyFill="1" applyBorder="1" applyAlignment="1">
      <alignment horizontal="center" vertical="center" wrapText="1"/>
    </xf>
    <xf numFmtId="0" fontId="2" fillId="27" borderId="137" xfId="0" applyFont="1" applyFill="1" applyBorder="1" applyAlignment="1">
      <alignment horizontal="center" vertical="center" wrapText="1"/>
    </xf>
    <xf numFmtId="0" fontId="2" fillId="27" borderId="138" xfId="0" applyFont="1" applyFill="1" applyBorder="1" applyAlignment="1">
      <alignment horizontal="center" vertical="center" wrapText="1"/>
    </xf>
    <xf numFmtId="0" fontId="2" fillId="30" borderId="0" xfId="0" applyFont="1" applyFill="1" applyAlignment="1">
      <alignment horizontal="center" vertical="center" wrapText="1"/>
    </xf>
    <xf numFmtId="0" fontId="65" fillId="28" borderId="0" xfId="0" applyFont="1" applyFill="1" applyAlignment="1">
      <alignment horizontal="center" vertical="center" wrapText="1"/>
    </xf>
    <xf numFmtId="0" fontId="65" fillId="28" borderId="0" xfId="0" applyFont="1" applyFill="1" applyAlignment="1">
      <alignment horizontal="center" vertical="center"/>
    </xf>
    <xf numFmtId="0" fontId="65" fillId="29" borderId="0" xfId="0" applyFont="1" applyFill="1" applyAlignment="1">
      <alignment horizontal="center" vertical="center"/>
    </xf>
    <xf numFmtId="0" fontId="88" fillId="7" borderId="0" xfId="0" applyFont="1" applyFill="1" applyAlignment="1">
      <alignment vertical="center"/>
    </xf>
    <xf numFmtId="0" fontId="9" fillId="5" borderId="0" xfId="0" applyFont="1" applyFill="1" applyAlignment="1">
      <alignment horizontal="center" vertical="center"/>
    </xf>
    <xf numFmtId="0" fontId="14" fillId="5" borderId="0" xfId="0" applyFont="1" applyFill="1" applyAlignment="1">
      <alignment vertical="center"/>
    </xf>
    <xf numFmtId="0" fontId="65" fillId="7" borderId="0" xfId="0" applyFont="1" applyFill="1" applyAlignment="1">
      <alignment horizontal="center" vertical="center"/>
    </xf>
    <xf numFmtId="0" fontId="47" fillId="5" borderId="0" xfId="0" applyFont="1" applyFill="1" applyAlignment="1">
      <alignment vertical="center"/>
    </xf>
    <xf numFmtId="0" fontId="47" fillId="5" borderId="0" xfId="0" applyFont="1" applyFill="1" applyAlignment="1">
      <alignment horizontal="center" vertical="center"/>
    </xf>
    <xf numFmtId="0" fontId="88" fillId="26" borderId="71" xfId="0" applyFont="1" applyFill="1" applyBorder="1" applyAlignment="1">
      <alignment horizontal="center"/>
    </xf>
    <xf numFmtId="0" fontId="88" fillId="20" borderId="71" xfId="0" applyFont="1" applyFill="1" applyBorder="1" applyAlignment="1">
      <alignment horizontal="center"/>
    </xf>
    <xf numFmtId="0" fontId="5" fillId="0" borderId="8" xfId="0" applyFont="1" applyBorder="1"/>
    <xf numFmtId="0" fontId="55" fillId="5" borderId="0" xfId="0" applyFont="1" applyFill="1" applyAlignment="1">
      <alignment vertical="center"/>
    </xf>
    <xf numFmtId="0" fontId="9" fillId="5" borderId="0" xfId="0" applyFont="1" applyFill="1" applyAlignment="1">
      <alignment horizontal="center" vertical="center" wrapText="1"/>
    </xf>
    <xf numFmtId="0" fontId="32" fillId="13" borderId="21" xfId="0" applyFont="1" applyFill="1" applyBorder="1" applyAlignment="1">
      <alignment vertical="center"/>
    </xf>
    <xf numFmtId="0" fontId="32" fillId="13" borderId="22" xfId="0" applyFont="1" applyFill="1" applyBorder="1" applyAlignment="1">
      <alignment vertical="center"/>
    </xf>
    <xf numFmtId="0" fontId="31" fillId="0" borderId="20" xfId="0" applyFont="1" applyBorder="1" applyAlignment="1">
      <alignment vertical="center"/>
    </xf>
    <xf numFmtId="0" fontId="32" fillId="13" borderId="10" xfId="0" applyFont="1" applyFill="1" applyBorder="1" applyAlignment="1">
      <alignment vertical="center"/>
    </xf>
    <xf numFmtId="0" fontId="32" fillId="13" borderId="11" xfId="0" applyFont="1" applyFill="1" applyBorder="1" applyAlignment="1">
      <alignment vertical="center"/>
    </xf>
  </cellXfs>
  <cellStyles count="10">
    <cellStyle name="Comma" xfId="1" builtinId="3"/>
    <cellStyle name="Comma 2" xfId="5" xr:uid="{8C88768D-7E3E-4B7E-A802-C36A367215D9}"/>
    <cellStyle name="Comma 3" xfId="7" xr:uid="{07A71FE7-5137-4F11-9B68-3AA2D57967D5}"/>
    <cellStyle name="Hyperlink 2" xfId="3" xr:uid="{CFFA9261-7F94-400E-BF26-9774D987A33C}"/>
    <cellStyle name="Normal" xfId="0" builtinId="0"/>
    <cellStyle name="Normal 2" xfId="4" xr:uid="{D05A5197-C8F0-4E35-AE15-CF17A24FC0AB}"/>
    <cellStyle name="Normal 2 7" xfId="2" xr:uid="{269ACB90-76D0-46B6-A20D-E49684A85419}"/>
    <cellStyle name="Percent" xfId="9" builtinId="5"/>
    <cellStyle name="Percent 2" xfId="6" xr:uid="{8EE9FA21-AA1C-4E95-A514-A3CBA1AAC0AB}"/>
    <cellStyle name="Percent 3" xfId="8" xr:uid="{F5D9F4E5-A037-42E7-9467-D98A8845CFEB}"/>
  </cellStyles>
  <dxfs count="7">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s>
  <tableStyles count="0" defaultTableStyle="TableStyleMedium2" defaultPivotStyle="PivotStyleLight16"/>
  <colors>
    <mruColors>
      <color rgb="FFFF33CC"/>
      <color rgb="FF000099"/>
      <color rgb="FF0000FF"/>
      <color rgb="FF119303"/>
      <color rgb="FFFFFF99"/>
      <color rgb="FFCCCC00"/>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22/10/relationships/richValueRel" Target="richData/richValueRel.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07/relationships/slicerCache" Target="slicerCaches/slicerCache1.xml"/><Relationship Id="rId40" Type="http://schemas.openxmlformats.org/officeDocument/2006/relationships/sharedStrings" Target="sharedString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1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2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0.xml"/><Relationship Id="rId1" Type="http://schemas.microsoft.com/office/2011/relationships/chartStyle" Target="style10.xml"/></Relationships>
</file>

<file path=xl/charts/_rels/chart22.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26.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31.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32.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04EE498A-6E7D-4221-AD9D-B57CD198C723}" type="CELLRANGE">
                      <a:rPr lang="en-US" baseline="0"/>
                      <a:pPr>
                        <a:defRPr sz="1300"/>
                      </a:pPr>
                      <a:t>[CELLRANGE]</a:t>
                    </a:fld>
                    <a:r>
                      <a:rPr lang="en-US" baseline="0"/>
                      <a:t>, </a:t>
                    </a:r>
                    <a:fld id="{835E34EE-5D79-4C9A-9716-E0381C51D833}" type="SERIESNAME">
                      <a:rPr lang="en-US" baseline="0"/>
                      <a:pPr>
                        <a:defRPr sz="1300"/>
                      </a:pPr>
                      <a:t>[SERIES NAME]</a:t>
                    </a:fld>
                    <a:r>
                      <a:rPr lang="en-US" baseline="0"/>
                      <a:t>, </a:t>
                    </a:r>
                    <a:fld id="{A333A4CD-3D11-4B53-BD01-4E7071CCD5C7}"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6943226626543529"/>
                      <c:h val="0.2523939065954558"/>
                    </c:manualLayout>
                  </c15:layout>
                  <c15:dlblFieldTable/>
                  <c15:showDataLabelsRange val="1"/>
                </c:ext>
                <c:ext xmlns:c16="http://schemas.microsoft.com/office/drawing/2014/chart" uri="{C3380CC4-5D6E-409C-BE32-E72D297353CC}">
                  <c16:uniqueId val="{00000000-D6C0-49BA-BFAE-7C4DBB5FBEA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'W5'!$E$71:$F$71</c15:sqref>
                  </c15:fullRef>
                </c:ext>
              </c:extLst>
              <c:f>'W5'!$E$71</c:f>
              <c:numCache>
                <c:formatCode>0.0%;\-0.0.%;</c:formatCode>
                <c:ptCount val="1"/>
                <c:pt idx="0" formatCode="#,##0_);\(#,##0\);;">
                  <c:v>979.2</c:v>
                </c:pt>
              </c:numCache>
            </c:numRef>
          </c:val>
          <c:extLst>
            <c:ext xmlns:c15="http://schemas.microsoft.com/office/drawing/2012/chart" uri="{02D57815-91ED-43cb-92C2-25804820EDAC}">
              <c15:datalabelsRange>
                <c15:f>'W5'!$F$71</c15:f>
                <c15:dlblRangeCache>
                  <c:ptCount val="1"/>
                  <c:pt idx="0">
                    <c:v>56.2%</c:v>
                  </c:pt>
                </c15:dlblRangeCache>
              </c15:datalabelsRange>
            </c:ext>
            <c:ext xmlns:c16="http://schemas.microsoft.com/office/drawing/2014/chart" uri="{C3380CC4-5D6E-409C-BE32-E72D297353CC}">
              <c16:uniqueId val="{00000001-D6C0-49BA-BFAE-7C4DBB5FBEAC}"/>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A352FF71-54E9-4BC3-8A97-242B753534A1}" type="CELLRANGE">
                      <a:rPr lang="en-US" baseline="0"/>
                      <a:pPr>
                        <a:defRPr sz="1100"/>
                      </a:pPr>
                      <a:t>[CELLRANGE]</a:t>
                    </a:fld>
                    <a:r>
                      <a:rPr lang="en-US" baseline="0"/>
                      <a:t>, </a:t>
                    </a:r>
                    <a:fld id="{8E76771A-3ECB-4611-A753-B8A50D85219A}" type="SERIESNAME">
                      <a:rPr lang="en-US" baseline="0"/>
                      <a:pPr>
                        <a:defRPr sz="1100"/>
                      </a:pPr>
                      <a:t>[SERIES NAME]</a:t>
                    </a:fld>
                    <a:r>
                      <a:rPr lang="en-US" baseline="0"/>
                      <a:t>, </a:t>
                    </a:r>
                    <a:fld id="{A7E660FB-5923-48A6-B50C-80C8DD469DB9}"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705101431980909"/>
                      <c:h val="0.10217243866235731"/>
                    </c:manualLayout>
                  </c15:layout>
                  <c15:dlblFieldTable/>
                  <c15:showDataLabelsRange val="1"/>
                </c:ext>
                <c:ext xmlns:c16="http://schemas.microsoft.com/office/drawing/2014/chart" uri="{C3380CC4-5D6E-409C-BE32-E72D297353CC}">
                  <c16:uniqueId val="{00000002-D6C0-49BA-BFAE-7C4DBB5FBEA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'W5'!$E$73:$F$73</c15:sqref>
                  </c15:fullRef>
                </c:ext>
              </c:extLst>
              <c:f>'W5'!$E$73</c:f>
              <c:numCache>
                <c:formatCode>0.0%;\-0.0.%;</c:formatCode>
                <c:ptCount val="1"/>
                <c:pt idx="0" formatCode="#,##0_);\(#,##0\);;">
                  <c:v>73.703225806451741</c:v>
                </c:pt>
              </c:numCache>
            </c:numRef>
          </c:val>
          <c:extLst>
            <c:ext xmlns:c15="http://schemas.microsoft.com/office/drawing/2012/chart" uri="{02D57815-91ED-43cb-92C2-25804820EDAC}">
              <c15:datalabelsRange>
                <c15:f>'W5'!$F$73</c15:f>
                <c15:dlblRangeCache>
                  <c:ptCount val="1"/>
                  <c:pt idx="0">
                    <c:v>4.2%</c:v>
                  </c:pt>
                </c15:dlblRangeCache>
              </c15:datalabelsRange>
            </c:ext>
            <c:ext xmlns:c16="http://schemas.microsoft.com/office/drawing/2014/chart" uri="{C3380CC4-5D6E-409C-BE32-E72D297353CC}">
              <c16:uniqueId val="{00000003-D6C0-49BA-BFAE-7C4DBB5FBEAC}"/>
            </c:ext>
          </c:extLst>
        </c:ser>
        <c:ser>
          <c:idx val="14"/>
          <c:order val="3"/>
          <c:tx>
            <c:strRef>
              <c:f>'W5'!$D$74</c:f>
              <c:strCache>
                <c:ptCount val="1"/>
                <c:pt idx="0">
                  <c:v>Chi phí biến đổi</c:v>
                </c:pt>
              </c:strCache>
            </c:strRef>
          </c:tx>
          <c:spPr>
            <a:solidFill>
              <a:schemeClr val="accent3">
                <a:lumMod val="80000"/>
                <a:lumOff val="20000"/>
              </a:schemeClr>
            </a:solidFill>
            <a:ln>
              <a:noFill/>
            </a:ln>
            <a:effectLst/>
          </c:spPr>
          <c:invertIfNegative val="0"/>
          <c:dPt>
            <c:idx val="0"/>
            <c:invertIfNegative val="0"/>
            <c:bubble3D val="0"/>
            <c:spPr>
              <a:solidFill>
                <a:srgbClr val="E8E8E8">
                  <a:lumMod val="90000"/>
                </a:srgbClr>
              </a:solidFill>
              <a:ln>
                <a:noFill/>
              </a:ln>
              <a:effectLst/>
            </c:spPr>
            <c:extLst>
              <c:ext xmlns:c16="http://schemas.microsoft.com/office/drawing/2014/chart" uri="{C3380CC4-5D6E-409C-BE32-E72D297353CC}">
                <c16:uniqueId val="{00000005-D6C0-49BA-BFAE-7C4DBB5FBEAC}"/>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D4409658-996B-4604-9069-892591D916EA}" type="CELLRANGE">
                      <a:rPr lang="en-US" baseline="0"/>
                      <a:pPr>
                        <a:defRPr sz="1300"/>
                      </a:pPr>
                      <a:t>[CELLRANGE]</a:t>
                    </a:fld>
                    <a:r>
                      <a:rPr lang="en-US" baseline="0"/>
                      <a:t>, </a:t>
                    </a:r>
                    <a:fld id="{1252920E-51E9-4DA3-AFAE-F8DB00C63C03}" type="SERIESNAME">
                      <a:rPr lang="en-US" baseline="0"/>
                      <a:pPr>
                        <a:defRPr sz="1300"/>
                      </a:pPr>
                      <a:t>[SERIES NAME]</a:t>
                    </a:fld>
                    <a:r>
                      <a:rPr lang="en-US" baseline="0"/>
                      <a:t>, </a:t>
                    </a:r>
                    <a:fld id="{B6B663E3-BD5D-4417-A74E-AAD9003450D4}"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469372600394306"/>
                      <c:h val="0.1752356287679375"/>
                    </c:manualLayout>
                  </c15:layout>
                  <c15:dlblFieldTable/>
                  <c15:showDataLabelsRange val="1"/>
                </c:ext>
                <c:ext xmlns:c16="http://schemas.microsoft.com/office/drawing/2014/chart" uri="{C3380CC4-5D6E-409C-BE32-E72D297353CC}">
                  <c16:uniqueId val="{00000005-D6C0-49BA-BFAE-7C4DBB5FBEA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'W5'!$E$74:$F$74</c15:sqref>
                  </c15:fullRef>
                </c:ext>
              </c:extLst>
              <c:f>'W5'!$E$74</c:f>
              <c:numCache>
                <c:formatCode>0.0%;\-0.0.%;</c:formatCode>
                <c:ptCount val="1"/>
                <c:pt idx="0" formatCode="#,##0_);\(#,##0\);;">
                  <c:v>506.99203922249029</c:v>
                </c:pt>
              </c:numCache>
            </c:numRef>
          </c:val>
          <c:extLst xmlns:c15="http://schemas.microsoft.com/office/drawing/2012/chart">
            <c:ext xmlns:c15="http://schemas.microsoft.com/office/drawing/2012/chart" uri="{02D57815-91ED-43cb-92C2-25804820EDAC}">
              <c15:datalabelsRange>
                <c15:f>'W5'!$F$74</c15:f>
                <c15:dlblRangeCache>
                  <c:ptCount val="1"/>
                  <c:pt idx="0">
                    <c:v>29.1%</c:v>
                  </c:pt>
                </c15:dlblRangeCache>
              </c15:datalabelsRange>
            </c:ext>
            <c:ext xmlns:c16="http://schemas.microsoft.com/office/drawing/2014/chart" uri="{C3380CC4-5D6E-409C-BE32-E72D297353CC}">
              <c16:uniqueId val="{00000006-D6C0-49BA-BFAE-7C4DBB5FBEAC}"/>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3A9A1ED9-1AC4-455C-BE42-CC6CA6E1DE3A}" type="CELLRANGE">
                      <a:rPr lang="en-US" sz="1100" baseline="0"/>
                      <a:pPr>
                        <a:defRPr sz="1100"/>
                      </a:pPr>
                      <a:t>[CELLRANGE]</a:t>
                    </a:fld>
                    <a:r>
                      <a:rPr lang="en-US" sz="1100" baseline="0"/>
                      <a:t>, </a:t>
                    </a:r>
                    <a:fld id="{73EA1A47-3E55-4B21-82A1-B9833F5DDB59}" type="SERIESNAME">
                      <a:rPr lang="en-US" sz="1100" baseline="0"/>
                      <a:pPr>
                        <a:defRPr sz="1100"/>
                      </a:pPr>
                      <a:t>[SERIES NAME]</a:t>
                    </a:fld>
                    <a:r>
                      <a:rPr lang="en-US" sz="1100" baseline="0"/>
                      <a:t>, </a:t>
                    </a:r>
                    <a:fld id="{4BD310B2-9CCB-4091-92E9-8AEF20F6F460}"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452865583169034"/>
                      <c:h val="6.8098030596001849E-2"/>
                    </c:manualLayout>
                  </c15:layout>
                  <c15:dlblFieldTable/>
                  <c15:showDataLabelsRange val="1"/>
                </c:ext>
                <c:ext xmlns:c16="http://schemas.microsoft.com/office/drawing/2014/chart" uri="{C3380CC4-5D6E-409C-BE32-E72D297353CC}">
                  <c16:uniqueId val="{00000007-D6C0-49BA-BFAE-7C4DBB5FBEA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'W5'!$E$84:$F$84</c15:sqref>
                  </c15:fullRef>
                </c:ext>
              </c:extLst>
              <c:f>'W5'!$E$84</c:f>
              <c:numCache>
                <c:formatCode>0.0%;\-0.0.%;</c:formatCode>
                <c:ptCount val="1"/>
                <c:pt idx="0" formatCode="#,##0_);\(#,##0\);;">
                  <c:v>36.738895712160321</c:v>
                </c:pt>
              </c:numCache>
            </c:numRef>
          </c:val>
          <c:extLst>
            <c:ext xmlns:c15="http://schemas.microsoft.com/office/drawing/2012/chart" uri="{02D57815-91ED-43cb-92C2-25804820EDAC}">
              <c15:datalabelsRange>
                <c15:f>'W5'!$F$84</c15:f>
                <c15:dlblRangeCache>
                  <c:ptCount val="1"/>
                  <c:pt idx="0">
                    <c:v>2.1%</c:v>
                  </c:pt>
                </c15:dlblRangeCache>
              </c15:datalabelsRange>
            </c:ext>
            <c:ext xmlns:c16="http://schemas.microsoft.com/office/drawing/2014/chart" uri="{C3380CC4-5D6E-409C-BE32-E72D297353CC}">
              <c16:uniqueId val="{00000008-D6C0-49BA-BFAE-7C4DBB5FBEAC}"/>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4.4155582001660738E-3"/>
                  <c:y val="-6.318279522682183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BBC920C0-455D-4FB0-BEDF-19B7382C10F5}"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F72698C1-AF38-4AA0-8CBB-38A65CC486F8}"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C48A3668-C11D-406C-A59B-82362AFACE6A}"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2727913899553798"/>
                      <c:h val="6.1221561442975629E-2"/>
                    </c:manualLayout>
                  </c15:layout>
                  <c15:dlblFieldTable/>
                  <c15:showDataLabelsRange val="1"/>
                </c:ext>
                <c:ext xmlns:c16="http://schemas.microsoft.com/office/drawing/2014/chart" uri="{C3380CC4-5D6E-409C-BE32-E72D297353CC}">
                  <c16:uniqueId val="{00000009-D6C0-49BA-BFAE-7C4DBB5FBEAC}"/>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'W5'!$E$85:$F$85</c15:sqref>
                  </c15:fullRef>
                </c:ext>
              </c:extLst>
              <c:f>'W5'!$E$85</c:f>
              <c:numCache>
                <c:formatCode>0.0%;\-0.0.%;</c:formatCode>
                <c:ptCount val="1"/>
                <c:pt idx="0" formatCode="#,##0_);\(#,##0\);;">
                  <c:v>146.95558284864128</c:v>
                </c:pt>
              </c:numCache>
            </c:numRef>
          </c:val>
          <c:extLst>
            <c:ext xmlns:c15="http://schemas.microsoft.com/office/drawing/2012/chart" uri="{02D57815-91ED-43cb-92C2-25804820EDAC}">
              <c15:datalabelsRange>
                <c15:f>'W5'!$F$85</c15:f>
                <c15:dlblRangeCache>
                  <c:ptCount val="1"/>
                  <c:pt idx="0">
                    <c:v>8.4%</c:v>
                  </c:pt>
                </c15:dlblRangeCache>
              </c15:datalabelsRange>
            </c:ext>
            <c:ext xmlns:c16="http://schemas.microsoft.com/office/drawing/2014/chart" uri="{C3380CC4-5D6E-409C-BE32-E72D297353CC}">
              <c16:uniqueId val="{0000000A-D6C0-49BA-BFAE-7C4DBB5FBEA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'W5'!$E$70:$F$70</c15:sqref>
                        </c15:fullRef>
                        <c15:formulaRef>
                          <c15:sqref>'W5'!$E$70</c15:sqref>
                        </c15:formulaRef>
                      </c:ext>
                    </c:extLst>
                    <c:strCache>
                      <c:ptCount val="1"/>
                      <c:pt idx="0">
                        <c:v>Chi phí
USD/tấn</c:v>
                      </c:pt>
                    </c:strCache>
                  </c:strRef>
                </c:cat>
                <c:val>
                  <c:numRef>
                    <c:extLst>
                      <c:ext uri="{02D57815-91ED-43cb-92C2-25804820EDAC}">
                        <c15:fullRef>
                          <c15:sqref>'W5'!$E$72:$F$72</c15:sqref>
                        </c15:fullRef>
                        <c15:formulaRef>
                          <c15:sqref>'W5'!$E$72</c15:sqref>
                        </c15:formulaRef>
                      </c:ext>
                    </c:extLst>
                    <c:numCache>
                      <c:formatCode>0.0%;\-0.0.%;</c:formatCode>
                      <c:ptCount val="1"/>
                      <c:pt idx="0" formatCode="#,##0_);\(#,##0\);;">
                        <c:v>979.2</c:v>
                      </c:pt>
                    </c:numCache>
                  </c:numRef>
                </c:val>
                <c:extLst>
                  <c:ext xmlns:c16="http://schemas.microsoft.com/office/drawing/2014/chart" uri="{C3380CC4-5D6E-409C-BE32-E72D297353CC}">
                    <c16:uniqueId val="{0000000B-D6C0-49BA-BFAE-7C4DBB5FBEAC}"/>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'W5'!$E$75:$F$75</c15:sqref>
                        </c15:fullRef>
                        <c15:formulaRef>
                          <c15:sqref>'W5'!$E$75</c15:sqref>
                        </c15:formulaRef>
                      </c:ext>
                    </c:extLst>
                    <c:numCache>
                      <c:formatCode>0.0%;\-0.0.%;</c:formatCode>
                      <c:ptCount val="1"/>
                      <c:pt idx="0" formatCode="#,##0_);\(#,##0\);;">
                        <c:v>39.193355199141216</c:v>
                      </c:pt>
                    </c:numCache>
                  </c:numRef>
                </c:val>
                <c:extLst xmlns:c15="http://schemas.microsoft.com/office/drawing/2012/chart">
                  <c:ext xmlns:c16="http://schemas.microsoft.com/office/drawing/2014/chart" uri="{C3380CC4-5D6E-409C-BE32-E72D297353CC}">
                    <c16:uniqueId val="{0000000C-D6C0-49BA-BFAE-7C4DBB5FBEA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'W5'!$E$76:$F$76</c15:sqref>
                        </c15:fullRef>
                        <c15:formulaRef>
                          <c15:sqref>'W5'!$E$76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D-D6C0-49BA-BFAE-7C4DBB5FBEA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spPr>
                  <a:solidFill>
                    <a:schemeClr val="accent3"/>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'W5'!$E$77:$F$77</c15:sqref>
                        </c15:fullRef>
                        <c15:formulaRef>
                          <c15:sqref>'W5'!$E$77</c15:sqref>
                        </c15:formulaRef>
                      </c:ext>
                    </c:extLst>
                    <c:numCache>
                      <c:formatCode>0.0%;\-0.0.%;</c:formatCode>
                      <c:ptCount val="1"/>
                      <c:pt idx="0" formatCode="#,##0_);\(#,##0\);;">
                        <c:v>83.967245579390948</c:v>
                      </c:pt>
                    </c:numCache>
                  </c:numRef>
                </c:val>
                <c:extLst xmlns:c15="http://schemas.microsoft.com/office/drawing/2012/chart">
                  <c:ext xmlns:c16="http://schemas.microsoft.com/office/drawing/2014/chart" uri="{C3380CC4-5D6E-409C-BE32-E72D297353CC}">
                    <c16:uniqueId val="{0000000E-D6C0-49BA-BFAE-7C4DBB5FBEAC}"/>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spPr>
                  <a:solidFill>
                    <a:schemeClr val="accent6"/>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'W5'!$E$78:$F$78</c15:sqref>
                        </c15:fullRef>
                        <c15:formulaRef>
                          <c15:sqref>'W5'!$E$78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0F-D6C0-49BA-BFAE-7C4DBB5FBEAC}"/>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'W5'!$E$79:$F$79</c15:sqref>
                        </c15:fullRef>
                        <c15:formulaRef>
                          <c15:sqref>'W5'!$E$79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0-D6C0-49BA-BFAE-7C4DBB5FBEAC}"/>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'W5'!$E$80:$F$80</c15:sqref>
                        </c15:fullRef>
                        <c15:formulaRef>
                          <c15:sqref>'W5'!$E$80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1-D6C0-49BA-BFAE-7C4DBB5FBEAC}"/>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'W5'!$E$81:$F$81</c15:sqref>
                        </c15:fullRef>
                        <c15:formulaRef>
                          <c15:sqref>'W5'!$E$81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2-D6C0-49BA-BFAE-7C4DBB5FBEAC}"/>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'W5'!$E$82:$F$82</c15:sqref>
                        </c15:fullRef>
                        <c15:formulaRef>
                          <c15:sqref>'W5'!$E$82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3-D6C0-49BA-BFAE-7C4DBB5FBEAC}"/>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'W5'!$E$83:$F$83</c15:sqref>
                        </c15:fullRef>
                        <c15:formulaRef>
                          <c15:sqref>'W5'!$E$83</c15:sqref>
                        </c15:formulaRef>
                      </c:ext>
                    </c:extLst>
                    <c:numCache>
                      <c:formatCode>0.0%;\-0.0.%;</c:formatCode>
                      <c:ptCount val="1"/>
                      <c:pt idx="0" formatCode="#,##0_);\(#,##0\);;">
                        <c:v>1559.895265028942</c:v>
                      </c:pt>
                    </c:numCache>
                  </c:numRef>
                </c:val>
                <c:extLst xmlns:c15="http://schemas.microsoft.com/office/drawing/2012/chart">
                  <c:ext xmlns:c16="http://schemas.microsoft.com/office/drawing/2014/chart" uri="{C3380CC4-5D6E-409C-BE32-E72D297353CC}">
                    <c16:uniqueId val="{00000014-D6C0-49BA-BFAE-7C4DBB5FBEAC}"/>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'W5'!$E$86:$F$86</c15:sqref>
                        </c15:fullRef>
                        <c15:formulaRef>
                          <c15:sqref>'W5'!$E$86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5-D6C0-49BA-BFAE-7C4DBB5FBEA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'W5'!$E$87:$F$87</c15:sqref>
                        </c15:fullRef>
                        <c15:formulaRef>
                          <c15:sqref>'W5'!$E$87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6-D6C0-49BA-BFAE-7C4DBB5FBEA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9.8165813622631451E-2"/>
          <c:w val="0.76338100491563388"/>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0282DB6-3947-43F1-BB84-6E78EACA5C6B}" type="CELLRANGE">
                      <a:rPr lang="en-US" sz="1300" baseline="0"/>
                      <a:pPr>
                        <a:defRPr sz="1300"/>
                      </a:pPr>
                      <a:t>[CELLRANGE]</a:t>
                    </a:fld>
                    <a:r>
                      <a:rPr lang="en-US" sz="1300" baseline="0"/>
                      <a:t>, </a:t>
                    </a:r>
                    <a:fld id="{FBF12F0E-3E8B-432C-B2AC-5B08B867BEAA}" type="SERIESNAME">
                      <a:rPr lang="en-US" sz="1300" baseline="0"/>
                      <a:pPr>
                        <a:defRPr sz="1300"/>
                      </a:pPr>
                      <a:t>[SERIES NAME]</a:t>
                    </a:fld>
                    <a:r>
                      <a:rPr lang="en-US" sz="1300" baseline="0"/>
                      <a:t>, </a:t>
                    </a:r>
                    <a:fld id="{AFEB00D6-1CEB-476A-A18B-E0B09A7D9BE2}"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3DAB-4DB5-9D61-48E4947FAB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'W5'!$E$49:$F$49</c15:sqref>
                  </c15:fullRef>
                </c:ext>
              </c:extLst>
              <c:f>'W5'!$E$49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'W5'!$F$49</c15:f>
                <c15:dlblRangeCache>
                  <c:ptCount val="1"/>
                  <c:pt idx="0">
                    <c:v>56.2%</c:v>
                  </c:pt>
                </c15:dlblRangeCache>
              </c15:datalabelsRange>
            </c:ext>
            <c:ext xmlns:c16="http://schemas.microsoft.com/office/drawing/2014/chart" uri="{C3380CC4-5D6E-409C-BE32-E72D297353CC}">
              <c16:uniqueId val="{00000001-3DAB-4DB5-9D61-48E4947FAB73}"/>
            </c:ext>
          </c:extLst>
        </c:ser>
        <c:ser>
          <c:idx val="4"/>
          <c:order val="2"/>
          <c:tx>
            <c:strRef>
              <c:f>'W5'!$D$51</c:f>
              <c:strCache>
                <c:ptCount val="1"/>
                <c:pt idx="0">
                  <c:v>Hao hụt về tiền</c:v>
                </c:pt>
              </c:strCache>
            </c:strRef>
          </c:tx>
          <c:spPr>
            <a:solidFill>
              <a:srgbClr val="FFC000"/>
            </a:solidFill>
            <a:ln>
              <a:noFill/>
            </a:ln>
            <a:effectLst/>
          </c:spPr>
          <c:invertIfNegative val="0"/>
          <c:dLbls>
            <c:dLbl>
              <c:idx val="0"/>
              <c:tx>
                <c:rich>
                  <a:bodyPr/>
                  <a:lstStyle/>
                  <a:p>
                    <a:fld id="{1FAFD078-5E22-4413-B1E3-C50E239EF99E}" type="CELLRANGE">
                      <a:rPr lang="en-US" baseline="0"/>
                      <a:pPr/>
                      <a:t>[CELLRANGE]</a:t>
                    </a:fld>
                    <a:r>
                      <a:rPr lang="en-US" baseline="0"/>
                      <a:t>, </a:t>
                    </a:r>
                    <a:fld id="{580CF692-DCA6-4FCE-9A99-5828E91DA345}" type="SERIESNAME">
                      <a:rPr lang="en-US" baseline="0"/>
                      <a:pPr/>
                      <a:t>[SERIES NAME]</a:t>
                    </a:fld>
                    <a:r>
                      <a:rPr lang="en-US" baseline="0"/>
                      <a:t>, </a:t>
                    </a:r>
                    <a:fld id="{CBA2733A-38F5-48C2-BA46-B10E062C330B}"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2-3DAB-4DB5-9D61-48E4947FAB7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'W5'!$E$51:$F$51</c15:sqref>
                  </c15:fullRef>
                </c:ext>
              </c:extLst>
              <c:f>'W5'!$E$51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'W5'!$F$51</c15:f>
                <c15:dlblRangeCache>
                  <c:ptCount val="1"/>
                  <c:pt idx="0">
                    <c:v>4.2%</c:v>
                  </c:pt>
                </c15:dlblRangeCache>
              </c15:datalabelsRange>
            </c:ext>
            <c:ext xmlns:c16="http://schemas.microsoft.com/office/drawing/2014/chart" uri="{C3380CC4-5D6E-409C-BE32-E72D297353CC}">
              <c16:uniqueId val="{00000003-3DAB-4DB5-9D61-48E4947FAB73}"/>
            </c:ext>
          </c:extLst>
        </c:ser>
        <c:ser>
          <c:idx val="3"/>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6BE8643-BA4A-4BAD-A13A-B278DCCC5135}" type="CELLRANGE">
                      <a:rPr lang="en-US" sz="1300" baseline="0"/>
                      <a:pPr>
                        <a:defRPr sz="1300"/>
                      </a:pPr>
                      <a:t>[CELLRANGE]</a:t>
                    </a:fld>
                    <a:r>
                      <a:rPr lang="en-US" sz="1300" baseline="0"/>
                      <a:t>, </a:t>
                    </a:r>
                    <a:fld id="{C02E60E4-41F5-4A0A-8D09-A0A4DAAC88E8}" type="SERIESNAME">
                      <a:rPr lang="en-US" sz="1300" baseline="0"/>
                      <a:pPr>
                        <a:defRPr sz="1300"/>
                      </a:pPr>
                      <a:t>[SERIES NAME]</a:t>
                    </a:fld>
                    <a:r>
                      <a:rPr lang="en-US" sz="1300" baseline="0"/>
                      <a:t>, </a:t>
                    </a:r>
                    <a:fld id="{AE002218-92E1-4C95-A18E-9DE420A9FE65}"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4-3DAB-4DB5-9D61-48E4947FAB73}"/>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'W5'!$E$52:$F$52</c15:sqref>
                  </c15:fullRef>
                </c:ext>
              </c:extLst>
              <c:f>'W5'!$E$52</c:f>
              <c:numCache>
                <c:formatCode>0.0%;\-0.0.%;</c:formatCode>
                <c:ptCount val="1"/>
                <c:pt idx="0" formatCode="#,##0_);\(#,##0\);;">
                  <c:v>197.7268952967712</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'W5'!$F$52</c15:f>
                <c15:dlblRangeCache>
                  <c:ptCount val="1"/>
                  <c:pt idx="0">
                    <c:v>29.1%</c:v>
                  </c:pt>
                </c15:dlblRangeCache>
              </c15:datalabelsRange>
            </c:ext>
            <c:ext xmlns:c16="http://schemas.microsoft.com/office/drawing/2014/chart" uri="{C3380CC4-5D6E-409C-BE32-E72D297353CC}">
              <c16:uniqueId val="{00000005-3DAB-4DB5-9D61-48E4947FAB73}"/>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D6F32F14-EC1D-4879-8EE8-2AE80F7D695F}" type="CELLRANGE">
                      <a:rPr lang="en-US" baseline="0"/>
                      <a:pPr/>
                      <a:t>[CELLRANGE]</a:t>
                    </a:fld>
                    <a:r>
                      <a:rPr lang="en-US" baseline="0"/>
                      <a:t>, </a:t>
                    </a:r>
                    <a:fld id="{F3F1938A-DB3D-4B30-B4EE-CB0A85B4F0BD}" type="SERIESNAME">
                      <a:rPr lang="en-US" baseline="0"/>
                      <a:pPr/>
                      <a:t>[SERIES NAME]</a:t>
                    </a:fld>
                    <a:r>
                      <a:rPr lang="en-US" baseline="0"/>
                      <a:t>, </a:t>
                    </a:r>
                    <a:fld id="{8FBDB66D-8D43-402E-AFC2-7510A558F9C5}"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58953255249543"/>
                      <c:h val="8.4272718986321854E-2"/>
                    </c:manualLayout>
                  </c15:layout>
                  <c15:dlblFieldTable/>
                  <c15:showDataLabelsRange val="1"/>
                </c:ext>
                <c:ext xmlns:c16="http://schemas.microsoft.com/office/drawing/2014/chart" uri="{C3380CC4-5D6E-409C-BE32-E72D297353CC}">
                  <c16:uniqueId val="{00000006-3DAB-4DB5-9D61-48E4947FAB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'W5'!$E$62:$F$62</c15:sqref>
                  </c15:fullRef>
                </c:ext>
              </c:extLst>
              <c:f>'W5'!$E$62</c:f>
              <c:numCache>
                <c:formatCode>0.0%;\-0.0.%;</c:formatCode>
                <c:ptCount val="1"/>
                <c:pt idx="0" formatCode="#,##0_);\(#,##0\);;">
                  <c:v>14.328169327742536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'W5'!$F$62</c15:f>
                <c15:dlblRangeCache>
                  <c:ptCount val="1"/>
                  <c:pt idx="0">
                    <c:v>2.1%</c:v>
                  </c:pt>
                </c15:dlblRangeCache>
              </c15:datalabelsRange>
            </c:ext>
            <c:ext xmlns:c16="http://schemas.microsoft.com/office/drawing/2014/chart" uri="{C3380CC4-5D6E-409C-BE32-E72D297353CC}">
              <c16:uniqueId val="{00000007-3DAB-4DB5-9D61-48E4947FAB73}"/>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788C8C3E-33B0-4DAC-AAD9-46B4F476F494}"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27402E46-88CC-4EBF-A81D-2A2F8EB9AE76}"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653283BA-066F-4421-8D41-5F5763EC1EC6}"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8-3DAB-4DB5-9D61-48E4947FAB73}"/>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'W5'!$E$63:$F$63</c15:sqref>
                  </c15:fullRef>
                </c:ext>
              </c:extLst>
              <c:f>'W5'!$E$63</c:f>
              <c:numCache>
                <c:formatCode>0.0%;\-0.0.%;</c:formatCode>
                <c:ptCount val="1"/>
                <c:pt idx="0" formatCode="#,##0_);\(#,##0\);;">
                  <c:v>57.312677310970145</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'W5'!$F$63</c15:f>
                <c15:dlblRangeCache>
                  <c:ptCount val="1"/>
                  <c:pt idx="0">
                    <c:v>8.4%</c:v>
                  </c:pt>
                </c15:dlblRangeCache>
              </c15:datalabelsRange>
            </c:ext>
            <c:ext xmlns:c16="http://schemas.microsoft.com/office/drawing/2014/chart" uri="{C3380CC4-5D6E-409C-BE32-E72D297353CC}">
              <c16:uniqueId val="{00000009-3DAB-4DB5-9D61-48E4947FAB73}"/>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'W5'!$E$50:$F$50</c15:sqref>
                        </c15:fullRef>
                        <c15:formulaRef>
                          <c15:sqref>'W5'!$E$50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A-3DAB-4DB5-9D61-48E4947FAB73}"/>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'W5'!$E$53:$F$53</c15:sqref>
                        </c15:fullRef>
                        <c15:formulaRef>
                          <c15:sqref>'W5'!$E$53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B-3DAB-4DB5-9D61-48E4947FAB73}"/>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'W5'!$E$54:$F$54</c15:sqref>
                        </c15:fullRef>
                        <c15:formulaRef>
                          <c15:sqref>'W5'!$E$54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C-3DAB-4DB5-9D61-48E4947FAB73}"/>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'W5'!$E$55:$F$55</c15:sqref>
                        </c15:fullRef>
                        <c15:formulaRef>
                          <c15:sqref>'W5'!$E$55</c15:sqref>
                        </c15:formulaRef>
                      </c:ext>
                    </c:extLst>
                    <c:numCache>
                      <c:formatCode>0.0%;\-0.0.%;</c:formatCode>
                      <c:ptCount val="1"/>
                      <c:pt idx="0" formatCode="#,##0_);\(#,##0\);;">
                        <c:v>32.74722577596247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D-3DAB-4DB5-9D61-48E4947FAB73}"/>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'W5'!$E$56:$F$56</c15:sqref>
                        </c15:fullRef>
                        <c15:formulaRef>
                          <c15:sqref>'W5'!$E$56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E-3DAB-4DB5-9D61-48E4947FAB73}"/>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'W5'!$E$57:$F$57</c15:sqref>
                        </c15:fullRef>
                        <c15:formulaRef>
                          <c15:sqref>'W5'!$E$57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F-3DAB-4DB5-9D61-48E4947FAB73}"/>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'W5'!$E$58:$F$58</c15:sqref>
                        </c15:fullRef>
                        <c15:formulaRef>
                          <c15:sqref>'W5'!$E$58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0-3DAB-4DB5-9D61-48E4947FAB73}"/>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'W5'!$E$59:$F$59</c15:sqref>
                        </c15:fullRef>
                        <c15:formulaRef>
                          <c15:sqref>'W5'!$E$59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1-3DAB-4DB5-9D61-48E4947FAB73}"/>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'W5'!$E$60:$F$60</c15:sqref>
                        </c15:fullRef>
                        <c15:formulaRef>
                          <c15:sqref>'W5'!$E$60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2-3DAB-4DB5-9D61-48E4947FAB73}"/>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'W5'!$E$61:$F$61</c15:sqref>
                        </c15:fullRef>
                        <c15:formulaRef>
                          <c15:sqref>'W5'!$E$61</c15:sqref>
                        </c15:formulaRef>
                      </c:ext>
                    </c:extLst>
                    <c:numCache>
                      <c:formatCode>0.0%;\-0.0.%;</c:formatCode>
                      <c:ptCount val="1"/>
                      <c:pt idx="0" formatCode="#,##0_);\(#,##0\);;">
                        <c:v>608.35915336128733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3-3DAB-4DB5-9D61-48E4947FAB73}"/>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'W5'!$E$64:$F$64</c15:sqref>
                        </c15:fullRef>
                        <c15:formulaRef>
                          <c15:sqref>'W5'!$E$64</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4-3DAB-4DB5-9D61-48E4947FAB73}"/>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'W5'!$E$65:$F$65</c15:sqref>
                        </c15:fullRef>
                        <c15:formulaRef>
                          <c15:sqref>'W5'!$E$65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5-3DAB-4DB5-9D61-48E4947FAB73}"/>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9.8165813622631451E-2"/>
          <c:w val="0.76338100491563388"/>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9AF677E9-C132-45E8-A674-48A2B1FF6E02}" type="CELLRANGE">
                      <a:rPr lang="en-US" sz="1300" baseline="0"/>
                      <a:pPr>
                        <a:defRPr sz="1300"/>
                      </a:pPr>
                      <a:t>[CELLRANGE]</a:t>
                    </a:fld>
                    <a:r>
                      <a:rPr lang="en-US" sz="1300" baseline="0"/>
                      <a:t>, </a:t>
                    </a:r>
                    <a:fld id="{93078D90-C009-431C-B6AE-CC0E994E365E}" type="SERIESNAME">
                      <a:rPr lang="en-US" sz="1300" baseline="0"/>
                      <a:pPr>
                        <a:defRPr sz="1300"/>
                      </a:pPr>
                      <a:t>[SERIES NAME]</a:t>
                    </a:fld>
                    <a:r>
                      <a:rPr lang="en-US" sz="1300" baseline="0"/>
                      <a:t>, </a:t>
                    </a:r>
                    <a:fld id="{D524E8F2-CE02-4B8D-9F29-48ECD88DAE59}"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BDC4-4220-9DD5-8BE1428E62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'W5'!$E$49:$F$49</c15:sqref>
                  </c15:fullRef>
                </c:ext>
              </c:extLst>
              <c:f>'W5'!$E$49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'W5'!$F$49</c15:f>
                <c15:dlblRangeCache>
                  <c:ptCount val="1"/>
                  <c:pt idx="0">
                    <c:v>56.2%</c:v>
                  </c:pt>
                </c15:dlblRangeCache>
              </c15:datalabelsRange>
            </c:ext>
            <c:ext xmlns:c16="http://schemas.microsoft.com/office/drawing/2014/chart" uri="{C3380CC4-5D6E-409C-BE32-E72D297353CC}">
              <c16:uniqueId val="{00000001-BDC4-4220-9DD5-8BE1428E6261}"/>
            </c:ext>
          </c:extLst>
        </c:ser>
        <c:ser>
          <c:idx val="4"/>
          <c:order val="2"/>
          <c:tx>
            <c:strRef>
              <c:f>'W5'!$D$51</c:f>
              <c:strCache>
                <c:ptCount val="1"/>
                <c:pt idx="0">
                  <c:v>Hao hụt về tiền</c:v>
                </c:pt>
              </c:strCache>
            </c:strRef>
          </c:tx>
          <c:spPr>
            <a:solidFill>
              <a:srgbClr val="FFC000"/>
            </a:solidFill>
            <a:ln>
              <a:noFill/>
            </a:ln>
            <a:effectLst/>
          </c:spPr>
          <c:invertIfNegative val="0"/>
          <c:dLbls>
            <c:dLbl>
              <c:idx val="0"/>
              <c:tx>
                <c:rich>
                  <a:bodyPr/>
                  <a:lstStyle/>
                  <a:p>
                    <a:fld id="{BCCDA815-6CD0-4B88-994A-DDFE8A069356}" type="CELLRANGE">
                      <a:rPr lang="en-US" baseline="0"/>
                      <a:pPr/>
                      <a:t>[CELLRANGE]</a:t>
                    </a:fld>
                    <a:r>
                      <a:rPr lang="en-US" baseline="0"/>
                      <a:t>, </a:t>
                    </a:r>
                    <a:fld id="{95C3EE40-05BF-47D5-89EA-EB526F2896EF}" type="SERIESNAME">
                      <a:rPr lang="en-US" baseline="0"/>
                      <a:pPr/>
                      <a:t>[SERIES NAME]</a:t>
                    </a:fld>
                    <a:r>
                      <a:rPr lang="en-US" baseline="0"/>
                      <a:t>, </a:t>
                    </a:r>
                    <a:fld id="{09837DD3-ED02-4ACE-8FEE-2B70AE44FB1F}"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2-BDC4-4220-9DD5-8BE1428E626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'W5'!$E$51:$F$51</c15:sqref>
                  </c15:fullRef>
                </c:ext>
              </c:extLst>
              <c:f>'W5'!$E$51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'W5'!$F$51</c15:f>
                <c15:dlblRangeCache>
                  <c:ptCount val="1"/>
                  <c:pt idx="0">
                    <c:v>4.2%</c:v>
                  </c:pt>
                </c15:dlblRangeCache>
              </c15:datalabelsRange>
            </c:ext>
            <c:ext xmlns:c16="http://schemas.microsoft.com/office/drawing/2014/chart" uri="{C3380CC4-5D6E-409C-BE32-E72D297353CC}">
              <c16:uniqueId val="{00000003-BDC4-4220-9DD5-8BE1428E6261}"/>
            </c:ext>
          </c:extLst>
        </c:ser>
        <c:ser>
          <c:idx val="3"/>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817C3FBC-6DFD-4F91-A96D-61A8C914AEB0}" type="CELLRANGE">
                      <a:rPr lang="en-US" sz="1300" baseline="0"/>
                      <a:pPr>
                        <a:defRPr sz="1300"/>
                      </a:pPr>
                      <a:t>[CELLRANGE]</a:t>
                    </a:fld>
                    <a:r>
                      <a:rPr lang="en-US" sz="1300" baseline="0"/>
                      <a:t>, </a:t>
                    </a:r>
                    <a:fld id="{BA2566B9-C63E-47C3-8667-729608F1D144}" type="SERIESNAME">
                      <a:rPr lang="en-US" sz="1300" baseline="0"/>
                      <a:pPr>
                        <a:defRPr sz="1300"/>
                      </a:pPr>
                      <a:t>[SERIES NAME]</a:t>
                    </a:fld>
                    <a:r>
                      <a:rPr lang="en-US" sz="1300" baseline="0"/>
                      <a:t>, </a:t>
                    </a:r>
                    <a:fld id="{ABB4693F-60A8-45D7-864B-8B7B5C7EB8E9}"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4-BDC4-4220-9DD5-8BE1428E626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'W5'!$E$52:$F$52</c15:sqref>
                  </c15:fullRef>
                </c:ext>
              </c:extLst>
              <c:f>'W5'!$E$52</c:f>
              <c:numCache>
                <c:formatCode>0.0%;\-0.0.%;</c:formatCode>
                <c:ptCount val="1"/>
                <c:pt idx="0" formatCode="#,##0_);\(#,##0\);;">
                  <c:v>197.7268952967712</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'W5'!$F$52</c15:f>
                <c15:dlblRangeCache>
                  <c:ptCount val="1"/>
                  <c:pt idx="0">
                    <c:v>29.1%</c:v>
                  </c:pt>
                </c15:dlblRangeCache>
              </c15:datalabelsRange>
            </c:ext>
            <c:ext xmlns:c16="http://schemas.microsoft.com/office/drawing/2014/chart" uri="{C3380CC4-5D6E-409C-BE32-E72D297353CC}">
              <c16:uniqueId val="{00000005-BDC4-4220-9DD5-8BE1428E6261}"/>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DB4691D2-B2AF-4E9B-99B8-24299857A3C2}" type="CELLRANGE">
                      <a:rPr lang="en-US" baseline="0"/>
                      <a:pPr/>
                      <a:t>[CELLRANGE]</a:t>
                    </a:fld>
                    <a:r>
                      <a:rPr lang="en-US" baseline="0"/>
                      <a:t>, </a:t>
                    </a:r>
                    <a:fld id="{305939D0-2623-4372-9FD8-3FD4B82352D8}" type="SERIESNAME">
                      <a:rPr lang="en-US" baseline="0"/>
                      <a:pPr/>
                      <a:t>[SERIES NAME]</a:t>
                    </a:fld>
                    <a:r>
                      <a:rPr lang="en-US" baseline="0"/>
                      <a:t>, </a:t>
                    </a:r>
                    <a:fld id="{D09ED9F2-26E2-4754-8BA4-6396783504E0}"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58953255249543"/>
                      <c:h val="8.4272718986321854E-2"/>
                    </c:manualLayout>
                  </c15:layout>
                  <c15:dlblFieldTable/>
                  <c15:showDataLabelsRange val="1"/>
                </c:ext>
                <c:ext xmlns:c16="http://schemas.microsoft.com/office/drawing/2014/chart" uri="{C3380CC4-5D6E-409C-BE32-E72D297353CC}">
                  <c16:uniqueId val="{00000006-BDC4-4220-9DD5-8BE1428E62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'W5'!$E$62:$F$62</c15:sqref>
                  </c15:fullRef>
                </c:ext>
              </c:extLst>
              <c:f>'W5'!$E$62</c:f>
              <c:numCache>
                <c:formatCode>0.0%;\-0.0.%;</c:formatCode>
                <c:ptCount val="1"/>
                <c:pt idx="0" formatCode="#,##0_);\(#,##0\);;">
                  <c:v>14.328169327742536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'W5'!$F$62</c15:f>
                <c15:dlblRangeCache>
                  <c:ptCount val="1"/>
                  <c:pt idx="0">
                    <c:v>2.1%</c:v>
                  </c:pt>
                </c15:dlblRangeCache>
              </c15:datalabelsRange>
            </c:ext>
            <c:ext xmlns:c16="http://schemas.microsoft.com/office/drawing/2014/chart" uri="{C3380CC4-5D6E-409C-BE32-E72D297353CC}">
              <c16:uniqueId val="{00000007-BDC4-4220-9DD5-8BE1428E6261}"/>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7BC50240-36AE-4923-812F-7AB2805F69DC}"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2C90F9FA-407A-4F8C-B164-3D9B4EDE441B}"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B5B7A606-CC40-4D53-8176-5A5717F0634A}"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8-BDC4-4220-9DD5-8BE1428E626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'W5'!$E$63:$F$63</c15:sqref>
                  </c15:fullRef>
                </c:ext>
              </c:extLst>
              <c:f>'W5'!$E$63</c:f>
              <c:numCache>
                <c:formatCode>0.0%;\-0.0.%;</c:formatCode>
                <c:ptCount val="1"/>
                <c:pt idx="0" formatCode="#,##0_);\(#,##0\);;">
                  <c:v>57.312677310970145</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'W5'!$F$63</c15:f>
                <c15:dlblRangeCache>
                  <c:ptCount val="1"/>
                  <c:pt idx="0">
                    <c:v>8.4%</c:v>
                  </c:pt>
                </c15:dlblRangeCache>
              </c15:datalabelsRange>
            </c:ext>
            <c:ext xmlns:c16="http://schemas.microsoft.com/office/drawing/2014/chart" uri="{C3380CC4-5D6E-409C-BE32-E72D297353CC}">
              <c16:uniqueId val="{00000009-BDC4-4220-9DD5-8BE1428E6261}"/>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'W5'!$E$50:$F$50</c15:sqref>
                        </c15:fullRef>
                        <c15:formulaRef>
                          <c15:sqref>'W5'!$E$50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A-BDC4-4220-9DD5-8BE1428E6261}"/>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'W5'!$E$53:$F$53</c15:sqref>
                        </c15:fullRef>
                        <c15:formulaRef>
                          <c15:sqref>'W5'!$E$53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B-BDC4-4220-9DD5-8BE1428E6261}"/>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'W5'!$E$54:$F$54</c15:sqref>
                        </c15:fullRef>
                        <c15:formulaRef>
                          <c15:sqref>'W5'!$E$54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C-BDC4-4220-9DD5-8BE1428E6261}"/>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'W5'!$E$55:$F$55</c15:sqref>
                        </c15:fullRef>
                        <c15:formulaRef>
                          <c15:sqref>'W5'!$E$55</c15:sqref>
                        </c15:formulaRef>
                      </c:ext>
                    </c:extLst>
                    <c:numCache>
                      <c:formatCode>0.0%;\-0.0.%;</c:formatCode>
                      <c:ptCount val="1"/>
                      <c:pt idx="0" formatCode="#,##0_);\(#,##0\);;">
                        <c:v>32.74722577596247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D-BDC4-4220-9DD5-8BE1428E6261}"/>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'W5'!$E$56:$F$56</c15:sqref>
                        </c15:fullRef>
                        <c15:formulaRef>
                          <c15:sqref>'W5'!$E$56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E-BDC4-4220-9DD5-8BE1428E6261}"/>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'W5'!$E$57:$F$57</c15:sqref>
                        </c15:fullRef>
                        <c15:formulaRef>
                          <c15:sqref>'W5'!$E$57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F-BDC4-4220-9DD5-8BE1428E6261}"/>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'W5'!$E$58:$F$58</c15:sqref>
                        </c15:fullRef>
                        <c15:formulaRef>
                          <c15:sqref>'W5'!$E$58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0-BDC4-4220-9DD5-8BE1428E6261}"/>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'W5'!$E$59:$F$59</c15:sqref>
                        </c15:fullRef>
                        <c15:formulaRef>
                          <c15:sqref>'W5'!$E$59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1-BDC4-4220-9DD5-8BE1428E6261}"/>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'W5'!$E$60:$F$60</c15:sqref>
                        </c15:fullRef>
                        <c15:formulaRef>
                          <c15:sqref>'W5'!$E$60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2-BDC4-4220-9DD5-8BE1428E6261}"/>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'W5'!$E$61:$F$61</c15:sqref>
                        </c15:fullRef>
                        <c15:formulaRef>
                          <c15:sqref>'W5'!$E$61</c15:sqref>
                        </c15:formulaRef>
                      </c:ext>
                    </c:extLst>
                    <c:numCache>
                      <c:formatCode>0.0%;\-0.0.%;</c:formatCode>
                      <c:ptCount val="1"/>
                      <c:pt idx="0" formatCode="#,##0_);\(#,##0\);;">
                        <c:v>608.35915336128733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3-BDC4-4220-9DD5-8BE1428E6261}"/>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'W5'!$E$64:$F$64</c15:sqref>
                        </c15:fullRef>
                        <c15:formulaRef>
                          <c15:sqref>'W5'!$E$64</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4-BDC4-4220-9DD5-8BE1428E6261}"/>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'W5'!$E$65:$F$65</c15:sqref>
                        </c15:fullRef>
                        <c15:formulaRef>
                          <c15:sqref>'W5'!$E$65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5-BDC4-4220-9DD5-8BE1428E6261}"/>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15E1F3B0-0299-445E-A907-ECC9D0C68747}" type="CELLRANGE">
                      <a:rPr lang="en-US" baseline="0"/>
                      <a:pPr>
                        <a:defRPr sz="1300"/>
                      </a:pPr>
                      <a:t>[CELLRANGE]</a:t>
                    </a:fld>
                    <a:r>
                      <a:rPr lang="en-US" baseline="0"/>
                      <a:t>, </a:t>
                    </a:r>
                    <a:fld id="{A1B4AED2-69FA-4778-ABD7-F0EE4E497AB2}" type="SERIESNAME">
                      <a:rPr lang="en-US" baseline="0"/>
                      <a:pPr>
                        <a:defRPr sz="1300"/>
                      </a:pPr>
                      <a:t>[SERIES NAME]</a:t>
                    </a:fld>
                    <a:r>
                      <a:rPr lang="en-US" baseline="0"/>
                      <a:t>, </a:t>
                    </a:r>
                    <a:fld id="{79D0AEC9-C1CF-4581-A378-38719BF29F9F}"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6943226626543529"/>
                      <c:h val="0.2523939065954558"/>
                    </c:manualLayout>
                  </c15:layout>
                  <c15:dlblFieldTable/>
                  <c15:showDataLabelsRange val="1"/>
                </c:ext>
                <c:ext xmlns:c16="http://schemas.microsoft.com/office/drawing/2014/chart" uri="{C3380CC4-5D6E-409C-BE32-E72D297353CC}">
                  <c16:uniqueId val="{00000000-5F7C-4C0D-B5E7-7B8B5A23ECE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'W5'!$E$71:$F$71</c15:sqref>
                  </c15:fullRef>
                </c:ext>
              </c:extLst>
              <c:f>'W5'!$E$71</c:f>
              <c:numCache>
                <c:formatCode>0.0%;\-0.0.%;</c:formatCode>
                <c:ptCount val="1"/>
                <c:pt idx="0" formatCode="#,##0_);\(#,##0\);;">
                  <c:v>979.2</c:v>
                </c:pt>
              </c:numCache>
            </c:numRef>
          </c:val>
          <c:extLst>
            <c:ext xmlns:c15="http://schemas.microsoft.com/office/drawing/2012/chart" uri="{02D57815-91ED-43cb-92C2-25804820EDAC}">
              <c15:datalabelsRange>
                <c15:f>'W5'!$F$71</c15:f>
                <c15:dlblRangeCache>
                  <c:ptCount val="1"/>
                  <c:pt idx="0">
                    <c:v>56.2%</c:v>
                  </c:pt>
                </c15:dlblRangeCache>
              </c15:datalabelsRange>
            </c:ext>
            <c:ext xmlns:c16="http://schemas.microsoft.com/office/drawing/2014/chart" uri="{C3380CC4-5D6E-409C-BE32-E72D297353CC}">
              <c16:uniqueId val="{00000001-5F7C-4C0D-B5E7-7B8B5A23ECEF}"/>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AC991AF0-187A-4C57-AAD6-A2E0D1821013}" type="CELLRANGE">
                      <a:rPr lang="en-US" baseline="0"/>
                      <a:pPr>
                        <a:defRPr sz="1100"/>
                      </a:pPr>
                      <a:t>[CELLRANGE]</a:t>
                    </a:fld>
                    <a:r>
                      <a:rPr lang="en-US" baseline="0"/>
                      <a:t>, </a:t>
                    </a:r>
                    <a:fld id="{A9AB11F5-A6BB-4F79-A3A9-79FCDBFE255A}" type="SERIESNAME">
                      <a:rPr lang="en-US" baseline="0"/>
                      <a:pPr>
                        <a:defRPr sz="1100"/>
                      </a:pPr>
                      <a:t>[SERIES NAME]</a:t>
                    </a:fld>
                    <a:r>
                      <a:rPr lang="en-US" baseline="0"/>
                      <a:t>, </a:t>
                    </a:r>
                    <a:fld id="{596C140A-619B-47AF-A22F-F6B5FFC6C4BD}"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705101431980909"/>
                      <c:h val="0.10217243866235731"/>
                    </c:manualLayout>
                  </c15:layout>
                  <c15:dlblFieldTable/>
                  <c15:showDataLabelsRange val="1"/>
                </c:ext>
                <c:ext xmlns:c16="http://schemas.microsoft.com/office/drawing/2014/chart" uri="{C3380CC4-5D6E-409C-BE32-E72D297353CC}">
                  <c16:uniqueId val="{00000002-5F7C-4C0D-B5E7-7B8B5A23ECE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'W5'!$E$73:$F$73</c15:sqref>
                  </c15:fullRef>
                </c:ext>
              </c:extLst>
              <c:f>'W5'!$E$73</c:f>
              <c:numCache>
                <c:formatCode>0.0%;\-0.0.%;</c:formatCode>
                <c:ptCount val="1"/>
                <c:pt idx="0" formatCode="#,##0_);\(#,##0\);;">
                  <c:v>73.703225806451741</c:v>
                </c:pt>
              </c:numCache>
            </c:numRef>
          </c:val>
          <c:extLst>
            <c:ext xmlns:c15="http://schemas.microsoft.com/office/drawing/2012/chart" uri="{02D57815-91ED-43cb-92C2-25804820EDAC}">
              <c15:datalabelsRange>
                <c15:f>'W5'!$F$73</c15:f>
                <c15:dlblRangeCache>
                  <c:ptCount val="1"/>
                  <c:pt idx="0">
                    <c:v>4.2%</c:v>
                  </c:pt>
                </c15:dlblRangeCache>
              </c15:datalabelsRange>
            </c:ext>
            <c:ext xmlns:c16="http://schemas.microsoft.com/office/drawing/2014/chart" uri="{C3380CC4-5D6E-409C-BE32-E72D297353CC}">
              <c16:uniqueId val="{00000003-5F7C-4C0D-B5E7-7B8B5A23ECEF}"/>
            </c:ext>
          </c:extLst>
        </c:ser>
        <c:ser>
          <c:idx val="14"/>
          <c:order val="3"/>
          <c:tx>
            <c:strRef>
              <c:f>'W5'!$D$74</c:f>
              <c:strCache>
                <c:ptCount val="1"/>
                <c:pt idx="0">
                  <c:v>Chi phí biến đổi</c:v>
                </c:pt>
              </c:strCache>
            </c:strRef>
          </c:tx>
          <c:spPr>
            <a:solidFill>
              <a:schemeClr val="accent3">
                <a:lumMod val="80000"/>
                <a:lumOff val="20000"/>
              </a:schemeClr>
            </a:solidFill>
            <a:ln>
              <a:noFill/>
            </a:ln>
            <a:effectLst/>
          </c:spPr>
          <c:invertIfNegative val="0"/>
          <c:dPt>
            <c:idx val="0"/>
            <c:invertIfNegative val="0"/>
            <c:bubble3D val="0"/>
            <c:spPr>
              <a:solidFill>
                <a:srgbClr val="E8E8E8">
                  <a:lumMod val="90000"/>
                </a:srgbClr>
              </a:solidFill>
              <a:ln>
                <a:noFill/>
              </a:ln>
              <a:effectLst/>
            </c:spPr>
            <c:extLst>
              <c:ext xmlns:c16="http://schemas.microsoft.com/office/drawing/2014/chart" uri="{C3380CC4-5D6E-409C-BE32-E72D297353CC}">
                <c16:uniqueId val="{00000005-5F7C-4C0D-B5E7-7B8B5A23ECEF}"/>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DE423F56-625D-403E-BCF6-AF20B36C4DC1}" type="CELLRANGE">
                      <a:rPr lang="en-US" baseline="0"/>
                      <a:pPr>
                        <a:defRPr sz="1300"/>
                      </a:pPr>
                      <a:t>[CELLRANGE]</a:t>
                    </a:fld>
                    <a:r>
                      <a:rPr lang="en-US" baseline="0"/>
                      <a:t>, </a:t>
                    </a:r>
                    <a:fld id="{C9EF1AF3-D5BF-4086-8953-93F3F31143F5}" type="SERIESNAME">
                      <a:rPr lang="en-US" baseline="0"/>
                      <a:pPr>
                        <a:defRPr sz="1300"/>
                      </a:pPr>
                      <a:t>[SERIES NAME]</a:t>
                    </a:fld>
                    <a:r>
                      <a:rPr lang="en-US" baseline="0"/>
                      <a:t>, </a:t>
                    </a:r>
                    <a:fld id="{9C7C193E-C43E-4FDE-BD73-B40AB24FF2A3}"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469372600394306"/>
                      <c:h val="0.1752356287679375"/>
                    </c:manualLayout>
                  </c15:layout>
                  <c15:dlblFieldTable/>
                  <c15:showDataLabelsRange val="1"/>
                </c:ext>
                <c:ext xmlns:c16="http://schemas.microsoft.com/office/drawing/2014/chart" uri="{C3380CC4-5D6E-409C-BE32-E72D297353CC}">
                  <c16:uniqueId val="{00000005-5F7C-4C0D-B5E7-7B8B5A23ECE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'W5'!$E$74:$F$74</c15:sqref>
                  </c15:fullRef>
                </c:ext>
              </c:extLst>
              <c:f>'W5'!$E$74</c:f>
              <c:numCache>
                <c:formatCode>0.0%;\-0.0.%;</c:formatCode>
                <c:ptCount val="1"/>
                <c:pt idx="0" formatCode="#,##0_);\(#,##0\);;">
                  <c:v>506.99203922249029</c:v>
                </c:pt>
              </c:numCache>
            </c:numRef>
          </c:val>
          <c:extLst xmlns:c15="http://schemas.microsoft.com/office/drawing/2012/chart">
            <c:ext xmlns:c15="http://schemas.microsoft.com/office/drawing/2012/chart" uri="{02D57815-91ED-43cb-92C2-25804820EDAC}">
              <c15:datalabelsRange>
                <c15:f>'W5'!$F$74</c15:f>
                <c15:dlblRangeCache>
                  <c:ptCount val="1"/>
                  <c:pt idx="0">
                    <c:v>29.1%</c:v>
                  </c:pt>
                </c15:dlblRangeCache>
              </c15:datalabelsRange>
            </c:ext>
            <c:ext xmlns:c16="http://schemas.microsoft.com/office/drawing/2014/chart" uri="{C3380CC4-5D6E-409C-BE32-E72D297353CC}">
              <c16:uniqueId val="{00000006-5F7C-4C0D-B5E7-7B8B5A23ECEF}"/>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A5F22E0D-847C-4CCD-8CE7-499A5CAB72D7}" type="CELLRANGE">
                      <a:rPr lang="en-US" sz="1100" baseline="0"/>
                      <a:pPr>
                        <a:defRPr sz="1100"/>
                      </a:pPr>
                      <a:t>[CELLRANGE]</a:t>
                    </a:fld>
                    <a:r>
                      <a:rPr lang="en-US" sz="1100" baseline="0"/>
                      <a:t>, </a:t>
                    </a:r>
                    <a:fld id="{0953215A-C464-4137-96CF-E61A5C112A6E}" type="SERIESNAME">
                      <a:rPr lang="en-US" sz="1100" baseline="0"/>
                      <a:pPr>
                        <a:defRPr sz="1100"/>
                      </a:pPr>
                      <a:t>[SERIES NAME]</a:t>
                    </a:fld>
                    <a:r>
                      <a:rPr lang="en-US" sz="1100" baseline="0"/>
                      <a:t>, </a:t>
                    </a:r>
                    <a:fld id="{E21DC1A3-416A-4421-AB8B-B5CC4CC59943}"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452865583169034"/>
                      <c:h val="6.8098030596001849E-2"/>
                    </c:manualLayout>
                  </c15:layout>
                  <c15:dlblFieldTable/>
                  <c15:showDataLabelsRange val="1"/>
                </c:ext>
                <c:ext xmlns:c16="http://schemas.microsoft.com/office/drawing/2014/chart" uri="{C3380CC4-5D6E-409C-BE32-E72D297353CC}">
                  <c16:uniqueId val="{00000007-5F7C-4C0D-B5E7-7B8B5A23ECE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'W5'!$E$84:$F$84</c15:sqref>
                  </c15:fullRef>
                </c:ext>
              </c:extLst>
              <c:f>'W5'!$E$84</c:f>
              <c:numCache>
                <c:formatCode>0.0%;\-0.0.%;</c:formatCode>
                <c:ptCount val="1"/>
                <c:pt idx="0" formatCode="#,##0_);\(#,##0\);;">
                  <c:v>36.738895712160321</c:v>
                </c:pt>
              </c:numCache>
            </c:numRef>
          </c:val>
          <c:extLst>
            <c:ext xmlns:c15="http://schemas.microsoft.com/office/drawing/2012/chart" uri="{02D57815-91ED-43cb-92C2-25804820EDAC}">
              <c15:datalabelsRange>
                <c15:f>'W5'!$F$84</c15:f>
                <c15:dlblRangeCache>
                  <c:ptCount val="1"/>
                  <c:pt idx="0">
                    <c:v>2.1%</c:v>
                  </c:pt>
                </c15:dlblRangeCache>
              </c15:datalabelsRange>
            </c:ext>
            <c:ext xmlns:c16="http://schemas.microsoft.com/office/drawing/2014/chart" uri="{C3380CC4-5D6E-409C-BE32-E72D297353CC}">
              <c16:uniqueId val="{00000008-5F7C-4C0D-B5E7-7B8B5A23ECEF}"/>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4.4155582001660738E-3"/>
                  <c:y val="-6.318279522682183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C3D63829-26F5-4AB3-99A6-9994C11A3911}"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6E7B49E2-0350-477F-9905-74F8D5CA2927}"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67B67EBA-FF74-4D37-AD70-A30622E703A9}"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2727913899553798"/>
                      <c:h val="6.1221561442975629E-2"/>
                    </c:manualLayout>
                  </c15:layout>
                  <c15:dlblFieldTable/>
                  <c15:showDataLabelsRange val="1"/>
                </c:ext>
                <c:ext xmlns:c16="http://schemas.microsoft.com/office/drawing/2014/chart" uri="{C3380CC4-5D6E-409C-BE32-E72D297353CC}">
                  <c16:uniqueId val="{00000009-5F7C-4C0D-B5E7-7B8B5A23ECEF}"/>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'W5'!$E$85:$F$85</c15:sqref>
                  </c15:fullRef>
                </c:ext>
              </c:extLst>
              <c:f>'W5'!$E$85</c:f>
              <c:numCache>
                <c:formatCode>0.0%;\-0.0.%;</c:formatCode>
                <c:ptCount val="1"/>
                <c:pt idx="0" formatCode="#,##0_);\(#,##0\);;">
                  <c:v>146.95558284864128</c:v>
                </c:pt>
              </c:numCache>
            </c:numRef>
          </c:val>
          <c:extLst>
            <c:ext xmlns:c15="http://schemas.microsoft.com/office/drawing/2012/chart" uri="{02D57815-91ED-43cb-92C2-25804820EDAC}">
              <c15:datalabelsRange>
                <c15:f>'W5'!$F$85</c15:f>
                <c15:dlblRangeCache>
                  <c:ptCount val="1"/>
                  <c:pt idx="0">
                    <c:v>8.4%</c:v>
                  </c:pt>
                </c15:dlblRangeCache>
              </c15:datalabelsRange>
            </c:ext>
            <c:ext xmlns:c16="http://schemas.microsoft.com/office/drawing/2014/chart" uri="{C3380CC4-5D6E-409C-BE32-E72D297353CC}">
              <c16:uniqueId val="{0000000A-5F7C-4C0D-B5E7-7B8B5A23ECEF}"/>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'W5'!$E$70:$F$70</c15:sqref>
                        </c15:fullRef>
                        <c15:formulaRef>
                          <c15:sqref>'W5'!$E$70</c15:sqref>
                        </c15:formulaRef>
                      </c:ext>
                    </c:extLst>
                    <c:strCache>
                      <c:ptCount val="1"/>
                      <c:pt idx="0">
                        <c:v>Chi phí
USD/tấn</c:v>
                      </c:pt>
                    </c:strCache>
                  </c:strRef>
                </c:cat>
                <c:val>
                  <c:numRef>
                    <c:extLst>
                      <c:ext uri="{02D57815-91ED-43cb-92C2-25804820EDAC}">
                        <c15:fullRef>
                          <c15:sqref>'W5'!$E$72:$F$72</c15:sqref>
                        </c15:fullRef>
                        <c15:formulaRef>
                          <c15:sqref>'W5'!$E$72</c15:sqref>
                        </c15:formulaRef>
                      </c:ext>
                    </c:extLst>
                    <c:numCache>
                      <c:formatCode>0.0%;\-0.0.%;</c:formatCode>
                      <c:ptCount val="1"/>
                      <c:pt idx="0" formatCode="#,##0_);\(#,##0\);;">
                        <c:v>979.2</c:v>
                      </c:pt>
                    </c:numCache>
                  </c:numRef>
                </c:val>
                <c:extLst>
                  <c:ext xmlns:c16="http://schemas.microsoft.com/office/drawing/2014/chart" uri="{C3380CC4-5D6E-409C-BE32-E72D297353CC}">
                    <c16:uniqueId val="{0000000B-5F7C-4C0D-B5E7-7B8B5A23ECEF}"/>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'W5'!$E$75:$F$75</c15:sqref>
                        </c15:fullRef>
                        <c15:formulaRef>
                          <c15:sqref>'W5'!$E$75</c15:sqref>
                        </c15:formulaRef>
                      </c:ext>
                    </c:extLst>
                    <c:numCache>
                      <c:formatCode>0.0%;\-0.0.%;</c:formatCode>
                      <c:ptCount val="1"/>
                      <c:pt idx="0" formatCode="#,##0_);\(#,##0\);;">
                        <c:v>39.193355199141216</c:v>
                      </c:pt>
                    </c:numCache>
                  </c:numRef>
                </c:val>
                <c:extLst xmlns:c15="http://schemas.microsoft.com/office/drawing/2012/chart">
                  <c:ext xmlns:c16="http://schemas.microsoft.com/office/drawing/2014/chart" uri="{C3380CC4-5D6E-409C-BE32-E72D297353CC}">
                    <c16:uniqueId val="{0000000C-5F7C-4C0D-B5E7-7B8B5A23ECEF}"/>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'W5'!$E$76:$F$76</c15:sqref>
                        </c15:fullRef>
                        <c15:formulaRef>
                          <c15:sqref>'W5'!$E$76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D-5F7C-4C0D-B5E7-7B8B5A23ECEF}"/>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spPr>
                  <a:solidFill>
                    <a:schemeClr val="accent3"/>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'W5'!$E$77:$F$77</c15:sqref>
                        </c15:fullRef>
                        <c15:formulaRef>
                          <c15:sqref>'W5'!$E$77</c15:sqref>
                        </c15:formulaRef>
                      </c:ext>
                    </c:extLst>
                    <c:numCache>
                      <c:formatCode>0.0%;\-0.0.%;</c:formatCode>
                      <c:ptCount val="1"/>
                      <c:pt idx="0" formatCode="#,##0_);\(#,##0\);;">
                        <c:v>83.967245579390948</c:v>
                      </c:pt>
                    </c:numCache>
                  </c:numRef>
                </c:val>
                <c:extLst xmlns:c15="http://schemas.microsoft.com/office/drawing/2012/chart">
                  <c:ext xmlns:c16="http://schemas.microsoft.com/office/drawing/2014/chart" uri="{C3380CC4-5D6E-409C-BE32-E72D297353CC}">
                    <c16:uniqueId val="{0000000E-5F7C-4C0D-B5E7-7B8B5A23ECEF}"/>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spPr>
                  <a:solidFill>
                    <a:schemeClr val="accent6"/>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'W5'!$E$78:$F$78</c15:sqref>
                        </c15:fullRef>
                        <c15:formulaRef>
                          <c15:sqref>'W5'!$E$78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0F-5F7C-4C0D-B5E7-7B8B5A23ECEF}"/>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'W5'!$E$79:$F$79</c15:sqref>
                        </c15:fullRef>
                        <c15:formulaRef>
                          <c15:sqref>'W5'!$E$79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0-5F7C-4C0D-B5E7-7B8B5A23ECEF}"/>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'W5'!$E$80:$F$80</c15:sqref>
                        </c15:fullRef>
                        <c15:formulaRef>
                          <c15:sqref>'W5'!$E$80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1-5F7C-4C0D-B5E7-7B8B5A23ECEF}"/>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'W5'!$E$81:$F$81</c15:sqref>
                        </c15:fullRef>
                        <c15:formulaRef>
                          <c15:sqref>'W5'!$E$81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2-5F7C-4C0D-B5E7-7B8B5A23ECEF}"/>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'W5'!$E$82:$F$82</c15:sqref>
                        </c15:fullRef>
                        <c15:formulaRef>
                          <c15:sqref>'W5'!$E$82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3-5F7C-4C0D-B5E7-7B8B5A23ECEF}"/>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'W5'!$E$83:$F$83</c15:sqref>
                        </c15:fullRef>
                        <c15:formulaRef>
                          <c15:sqref>'W5'!$E$83</c15:sqref>
                        </c15:formulaRef>
                      </c:ext>
                    </c:extLst>
                    <c:numCache>
                      <c:formatCode>0.0%;\-0.0.%;</c:formatCode>
                      <c:ptCount val="1"/>
                      <c:pt idx="0" formatCode="#,##0_);\(#,##0\);;">
                        <c:v>1559.895265028942</c:v>
                      </c:pt>
                    </c:numCache>
                  </c:numRef>
                </c:val>
                <c:extLst xmlns:c15="http://schemas.microsoft.com/office/drawing/2012/chart">
                  <c:ext xmlns:c16="http://schemas.microsoft.com/office/drawing/2014/chart" uri="{C3380CC4-5D6E-409C-BE32-E72D297353CC}">
                    <c16:uniqueId val="{00000014-5F7C-4C0D-B5E7-7B8B5A23ECEF}"/>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'W5'!$E$86:$F$86</c15:sqref>
                        </c15:fullRef>
                        <c15:formulaRef>
                          <c15:sqref>'W5'!$E$86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5-5F7C-4C0D-B5E7-7B8B5A23ECEF}"/>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'W5'!$E$87:$F$87</c15:sqref>
                        </c15:fullRef>
                        <c15:formulaRef>
                          <c15:sqref>'W5'!$E$87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6-5F7C-4C0D-B5E7-7B8B5A23ECEF}"/>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0BFA6A2C-E530-49C4-9CCF-779EEEE6380D}"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2D666B7D-F2C6-44AC-BCC9-A245D1D03071}"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F743CBE0-0E36-4614-A6F2-D41878F7E749}"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42CE-4392-B81C-6A42369A2B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'W5'!$K$49:$L$49</c15:sqref>
                  </c15:fullRef>
                </c:ext>
              </c:extLst>
              <c:f>'W5'!$K$49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'W5'!$L$49</c15:f>
                <c15:dlblRangeCache>
                  <c:ptCount val="1"/>
                  <c:pt idx="0">
                    <c:v>58.8%</c:v>
                  </c:pt>
                </c15:dlblRangeCache>
              </c15:datalabelsRange>
            </c:ext>
            <c:ext xmlns:c16="http://schemas.microsoft.com/office/drawing/2014/chart" uri="{C3380CC4-5D6E-409C-BE32-E72D297353CC}">
              <c16:uniqueId val="{00000001-42CE-4392-B81C-6A42369A2B04}"/>
            </c:ext>
          </c:extLst>
        </c:ser>
        <c:ser>
          <c:idx val="14"/>
          <c:order val="2"/>
          <c:tx>
            <c:strRef>
              <c:f>'W5'!$D$51</c:f>
              <c:strCache>
                <c:ptCount val="1"/>
                <c:pt idx="0">
                  <c:v>Hao hụt về tiền</c:v>
                </c:pt>
              </c:strCache>
            </c:strRef>
          </c:tx>
          <c:spPr>
            <a:solidFill>
              <a:srgbClr val="FFC000"/>
            </a:solidFill>
            <a:ln>
              <a:noFill/>
            </a:ln>
            <a:effectLst/>
          </c:spPr>
          <c:invertIfNegative val="0"/>
          <c:dLbls>
            <c:dLbl>
              <c:idx val="0"/>
              <c:layout>
                <c:manualLayout>
                  <c:x val="-1.3485188769027651E-7"/>
                  <c:y val="1.012026293173866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9B014879-2E58-47CF-A28C-331600D7C77A}"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36ECD6ED-8368-4886-A8B4-A82547C3BB86}"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045A1757-02BA-4056-8B8D-F8F4ACC746F7}"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51204282183"/>
                      <c:h val="0.10783874934026985"/>
                    </c:manualLayout>
                  </c15:layout>
                  <c15:dlblFieldTable/>
                  <c15:showDataLabelsRange val="1"/>
                </c:ext>
                <c:ext xmlns:c16="http://schemas.microsoft.com/office/drawing/2014/chart" uri="{C3380CC4-5D6E-409C-BE32-E72D297353CC}">
                  <c16:uniqueId val="{00000002-42CE-4392-B81C-6A42369A2B04}"/>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'W5'!$K$51:$L$51</c15:sqref>
                  </c15:fullRef>
                </c:ext>
              </c:extLst>
              <c:f>'W5'!$K$51</c:f>
              <c:numCache>
                <c:formatCode>0.0%;\-0.0.%;</c:formatCode>
                <c:ptCount val="1"/>
                <c:pt idx="0" formatCode="#,##0_);\(#,##0\);;">
                  <c:v>28.744258064516178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'W5'!$L$51</c15:f>
                <c15:dlblRangeCache>
                  <c:ptCount val="1"/>
                  <c:pt idx="0">
                    <c:v>4.4%</c:v>
                  </c:pt>
                </c15:dlblRangeCache>
              </c15:datalabelsRange>
            </c:ext>
            <c:ext xmlns:c16="http://schemas.microsoft.com/office/drawing/2014/chart" uri="{C3380CC4-5D6E-409C-BE32-E72D297353CC}">
              <c16:uniqueId val="{00000003-42CE-4392-B81C-6A42369A2B04}"/>
            </c:ext>
          </c:extLst>
        </c:ser>
        <c:ser>
          <c:idx val="11"/>
          <c:order val="3"/>
          <c:tx>
            <c:strRef>
              <c:f>'W5'!$D$52</c:f>
              <c:strCache>
                <c:ptCount val="1"/>
                <c:pt idx="0">
                  <c:v>Chi phí biến đổi</c:v>
                </c:pt>
              </c:strCache>
            </c:strRef>
          </c:tx>
          <c:spPr>
            <a:solidFill>
              <a:schemeClr val="bg2">
                <a:lumMod val="90000"/>
              </a:schemeClr>
            </a:solidFill>
          </c:spPr>
          <c:invertIfNegative val="0"/>
          <c:dLbls>
            <c:dLbl>
              <c:idx val="0"/>
              <c:layout>
                <c:manualLayout>
                  <c:x val="-1.5903144857800155E-2"/>
                  <c:y val="-5.0597681627987468E-3"/>
                </c:manualLayout>
              </c:layout>
              <c:tx>
                <c:rich>
                  <a:bodyPr wrap="square" lIns="38100" tIns="19050" rIns="38100" bIns="19050" anchor="ctr">
                    <a:noAutofit/>
                  </a:bodyPr>
                  <a:lstStyle/>
                  <a:p>
                    <a:pPr>
                      <a:defRPr sz="1300"/>
                    </a:pPr>
                    <a:fld id="{303F054F-11F0-46E2-96B5-5F1D9B9F29BC}" type="CELLRANGE">
                      <a:rPr lang="en-US" sz="1300" baseline="0"/>
                      <a:pPr>
                        <a:defRPr sz="1300"/>
                      </a:pPr>
                      <a:t>[CELLRANGE]</a:t>
                    </a:fld>
                    <a:r>
                      <a:rPr lang="en-US" sz="1300" baseline="0"/>
                      <a:t>, </a:t>
                    </a:r>
                    <a:fld id="{A5ED55B8-A57B-4BDE-98CD-B2364766CB64}" type="SERIESNAME">
                      <a:rPr lang="en-US" sz="1300" baseline="0"/>
                      <a:pPr>
                        <a:defRPr sz="1300"/>
                      </a:pPr>
                      <a:t>[SERIES NAME]</a:t>
                    </a:fld>
                    <a:r>
                      <a:rPr lang="en-US" sz="1300" baseline="0"/>
                      <a:t>, </a:t>
                    </a:r>
                    <a:fld id="{777B7EF5-227A-4AF6-B19D-04017B1352F5}"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468382792438712"/>
                      <c:h val="0.12342604395402992"/>
                    </c:manualLayout>
                  </c15:layout>
                  <c15:dlblFieldTable/>
                  <c15:showDataLabelsRange val="1"/>
                </c:ext>
                <c:ext xmlns:c16="http://schemas.microsoft.com/office/drawing/2014/chart" uri="{C3380CC4-5D6E-409C-BE32-E72D297353CC}">
                  <c16:uniqueId val="{00000004-42CE-4392-B81C-6A42369A2B0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'W5'!$K$52:$L$52</c15:sqref>
                  </c15:fullRef>
                </c:ext>
              </c:extLst>
              <c:f>'W5'!$K$52</c:f>
              <c:numCache>
                <c:formatCode>0.0%;\-0.0.%;</c:formatCode>
                <c:ptCount val="1"/>
                <c:pt idx="0" formatCode="#,##0_);\(#,##0\);;">
                  <c:v>229.92620690971106</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'W5'!$L$52</c15:f>
                <c15:dlblRangeCache>
                  <c:ptCount val="1"/>
                  <c:pt idx="0">
                    <c:v>35.4%</c:v>
                  </c:pt>
                </c15:dlblRangeCache>
              </c15:datalabelsRange>
            </c:ext>
            <c:ext xmlns:c16="http://schemas.microsoft.com/office/drawing/2014/chart" uri="{C3380CC4-5D6E-409C-BE32-E72D297353CC}">
              <c16:uniqueId val="{00000005-42CE-4392-B81C-6A42369A2B04}"/>
            </c:ext>
          </c:extLst>
        </c:ser>
        <c:ser>
          <c:idx val="10"/>
          <c:order val="13"/>
          <c:tx>
            <c:strRef>
              <c:f>'W5'!$D$62</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19BEFCEC-0F7B-485C-8F21-1D396FC08E3F}" type="CELLRANGE">
                      <a:rPr lang="en-US" baseline="0"/>
                      <a:pPr>
                        <a:defRPr/>
                      </a:pPr>
                      <a:t>[CELLRANGE]</a:t>
                    </a:fld>
                    <a:r>
                      <a:rPr lang="en-US" baseline="0"/>
                      <a:t>, </a:t>
                    </a:r>
                    <a:fld id="{A2889084-45F8-4241-9388-CE2656A409DA}" type="SERIESNAME">
                      <a:rPr lang="en-US" baseline="0"/>
                      <a:pPr>
                        <a:defRPr/>
                      </a:pPr>
                      <a:t>[SERIES NAME]</a:t>
                    </a:fld>
                    <a:r>
                      <a:rPr lang="en-US" baseline="0"/>
                      <a:t>, </a:t>
                    </a:r>
                    <a:fld id="{7F0B3231-C856-4A24-BDE5-2389AD975BE4}"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6034283558117095"/>
                      <c:h val="0.13095367426185264"/>
                    </c:manualLayout>
                  </c15:layout>
                  <c15:dlblFieldTable/>
                  <c15:showDataLabelsRange val="1"/>
                </c:ext>
                <c:ext xmlns:c16="http://schemas.microsoft.com/office/drawing/2014/chart" uri="{C3380CC4-5D6E-409C-BE32-E72D297353CC}">
                  <c16:uniqueId val="{00000006-42CE-4392-B81C-6A42369A2B0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'W5'!$K$62:$L$62</c15:sqref>
                  </c15:fullRef>
                </c:ext>
              </c:extLst>
              <c:f>'W5'!$K$62</c:f>
              <c:numCache>
                <c:formatCode>0.0%;\-0.0.%;</c:formatCode>
                <c:ptCount val="1"/>
                <c:pt idx="0" formatCode="#,##0_);\(#,##0\);;">
                  <c:v>1.8883070051545474</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'W5'!$L$62</c15:f>
                <c15:dlblRangeCache>
                  <c:ptCount val="1"/>
                  <c:pt idx="0">
                    <c:v>0.3%</c:v>
                  </c:pt>
                </c15:dlblRangeCache>
              </c15:datalabelsRange>
            </c:ext>
            <c:ext xmlns:c16="http://schemas.microsoft.com/office/drawing/2014/chart" uri="{C3380CC4-5D6E-409C-BE32-E72D297353CC}">
              <c16:uniqueId val="{00000007-42CE-4392-B81C-6A42369A2B04}"/>
            </c:ext>
          </c:extLst>
        </c:ser>
        <c:ser>
          <c:idx val="13"/>
          <c:order val="14"/>
          <c:tx>
            <c:strRef>
              <c:f>'W5'!$D$63</c:f>
              <c:strCache>
                <c:ptCount val="1"/>
                <c:pt idx="0">
                  <c:v>Lợi nhuận</c:v>
                </c:pt>
              </c:strCache>
            </c:strRef>
          </c:tx>
          <c:spPr>
            <a:solidFill>
              <a:srgbClr val="92D050"/>
            </a:solidFill>
          </c:spPr>
          <c:invertIfNegative val="0"/>
          <c:dLbls>
            <c:dLbl>
              <c:idx val="0"/>
              <c:layout>
                <c:manualLayout>
                  <c:x val="-1.8139782217428624E-2"/>
                  <c:y val="-6.5780439157808512E-2"/>
                </c:manualLayout>
              </c:layout>
              <c:tx>
                <c:rich>
                  <a:bodyPr wrap="square" lIns="38100" tIns="19050" rIns="38100" bIns="19050" anchor="ctr">
                    <a:noAutofit/>
                  </a:bodyPr>
                  <a:lstStyle/>
                  <a:p>
                    <a:pPr>
                      <a:defRPr sz="1300" b="1">
                        <a:solidFill>
                          <a:srgbClr val="FF0000"/>
                        </a:solidFill>
                      </a:defRPr>
                    </a:pPr>
                    <a:fld id="{0BE55B7F-FDB1-4C25-9098-7C4BABF87574}"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99A4C80A-FCD2-4C36-A1A3-A5EFDC48DCDD}"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F4282248-1DEB-4947-AF4B-73C175EF970C}"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519582733668811"/>
                      <c:h val="0.10396682742787991"/>
                    </c:manualLayout>
                  </c15:layout>
                  <c15:dlblFieldTable/>
                  <c15:showDataLabelsRange val="1"/>
                </c:ext>
                <c:ext xmlns:c16="http://schemas.microsoft.com/office/drawing/2014/chart" uri="{C3380CC4-5D6E-409C-BE32-E72D297353CC}">
                  <c16:uniqueId val="{00000008-42CE-4392-B81C-6A42369A2B0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'W5'!$K$63:$L$63</c15:sqref>
                  </c15:fullRef>
                </c:ext>
              </c:extLst>
              <c:f>'W5'!$K$63</c:f>
              <c:numCache>
                <c:formatCode>0.0%;\-0.0.%;</c:formatCode>
                <c:ptCount val="1"/>
                <c:pt idx="0" formatCode="#,##0_);\(#,##0\);;">
                  <c:v>7.5532280206181897</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'W5'!$L$63</c15:f>
                <c15:dlblRangeCache>
                  <c:ptCount val="1"/>
                  <c:pt idx="0">
                    <c:v>1.2%</c:v>
                  </c:pt>
                </c15:dlblRangeCache>
              </c15:datalabelsRange>
            </c:ext>
            <c:ext xmlns:c16="http://schemas.microsoft.com/office/drawing/2014/chart" uri="{C3380CC4-5D6E-409C-BE32-E72D297353CC}">
              <c16:uniqueId val="{00000009-42CE-4392-B81C-6A42369A2B04}"/>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A3EE1BB3-7315-42DA-8C10-26B88A26D2DF}"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10DC289B-AA18-466A-AAEB-3071E37F1E51}"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BF756A5C-954F-4714-B9D4-159CE50B3FE9}"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42CE-4392-B81C-6A42369A2B0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'W5'!$K$50:$L$50</c15:sqref>
                        </c15:fullRef>
                        <c15:formulaRef>
                          <c15:sqref>'W5'!$K$50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uri="{02D57815-91ED-43cb-92C2-25804820EDAC}">
                    <c15:datalabelsRange>
                      <c15:f>'W5'!$H$51</c15:f>
                      <c15:dlblRangeCache>
                        <c:ptCount val="1"/>
                        <c:pt idx="0">
                          <c:v>4.2%</c:v>
                        </c:pt>
                      </c15:dlblRangeCache>
                    </c15:datalabelsRange>
                  </c:ext>
                  <c:ext xmlns:c16="http://schemas.microsoft.com/office/drawing/2014/chart" uri="{C3380CC4-5D6E-409C-BE32-E72D297353CC}">
                    <c16:uniqueId val="{0000000B-42CE-4392-B81C-6A42369A2B04}"/>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8072B7C3-703A-4EC4-9E57-602DF930C36B}" type="CELLRANGE">
                            <a:rPr lang="en-US" baseline="0"/>
                            <a:pPr>
                              <a:defRPr sz="1300" b="1">
                                <a:solidFill>
                                  <a:srgbClr val="FF0000"/>
                                </a:solidFill>
                              </a:defRPr>
                            </a:pPr>
                            <a:t>[CELLRANGE]</a:t>
                          </a:fld>
                          <a:r>
                            <a:rPr lang="en-US" baseline="0"/>
                            <a:t>, </a:t>
                          </a:r>
                          <a:fld id="{5A0A517E-2040-4699-A8DD-4D40F2FB5E68}" type="SERIESNAME">
                            <a:rPr lang="en-US" baseline="0"/>
                            <a:pPr>
                              <a:defRPr sz="1300" b="1">
                                <a:solidFill>
                                  <a:srgbClr val="FF0000"/>
                                </a:solidFill>
                              </a:defRPr>
                            </a:pPr>
                            <a:t>[SERIES NAME]</a:t>
                          </a:fld>
                          <a:r>
                            <a:rPr lang="en-US" baseline="0"/>
                            <a:t>, </a:t>
                          </a:r>
                          <a:fld id="{78E633A5-5ED8-4881-B72D-F736ED2E3446}"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42CE-4392-B81C-6A42369A2B04}"/>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'W5'!$K$53:$L$53</c15:sqref>
                        </c15:fullRef>
                        <c15:formulaRef>
                          <c15:sqref>'W5'!$K$53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'W5'!$H$63</c15:f>
                      <c15:dlblRangeCache>
                        <c:ptCount val="1"/>
                        <c:pt idx="0">
                          <c:v>4.6%</c:v>
                        </c:pt>
                      </c15:dlblRangeCache>
                    </c15:datalabelsRange>
                  </c:ext>
                  <c:ext xmlns:c16="http://schemas.microsoft.com/office/drawing/2014/chart" uri="{C3380CC4-5D6E-409C-BE32-E72D297353CC}">
                    <c16:uniqueId val="{0000000D-42CE-4392-B81C-6A42369A2B04}"/>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'W5'!$K$54:$L$54</c15:sqref>
                        </c15:fullRef>
                        <c15:formulaRef>
                          <c15:sqref>'W5'!$K$54</c15:sqref>
                        </c15:formulaRef>
                      </c:ext>
                    </c:extLst>
                    <c:numCache>
                      <c:formatCode>0.0%;\-0.0.%;</c:formatCode>
                      <c:ptCount val="1"/>
                      <c:pt idx="0" formatCode="#,##0_);\(#,##0\);;">
                        <c:v>75.221841779627511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0E-42CE-4392-B81C-6A42369A2B04}"/>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'W5'!$K$55:$L$55</c15:sqref>
                        </c15:fullRef>
                        <c15:formulaRef>
                          <c15:sqref>'W5'!$K$55</c15:sqref>
                        </c15:formulaRef>
                      </c:ext>
                    </c:extLst>
                    <c:numCache>
                      <c:formatCode>0.0%;\-0.0.%;</c:formatCode>
                      <c:ptCount val="1"/>
                      <c:pt idx="0" formatCode="#,##0_);\(#,##0\);;">
                        <c:v>49.080017572979045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0F-42CE-4392-B81C-6A42369A2B04}"/>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'W5'!$K$56:$L$56</c15:sqref>
                        </c15:fullRef>
                        <c15:formulaRef>
                          <c15:sqref>'W5'!$K$56</c15:sqref>
                        </c15:formulaRef>
                      </c:ext>
                    </c:extLst>
                    <c:numCache>
                      <c:formatCode>0.0%;\-0.0.%;</c:formatCode>
                      <c:ptCount val="1"/>
                      <c:pt idx="0" formatCode="#,##0_);\(#,##0\);;">
                        <c:v>52.924243679977039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0-42CE-4392-B81C-6A42369A2B04}"/>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'W5'!$K$57:$L$57</c15:sqref>
                        </c15:fullRef>
                        <c15:formulaRef>
                          <c15:sqref>'W5'!$K$57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1-42CE-4392-B81C-6A42369A2B04}"/>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'W5'!$K$58:$L$58</c15:sqref>
                        </c15:fullRef>
                        <c15:formulaRef>
                          <c15:sqref>'W5'!$K$58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2-42CE-4392-B81C-6A42369A2B04}"/>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'W5'!$K$59:$L$59</c15:sqref>
                        </c15:fullRef>
                        <c15:formulaRef>
                          <c15:sqref>'W5'!$K$59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3-42CE-4392-B81C-6A42369A2B04}"/>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'W5'!$K$60:$L$60</c15:sqref>
                        </c15:fullRef>
                        <c15:formulaRef>
                          <c15:sqref>'W5'!$K$60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4-42CE-4392-B81C-6A42369A2B04}"/>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'W5'!$K$61:$L$61</c15:sqref>
                        </c15:fullRef>
                        <c15:formulaRef>
                          <c15:sqref>'W5'!$K$61</c15:sqref>
                        </c15:formulaRef>
                      </c:ext>
                    </c:extLst>
                    <c:numCache>
                      <c:formatCode>0.0%;\-0.0.%;</c:formatCode>
                      <c:ptCount val="1"/>
                      <c:pt idx="0" formatCode="#,##0_);\(#,##0\);;">
                        <c:v>640.55846497422726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5-42CE-4392-B81C-6A42369A2B04}"/>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'W5'!$K$64:$L$64</c15:sqref>
                        </c15:fullRef>
                        <c15:formulaRef>
                          <c15:sqref>'W5'!$K$64</c15:sqref>
                        </c15:formulaRef>
                      </c:ext>
                    </c:extLst>
                    <c:numCache>
                      <c:formatCode>0.0%;\-0.0.%;</c:formatCode>
                      <c:ptCount val="1"/>
                      <c:pt idx="0" formatCode="#,##0_);\(#,##0\);;">
                        <c:v>650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6-42CE-4392-B81C-6A42369A2B04}"/>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'W5'!$K$65:$L$65</c15:sqref>
                        </c15:fullRef>
                        <c15:formulaRef>
                          <c15:sqref>'W5'!$K$65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7-42CE-4392-B81C-6A42369A2B04}"/>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03867F3-D43A-47DD-802F-D37543D8F078}"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32068AC3-4C0E-4681-82B4-8E7336E8F51A}"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0102048C-58F7-47CF-8238-C0FAC7BAA19A}"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83E2-43A8-B40E-1F7A6B837C2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'W5'!$K$71:$L$71</c15:sqref>
                  </c15:fullRef>
                </c:ext>
              </c:extLst>
              <c:f>'W5'!$K$71</c:f>
              <c:numCache>
                <c:formatCode>0.0%;\-0.0.%;</c:formatCode>
                <c:ptCount val="1"/>
                <c:pt idx="0" formatCode="#,##0_);\(#,##0\);;">
                  <c:v>979.2</c:v>
                </c:pt>
              </c:numCache>
            </c:numRef>
          </c:val>
          <c:extLst>
            <c:ext xmlns:c15="http://schemas.microsoft.com/office/drawing/2012/chart" uri="{02D57815-91ED-43cb-92C2-25804820EDAC}">
              <c15:datalabelsRange>
                <c15:f>'W5'!$L$71</c15:f>
                <c15:dlblRangeCache>
                  <c:ptCount val="1"/>
                  <c:pt idx="0">
                    <c:v>58.8%</c:v>
                  </c:pt>
                </c15:dlblRangeCache>
              </c15:datalabelsRange>
            </c:ext>
            <c:ext xmlns:c16="http://schemas.microsoft.com/office/drawing/2014/chart" uri="{C3380CC4-5D6E-409C-BE32-E72D297353CC}">
              <c16:uniqueId val="{00000001-83E2-43A8-B40E-1F7A6B837C22}"/>
            </c:ext>
          </c:extLst>
        </c:ser>
        <c:ser>
          <c:idx val="10"/>
          <c:order val="2"/>
          <c:tx>
            <c:strRef>
              <c:f>'W5'!$D$73</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2-83E2-43A8-B40E-1F7A6B837C22}"/>
              </c:ext>
            </c:extLst>
          </c:dPt>
          <c:dLbls>
            <c:dLbl>
              <c:idx val="0"/>
              <c:layout>
                <c:manualLayout>
                  <c:x val="-9.1416791105074242E-3"/>
                  <c:y val="-1.0227993284335027E-2"/>
                </c:manualLayout>
              </c:layout>
              <c:tx>
                <c:rich>
                  <a:bodyPr wrap="square" lIns="38100" tIns="19050" rIns="38100" bIns="19050" anchor="ctr">
                    <a:noAutofit/>
                  </a:bodyPr>
                  <a:lstStyle/>
                  <a:p>
                    <a:pPr>
                      <a:defRPr sz="1100"/>
                    </a:pPr>
                    <a:fld id="{A1CB8174-AE9C-4D05-BFD2-ADEF5B5B3452}" type="CELLRANGE">
                      <a:rPr lang="en-US" sz="1100" baseline="0"/>
                      <a:pPr>
                        <a:defRPr sz="1100"/>
                      </a:pPr>
                      <a:t>[CELLRANGE]</a:t>
                    </a:fld>
                    <a:r>
                      <a:rPr lang="en-US" sz="1100" baseline="0"/>
                      <a:t>, </a:t>
                    </a:r>
                    <a:fld id="{2B7E45C5-BDB7-428F-A5AB-F25B84B9E049}" type="SERIESNAME">
                      <a:rPr lang="en-US" sz="1100" baseline="0"/>
                      <a:pPr>
                        <a:defRPr sz="1100"/>
                      </a:pPr>
                      <a:t>[SERIES NAME]</a:t>
                    </a:fld>
                    <a:r>
                      <a:rPr lang="en-US" sz="1100" baseline="0"/>
                      <a:t>, </a:t>
                    </a:r>
                    <a:fld id="{FAB8E94E-D5E2-476D-ADEA-B9139D106F95}"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2-83E2-43A8-B40E-1F7A6B837C22}"/>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'W5'!$K$73:$L$73</c15:sqref>
                  </c15:fullRef>
                </c:ext>
              </c:extLst>
              <c:f>'W5'!$K$73</c:f>
              <c:numCache>
                <c:formatCode>0.0%;\-0.0.%;</c:formatCode>
                <c:ptCount val="1"/>
                <c:pt idx="0" formatCode="#,##0_);\(#,##0\);;">
                  <c:v>73.703225806451741</c:v>
                </c:pt>
              </c:numCache>
            </c:numRef>
          </c:val>
          <c:extLst>
            <c:ext xmlns:c15="http://schemas.microsoft.com/office/drawing/2012/chart" uri="{02D57815-91ED-43cb-92C2-25804820EDAC}">
              <c15:datalabelsRange>
                <c15:f>'W5'!$L$73</c15:f>
                <c15:dlblRangeCache>
                  <c:ptCount val="1"/>
                  <c:pt idx="0">
                    <c:v>4.4%</c:v>
                  </c:pt>
                </c15:dlblRangeCache>
              </c15:datalabelsRange>
            </c:ext>
            <c:ext xmlns:c16="http://schemas.microsoft.com/office/drawing/2014/chart" uri="{C3380CC4-5D6E-409C-BE32-E72D297353CC}">
              <c16:uniqueId val="{00000003-83E2-43A8-B40E-1F7A6B837C22}"/>
            </c:ext>
          </c:extLst>
        </c:ser>
        <c:ser>
          <c:idx val="9"/>
          <c:order val="3"/>
          <c:tx>
            <c:strRef>
              <c:f>'W5'!$D$74</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8D6A3631-5B4A-4991-87BB-AE575EC278F8}" type="CELLRANGE">
                      <a:rPr lang="en-US" sz="1300" baseline="0"/>
                      <a:pPr>
                        <a:defRPr sz="1300"/>
                      </a:pPr>
                      <a:t>[CELLRANGE]</a:t>
                    </a:fld>
                    <a:r>
                      <a:rPr lang="en-US" sz="1300" baseline="0"/>
                      <a:t>, </a:t>
                    </a:r>
                    <a:fld id="{7B2CC7DB-9EF5-4632-A92D-C14B123DB7B9}" type="SERIESNAME">
                      <a:rPr lang="en-US" sz="1300" baseline="0"/>
                      <a:pPr>
                        <a:defRPr sz="1300"/>
                      </a:pPr>
                      <a:t>[SERIES NAME]</a:t>
                    </a:fld>
                    <a:r>
                      <a:rPr lang="en-US" sz="1300" baseline="0"/>
                      <a:t>, </a:t>
                    </a:r>
                    <a:fld id="{35F700CD-410B-46EA-83ED-FD02933FEADB}"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413242046109337"/>
                      <c:h val="0.15551881304325182"/>
                    </c:manualLayout>
                  </c15:layout>
                  <c15:dlblFieldTable/>
                  <c15:showDataLabelsRange val="1"/>
                </c:ext>
                <c:ext xmlns:c16="http://schemas.microsoft.com/office/drawing/2014/chart" uri="{C3380CC4-5D6E-409C-BE32-E72D297353CC}">
                  <c16:uniqueId val="{00000004-83E2-43A8-B40E-1F7A6B837C22}"/>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'W5'!$K$74:$L$74</c15:sqref>
                  </c15:fullRef>
                </c:ext>
              </c:extLst>
              <c:f>'W5'!$K$74</c:f>
              <c:numCache>
                <c:formatCode>0.0%;\-0.0.%;</c:formatCode>
                <c:ptCount val="1"/>
                <c:pt idx="0" formatCode="#,##0_);\(#,##0\);;">
                  <c:v>589.55437669156674</c:v>
                </c:pt>
              </c:numCache>
            </c:numRef>
          </c:val>
          <c:extLst>
            <c:ext xmlns:c15="http://schemas.microsoft.com/office/drawing/2012/chart" uri="{02D57815-91ED-43cb-92C2-25804820EDAC}">
              <c15:datalabelsRange>
                <c15:f>'W5'!$L$74</c15:f>
                <c15:dlblRangeCache>
                  <c:ptCount val="1"/>
                  <c:pt idx="0">
                    <c:v>35.4%</c:v>
                  </c:pt>
                </c15:dlblRangeCache>
              </c15:datalabelsRange>
            </c:ext>
            <c:ext xmlns:c16="http://schemas.microsoft.com/office/drawing/2014/chart" uri="{C3380CC4-5D6E-409C-BE32-E72D297353CC}">
              <c16:uniqueId val="{00000005-83E2-43A8-B40E-1F7A6B837C22}"/>
            </c:ext>
          </c:extLst>
        </c:ser>
        <c:ser>
          <c:idx val="13"/>
          <c:order val="13"/>
          <c:tx>
            <c:strRef>
              <c:f>'W5'!$D$84</c:f>
              <c:strCache>
                <c:ptCount val="1"/>
                <c:pt idx="0">
                  <c:v>Thuế thu nhập</c:v>
                </c:pt>
              </c:strCache>
            </c:strRef>
          </c:tx>
          <c:spPr>
            <a:solidFill>
              <a:srgbClr val="FFFF00"/>
            </a:solidFill>
          </c:spPr>
          <c:invertIfNegative val="0"/>
          <c:dLbls>
            <c:dLbl>
              <c:idx val="0"/>
              <c:tx>
                <c:rich>
                  <a:bodyPr/>
                  <a:lstStyle/>
                  <a:p>
                    <a:fld id="{289E27E6-728D-4C20-A230-BD419A2980BA}" type="CELLRANGE">
                      <a:rPr lang="en-US" baseline="0"/>
                      <a:pPr/>
                      <a:t>[CELLRANGE]</a:t>
                    </a:fld>
                    <a:r>
                      <a:rPr lang="en-US" baseline="0"/>
                      <a:t>, </a:t>
                    </a:r>
                    <a:fld id="{04FE9E6A-1343-4A9B-9A65-CCE5FBB9D8AA}" type="SERIESNAME">
                      <a:rPr lang="en-US" baseline="0"/>
                      <a:pPr/>
                      <a:t>[SERIES NAME]</a:t>
                    </a:fld>
                    <a:r>
                      <a:rPr lang="en-US" baseline="0"/>
                      <a:t>, </a:t>
                    </a:r>
                    <a:fld id="{BDD8A09B-EE9B-4172-A7C9-AF6FD1E8813E}"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2804915488055891"/>
                      <c:h val="0.13506255801979156"/>
                    </c:manualLayout>
                  </c15:layout>
                  <c15:dlblFieldTable/>
                  <c15:showDataLabelsRange val="1"/>
                </c:ext>
                <c:ext xmlns:c16="http://schemas.microsoft.com/office/drawing/2014/chart" uri="{C3380CC4-5D6E-409C-BE32-E72D297353CC}">
                  <c16:uniqueId val="{00000006-83E2-43A8-B40E-1F7A6B837C22}"/>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'W5'!$K$84:$L$84</c15:sqref>
                  </c15:fullRef>
                </c:ext>
              </c:extLst>
              <c:f>'W5'!$K$84</c:f>
              <c:numCache>
                <c:formatCode>0.0%;\-0.0.%;</c:formatCode>
                <c:ptCount val="1"/>
                <c:pt idx="0" formatCode="#,##0_);\(#,##0\);;">
                  <c:v>4.8418128337296826</c:v>
                </c:pt>
              </c:numCache>
            </c:numRef>
          </c:val>
          <c:extLst>
            <c:ext xmlns:c15="http://schemas.microsoft.com/office/drawing/2012/chart" uri="{02D57815-91ED-43cb-92C2-25804820EDAC}">
              <c15:datalabelsRange>
                <c15:f>'W5'!$L$84</c15:f>
                <c15:dlblRangeCache>
                  <c:ptCount val="1"/>
                  <c:pt idx="0">
                    <c:v>0.3%</c:v>
                  </c:pt>
                </c15:dlblRangeCache>
              </c15:datalabelsRange>
            </c:ext>
            <c:ext xmlns:c16="http://schemas.microsoft.com/office/drawing/2014/chart" uri="{C3380CC4-5D6E-409C-BE32-E72D297353CC}">
              <c16:uniqueId val="{00000007-83E2-43A8-B40E-1F7A6B837C22}"/>
            </c:ext>
          </c:extLst>
        </c:ser>
        <c:ser>
          <c:idx val="14"/>
          <c:order val="14"/>
          <c:tx>
            <c:strRef>
              <c:f>'W5'!$D$85</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9-83E2-43A8-B40E-1F7A6B837C22}"/>
              </c:ext>
            </c:extLst>
          </c:dPt>
          <c:dLbls>
            <c:dLbl>
              <c:idx val="0"/>
              <c:layout>
                <c:manualLayout>
                  <c:x val="3.8751361804265135E-3"/>
                  <c:y val="-5.4550147623289233E-2"/>
                </c:manualLayout>
              </c:layout>
              <c:tx>
                <c:rich>
                  <a:bodyPr wrap="square" lIns="38100" tIns="19050" rIns="38100" bIns="19050" anchor="ctr">
                    <a:noAutofit/>
                  </a:bodyPr>
                  <a:lstStyle/>
                  <a:p>
                    <a:pPr>
                      <a:defRPr sz="1300" b="1">
                        <a:solidFill>
                          <a:srgbClr val="FF0000"/>
                        </a:solidFill>
                      </a:defRPr>
                    </a:pPr>
                    <a:fld id="{CEA0DBF0-3DC8-43E6-81BC-A8B9E7345189}"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FA173411-A669-452E-8629-92C6B7107C4F}"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C6E98795-AC0C-49F5-9BA1-1B49FCF03E40}"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374995276199278"/>
                      <c:h val="6.9824017146744355E-2"/>
                    </c:manualLayout>
                  </c15:layout>
                  <c15:dlblFieldTable/>
                  <c15:showDataLabelsRange val="1"/>
                </c:ext>
                <c:ext xmlns:c16="http://schemas.microsoft.com/office/drawing/2014/chart" uri="{C3380CC4-5D6E-409C-BE32-E72D297353CC}">
                  <c16:uniqueId val="{00000009-83E2-43A8-B40E-1F7A6B837C22}"/>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'W5'!$K$85:$L$85</c15:sqref>
                  </c15:fullRef>
                </c:ext>
              </c:extLst>
              <c:f>'W5'!$K$85</c:f>
              <c:numCache>
                <c:formatCode>0.0%;\-0.0.%;</c:formatCode>
                <c:ptCount val="1"/>
                <c:pt idx="0" formatCode="#,##0_);\(#,##0\);;">
                  <c:v>19.367251334918731</c:v>
                </c:pt>
              </c:numCache>
            </c:numRef>
          </c:val>
          <c:extLst>
            <c:ext xmlns:c15="http://schemas.microsoft.com/office/drawing/2012/chart" uri="{02D57815-91ED-43cb-92C2-25804820EDAC}">
              <c15:datalabelsRange>
                <c15:f>'W5'!$L$85</c15:f>
                <c15:dlblRangeCache>
                  <c:ptCount val="1"/>
                  <c:pt idx="0">
                    <c:v>1.2%</c:v>
                  </c:pt>
                </c15:dlblRangeCache>
              </c15:datalabelsRange>
            </c:ext>
            <c:ext xmlns:c16="http://schemas.microsoft.com/office/drawing/2014/chart" uri="{C3380CC4-5D6E-409C-BE32-E72D297353CC}">
              <c16:uniqueId val="{0000000A-83E2-43A8-B40E-1F7A6B837C22}"/>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764AC55F-FF73-4F54-B983-03B9294E4887}"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B044CD48-5C89-4545-94D1-7B628D99E690}"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CB419420-693B-464E-B7F5-8B5260D73DDD}"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B-83E2-43A8-B40E-1F7A6B837C2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'W5'!$K$70:$L$70</c15:sqref>
                        </c15:fullRef>
                        <c15:formulaRef>
                          <c15:sqref>'W5'!$K$70</c15:sqref>
                        </c15:formulaRef>
                      </c:ext>
                    </c:extLst>
                    <c:strCache>
                      <c:ptCount val="1"/>
                      <c:pt idx="0">
                        <c:v>Chi phí
USD/tấn</c:v>
                      </c:pt>
                    </c:strCache>
                  </c:strRef>
                </c:cat>
                <c:val>
                  <c:numRef>
                    <c:extLst>
                      <c:ext uri="{02D57815-91ED-43cb-92C2-25804820EDAC}">
                        <c15:fullRef>
                          <c15:sqref>'W5'!$K$72:$L$72</c15:sqref>
                        </c15:fullRef>
                        <c15:formulaRef>
                          <c15:sqref>'W5'!$K$72</c15:sqref>
                        </c15:formulaRef>
                      </c:ext>
                    </c:extLst>
                    <c:numCache>
                      <c:formatCode>0.0%;\-0.0.%;</c:formatCode>
                      <c:ptCount val="1"/>
                      <c:pt idx="0" formatCode="#,##0_);\(#,##0\);;">
                        <c:v>979.2</c:v>
                      </c:pt>
                    </c:numCache>
                  </c:numRef>
                </c:val>
                <c:extLst>
                  <c:ext uri="{02D57815-91ED-43cb-92C2-25804820EDAC}">
                    <c15:datalabelsRange>
                      <c15:f>'W5'!$J$73</c15:f>
                      <c15:dlblRangeCache>
                        <c:ptCount val="1"/>
                        <c:pt idx="0">
                          <c:v>4.4%</c:v>
                        </c:pt>
                      </c15:dlblRangeCache>
                    </c15:datalabelsRange>
                  </c:ext>
                  <c:ext xmlns:c16="http://schemas.microsoft.com/office/drawing/2014/chart" uri="{C3380CC4-5D6E-409C-BE32-E72D297353CC}">
                    <c16:uniqueId val="{0000000C-83E2-43A8-B40E-1F7A6B837C22}"/>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E9877259-9E32-4F9D-8936-43D2FD9D9E33}"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FC33CFAD-B719-4AA7-A496-00CCA76EBBB0}"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067C674C-D469-47C5-8786-26F756DE5634}"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D-83E2-43A8-B40E-1F7A6B837C22}"/>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'W5'!$K$75:$L$75</c15:sqref>
                        </c15:fullRef>
                        <c15:formulaRef>
                          <c15:sqref>'W5'!$K$75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'W5'!$J$85</c15:f>
                      <c15:dlblRangeCache>
                        <c:ptCount val="1"/>
                        <c:pt idx="0">
                          <c:v>5.1%</c:v>
                        </c:pt>
                      </c15:dlblRangeCache>
                    </c15:datalabelsRange>
                  </c:ext>
                  <c:ext xmlns:c16="http://schemas.microsoft.com/office/drawing/2014/chart" uri="{C3380CC4-5D6E-409C-BE32-E72D297353CC}">
                    <c16:uniqueId val="{0000000E-83E2-43A8-B40E-1F7A6B837C22}"/>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'W5'!$K$76:$L$76</c15:sqref>
                        </c15:fullRef>
                        <c15:formulaRef>
                          <c15:sqref>'W5'!$K$76</c15:sqref>
                        </c15:formulaRef>
                      </c:ext>
                    </c:extLst>
                    <c:numCache>
                      <c:formatCode>0.0%;\-0.0.%;</c:formatCode>
                      <c:ptCount val="1"/>
                      <c:pt idx="0" formatCode="#,##0_);\(#,##0\);;">
                        <c:v>192.87651738366029</c:v>
                      </c:pt>
                    </c:numCache>
                  </c:numRef>
                </c:val>
                <c:extLst xmlns:c15="http://schemas.microsoft.com/office/drawing/2012/chart">
                  <c:ext xmlns:c16="http://schemas.microsoft.com/office/drawing/2014/chart" uri="{C3380CC4-5D6E-409C-BE32-E72D297353CC}">
                    <c16:uniqueId val="{0000000F-83E2-43A8-B40E-1F7A6B837C22}"/>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'W5'!$K$77:$L$77</c15:sqref>
                        </c15:fullRef>
                        <c15:formulaRef>
                          <c15:sqref>'W5'!$K$77</c15:sqref>
                        </c15:formulaRef>
                      </c:ext>
                    </c:extLst>
                    <c:numCache>
                      <c:formatCode>0.0%;\-0.0.%;</c:formatCode>
                      <c:ptCount val="1"/>
                      <c:pt idx="0" formatCode="#,##0_);\(#,##0\);;">
                        <c:v>125.84619890507449</c:v>
                      </c:pt>
                    </c:numCache>
                  </c:numRef>
                </c:val>
                <c:extLst xmlns:c15="http://schemas.microsoft.com/office/drawing/2012/chart">
                  <c:ext xmlns:c16="http://schemas.microsoft.com/office/drawing/2014/chart" uri="{C3380CC4-5D6E-409C-BE32-E72D297353CC}">
                    <c16:uniqueId val="{00000010-83E2-43A8-B40E-1F7A6B837C22}"/>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'W5'!$K$78:$L$78</c15:sqref>
                        </c15:fullRef>
                        <c15:formulaRef>
                          <c15:sqref>'W5'!$K$78</c15:sqref>
                        </c15:formulaRef>
                      </c:ext>
                    </c:extLst>
                    <c:numCache>
                      <c:formatCode>0.0%;\-0.0.%;</c:formatCode>
                      <c:ptCount val="1"/>
                      <c:pt idx="0" formatCode="#,##0_);\(#,##0\);;">
                        <c:v>135.70318892301805</c:v>
                      </c:pt>
                    </c:numCache>
                  </c:numRef>
                </c:val>
                <c:extLst xmlns:c15="http://schemas.microsoft.com/office/drawing/2012/chart">
                  <c:ext xmlns:c16="http://schemas.microsoft.com/office/drawing/2014/chart" uri="{C3380CC4-5D6E-409C-BE32-E72D297353CC}">
                    <c16:uniqueId val="{00000011-83E2-43A8-B40E-1F7A6B837C22}"/>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'W5'!$K$79:$L$79</c15:sqref>
                        </c15:fullRef>
                        <c15:formulaRef>
                          <c15:sqref>'W5'!$K$79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2-83E2-43A8-B40E-1F7A6B837C22}"/>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'W5'!$K$80:$L$80</c15:sqref>
                        </c15:fullRef>
                        <c15:formulaRef>
                          <c15:sqref>'W5'!$K$80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3-83E2-43A8-B40E-1F7A6B837C22}"/>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'W5'!$K$81:$L$81</c15:sqref>
                        </c15:fullRef>
                        <c15:formulaRef>
                          <c15:sqref>'W5'!$K$81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83E2-43A8-B40E-1F7A6B837C22}"/>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'W5'!$K$82:$L$82</c15:sqref>
                        </c15:fullRef>
                        <c15:formulaRef>
                          <c15:sqref>'W5'!$K$82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83E2-43A8-B40E-1F7A6B837C22}"/>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'W5'!$K$83:$L$83</c15:sqref>
                        </c15:fullRef>
                        <c15:formulaRef>
                          <c15:sqref>'W5'!$K$83</c15:sqref>
                        </c15:formulaRef>
                      </c:ext>
                    </c:extLst>
                    <c:numCache>
                      <c:formatCode>0.0%;\-0.0.%;</c:formatCode>
                      <c:ptCount val="1"/>
                      <c:pt idx="0" formatCode="#,##0_);\(#,##0\);;">
                        <c:v>1642.4576024980183</c:v>
                      </c:pt>
                    </c:numCache>
                  </c:numRef>
                </c:val>
                <c:extLst xmlns:c15="http://schemas.microsoft.com/office/drawing/2012/chart">
                  <c:ext xmlns:c16="http://schemas.microsoft.com/office/drawing/2014/chart" uri="{C3380CC4-5D6E-409C-BE32-E72D297353CC}">
                    <c16:uniqueId val="{00000016-83E2-43A8-B40E-1F7A6B837C22}"/>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'W5'!$K$86:$L$86</c15:sqref>
                        </c15:fullRef>
                        <c15:formulaRef>
                          <c15:sqref>'W5'!$K$86</c15:sqref>
                        </c15:formulaRef>
                      </c:ext>
                    </c:extLst>
                    <c:numCache>
                      <c:formatCode>0.0%;\-0.0.%;</c:formatCode>
                      <c:ptCount val="1"/>
                      <c:pt idx="0" formatCode="#,##0_);\(#,##0\);;">
                        <c:v>1666.6666666666667</c:v>
                      </c:pt>
                    </c:numCache>
                  </c:numRef>
                </c:val>
                <c:extLst xmlns:c15="http://schemas.microsoft.com/office/drawing/2012/chart">
                  <c:ext xmlns:c16="http://schemas.microsoft.com/office/drawing/2014/chart" uri="{C3380CC4-5D6E-409C-BE32-E72D297353CC}">
                    <c16:uniqueId val="{00000017-83E2-43A8-B40E-1F7A6B837C22}"/>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'W5'!$K$87:$L$87</c15:sqref>
                        </c15:fullRef>
                        <c15:formulaRef>
                          <c15:sqref>'W5'!$K$87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8-83E2-43A8-B40E-1F7A6B837C22}"/>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80402E8B-D5C2-4E7D-B41D-649EFA0E89E6}"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58F57E13-36E6-4AD7-8378-F589538B8452}"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00694C5E-D679-4E83-91B8-BE8B51004AE4}"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5876-453D-A4FC-E63E879398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'W5'!$I$49:$J$49</c15:sqref>
                  </c15:fullRef>
                </c:ext>
              </c:extLst>
              <c:f>'W5'!$I$49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'W5'!$J$49</c15:f>
                <c15:dlblRangeCache>
                  <c:ptCount val="1"/>
                  <c:pt idx="0">
                    <c:v>58.8%</c:v>
                  </c:pt>
                </c15:dlblRangeCache>
              </c15:datalabelsRange>
            </c:ext>
            <c:ext xmlns:c16="http://schemas.microsoft.com/office/drawing/2014/chart" uri="{C3380CC4-5D6E-409C-BE32-E72D297353CC}">
              <c16:uniqueId val="{00000001-5876-453D-A4FC-E63E879398BC}"/>
            </c:ext>
          </c:extLst>
        </c:ser>
        <c:ser>
          <c:idx val="14"/>
          <c:order val="2"/>
          <c:tx>
            <c:strRef>
              <c:f>'W5'!$D$51</c:f>
              <c:strCache>
                <c:ptCount val="1"/>
                <c:pt idx="0">
                  <c:v>Hao hụt về tiền</c:v>
                </c:pt>
              </c:strCache>
            </c:strRef>
          </c:tx>
          <c:spPr>
            <a:solidFill>
              <a:srgbClr val="FFC000"/>
            </a:solidFill>
            <a:ln>
              <a:noFill/>
            </a:ln>
            <a:effectLst/>
          </c:spPr>
          <c:invertIfNegative val="0"/>
          <c:dLbls>
            <c:dLbl>
              <c:idx val="0"/>
              <c:layout>
                <c:manualLayout>
                  <c:x val="-1.0628482433221854E-2"/>
                  <c:y val="6.7385412565699482E-3"/>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0E3EB595-CE5D-4D7E-B4E3-02E9EFAB9C25}"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D86F9CE7-20DE-4A0D-BDD3-2C602D8C135B}"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94C01F8C-F13E-472A-9CDB-1C3D49814660}"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36434669805"/>
                      <c:h val="0.15506560618029541"/>
                    </c:manualLayout>
                  </c15:layout>
                  <c15:dlblFieldTable/>
                  <c15:showDataLabelsRange val="1"/>
                </c:ext>
                <c:ext xmlns:c16="http://schemas.microsoft.com/office/drawing/2014/chart" uri="{C3380CC4-5D6E-409C-BE32-E72D297353CC}">
                  <c16:uniqueId val="{00000002-5876-453D-A4FC-E63E879398B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'W5'!$I$51:$J$51</c15:sqref>
                  </c15:fullRef>
                </c:ext>
              </c:extLst>
              <c:f>'W5'!$I$51</c:f>
              <c:numCache>
                <c:formatCode>0.0%;\-0.0.%;</c:formatCode>
                <c:ptCount val="1"/>
                <c:pt idx="0" formatCode="#,##0_);\(#,##0\);;">
                  <c:v>28.744258064516178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'W5'!$J$51</c15:f>
                <c15:dlblRangeCache>
                  <c:ptCount val="1"/>
                  <c:pt idx="0">
                    <c:v>4.4%</c:v>
                  </c:pt>
                </c15:dlblRangeCache>
              </c15:datalabelsRange>
            </c:ext>
            <c:ext xmlns:c16="http://schemas.microsoft.com/office/drawing/2014/chart" uri="{C3380CC4-5D6E-409C-BE32-E72D297353CC}">
              <c16:uniqueId val="{00000003-5876-453D-A4FC-E63E879398BC}"/>
            </c:ext>
          </c:extLst>
        </c:ser>
        <c:ser>
          <c:idx val="11"/>
          <c:order val="3"/>
          <c:tx>
            <c:strRef>
              <c:f>'W5'!$D$52</c:f>
              <c:strCache>
                <c:ptCount val="1"/>
                <c:pt idx="0">
                  <c:v>Chi phí biến đổi</c:v>
                </c:pt>
              </c:strCache>
            </c:strRef>
          </c:tx>
          <c:spPr>
            <a:solidFill>
              <a:schemeClr val="bg2">
                <a:lumMod val="90000"/>
              </a:schemeClr>
            </a:solidFill>
          </c:spPr>
          <c:invertIfNegative val="0"/>
          <c:dLbls>
            <c:dLbl>
              <c:idx val="0"/>
              <c:tx>
                <c:rich>
                  <a:bodyPr wrap="square" lIns="38100" tIns="19050" rIns="38100" bIns="19050" anchor="ctr">
                    <a:noAutofit/>
                  </a:bodyPr>
                  <a:lstStyle/>
                  <a:p>
                    <a:pPr>
                      <a:defRPr sz="1300"/>
                    </a:pPr>
                    <a:fld id="{30A11A13-F86D-4E20-B241-1FFAB23D55C1}" type="CELLRANGE">
                      <a:rPr lang="en-US" sz="1300" baseline="0"/>
                      <a:pPr>
                        <a:defRPr sz="1300"/>
                      </a:pPr>
                      <a:t>[CELLRANGE]</a:t>
                    </a:fld>
                    <a:r>
                      <a:rPr lang="en-US" sz="1300" baseline="0"/>
                      <a:t>, </a:t>
                    </a:r>
                    <a:fld id="{094F923B-67C6-4A3B-A028-DC87A0078A62}" type="SERIESNAME">
                      <a:rPr lang="en-US" sz="1300" baseline="0"/>
                      <a:pPr>
                        <a:defRPr sz="1300"/>
                      </a:pPr>
                      <a:t>[SERIES NAME]</a:t>
                    </a:fld>
                    <a:r>
                      <a:rPr lang="en-US" sz="1300" baseline="0"/>
                      <a:t>, </a:t>
                    </a:r>
                    <a:fld id="{5372D07B-C989-4D80-B9B1-668E849DE698}"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680055501344853"/>
                      <c:h val="0.21093818810028875"/>
                    </c:manualLayout>
                  </c15:layout>
                  <c15:dlblFieldTable/>
                  <c15:showDataLabelsRange val="1"/>
                </c:ext>
                <c:ext xmlns:c16="http://schemas.microsoft.com/office/drawing/2014/chart" uri="{C3380CC4-5D6E-409C-BE32-E72D297353CC}">
                  <c16:uniqueId val="{00000004-5876-453D-A4FC-E63E879398B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'W5'!$I$52:$J$52</c15:sqref>
                  </c15:fullRef>
                </c:ext>
              </c:extLst>
              <c:f>'W5'!$I$52</c:f>
              <c:numCache>
                <c:formatCode>0.0%;\-0.0.%;</c:formatCode>
                <c:ptCount val="1"/>
                <c:pt idx="0" formatCode="#,##0_);\(#,##0\);;">
                  <c:v>197.7268952967712</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'W5'!$J$52</c15:f>
                <c15:dlblRangeCache>
                  <c:ptCount val="1"/>
                  <c:pt idx="0">
                    <c:v>30.4%</c:v>
                  </c:pt>
                </c15:dlblRangeCache>
              </c15:datalabelsRange>
            </c:ext>
            <c:ext xmlns:c16="http://schemas.microsoft.com/office/drawing/2014/chart" uri="{C3380CC4-5D6E-409C-BE32-E72D297353CC}">
              <c16:uniqueId val="{00000005-5876-453D-A4FC-E63E879398BC}"/>
            </c:ext>
          </c:extLst>
        </c:ser>
        <c:ser>
          <c:idx val="10"/>
          <c:order val="13"/>
          <c:tx>
            <c:strRef>
              <c:f>'W5'!$D$62</c:f>
              <c:strCache>
                <c:ptCount val="1"/>
                <c:pt idx="0">
                  <c:v>Thuế thu nhập</c:v>
                </c:pt>
              </c:strCache>
            </c:strRef>
          </c:tx>
          <c:spPr>
            <a:solidFill>
              <a:srgbClr val="FFFF00"/>
            </a:solidFill>
          </c:spPr>
          <c:invertIfNegative val="0"/>
          <c:dLbls>
            <c:dLbl>
              <c:idx val="0"/>
              <c:layout>
                <c:manualLayout>
                  <c:x val="1.0628526825145769E-2"/>
                  <c:y val="1.5188855153841944E-2"/>
                </c:manualLayout>
              </c:layout>
              <c:tx>
                <c:rich>
                  <a:bodyPr wrap="square" lIns="38100" tIns="19050" rIns="38100" bIns="19050" anchor="ctr">
                    <a:noAutofit/>
                  </a:bodyPr>
                  <a:lstStyle/>
                  <a:p>
                    <a:pPr>
                      <a:defRPr/>
                    </a:pPr>
                    <a:fld id="{1A7AB894-87A2-495C-AB94-2E4E045E570E}" type="CELLRANGE">
                      <a:rPr lang="en-US" baseline="0"/>
                      <a:pPr>
                        <a:defRPr/>
                      </a:pPr>
                      <a:t>[CELLRANGE]</a:t>
                    </a:fld>
                    <a:r>
                      <a:rPr lang="en-US" baseline="0"/>
                      <a:t>, </a:t>
                    </a:r>
                    <a:fld id="{B6317858-9BFF-4D8B-BDE3-5D1A5C1B0693}" type="SERIESNAME">
                      <a:rPr lang="en-US" baseline="0"/>
                      <a:pPr>
                        <a:defRPr/>
                      </a:pPr>
                      <a:t>[SERIES NAME]</a:t>
                    </a:fld>
                    <a:r>
                      <a:rPr lang="en-US" baseline="0"/>
                      <a:t>, </a:t>
                    </a:r>
                    <a:fld id="{701F0B1C-A136-49ED-B700-42620AFD080B}"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7137061207137504"/>
                      <c:h val="0.12742330682892611"/>
                    </c:manualLayout>
                  </c15:layout>
                  <c15:dlblFieldTable/>
                  <c15:showDataLabelsRange val="1"/>
                </c:ext>
                <c:ext xmlns:c16="http://schemas.microsoft.com/office/drawing/2014/chart" uri="{C3380CC4-5D6E-409C-BE32-E72D297353CC}">
                  <c16:uniqueId val="{00000006-5876-453D-A4FC-E63E879398B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'W5'!$I$62:$J$62</c15:sqref>
                  </c15:fullRef>
                </c:ext>
              </c:extLst>
              <c:f>'W5'!$I$62</c:f>
              <c:numCache>
                <c:formatCode>0.0%;\-0.0.%;</c:formatCode>
                <c:ptCount val="1"/>
                <c:pt idx="0" formatCode="#,##0_);\(#,##0\);;">
                  <c:v>8.3281693277425344</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'W5'!$J$62</c15:f>
                <c15:dlblRangeCache>
                  <c:ptCount val="1"/>
                  <c:pt idx="0">
                    <c:v>1.3%</c:v>
                  </c:pt>
                </c15:dlblRangeCache>
              </c15:datalabelsRange>
            </c:ext>
            <c:ext xmlns:c16="http://schemas.microsoft.com/office/drawing/2014/chart" uri="{C3380CC4-5D6E-409C-BE32-E72D297353CC}">
              <c16:uniqueId val="{00000007-5876-453D-A4FC-E63E879398BC}"/>
            </c:ext>
          </c:extLst>
        </c:ser>
        <c:ser>
          <c:idx val="13"/>
          <c:order val="14"/>
          <c:tx>
            <c:strRef>
              <c:f>'W5'!$D$63</c:f>
              <c:strCache>
                <c:ptCount val="1"/>
                <c:pt idx="0">
                  <c:v>Lợi nhuận</c:v>
                </c:pt>
              </c:strCache>
            </c:strRef>
          </c:tx>
          <c:spPr>
            <a:solidFill>
              <a:srgbClr val="92D050"/>
            </a:solidFill>
          </c:spPr>
          <c:invertIfNegative val="0"/>
          <c:dLbls>
            <c:dLbl>
              <c:idx val="0"/>
              <c:layout>
                <c:manualLayout>
                  <c:x val="-5.4592292744487993E-2"/>
                  <c:y val="-4.3799523323913708E-2"/>
                </c:manualLayout>
              </c:layout>
              <c:tx>
                <c:rich>
                  <a:bodyPr wrap="square" lIns="38100" tIns="19050" rIns="38100" bIns="19050" anchor="ctr">
                    <a:noAutofit/>
                  </a:bodyPr>
                  <a:lstStyle/>
                  <a:p>
                    <a:pPr>
                      <a:defRPr sz="1300" b="1">
                        <a:solidFill>
                          <a:srgbClr val="FF0000"/>
                        </a:solidFill>
                      </a:defRPr>
                    </a:pPr>
                    <a:fld id="{2A89468E-9C2A-4D3D-8C8F-2B5C995176A6}"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2E03CFD0-2DA0-40E0-B288-D30496D17EBB}"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8408C6FF-CCF2-4835-8E9C-13571C79BB3F}"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0181969427395499"/>
                      <c:h val="0.13416171543965727"/>
                    </c:manualLayout>
                  </c15:layout>
                  <c15:dlblFieldTable/>
                  <c15:showDataLabelsRange val="1"/>
                </c:ext>
                <c:ext xmlns:c16="http://schemas.microsoft.com/office/drawing/2014/chart" uri="{C3380CC4-5D6E-409C-BE32-E72D297353CC}">
                  <c16:uniqueId val="{00000008-5876-453D-A4FC-E63E879398BC}"/>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'W5'!$I$63:$J$63</c15:sqref>
                  </c15:fullRef>
                </c:ext>
              </c:extLst>
              <c:f>'W5'!$I$63</c:f>
              <c:numCache>
                <c:formatCode>0.0%;\-0.0.%;</c:formatCode>
                <c:ptCount val="1"/>
                <c:pt idx="0" formatCode="#,##0_);\(#,##0\);;">
                  <c:v>33.312677310970138</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'W5'!$J$63</c15:f>
                <c15:dlblRangeCache>
                  <c:ptCount val="1"/>
                  <c:pt idx="0">
                    <c:v>5.1%</c:v>
                  </c:pt>
                </c15:dlblRangeCache>
              </c15:datalabelsRange>
            </c:ext>
            <c:ext xmlns:c16="http://schemas.microsoft.com/office/drawing/2014/chart" uri="{C3380CC4-5D6E-409C-BE32-E72D297353CC}">
              <c16:uniqueId val="{00000009-5876-453D-A4FC-E63E879398B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33809B5-31A9-4484-A18B-9069BEC6DD2F}"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48F623C1-7A21-4694-AA13-8E1A050BCCB8}"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5A90C519-5CA3-4B4A-9A08-01D1481AADD8}"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5876-453D-A4FC-E63E879398B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'W5'!$I$50:$J$50</c15:sqref>
                        </c15:fullRef>
                        <c15:formulaRef>
                          <c15:sqref>'W5'!$I$50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uri="{02D57815-91ED-43cb-92C2-25804820EDAC}">
                    <c15:datalabelsRange>
                      <c15:f>'W5'!$F$52</c15:f>
                      <c15:dlblRangeCache>
                        <c:ptCount val="1"/>
                        <c:pt idx="0">
                          <c:v>29.1%</c:v>
                        </c:pt>
                      </c15:dlblRangeCache>
                    </c15:datalabelsRange>
                  </c:ext>
                  <c:ext xmlns:c16="http://schemas.microsoft.com/office/drawing/2014/chart" uri="{C3380CC4-5D6E-409C-BE32-E72D297353CC}">
                    <c16:uniqueId val="{0000000B-5876-453D-A4FC-E63E879398BC}"/>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52C9F3F2-87E8-4BC6-846C-D1705BD41B97}" type="CELLRANGE">
                            <a:rPr lang="en-US" baseline="0"/>
                            <a:pPr>
                              <a:defRPr sz="1300" b="1">
                                <a:solidFill>
                                  <a:srgbClr val="FF0000"/>
                                </a:solidFill>
                              </a:defRPr>
                            </a:pPr>
                            <a:t>[CELLRANGE]</a:t>
                          </a:fld>
                          <a:r>
                            <a:rPr lang="en-US" baseline="0"/>
                            <a:t>, </a:t>
                          </a:r>
                          <a:fld id="{9A838C35-DE54-4242-B49B-800529AF5C4E}" type="SERIESNAME">
                            <a:rPr lang="en-US" baseline="0"/>
                            <a:pPr>
                              <a:defRPr sz="1300" b="1">
                                <a:solidFill>
                                  <a:srgbClr val="FF0000"/>
                                </a:solidFill>
                              </a:defRPr>
                            </a:pPr>
                            <a:t>[SERIES NAME]</a:t>
                          </a:fld>
                          <a:r>
                            <a:rPr lang="en-US" baseline="0"/>
                            <a:t>, </a:t>
                          </a:r>
                          <a:fld id="{AFF99833-E433-42D9-96DF-39085B4CBD66}"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5876-453D-A4FC-E63E879398BC}"/>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'W5'!$I$53:$J$53</c15:sqref>
                        </c15:fullRef>
                        <c15:formulaRef>
                          <c15:sqref>'W5'!$I$53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'W5'!$H$63</c15:f>
                      <c15:dlblRangeCache>
                        <c:ptCount val="1"/>
                        <c:pt idx="0">
                          <c:v>4.6%</c:v>
                        </c:pt>
                      </c15:dlblRangeCache>
                    </c15:datalabelsRange>
                  </c:ext>
                  <c:ext xmlns:c16="http://schemas.microsoft.com/office/drawing/2014/chart" uri="{C3380CC4-5D6E-409C-BE32-E72D297353CC}">
                    <c16:uniqueId val="{0000000D-5876-453D-A4FC-E63E879398B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'W5'!$I$54:$J$54</c15:sqref>
                        </c15:fullRef>
                        <c15:formulaRef>
                          <c15:sqref>'W5'!$I$54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0E-5876-453D-A4FC-E63E879398B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'W5'!$I$55:$J$55</c15:sqref>
                        </c15:fullRef>
                        <c15:formulaRef>
                          <c15:sqref>'W5'!$I$55</c15:sqref>
                        </c15:formulaRef>
                      </c:ext>
                    </c:extLst>
                    <c:numCache>
                      <c:formatCode>0.0%;\-0.0.%;</c:formatCode>
                      <c:ptCount val="1"/>
                      <c:pt idx="0" formatCode="#,##0_);\(#,##0\);;">
                        <c:v>32.74722577596247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0F-5876-453D-A4FC-E63E879398BC}"/>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'W5'!$I$56:$J$56</c15:sqref>
                        </c15:fullRef>
                        <c15:formulaRef>
                          <c15:sqref>'W5'!$I$56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0-5876-453D-A4FC-E63E879398BC}"/>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'W5'!$I$57:$J$57</c15:sqref>
                        </c15:fullRef>
                        <c15:formulaRef>
                          <c15:sqref>'W5'!$I$57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1-5876-453D-A4FC-E63E879398BC}"/>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'W5'!$I$58:$J$58</c15:sqref>
                        </c15:fullRef>
                        <c15:formulaRef>
                          <c15:sqref>'W5'!$I$58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2-5876-453D-A4FC-E63E879398BC}"/>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'W5'!$I$59:$J$59</c15:sqref>
                        </c15:fullRef>
                        <c15:formulaRef>
                          <c15:sqref>'W5'!$I$59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3-5876-453D-A4FC-E63E879398BC}"/>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'W5'!$I$60:$J$60</c15:sqref>
                        </c15:fullRef>
                        <c15:formulaRef>
                          <c15:sqref>'W5'!$I$60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4-5876-453D-A4FC-E63E879398BC}"/>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'W5'!$I$61:$J$61</c15:sqref>
                        </c15:fullRef>
                        <c15:formulaRef>
                          <c15:sqref>'W5'!$I$61</c15:sqref>
                        </c15:formulaRef>
                      </c:ext>
                    </c:extLst>
                    <c:numCache>
                      <c:formatCode>0.0%;\-0.0.%;</c:formatCode>
                      <c:ptCount val="1"/>
                      <c:pt idx="0" formatCode="#,##0_);\(#,##0\);;">
                        <c:v>608.35915336128733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5-5876-453D-A4FC-E63E879398B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'W5'!$I$64:$J$64</c15:sqref>
                        </c15:fullRef>
                        <c15:formulaRef>
                          <c15:sqref>'W5'!$I$64</c15:sqref>
                        </c15:formulaRef>
                      </c:ext>
                    </c:extLst>
                    <c:numCache>
                      <c:formatCode>0.0%;\-0.0.%;</c:formatCode>
                      <c:ptCount val="1"/>
                      <c:pt idx="0" formatCode="#,##0_);\(#,##0\);;">
                        <c:v>650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6-5876-453D-A4FC-E63E879398B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'W5'!$I$65:$J$65</c15:sqref>
                        </c15:fullRef>
                        <c15:formulaRef>
                          <c15:sqref>'W5'!$I$65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7-5876-453D-A4FC-E63E879398B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F20CC29E-ED05-485C-9F46-7A79E7012148}"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3C9794E6-B13E-4D9B-8517-594DEF1FDEEE}"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8EF4C34A-DF2B-4BB5-A56A-7FD810FDBA84}"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DE08-41A2-8DC7-E006361FE7A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'W5'!$I$71:$J$71</c15:sqref>
                  </c15:fullRef>
                </c:ext>
              </c:extLst>
              <c:f>'W5'!$I$71</c:f>
              <c:numCache>
                <c:formatCode>0.0%;\-0.0.%;</c:formatCode>
                <c:ptCount val="1"/>
                <c:pt idx="0" formatCode="#,##0_);\(#,##0\);;">
                  <c:v>979.2</c:v>
                </c:pt>
              </c:numCache>
            </c:numRef>
          </c:val>
          <c:extLst>
            <c:ext xmlns:c15="http://schemas.microsoft.com/office/drawing/2012/chart" uri="{02D57815-91ED-43cb-92C2-25804820EDAC}">
              <c15:datalabelsRange>
                <c15:f>'W5'!$J$71</c15:f>
                <c15:dlblRangeCache>
                  <c:ptCount val="1"/>
                  <c:pt idx="0">
                    <c:v>58.8%</c:v>
                  </c:pt>
                </c15:dlblRangeCache>
              </c15:datalabelsRange>
            </c:ext>
            <c:ext xmlns:c16="http://schemas.microsoft.com/office/drawing/2014/chart" uri="{C3380CC4-5D6E-409C-BE32-E72D297353CC}">
              <c16:uniqueId val="{00000001-DE08-41A2-8DC7-E006361FE7AC}"/>
            </c:ext>
          </c:extLst>
        </c:ser>
        <c:ser>
          <c:idx val="11"/>
          <c:order val="2"/>
          <c:tx>
            <c:strRef>
              <c:f>'W5'!$D$73</c:f>
              <c:strCache>
                <c:ptCount val="1"/>
                <c:pt idx="0">
                  <c:v>Hao hụt về tiền</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529EFC6B-D396-4C63-85C5-71FA3CDC87E2}"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82FD33E8-62DA-47BB-8012-C0D762B42032}"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A7558088-71CA-430C-B41B-96A4ADBE2776}"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2-DE08-41A2-8DC7-E006361FE7A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'W5'!$I$73:$J$73</c15:sqref>
                  </c15:fullRef>
                </c:ext>
              </c:extLst>
              <c:f>'W5'!$I$73</c:f>
              <c:numCache>
                <c:formatCode>0.0%;\-0.0.%;</c:formatCode>
                <c:ptCount val="1"/>
                <c:pt idx="0" formatCode="#,##0_);\(#,##0\);;">
                  <c:v>73.703225806451741</c:v>
                </c:pt>
              </c:numCache>
            </c:numRef>
          </c:val>
          <c:extLst>
            <c:ext xmlns:c15="http://schemas.microsoft.com/office/drawing/2012/chart" uri="{02D57815-91ED-43cb-92C2-25804820EDAC}">
              <c15:datalabelsRange>
                <c15:f>'W5'!$J$73</c15:f>
                <c15:dlblRangeCache>
                  <c:ptCount val="1"/>
                  <c:pt idx="0">
                    <c:v>4.4%</c:v>
                  </c:pt>
                </c15:dlblRangeCache>
              </c15:datalabelsRange>
            </c:ext>
            <c:ext xmlns:c16="http://schemas.microsoft.com/office/drawing/2014/chart" uri="{C3380CC4-5D6E-409C-BE32-E72D297353CC}">
              <c16:uniqueId val="{00000003-DE08-41A2-8DC7-E006361FE7AC}"/>
            </c:ext>
          </c:extLst>
        </c:ser>
        <c:ser>
          <c:idx val="10"/>
          <c:order val="3"/>
          <c:tx>
            <c:strRef>
              <c:f>'W5'!$D$74</c:f>
              <c:strCache>
                <c:ptCount val="1"/>
                <c:pt idx="0">
                  <c:v>Chi phí biến đổi</c:v>
                </c:pt>
              </c:strCache>
            </c:strRef>
          </c:tx>
          <c:spPr>
            <a:solidFill>
              <a:srgbClr val="E8E8E8">
                <a:lumMod val="90000"/>
              </a:srgbClr>
            </a:solidFill>
          </c:spPr>
          <c:invertIfNegative val="0"/>
          <c:dPt>
            <c:idx val="0"/>
            <c:invertIfNegative val="0"/>
            <c:bubble3D val="0"/>
            <c:extLst>
              <c:ext xmlns:c16="http://schemas.microsoft.com/office/drawing/2014/chart" uri="{C3380CC4-5D6E-409C-BE32-E72D297353CC}">
                <c16:uniqueId val="{00000004-DE08-41A2-8DC7-E006361FE7AC}"/>
              </c:ext>
            </c:extLst>
          </c:dPt>
          <c:dLbls>
            <c:dLbl>
              <c:idx val="0"/>
              <c:tx>
                <c:rich>
                  <a:bodyPr wrap="square" lIns="38100" tIns="19050" rIns="38100" bIns="19050" anchor="ctr">
                    <a:noAutofit/>
                  </a:bodyPr>
                  <a:lstStyle/>
                  <a:p>
                    <a:pPr>
                      <a:defRPr sz="1300"/>
                    </a:pPr>
                    <a:fld id="{53E6E201-FCE2-4EEE-9C7C-92AF36ED46E4}" type="CELLRANGE">
                      <a:rPr lang="en-US" sz="1300" baseline="0"/>
                      <a:pPr>
                        <a:defRPr sz="1300"/>
                      </a:pPr>
                      <a:t>[CELLRANGE]</a:t>
                    </a:fld>
                    <a:r>
                      <a:rPr lang="en-US" sz="1300" baseline="0"/>
                      <a:t>, </a:t>
                    </a:r>
                    <a:fld id="{44B92C70-7F24-41E3-8304-061DD92CBDCD}" type="SERIESNAME">
                      <a:rPr lang="en-US" sz="1300" baseline="0"/>
                      <a:pPr>
                        <a:defRPr sz="1300"/>
                      </a:pPr>
                      <a:t>[SERIES NAME]</a:t>
                    </a:fld>
                    <a:r>
                      <a:rPr lang="en-US" sz="1300" baseline="0"/>
                      <a:t>, </a:t>
                    </a:r>
                    <a:fld id="{FC0E0D09-3DE7-4F16-AB3C-C61E59AC71AD}"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4-DE08-41A2-8DC7-E006361FE7A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'W5'!$I$74:$J$74</c15:sqref>
                  </c15:fullRef>
                </c:ext>
              </c:extLst>
              <c:f>'W5'!$I$74</c:f>
              <c:numCache>
                <c:formatCode>0.0%;\-0.0.%;</c:formatCode>
                <c:ptCount val="1"/>
                <c:pt idx="0" formatCode="#,##0_);\(#,##0\);;">
                  <c:v>506.99203922249029</c:v>
                </c:pt>
              </c:numCache>
            </c:numRef>
          </c:val>
          <c:extLst>
            <c:ext xmlns:c15="http://schemas.microsoft.com/office/drawing/2012/chart" uri="{02D57815-91ED-43cb-92C2-25804820EDAC}">
              <c15:datalabelsRange>
                <c15:f>'W5'!$J$74</c15:f>
                <c15:dlblRangeCache>
                  <c:ptCount val="1"/>
                  <c:pt idx="0">
                    <c:v>30.4%</c:v>
                  </c:pt>
                </c15:dlblRangeCache>
              </c15:datalabelsRange>
            </c:ext>
            <c:ext xmlns:c16="http://schemas.microsoft.com/office/drawing/2014/chart" uri="{C3380CC4-5D6E-409C-BE32-E72D297353CC}">
              <c16:uniqueId val="{00000005-DE08-41A2-8DC7-E006361FE7AC}"/>
            </c:ext>
          </c:extLst>
        </c:ser>
        <c:ser>
          <c:idx val="9"/>
          <c:order val="13"/>
          <c:tx>
            <c:strRef>
              <c:f>'W5'!$D$84</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7F911953-E8D5-4480-8DF0-80EBCCCA9206}" type="CELLRANGE">
                      <a:rPr lang="en-US" baseline="0"/>
                      <a:pPr>
                        <a:defRPr/>
                      </a:pPr>
                      <a:t>[CELLRANGE]</a:t>
                    </a:fld>
                    <a:r>
                      <a:rPr lang="en-US" baseline="0"/>
                      <a:t>, </a:t>
                    </a:r>
                    <a:fld id="{7571FDB6-24FF-4A84-82AE-E4171A4A9C42}" type="SERIESNAME">
                      <a:rPr lang="en-US" baseline="0"/>
                      <a:pPr>
                        <a:defRPr/>
                      </a:pPr>
                      <a:t>[SERIES NAME]</a:t>
                    </a:fld>
                    <a:r>
                      <a:rPr lang="en-US" baseline="0"/>
                      <a:t>, </a:t>
                    </a:r>
                    <a:fld id="{A6D50C84-2FBC-42E4-8967-37F000D78550}"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646158713225886"/>
                      <c:h val="0.11801567883357468"/>
                    </c:manualLayout>
                  </c15:layout>
                  <c15:dlblFieldTable/>
                  <c15:showDataLabelsRange val="1"/>
                </c:ext>
                <c:ext xmlns:c16="http://schemas.microsoft.com/office/drawing/2014/chart" uri="{C3380CC4-5D6E-409C-BE32-E72D297353CC}">
                  <c16:uniqueId val="{00000006-DE08-41A2-8DC7-E006361FE7A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'W5'!$I$84:$J$84</c15:sqref>
                  </c15:fullRef>
                </c:ext>
              </c:extLst>
              <c:f>'W5'!$I$84</c:f>
              <c:numCache>
                <c:formatCode>0.0%;\-0.0.%;</c:formatCode>
                <c:ptCount val="1"/>
                <c:pt idx="0" formatCode="#,##0_);\(#,##0\);;">
                  <c:v>21.354280327544942</c:v>
                </c:pt>
              </c:numCache>
            </c:numRef>
          </c:val>
          <c:extLst>
            <c:ext xmlns:c15="http://schemas.microsoft.com/office/drawing/2012/chart" uri="{02D57815-91ED-43cb-92C2-25804820EDAC}">
              <c15:datalabelsRange>
                <c15:f>'W5'!$J$84</c15:f>
                <c15:dlblRangeCache>
                  <c:ptCount val="1"/>
                  <c:pt idx="0">
                    <c:v>1.3%</c:v>
                  </c:pt>
                </c15:dlblRangeCache>
              </c15:datalabelsRange>
            </c:ext>
            <c:ext xmlns:c16="http://schemas.microsoft.com/office/drawing/2014/chart" uri="{C3380CC4-5D6E-409C-BE32-E72D297353CC}">
              <c16:uniqueId val="{00000007-DE08-41A2-8DC7-E006361FE7AC}"/>
            </c:ext>
          </c:extLst>
        </c:ser>
        <c:ser>
          <c:idx val="12"/>
          <c:order val="14"/>
          <c:tx>
            <c:strRef>
              <c:f>'W5'!$D$85</c:f>
              <c:strCache>
                <c:ptCount val="1"/>
                <c:pt idx="0">
                  <c:v>Lợi nhuận</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FF6E4147-A9AA-43BB-A1F0-B8975C8957FB}"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D91263A7-9C5C-4B91-AA3C-CB474D54EC65}"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1A22E717-9961-46F0-9146-95535EE73638}"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8-DE08-41A2-8DC7-E006361FE7A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'W5'!$I$85:$J$85</c15:sqref>
                  </c15:fullRef>
                </c:ext>
              </c:extLst>
              <c:f>'W5'!$I$85</c:f>
              <c:numCache>
                <c:formatCode>0.0%;\-0.0.%;</c:formatCode>
                <c:ptCount val="1"/>
                <c:pt idx="0" formatCode="#,##0_);\(#,##0\);;">
                  <c:v>85.417121310179766</c:v>
                </c:pt>
              </c:numCache>
            </c:numRef>
          </c:val>
          <c:extLst>
            <c:ext xmlns:c15="http://schemas.microsoft.com/office/drawing/2012/chart" uri="{02D57815-91ED-43cb-92C2-25804820EDAC}">
              <c15:datalabelsRange>
                <c15:f>'W5'!$J$85</c15:f>
                <c15:dlblRangeCache>
                  <c:ptCount val="1"/>
                  <c:pt idx="0">
                    <c:v>5.1%</c:v>
                  </c:pt>
                </c15:dlblRangeCache>
              </c15:datalabelsRange>
            </c:ext>
            <c:ext xmlns:c16="http://schemas.microsoft.com/office/drawing/2014/chart" uri="{C3380CC4-5D6E-409C-BE32-E72D297353CC}">
              <c16:uniqueId val="{00000009-DE08-41A2-8DC7-E006361FE7A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4.6586681858082294E-3"/>
                        <c:y val="3.404684255748085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1171846A-D322-4C09-BF86-8F0BA21AF998}"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A6C3B5CE-177F-493F-B71B-90C33D50C064}"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8B431FD4-014C-4063-9551-6267A67613F0}"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A-DE08-41A2-8DC7-E006361FE7A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'W5'!$I$70:$J$70</c15:sqref>
                        </c15:fullRef>
                        <c15:formulaRef>
                          <c15:sqref>'W5'!$I$70</c15:sqref>
                        </c15:formulaRef>
                      </c:ext>
                    </c:extLst>
                    <c:strCache>
                      <c:ptCount val="1"/>
                      <c:pt idx="0">
                        <c:v>Chi phí
USD/tấn</c:v>
                      </c:pt>
                    </c:strCache>
                  </c:strRef>
                </c:cat>
                <c:val>
                  <c:numRef>
                    <c:extLst>
                      <c:ext uri="{02D57815-91ED-43cb-92C2-25804820EDAC}">
                        <c15:fullRef>
                          <c15:sqref>'W5'!$I$72:$J$72</c15:sqref>
                        </c15:fullRef>
                        <c15:formulaRef>
                          <c15:sqref>'W5'!$I$72</c15:sqref>
                        </c15:formulaRef>
                      </c:ext>
                    </c:extLst>
                    <c:numCache>
                      <c:formatCode>0.0%;\-0.0.%;</c:formatCode>
                      <c:ptCount val="1"/>
                      <c:pt idx="0" formatCode="#,##0_);\(#,##0\);;">
                        <c:v>979.2</c:v>
                      </c:pt>
                    </c:numCache>
                  </c:numRef>
                </c:val>
                <c:extLst>
                  <c:ext uri="{02D57815-91ED-43cb-92C2-25804820EDAC}">
                    <c15:datalabelsRange>
                      <c15:f>'W5'!$H$73</c15:f>
                      <c15:dlblRangeCache>
                        <c:ptCount val="1"/>
                        <c:pt idx="0">
                          <c:v>4.2%</c:v>
                        </c:pt>
                      </c15:dlblRangeCache>
                    </c15:datalabelsRange>
                  </c:ext>
                  <c:ext xmlns:c16="http://schemas.microsoft.com/office/drawing/2014/chart" uri="{C3380CC4-5D6E-409C-BE32-E72D297353CC}">
                    <c16:uniqueId val="{0000000B-DE08-41A2-8DC7-E006361FE7AC}"/>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1.5579026602461784E-3"/>
                        <c:y val="-4.0856211068977029E-2"/>
                      </c:manualLayout>
                    </c:layout>
                    <c:tx>
                      <c:rich>
                        <a:bodyPr wrap="square" lIns="38100" tIns="19050" rIns="38100" bIns="19050" anchor="ctr">
                          <a:noAutofit/>
                        </a:bodyPr>
                        <a:lstStyle/>
                        <a:p>
                          <a:pPr>
                            <a:defRPr sz="1300" b="1">
                              <a:solidFill>
                                <a:srgbClr val="FF0000"/>
                              </a:solidFill>
                            </a:defRPr>
                          </a:pPr>
                          <a:fld id="{C1E0A082-3522-42D7-A584-CDB032F53533}"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FD58EF9C-E0E1-4895-ABF0-ABF3FB5B81D7}"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FD3EC334-4DDC-47A5-93CB-DAF40C901BF6}"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4715507605917757"/>
                            <c:h val="0.11584451584451586"/>
                          </c:manualLayout>
                        </c15:layout>
                        <c15:dlblFieldTable/>
                        <c15:showDataLabelsRange val="1"/>
                      </c:ext>
                      <c:ext xmlns:c16="http://schemas.microsoft.com/office/drawing/2014/chart" uri="{C3380CC4-5D6E-409C-BE32-E72D297353CC}">
                        <c16:uniqueId val="{0000000C-DE08-41A2-8DC7-E006361FE7AC}"/>
                      </c:ext>
                    </c:extLst>
                  </c:dLbl>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'W5'!$I$75:$J$75</c15:sqref>
                        </c15:fullRef>
                        <c15:formulaRef>
                          <c15:sqref>'W5'!$I$75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'W5'!$H$85</c15:f>
                      <c15:dlblRangeCache>
                        <c:ptCount val="1"/>
                        <c:pt idx="0">
                          <c:v>4.6%</c:v>
                        </c:pt>
                      </c15:dlblRangeCache>
                    </c15:datalabelsRange>
                  </c:ext>
                  <c:ext xmlns:c16="http://schemas.microsoft.com/office/drawing/2014/chart" uri="{C3380CC4-5D6E-409C-BE32-E72D297353CC}">
                    <c16:uniqueId val="{0000000D-DE08-41A2-8DC7-E006361FE7A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rgbClr val="0F9ED5">
                      <a:lumMod val="60000"/>
                      <a:lumOff val="40000"/>
                    </a:srgbClr>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'W5'!$I$76:$J$76</c15:sqref>
                        </c15:fullRef>
                        <c15:formulaRef>
                          <c15:sqref>'W5'!$I$76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E-DE08-41A2-8DC7-E006361FE7A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spPr>
                  <a:solidFill>
                    <a:srgbClr val="FFC000"/>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'W5'!$I$77:$J$77</c15:sqref>
                        </c15:fullRef>
                        <c15:formulaRef>
                          <c15:sqref>'W5'!$I$77</c15:sqref>
                        </c15:formulaRef>
                      </c:ext>
                    </c:extLst>
                    <c:numCache>
                      <c:formatCode>0.0%;\-0.0.%;</c:formatCode>
                      <c:ptCount val="1"/>
                      <c:pt idx="0" formatCode="#,##0_);\(#,##0\);;">
                        <c:v>83.967245579390948</c:v>
                      </c:pt>
                    </c:numCache>
                  </c:numRef>
                </c:val>
                <c:extLst xmlns:c15="http://schemas.microsoft.com/office/drawing/2012/chart">
                  <c:ext xmlns:c16="http://schemas.microsoft.com/office/drawing/2014/chart" uri="{C3380CC4-5D6E-409C-BE32-E72D297353CC}">
                    <c16:uniqueId val="{0000000F-DE08-41A2-8DC7-E006361FE7AC}"/>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spPr>
                  <a:solidFill>
                    <a:srgbClr val="E8E8E8">
                      <a:lumMod val="90000"/>
                    </a:srgbClr>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'W5'!$I$78:$J$78</c15:sqref>
                        </c15:fullRef>
                        <c15:formulaRef>
                          <c15:sqref>'W5'!$I$78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10-DE08-41A2-8DC7-E006361FE7AC}"/>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'W5'!$I$79:$J$79</c15:sqref>
                        </c15:fullRef>
                        <c15:formulaRef>
                          <c15:sqref>'W5'!$I$79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1-DE08-41A2-8DC7-E006361FE7AC}"/>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rgbClr val="92D050"/>
                  </a:solidFill>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'W5'!$I$80:$J$80</c15:sqref>
                        </c15:fullRef>
                        <c15:formulaRef>
                          <c15:sqref>'W5'!$I$80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2-DE08-41A2-8DC7-E006361FE7AC}"/>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'W5'!$I$81:$J$81</c15:sqref>
                        </c15:fullRef>
                        <c15:formulaRef>
                          <c15:sqref>'W5'!$I$81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DE08-41A2-8DC7-E006361FE7AC}"/>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'W5'!$I$82:$J$82</c15:sqref>
                        </c15:fullRef>
                        <c15:formulaRef>
                          <c15:sqref>'W5'!$I$82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DE08-41A2-8DC7-E006361FE7AC}"/>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'W5'!$I$83:$J$83</c15:sqref>
                        </c15:fullRef>
                        <c15:formulaRef>
                          <c15:sqref>'W5'!$I$83</c15:sqref>
                        </c15:formulaRef>
                      </c:ext>
                    </c:extLst>
                    <c:numCache>
                      <c:formatCode>0.0%;\-0.0.%;</c:formatCode>
                      <c:ptCount val="1"/>
                      <c:pt idx="0" formatCode="#,##0_);\(#,##0\);;">
                        <c:v>1559.895265028942</c:v>
                      </c:pt>
                    </c:numCache>
                  </c:numRef>
                </c:val>
                <c:extLst xmlns:c15="http://schemas.microsoft.com/office/drawing/2012/chart">
                  <c:ext xmlns:c16="http://schemas.microsoft.com/office/drawing/2014/chart" uri="{C3380CC4-5D6E-409C-BE32-E72D297353CC}">
                    <c16:uniqueId val="{00000015-DE08-41A2-8DC7-E006361FE7A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'W5'!$I$86:$J$86</c15:sqref>
                        </c15:fullRef>
                        <c15:formulaRef>
                          <c15:sqref>'W5'!$I$86</c15:sqref>
                        </c15:formulaRef>
                      </c:ext>
                    </c:extLst>
                    <c:numCache>
                      <c:formatCode>0.0%;\-0.0.%;</c:formatCode>
                      <c:ptCount val="1"/>
                      <c:pt idx="0" formatCode="#,##0_);\(#,##0\);;">
                        <c:v>1666.6666666666667</c:v>
                      </c:pt>
                    </c:numCache>
                  </c:numRef>
                </c:val>
                <c:extLst xmlns:c15="http://schemas.microsoft.com/office/drawing/2012/chart">
                  <c:ext xmlns:c16="http://schemas.microsoft.com/office/drawing/2014/chart" uri="{C3380CC4-5D6E-409C-BE32-E72D297353CC}">
                    <c16:uniqueId val="{00000016-DE08-41A2-8DC7-E006361FE7A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'W5'!$I$87:$J$87</c15:sqref>
                        </c15:fullRef>
                        <c15:formulaRef>
                          <c15:sqref>'W5'!$I$87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DE08-41A2-8DC7-E006361FE7A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A9195DB4-1233-4BE4-895B-7D4EC9742988}"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D375997A-B2C2-4D11-82DC-DDD08C58B3C1}"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4DDA320C-FD74-4693-A956-5C7C544C129E}"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A153-4204-A5BB-5F73B572D4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'W5'!$K$49:$L$49</c15:sqref>
                  </c15:fullRef>
                </c:ext>
              </c:extLst>
              <c:f>'W5'!$K$49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'W5'!$L$49</c15:f>
                <c15:dlblRangeCache>
                  <c:ptCount val="1"/>
                  <c:pt idx="0">
                    <c:v>58.8%</c:v>
                  </c:pt>
                </c15:dlblRangeCache>
              </c15:datalabelsRange>
            </c:ext>
            <c:ext xmlns:c16="http://schemas.microsoft.com/office/drawing/2014/chart" uri="{C3380CC4-5D6E-409C-BE32-E72D297353CC}">
              <c16:uniqueId val="{00000001-A153-4204-A5BB-5F73B572D417}"/>
            </c:ext>
          </c:extLst>
        </c:ser>
        <c:ser>
          <c:idx val="14"/>
          <c:order val="2"/>
          <c:tx>
            <c:strRef>
              <c:f>'W5'!$D$51</c:f>
              <c:strCache>
                <c:ptCount val="1"/>
                <c:pt idx="0">
                  <c:v>Hao hụt về tiền</c:v>
                </c:pt>
              </c:strCache>
            </c:strRef>
          </c:tx>
          <c:spPr>
            <a:solidFill>
              <a:srgbClr val="FFC000"/>
            </a:solidFill>
            <a:ln>
              <a:noFill/>
            </a:ln>
            <a:effectLst/>
          </c:spPr>
          <c:invertIfNegative val="0"/>
          <c:dLbls>
            <c:dLbl>
              <c:idx val="0"/>
              <c:layout>
                <c:manualLayout>
                  <c:x val="-1.3485188769027651E-7"/>
                  <c:y val="1.012026293173866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9453BF4-B166-4B2E-A4B4-C72EC01D6D6D}"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4E9F6DEB-260D-4FA6-B30F-3BEF406E9D93}"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40CE857A-8952-4A77-98F0-4211331073DD}"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51204282183"/>
                      <c:h val="0.10783874934026985"/>
                    </c:manualLayout>
                  </c15:layout>
                  <c15:dlblFieldTable/>
                  <c15:showDataLabelsRange val="1"/>
                </c:ext>
                <c:ext xmlns:c16="http://schemas.microsoft.com/office/drawing/2014/chart" uri="{C3380CC4-5D6E-409C-BE32-E72D297353CC}">
                  <c16:uniqueId val="{00000002-A153-4204-A5BB-5F73B572D41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'W5'!$K$51:$L$51</c15:sqref>
                  </c15:fullRef>
                </c:ext>
              </c:extLst>
              <c:f>'W5'!$K$51</c:f>
              <c:numCache>
                <c:formatCode>0.0%;\-0.0.%;</c:formatCode>
                <c:ptCount val="1"/>
                <c:pt idx="0" formatCode="#,##0_);\(#,##0\);;">
                  <c:v>28.744258064516178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'W5'!$L$51</c15:f>
                <c15:dlblRangeCache>
                  <c:ptCount val="1"/>
                  <c:pt idx="0">
                    <c:v>4.4%</c:v>
                  </c:pt>
                </c15:dlblRangeCache>
              </c15:datalabelsRange>
            </c:ext>
            <c:ext xmlns:c16="http://schemas.microsoft.com/office/drawing/2014/chart" uri="{C3380CC4-5D6E-409C-BE32-E72D297353CC}">
              <c16:uniqueId val="{00000003-A153-4204-A5BB-5F73B572D417}"/>
            </c:ext>
          </c:extLst>
        </c:ser>
        <c:ser>
          <c:idx val="11"/>
          <c:order val="3"/>
          <c:tx>
            <c:strRef>
              <c:f>'W5'!$D$52</c:f>
              <c:strCache>
                <c:ptCount val="1"/>
                <c:pt idx="0">
                  <c:v>Chi phí biến đổi</c:v>
                </c:pt>
              </c:strCache>
            </c:strRef>
          </c:tx>
          <c:spPr>
            <a:solidFill>
              <a:schemeClr val="bg2">
                <a:lumMod val="90000"/>
              </a:schemeClr>
            </a:solidFill>
          </c:spPr>
          <c:invertIfNegative val="0"/>
          <c:dLbls>
            <c:dLbl>
              <c:idx val="0"/>
              <c:layout>
                <c:manualLayout>
                  <c:x val="-1.5903144857800155E-2"/>
                  <c:y val="-5.0597681627987468E-3"/>
                </c:manualLayout>
              </c:layout>
              <c:tx>
                <c:rich>
                  <a:bodyPr wrap="square" lIns="38100" tIns="19050" rIns="38100" bIns="19050" anchor="ctr">
                    <a:noAutofit/>
                  </a:bodyPr>
                  <a:lstStyle/>
                  <a:p>
                    <a:pPr>
                      <a:defRPr sz="1300"/>
                    </a:pPr>
                    <a:fld id="{E33E46E6-B2AC-4E07-A047-8A539BA1CB57}" type="CELLRANGE">
                      <a:rPr lang="en-US" sz="1300" baseline="0"/>
                      <a:pPr>
                        <a:defRPr sz="1300"/>
                      </a:pPr>
                      <a:t>[CELLRANGE]</a:t>
                    </a:fld>
                    <a:r>
                      <a:rPr lang="en-US" sz="1300" baseline="0"/>
                      <a:t>, </a:t>
                    </a:r>
                    <a:fld id="{580E1E35-EBDC-49EF-BC90-5C45F3720985}" type="SERIESNAME">
                      <a:rPr lang="en-US" sz="1300" baseline="0"/>
                      <a:pPr>
                        <a:defRPr sz="1300"/>
                      </a:pPr>
                      <a:t>[SERIES NAME]</a:t>
                    </a:fld>
                    <a:r>
                      <a:rPr lang="en-US" sz="1300" baseline="0"/>
                      <a:t>, </a:t>
                    </a:r>
                    <a:fld id="{3B58E746-A729-46FE-92A9-96A0C918E876}"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468382792438712"/>
                      <c:h val="0.12342604395402992"/>
                    </c:manualLayout>
                  </c15:layout>
                  <c15:dlblFieldTable/>
                  <c15:showDataLabelsRange val="1"/>
                </c:ext>
                <c:ext xmlns:c16="http://schemas.microsoft.com/office/drawing/2014/chart" uri="{C3380CC4-5D6E-409C-BE32-E72D297353CC}">
                  <c16:uniqueId val="{00000004-A153-4204-A5BB-5F73B572D41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'W5'!$K$52:$L$52</c15:sqref>
                  </c15:fullRef>
                </c:ext>
              </c:extLst>
              <c:f>'W5'!$K$52</c:f>
              <c:numCache>
                <c:formatCode>0.0%;\-0.0.%;</c:formatCode>
                <c:ptCount val="1"/>
                <c:pt idx="0" formatCode="#,##0_);\(#,##0\);;">
                  <c:v>229.92620690971106</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'W5'!$L$52</c15:f>
                <c15:dlblRangeCache>
                  <c:ptCount val="1"/>
                  <c:pt idx="0">
                    <c:v>35.4%</c:v>
                  </c:pt>
                </c15:dlblRangeCache>
              </c15:datalabelsRange>
            </c:ext>
            <c:ext xmlns:c16="http://schemas.microsoft.com/office/drawing/2014/chart" uri="{C3380CC4-5D6E-409C-BE32-E72D297353CC}">
              <c16:uniqueId val="{00000005-A153-4204-A5BB-5F73B572D417}"/>
            </c:ext>
          </c:extLst>
        </c:ser>
        <c:ser>
          <c:idx val="10"/>
          <c:order val="13"/>
          <c:tx>
            <c:strRef>
              <c:f>'W5'!$D$62</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DE8D3028-AEF6-4709-86E9-3B4AF0DDD0C5}" type="CELLRANGE">
                      <a:rPr lang="en-US" baseline="0"/>
                      <a:pPr>
                        <a:defRPr/>
                      </a:pPr>
                      <a:t>[CELLRANGE]</a:t>
                    </a:fld>
                    <a:r>
                      <a:rPr lang="en-US" baseline="0"/>
                      <a:t>, </a:t>
                    </a:r>
                    <a:fld id="{6436FBDF-1FBD-4124-9AC7-5344608A47BE}" type="SERIESNAME">
                      <a:rPr lang="en-US" baseline="0"/>
                      <a:pPr>
                        <a:defRPr/>
                      </a:pPr>
                      <a:t>[SERIES NAME]</a:t>
                    </a:fld>
                    <a:r>
                      <a:rPr lang="en-US" baseline="0"/>
                      <a:t>, </a:t>
                    </a:r>
                    <a:fld id="{EA8B41AE-5E13-432A-8F38-6D7039403E8F}"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6034283558117095"/>
                      <c:h val="0.13095367426185264"/>
                    </c:manualLayout>
                  </c15:layout>
                  <c15:dlblFieldTable/>
                  <c15:showDataLabelsRange val="1"/>
                </c:ext>
                <c:ext xmlns:c16="http://schemas.microsoft.com/office/drawing/2014/chart" uri="{C3380CC4-5D6E-409C-BE32-E72D297353CC}">
                  <c16:uniqueId val="{00000006-A153-4204-A5BB-5F73B572D41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'W5'!$K$62:$L$62</c15:sqref>
                  </c15:fullRef>
                </c:ext>
              </c:extLst>
              <c:f>'W5'!$K$62</c:f>
              <c:numCache>
                <c:formatCode>0.0%;\-0.0.%;</c:formatCode>
                <c:ptCount val="1"/>
                <c:pt idx="0" formatCode="#,##0_);\(#,##0\);;">
                  <c:v>1.8883070051545474</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'W5'!$L$62</c15:f>
                <c15:dlblRangeCache>
                  <c:ptCount val="1"/>
                  <c:pt idx="0">
                    <c:v>0.3%</c:v>
                  </c:pt>
                </c15:dlblRangeCache>
              </c15:datalabelsRange>
            </c:ext>
            <c:ext xmlns:c16="http://schemas.microsoft.com/office/drawing/2014/chart" uri="{C3380CC4-5D6E-409C-BE32-E72D297353CC}">
              <c16:uniqueId val="{00000007-A153-4204-A5BB-5F73B572D417}"/>
            </c:ext>
          </c:extLst>
        </c:ser>
        <c:ser>
          <c:idx val="13"/>
          <c:order val="14"/>
          <c:tx>
            <c:strRef>
              <c:f>'W5'!$D$63</c:f>
              <c:strCache>
                <c:ptCount val="1"/>
                <c:pt idx="0">
                  <c:v>Lợi nhuận</c:v>
                </c:pt>
              </c:strCache>
            </c:strRef>
          </c:tx>
          <c:spPr>
            <a:solidFill>
              <a:srgbClr val="92D050"/>
            </a:solidFill>
          </c:spPr>
          <c:invertIfNegative val="0"/>
          <c:dLbls>
            <c:dLbl>
              <c:idx val="0"/>
              <c:layout>
                <c:manualLayout>
                  <c:x val="-1.8139782217428624E-2"/>
                  <c:y val="-6.5780439157808512E-2"/>
                </c:manualLayout>
              </c:layout>
              <c:tx>
                <c:rich>
                  <a:bodyPr wrap="square" lIns="38100" tIns="19050" rIns="38100" bIns="19050" anchor="ctr">
                    <a:noAutofit/>
                  </a:bodyPr>
                  <a:lstStyle/>
                  <a:p>
                    <a:pPr>
                      <a:defRPr sz="1300" b="1">
                        <a:solidFill>
                          <a:srgbClr val="FF0000"/>
                        </a:solidFill>
                      </a:defRPr>
                    </a:pPr>
                    <a:fld id="{3D0456C3-06B3-4F80-B833-3EDBA1EE42AA}"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7EEA98AF-2EAA-47C4-B7CC-CDA7DD4316C0}"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AE87B656-2DDB-45F3-9AD4-5986375B9971}"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519582733668811"/>
                      <c:h val="0.10396682742787991"/>
                    </c:manualLayout>
                  </c15:layout>
                  <c15:dlblFieldTable/>
                  <c15:showDataLabelsRange val="1"/>
                </c:ext>
                <c:ext xmlns:c16="http://schemas.microsoft.com/office/drawing/2014/chart" uri="{C3380CC4-5D6E-409C-BE32-E72D297353CC}">
                  <c16:uniqueId val="{00000008-A153-4204-A5BB-5F73B572D41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'W5'!$K$63:$L$63</c15:sqref>
                  </c15:fullRef>
                </c:ext>
              </c:extLst>
              <c:f>'W5'!$K$63</c:f>
              <c:numCache>
                <c:formatCode>0.0%;\-0.0.%;</c:formatCode>
                <c:ptCount val="1"/>
                <c:pt idx="0" formatCode="#,##0_);\(#,##0\);;">
                  <c:v>7.5532280206181897</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'W5'!$L$63</c15:f>
                <c15:dlblRangeCache>
                  <c:ptCount val="1"/>
                  <c:pt idx="0">
                    <c:v>1.2%</c:v>
                  </c:pt>
                </c15:dlblRangeCache>
              </c15:datalabelsRange>
            </c:ext>
            <c:ext xmlns:c16="http://schemas.microsoft.com/office/drawing/2014/chart" uri="{C3380CC4-5D6E-409C-BE32-E72D297353CC}">
              <c16:uniqueId val="{00000009-A153-4204-A5BB-5F73B572D417}"/>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4FEDF2A-2B3C-488A-ADF8-17247EDC4765}"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36B44BE3-5C03-461F-8AF9-80C0B5B54F39}"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E413F1AD-7095-4170-9D86-F1FE2112D997}"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A153-4204-A5BB-5F73B572D41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'W5'!$K$50:$L$50</c15:sqref>
                        </c15:fullRef>
                        <c15:formulaRef>
                          <c15:sqref>'W5'!$K$50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uri="{02D57815-91ED-43cb-92C2-25804820EDAC}">
                    <c15:datalabelsRange>
                      <c15:f>'W5'!$H$51</c15:f>
                      <c15:dlblRangeCache>
                        <c:ptCount val="1"/>
                        <c:pt idx="0">
                          <c:v>4.2%</c:v>
                        </c:pt>
                      </c15:dlblRangeCache>
                    </c15:datalabelsRange>
                  </c:ext>
                  <c:ext xmlns:c16="http://schemas.microsoft.com/office/drawing/2014/chart" uri="{C3380CC4-5D6E-409C-BE32-E72D297353CC}">
                    <c16:uniqueId val="{0000000B-A153-4204-A5BB-5F73B572D417}"/>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AD643118-18EA-421E-8586-B95E0782EE4C}" type="CELLRANGE">
                            <a:rPr lang="en-US" baseline="0"/>
                            <a:pPr>
                              <a:defRPr sz="1300" b="1">
                                <a:solidFill>
                                  <a:srgbClr val="FF0000"/>
                                </a:solidFill>
                              </a:defRPr>
                            </a:pPr>
                            <a:t>[CELLRANGE]</a:t>
                          </a:fld>
                          <a:r>
                            <a:rPr lang="en-US" baseline="0"/>
                            <a:t>, </a:t>
                          </a:r>
                          <a:fld id="{FC7D0622-5550-4D5E-8376-32AD88F77809}" type="SERIESNAME">
                            <a:rPr lang="en-US" baseline="0"/>
                            <a:pPr>
                              <a:defRPr sz="1300" b="1">
                                <a:solidFill>
                                  <a:srgbClr val="FF0000"/>
                                </a:solidFill>
                              </a:defRPr>
                            </a:pPr>
                            <a:t>[SERIES NAME]</a:t>
                          </a:fld>
                          <a:r>
                            <a:rPr lang="en-US" baseline="0"/>
                            <a:t>, </a:t>
                          </a:r>
                          <a:fld id="{5F69FB81-4DFC-4C2A-8697-14E96960520B}"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A153-4204-A5BB-5F73B572D417}"/>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'W5'!$K$53:$L$53</c15:sqref>
                        </c15:fullRef>
                        <c15:formulaRef>
                          <c15:sqref>'W5'!$K$53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'W5'!$H$63</c15:f>
                      <c15:dlblRangeCache>
                        <c:ptCount val="1"/>
                        <c:pt idx="0">
                          <c:v>4.6%</c:v>
                        </c:pt>
                      </c15:dlblRangeCache>
                    </c15:datalabelsRange>
                  </c:ext>
                  <c:ext xmlns:c16="http://schemas.microsoft.com/office/drawing/2014/chart" uri="{C3380CC4-5D6E-409C-BE32-E72D297353CC}">
                    <c16:uniqueId val="{0000000D-A153-4204-A5BB-5F73B572D417}"/>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'W5'!$K$54:$L$54</c15:sqref>
                        </c15:fullRef>
                        <c15:formulaRef>
                          <c15:sqref>'W5'!$K$54</c15:sqref>
                        </c15:formulaRef>
                      </c:ext>
                    </c:extLst>
                    <c:numCache>
                      <c:formatCode>0.0%;\-0.0.%;</c:formatCode>
                      <c:ptCount val="1"/>
                      <c:pt idx="0" formatCode="#,##0_);\(#,##0\);;">
                        <c:v>75.221841779627511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0E-A153-4204-A5BB-5F73B572D417}"/>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'W5'!$K$55:$L$55</c15:sqref>
                        </c15:fullRef>
                        <c15:formulaRef>
                          <c15:sqref>'W5'!$K$55</c15:sqref>
                        </c15:formulaRef>
                      </c:ext>
                    </c:extLst>
                    <c:numCache>
                      <c:formatCode>0.0%;\-0.0.%;</c:formatCode>
                      <c:ptCount val="1"/>
                      <c:pt idx="0" formatCode="#,##0_);\(#,##0\);;">
                        <c:v>49.080017572979045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0F-A153-4204-A5BB-5F73B572D417}"/>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'W5'!$K$56:$L$56</c15:sqref>
                        </c15:fullRef>
                        <c15:formulaRef>
                          <c15:sqref>'W5'!$K$56</c15:sqref>
                        </c15:formulaRef>
                      </c:ext>
                    </c:extLst>
                    <c:numCache>
                      <c:formatCode>0.0%;\-0.0.%;</c:formatCode>
                      <c:ptCount val="1"/>
                      <c:pt idx="0" formatCode="#,##0_);\(#,##0\);;">
                        <c:v>52.924243679977039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0-A153-4204-A5BB-5F73B572D417}"/>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'W5'!$K$57:$L$57</c15:sqref>
                        </c15:fullRef>
                        <c15:formulaRef>
                          <c15:sqref>'W5'!$K$57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1-A153-4204-A5BB-5F73B572D417}"/>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'W5'!$K$58:$L$58</c15:sqref>
                        </c15:fullRef>
                        <c15:formulaRef>
                          <c15:sqref>'W5'!$K$58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2-A153-4204-A5BB-5F73B572D417}"/>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'W5'!$K$59:$L$59</c15:sqref>
                        </c15:fullRef>
                        <c15:formulaRef>
                          <c15:sqref>'W5'!$K$59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3-A153-4204-A5BB-5F73B572D417}"/>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'W5'!$K$60:$L$60</c15:sqref>
                        </c15:fullRef>
                        <c15:formulaRef>
                          <c15:sqref>'W5'!$K$60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4-A153-4204-A5BB-5F73B572D417}"/>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'W5'!$K$61:$L$61</c15:sqref>
                        </c15:fullRef>
                        <c15:formulaRef>
                          <c15:sqref>'W5'!$K$61</c15:sqref>
                        </c15:formulaRef>
                      </c:ext>
                    </c:extLst>
                    <c:numCache>
                      <c:formatCode>0.0%;\-0.0.%;</c:formatCode>
                      <c:ptCount val="1"/>
                      <c:pt idx="0" formatCode="#,##0_);\(#,##0\);;">
                        <c:v>640.55846497422726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5-A153-4204-A5BB-5F73B572D417}"/>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'W5'!$K$64:$L$64</c15:sqref>
                        </c15:fullRef>
                        <c15:formulaRef>
                          <c15:sqref>'W5'!$K$64</c15:sqref>
                        </c15:formulaRef>
                      </c:ext>
                    </c:extLst>
                    <c:numCache>
                      <c:formatCode>0.0%;\-0.0.%;</c:formatCode>
                      <c:ptCount val="1"/>
                      <c:pt idx="0" formatCode="#,##0_);\(#,##0\);;">
                        <c:v>650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6-A153-4204-A5BB-5F73B572D417}"/>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'W5'!$K$65:$L$65</c15:sqref>
                        </c15:fullRef>
                        <c15:formulaRef>
                          <c15:sqref>'W5'!$K$65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7-A153-4204-A5BB-5F73B572D417}"/>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38E3A96-3CFA-4DD3-BCB1-DC7B531C3124}"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F34175FC-49BA-4A4F-937A-44EC4A0F91A4}"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49DF84AC-A18A-4657-A3E6-1C15EB9D5FC8}"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39B8-4E2A-9789-55E4F6CB135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'W5'!$K$71:$L$71</c15:sqref>
                  </c15:fullRef>
                </c:ext>
              </c:extLst>
              <c:f>'W5'!$K$71</c:f>
              <c:numCache>
                <c:formatCode>0.0%;\-0.0.%;</c:formatCode>
                <c:ptCount val="1"/>
                <c:pt idx="0" formatCode="#,##0_);\(#,##0\);;">
                  <c:v>979.2</c:v>
                </c:pt>
              </c:numCache>
            </c:numRef>
          </c:val>
          <c:extLst>
            <c:ext xmlns:c15="http://schemas.microsoft.com/office/drawing/2012/chart" uri="{02D57815-91ED-43cb-92C2-25804820EDAC}">
              <c15:datalabelsRange>
                <c15:f>'W5'!$L$71</c15:f>
                <c15:dlblRangeCache>
                  <c:ptCount val="1"/>
                  <c:pt idx="0">
                    <c:v>58.8%</c:v>
                  </c:pt>
                </c15:dlblRangeCache>
              </c15:datalabelsRange>
            </c:ext>
            <c:ext xmlns:c16="http://schemas.microsoft.com/office/drawing/2014/chart" uri="{C3380CC4-5D6E-409C-BE32-E72D297353CC}">
              <c16:uniqueId val="{00000001-39B8-4E2A-9789-55E4F6CB135C}"/>
            </c:ext>
          </c:extLst>
        </c:ser>
        <c:ser>
          <c:idx val="10"/>
          <c:order val="2"/>
          <c:tx>
            <c:strRef>
              <c:f>'W5'!$D$73</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2-39B8-4E2A-9789-55E4F6CB135C}"/>
              </c:ext>
            </c:extLst>
          </c:dPt>
          <c:dLbls>
            <c:dLbl>
              <c:idx val="0"/>
              <c:layout>
                <c:manualLayout>
                  <c:x val="-9.1416791105074242E-3"/>
                  <c:y val="-1.0227993284335027E-2"/>
                </c:manualLayout>
              </c:layout>
              <c:tx>
                <c:rich>
                  <a:bodyPr wrap="square" lIns="38100" tIns="19050" rIns="38100" bIns="19050" anchor="ctr">
                    <a:noAutofit/>
                  </a:bodyPr>
                  <a:lstStyle/>
                  <a:p>
                    <a:pPr>
                      <a:defRPr sz="1100"/>
                    </a:pPr>
                    <a:fld id="{2AFFE515-6C3E-4893-B58F-788A992D556B}" type="CELLRANGE">
                      <a:rPr lang="en-US" sz="1100" baseline="0"/>
                      <a:pPr>
                        <a:defRPr sz="1100"/>
                      </a:pPr>
                      <a:t>[CELLRANGE]</a:t>
                    </a:fld>
                    <a:r>
                      <a:rPr lang="en-US" sz="1100" baseline="0"/>
                      <a:t>, </a:t>
                    </a:r>
                    <a:fld id="{A2A2C711-CFA1-4E21-8AC5-A3405128707E}" type="SERIESNAME">
                      <a:rPr lang="en-US" sz="1100" baseline="0"/>
                      <a:pPr>
                        <a:defRPr sz="1100"/>
                      </a:pPr>
                      <a:t>[SERIES NAME]</a:t>
                    </a:fld>
                    <a:r>
                      <a:rPr lang="en-US" sz="1100" baseline="0"/>
                      <a:t>, </a:t>
                    </a:r>
                    <a:fld id="{9DC21334-D0B3-4DF6-B4D4-422EA0812A0E}"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2-39B8-4E2A-9789-55E4F6CB135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'W5'!$K$73:$L$73</c15:sqref>
                  </c15:fullRef>
                </c:ext>
              </c:extLst>
              <c:f>'W5'!$K$73</c:f>
              <c:numCache>
                <c:formatCode>0.0%;\-0.0.%;</c:formatCode>
                <c:ptCount val="1"/>
                <c:pt idx="0" formatCode="#,##0_);\(#,##0\);;">
                  <c:v>73.703225806451741</c:v>
                </c:pt>
              </c:numCache>
            </c:numRef>
          </c:val>
          <c:extLst>
            <c:ext xmlns:c15="http://schemas.microsoft.com/office/drawing/2012/chart" uri="{02D57815-91ED-43cb-92C2-25804820EDAC}">
              <c15:datalabelsRange>
                <c15:f>'W5'!$L$73</c15:f>
                <c15:dlblRangeCache>
                  <c:ptCount val="1"/>
                  <c:pt idx="0">
                    <c:v>4.4%</c:v>
                  </c:pt>
                </c15:dlblRangeCache>
              </c15:datalabelsRange>
            </c:ext>
            <c:ext xmlns:c16="http://schemas.microsoft.com/office/drawing/2014/chart" uri="{C3380CC4-5D6E-409C-BE32-E72D297353CC}">
              <c16:uniqueId val="{00000003-39B8-4E2A-9789-55E4F6CB135C}"/>
            </c:ext>
          </c:extLst>
        </c:ser>
        <c:ser>
          <c:idx val="9"/>
          <c:order val="3"/>
          <c:tx>
            <c:strRef>
              <c:f>'W5'!$D$74</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C42E085D-FD0B-4D2D-9957-A0AC9275B8FA}" type="CELLRANGE">
                      <a:rPr lang="en-US" sz="1300" baseline="0"/>
                      <a:pPr>
                        <a:defRPr sz="1300"/>
                      </a:pPr>
                      <a:t>[CELLRANGE]</a:t>
                    </a:fld>
                    <a:r>
                      <a:rPr lang="en-US" sz="1300" baseline="0"/>
                      <a:t>, </a:t>
                    </a:r>
                    <a:fld id="{48ADA1CB-6CF5-4A42-81CD-6C34D6B6394B}" type="SERIESNAME">
                      <a:rPr lang="en-US" sz="1300" baseline="0"/>
                      <a:pPr>
                        <a:defRPr sz="1300"/>
                      </a:pPr>
                      <a:t>[SERIES NAME]</a:t>
                    </a:fld>
                    <a:r>
                      <a:rPr lang="en-US" sz="1300" baseline="0"/>
                      <a:t>, </a:t>
                    </a:r>
                    <a:fld id="{7DC38BF6-ABB2-4115-A1F8-1F982FC1B2FF}"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413242046109337"/>
                      <c:h val="0.15551881304325182"/>
                    </c:manualLayout>
                  </c15:layout>
                  <c15:dlblFieldTable/>
                  <c15:showDataLabelsRange val="1"/>
                </c:ext>
                <c:ext xmlns:c16="http://schemas.microsoft.com/office/drawing/2014/chart" uri="{C3380CC4-5D6E-409C-BE32-E72D297353CC}">
                  <c16:uniqueId val="{00000004-39B8-4E2A-9789-55E4F6CB135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'W5'!$K$74:$L$74</c15:sqref>
                  </c15:fullRef>
                </c:ext>
              </c:extLst>
              <c:f>'W5'!$K$74</c:f>
              <c:numCache>
                <c:formatCode>0.0%;\-0.0.%;</c:formatCode>
                <c:ptCount val="1"/>
                <c:pt idx="0" formatCode="#,##0_);\(#,##0\);;">
                  <c:v>589.55437669156674</c:v>
                </c:pt>
              </c:numCache>
            </c:numRef>
          </c:val>
          <c:extLst>
            <c:ext xmlns:c15="http://schemas.microsoft.com/office/drawing/2012/chart" uri="{02D57815-91ED-43cb-92C2-25804820EDAC}">
              <c15:datalabelsRange>
                <c15:f>'W5'!$L$74</c15:f>
                <c15:dlblRangeCache>
                  <c:ptCount val="1"/>
                  <c:pt idx="0">
                    <c:v>35.4%</c:v>
                  </c:pt>
                </c15:dlblRangeCache>
              </c15:datalabelsRange>
            </c:ext>
            <c:ext xmlns:c16="http://schemas.microsoft.com/office/drawing/2014/chart" uri="{C3380CC4-5D6E-409C-BE32-E72D297353CC}">
              <c16:uniqueId val="{00000005-39B8-4E2A-9789-55E4F6CB135C}"/>
            </c:ext>
          </c:extLst>
        </c:ser>
        <c:ser>
          <c:idx val="13"/>
          <c:order val="13"/>
          <c:tx>
            <c:strRef>
              <c:f>'W5'!$D$84</c:f>
              <c:strCache>
                <c:ptCount val="1"/>
                <c:pt idx="0">
                  <c:v>Thuế thu nhập</c:v>
                </c:pt>
              </c:strCache>
            </c:strRef>
          </c:tx>
          <c:spPr>
            <a:solidFill>
              <a:srgbClr val="FFFF00"/>
            </a:solidFill>
          </c:spPr>
          <c:invertIfNegative val="0"/>
          <c:dLbls>
            <c:dLbl>
              <c:idx val="0"/>
              <c:tx>
                <c:rich>
                  <a:bodyPr/>
                  <a:lstStyle/>
                  <a:p>
                    <a:fld id="{E7C60CD2-01DE-4C30-8F96-BE0446763CD3}" type="CELLRANGE">
                      <a:rPr lang="en-US" baseline="0"/>
                      <a:pPr/>
                      <a:t>[CELLRANGE]</a:t>
                    </a:fld>
                    <a:r>
                      <a:rPr lang="en-US" baseline="0"/>
                      <a:t>, </a:t>
                    </a:r>
                    <a:fld id="{78D3FB71-C4BE-475C-8599-40A96755CD70}" type="SERIESNAME">
                      <a:rPr lang="en-US" baseline="0"/>
                      <a:pPr/>
                      <a:t>[SERIES NAME]</a:t>
                    </a:fld>
                    <a:r>
                      <a:rPr lang="en-US" baseline="0"/>
                      <a:t>, </a:t>
                    </a:r>
                    <a:fld id="{95410181-3E0A-4CFB-844F-00B953F2C31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2804915488055891"/>
                      <c:h val="0.13506255801979156"/>
                    </c:manualLayout>
                  </c15:layout>
                  <c15:dlblFieldTable/>
                  <c15:showDataLabelsRange val="1"/>
                </c:ext>
                <c:ext xmlns:c16="http://schemas.microsoft.com/office/drawing/2014/chart" uri="{C3380CC4-5D6E-409C-BE32-E72D297353CC}">
                  <c16:uniqueId val="{00000006-39B8-4E2A-9789-55E4F6CB135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'W5'!$K$84:$L$84</c15:sqref>
                  </c15:fullRef>
                </c:ext>
              </c:extLst>
              <c:f>'W5'!$K$84</c:f>
              <c:numCache>
                <c:formatCode>0.0%;\-0.0.%;</c:formatCode>
                <c:ptCount val="1"/>
                <c:pt idx="0" formatCode="#,##0_);\(#,##0\);;">
                  <c:v>4.8418128337296826</c:v>
                </c:pt>
              </c:numCache>
            </c:numRef>
          </c:val>
          <c:extLst>
            <c:ext xmlns:c15="http://schemas.microsoft.com/office/drawing/2012/chart" uri="{02D57815-91ED-43cb-92C2-25804820EDAC}">
              <c15:datalabelsRange>
                <c15:f>'W5'!$L$84</c15:f>
                <c15:dlblRangeCache>
                  <c:ptCount val="1"/>
                  <c:pt idx="0">
                    <c:v>0.3%</c:v>
                  </c:pt>
                </c15:dlblRangeCache>
              </c15:datalabelsRange>
            </c:ext>
            <c:ext xmlns:c16="http://schemas.microsoft.com/office/drawing/2014/chart" uri="{C3380CC4-5D6E-409C-BE32-E72D297353CC}">
              <c16:uniqueId val="{00000007-39B8-4E2A-9789-55E4F6CB135C}"/>
            </c:ext>
          </c:extLst>
        </c:ser>
        <c:ser>
          <c:idx val="14"/>
          <c:order val="14"/>
          <c:tx>
            <c:strRef>
              <c:f>'W5'!$D$85</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9-39B8-4E2A-9789-55E4F6CB135C}"/>
              </c:ext>
            </c:extLst>
          </c:dPt>
          <c:dLbls>
            <c:dLbl>
              <c:idx val="0"/>
              <c:layout>
                <c:manualLayout>
                  <c:x val="3.8751361804265135E-3"/>
                  <c:y val="-5.4550147623289233E-2"/>
                </c:manualLayout>
              </c:layout>
              <c:tx>
                <c:rich>
                  <a:bodyPr wrap="square" lIns="38100" tIns="19050" rIns="38100" bIns="19050" anchor="ctr">
                    <a:noAutofit/>
                  </a:bodyPr>
                  <a:lstStyle/>
                  <a:p>
                    <a:pPr>
                      <a:defRPr sz="1300" b="1">
                        <a:solidFill>
                          <a:srgbClr val="FF0000"/>
                        </a:solidFill>
                      </a:defRPr>
                    </a:pPr>
                    <a:fld id="{4D3BA3E8-FBD3-4DBF-954F-60C6761A55EC}"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6C8D8D30-3792-4C6A-878B-CDC79F795D66}"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3A8E555B-2BBB-43F8-B634-E833C61AD4B9}"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374995276199278"/>
                      <c:h val="6.9824017146744355E-2"/>
                    </c:manualLayout>
                  </c15:layout>
                  <c15:dlblFieldTable/>
                  <c15:showDataLabelsRange val="1"/>
                </c:ext>
                <c:ext xmlns:c16="http://schemas.microsoft.com/office/drawing/2014/chart" uri="{C3380CC4-5D6E-409C-BE32-E72D297353CC}">
                  <c16:uniqueId val="{00000009-39B8-4E2A-9789-55E4F6CB135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'W5'!$K$85:$L$85</c15:sqref>
                  </c15:fullRef>
                </c:ext>
              </c:extLst>
              <c:f>'W5'!$K$85</c:f>
              <c:numCache>
                <c:formatCode>0.0%;\-0.0.%;</c:formatCode>
                <c:ptCount val="1"/>
                <c:pt idx="0" formatCode="#,##0_);\(#,##0\);;">
                  <c:v>19.367251334918731</c:v>
                </c:pt>
              </c:numCache>
            </c:numRef>
          </c:val>
          <c:extLst>
            <c:ext xmlns:c15="http://schemas.microsoft.com/office/drawing/2012/chart" uri="{02D57815-91ED-43cb-92C2-25804820EDAC}">
              <c15:datalabelsRange>
                <c15:f>'W5'!$L$85</c15:f>
                <c15:dlblRangeCache>
                  <c:ptCount val="1"/>
                  <c:pt idx="0">
                    <c:v>1.2%</c:v>
                  </c:pt>
                </c15:dlblRangeCache>
              </c15:datalabelsRange>
            </c:ext>
            <c:ext xmlns:c16="http://schemas.microsoft.com/office/drawing/2014/chart" uri="{C3380CC4-5D6E-409C-BE32-E72D297353CC}">
              <c16:uniqueId val="{0000000A-39B8-4E2A-9789-55E4F6CB135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547055A-D3AE-4252-B6CF-4A8AFCD9DB9B}"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B4E0AE6E-AB65-463C-8C57-17C5051D4A1D}"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FE8D4E56-6464-4D2C-8096-5A64F9EC042F}"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B-39B8-4E2A-9789-55E4F6CB135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'W5'!$K$70:$L$70</c15:sqref>
                        </c15:fullRef>
                        <c15:formulaRef>
                          <c15:sqref>'W5'!$K$70</c15:sqref>
                        </c15:formulaRef>
                      </c:ext>
                    </c:extLst>
                    <c:strCache>
                      <c:ptCount val="1"/>
                      <c:pt idx="0">
                        <c:v>Chi phí
USD/tấn</c:v>
                      </c:pt>
                    </c:strCache>
                  </c:strRef>
                </c:cat>
                <c:val>
                  <c:numRef>
                    <c:extLst>
                      <c:ext uri="{02D57815-91ED-43cb-92C2-25804820EDAC}">
                        <c15:fullRef>
                          <c15:sqref>'W5'!$K$72:$L$72</c15:sqref>
                        </c15:fullRef>
                        <c15:formulaRef>
                          <c15:sqref>'W5'!$K$72</c15:sqref>
                        </c15:formulaRef>
                      </c:ext>
                    </c:extLst>
                    <c:numCache>
                      <c:formatCode>0.0%;\-0.0.%;</c:formatCode>
                      <c:ptCount val="1"/>
                      <c:pt idx="0" formatCode="#,##0_);\(#,##0\);;">
                        <c:v>979.2</c:v>
                      </c:pt>
                    </c:numCache>
                  </c:numRef>
                </c:val>
                <c:extLst>
                  <c:ext uri="{02D57815-91ED-43cb-92C2-25804820EDAC}">
                    <c15:datalabelsRange>
                      <c15:f>'W5'!$J$73</c15:f>
                      <c15:dlblRangeCache>
                        <c:ptCount val="1"/>
                        <c:pt idx="0">
                          <c:v>4.4%</c:v>
                        </c:pt>
                      </c15:dlblRangeCache>
                    </c15:datalabelsRange>
                  </c:ext>
                  <c:ext xmlns:c16="http://schemas.microsoft.com/office/drawing/2014/chart" uri="{C3380CC4-5D6E-409C-BE32-E72D297353CC}">
                    <c16:uniqueId val="{0000000C-39B8-4E2A-9789-55E4F6CB135C}"/>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54522A12-C563-445F-AEEC-15165F850177}"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993E4BF6-B5EC-43F2-99BF-4F9DC184590C}"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EE120496-5880-42C2-9D07-05C835141C69}"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D-39B8-4E2A-9789-55E4F6CB135C}"/>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'W5'!$K$75:$L$75</c15:sqref>
                        </c15:fullRef>
                        <c15:formulaRef>
                          <c15:sqref>'W5'!$K$75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'W5'!$J$85</c15:f>
                      <c15:dlblRangeCache>
                        <c:ptCount val="1"/>
                        <c:pt idx="0">
                          <c:v>5.1%</c:v>
                        </c:pt>
                      </c15:dlblRangeCache>
                    </c15:datalabelsRange>
                  </c:ext>
                  <c:ext xmlns:c16="http://schemas.microsoft.com/office/drawing/2014/chart" uri="{C3380CC4-5D6E-409C-BE32-E72D297353CC}">
                    <c16:uniqueId val="{0000000E-39B8-4E2A-9789-55E4F6CB135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'W5'!$K$76:$L$76</c15:sqref>
                        </c15:fullRef>
                        <c15:formulaRef>
                          <c15:sqref>'W5'!$K$76</c15:sqref>
                        </c15:formulaRef>
                      </c:ext>
                    </c:extLst>
                    <c:numCache>
                      <c:formatCode>0.0%;\-0.0.%;</c:formatCode>
                      <c:ptCount val="1"/>
                      <c:pt idx="0" formatCode="#,##0_);\(#,##0\);;">
                        <c:v>192.87651738366029</c:v>
                      </c:pt>
                    </c:numCache>
                  </c:numRef>
                </c:val>
                <c:extLst xmlns:c15="http://schemas.microsoft.com/office/drawing/2012/chart">
                  <c:ext xmlns:c16="http://schemas.microsoft.com/office/drawing/2014/chart" uri="{C3380CC4-5D6E-409C-BE32-E72D297353CC}">
                    <c16:uniqueId val="{0000000F-39B8-4E2A-9789-55E4F6CB135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'W5'!$K$77:$L$77</c15:sqref>
                        </c15:fullRef>
                        <c15:formulaRef>
                          <c15:sqref>'W5'!$K$77</c15:sqref>
                        </c15:formulaRef>
                      </c:ext>
                    </c:extLst>
                    <c:numCache>
                      <c:formatCode>0.0%;\-0.0.%;</c:formatCode>
                      <c:ptCount val="1"/>
                      <c:pt idx="0" formatCode="#,##0_);\(#,##0\);;">
                        <c:v>125.84619890507449</c:v>
                      </c:pt>
                    </c:numCache>
                  </c:numRef>
                </c:val>
                <c:extLst xmlns:c15="http://schemas.microsoft.com/office/drawing/2012/chart">
                  <c:ext xmlns:c16="http://schemas.microsoft.com/office/drawing/2014/chart" uri="{C3380CC4-5D6E-409C-BE32-E72D297353CC}">
                    <c16:uniqueId val="{00000010-39B8-4E2A-9789-55E4F6CB135C}"/>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'W5'!$K$78:$L$78</c15:sqref>
                        </c15:fullRef>
                        <c15:formulaRef>
                          <c15:sqref>'W5'!$K$78</c15:sqref>
                        </c15:formulaRef>
                      </c:ext>
                    </c:extLst>
                    <c:numCache>
                      <c:formatCode>0.0%;\-0.0.%;</c:formatCode>
                      <c:ptCount val="1"/>
                      <c:pt idx="0" formatCode="#,##0_);\(#,##0\);;">
                        <c:v>135.70318892301805</c:v>
                      </c:pt>
                    </c:numCache>
                  </c:numRef>
                </c:val>
                <c:extLst xmlns:c15="http://schemas.microsoft.com/office/drawing/2012/chart">
                  <c:ext xmlns:c16="http://schemas.microsoft.com/office/drawing/2014/chart" uri="{C3380CC4-5D6E-409C-BE32-E72D297353CC}">
                    <c16:uniqueId val="{00000011-39B8-4E2A-9789-55E4F6CB135C}"/>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'W5'!$K$79:$L$79</c15:sqref>
                        </c15:fullRef>
                        <c15:formulaRef>
                          <c15:sqref>'W5'!$K$79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2-39B8-4E2A-9789-55E4F6CB135C}"/>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'W5'!$K$80:$L$80</c15:sqref>
                        </c15:fullRef>
                        <c15:formulaRef>
                          <c15:sqref>'W5'!$K$80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3-39B8-4E2A-9789-55E4F6CB135C}"/>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'W5'!$K$81:$L$81</c15:sqref>
                        </c15:fullRef>
                        <c15:formulaRef>
                          <c15:sqref>'W5'!$K$81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39B8-4E2A-9789-55E4F6CB135C}"/>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'W5'!$K$82:$L$82</c15:sqref>
                        </c15:fullRef>
                        <c15:formulaRef>
                          <c15:sqref>'W5'!$K$82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39B8-4E2A-9789-55E4F6CB135C}"/>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'W5'!$K$83:$L$83</c15:sqref>
                        </c15:fullRef>
                        <c15:formulaRef>
                          <c15:sqref>'W5'!$K$83</c15:sqref>
                        </c15:formulaRef>
                      </c:ext>
                    </c:extLst>
                    <c:numCache>
                      <c:formatCode>0.0%;\-0.0.%;</c:formatCode>
                      <c:ptCount val="1"/>
                      <c:pt idx="0" formatCode="#,##0_);\(#,##0\);;">
                        <c:v>1642.4576024980183</c:v>
                      </c:pt>
                    </c:numCache>
                  </c:numRef>
                </c:val>
                <c:extLst xmlns:c15="http://schemas.microsoft.com/office/drawing/2012/chart">
                  <c:ext xmlns:c16="http://schemas.microsoft.com/office/drawing/2014/chart" uri="{C3380CC4-5D6E-409C-BE32-E72D297353CC}">
                    <c16:uniqueId val="{00000016-39B8-4E2A-9789-55E4F6CB135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'W5'!$K$86:$L$86</c15:sqref>
                        </c15:fullRef>
                        <c15:formulaRef>
                          <c15:sqref>'W5'!$K$86</c15:sqref>
                        </c15:formulaRef>
                      </c:ext>
                    </c:extLst>
                    <c:numCache>
                      <c:formatCode>0.0%;\-0.0.%;</c:formatCode>
                      <c:ptCount val="1"/>
                      <c:pt idx="0" formatCode="#,##0_);\(#,##0\);;">
                        <c:v>1666.6666666666667</c:v>
                      </c:pt>
                    </c:numCache>
                  </c:numRef>
                </c:val>
                <c:extLst xmlns:c15="http://schemas.microsoft.com/office/drawing/2012/chart">
                  <c:ext xmlns:c16="http://schemas.microsoft.com/office/drawing/2014/chart" uri="{C3380CC4-5D6E-409C-BE32-E72D297353CC}">
                    <c16:uniqueId val="{00000017-39B8-4E2A-9789-55E4F6CB135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'W5'!$K$87:$L$87</c15:sqref>
                        </c15:fullRef>
                        <c15:formulaRef>
                          <c15:sqref>'W5'!$K$87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8-39B8-4E2A-9789-55E4F6CB135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8E3A-4575-98AC-B412FDBCF8BF}"/>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116C4EE4-F103-4D97-9F38-DCE58F3E0E40}" type="CELLRANGE">
                      <a:rPr lang="en-US" baseline="0"/>
                      <a:pPr>
                        <a:defRPr sz="1300"/>
                      </a:pPr>
                      <a:t>[CELLRANGE]</a:t>
                    </a:fld>
                    <a:r>
                      <a:rPr lang="en-US" baseline="0"/>
                      <a:t>, </a:t>
                    </a:r>
                    <a:fld id="{297AD190-F877-4AF2-9B78-FD72B6E403F4}" type="SERIESNAME">
                      <a:rPr lang="en-US" baseline="0"/>
                      <a:pPr>
                        <a:defRPr sz="1300"/>
                      </a:pPr>
                      <a:t>[SERIES NAME]</a:t>
                    </a:fld>
                    <a:r>
                      <a:rPr lang="en-US" baseline="0"/>
                      <a:t>, </a:t>
                    </a:r>
                    <a:fld id="{762092FD-72F3-437B-B2E6-79707BB2426D}"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8E3A-4575-98AC-B412FDBCF8B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'W5'!$O$49:$P$49</c15:sqref>
                  </c15:fullRef>
                </c:ext>
              </c:extLst>
              <c:f>'W5'!$O$49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'W5'!$P$49</c15:f>
                <c15:dlblRangeCache>
                  <c:ptCount val="1"/>
                  <c:pt idx="0">
                    <c:v>62.6%</c:v>
                  </c:pt>
                </c15:dlblRangeCache>
              </c15:datalabelsRange>
            </c:ext>
            <c:ext xmlns:c16="http://schemas.microsoft.com/office/drawing/2014/chart" uri="{C3380CC4-5D6E-409C-BE32-E72D297353CC}">
              <c16:uniqueId val="{00000002-8E3A-4575-98AC-B412FDBCF8BF}"/>
            </c:ext>
          </c:extLst>
        </c:ser>
        <c:ser>
          <c:idx val="4"/>
          <c:order val="2"/>
          <c:tx>
            <c:strRef>
              <c:f>'W5'!$D$51</c:f>
              <c:strCache>
                <c:ptCount val="1"/>
                <c:pt idx="0">
                  <c:v>Hao hụt về tiền</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4-8E3A-4575-98AC-B412FDBCF8BF}"/>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539B2DFE-B8D8-4464-8935-926E5C4DF856}" type="CELLRANGE">
                      <a:rPr lang="en-US" sz="1100" baseline="0"/>
                      <a:pPr>
                        <a:defRPr sz="1100"/>
                      </a:pPr>
                      <a:t>[CELLRANGE]</a:t>
                    </a:fld>
                    <a:r>
                      <a:rPr lang="en-US" sz="1100" baseline="0"/>
                      <a:t>, </a:t>
                    </a:r>
                    <a:fld id="{8DAD9DD3-CC9D-4C7B-9CE3-56061F8D78D4}" type="SERIESNAME">
                      <a:rPr lang="en-US" sz="1100" baseline="0"/>
                      <a:pPr>
                        <a:defRPr sz="1100"/>
                      </a:pPr>
                      <a:t>[SERIES NAME]</a:t>
                    </a:fld>
                    <a:r>
                      <a:rPr lang="en-US" sz="1100" baseline="0"/>
                      <a:t>, </a:t>
                    </a:r>
                    <a:fld id="{B526D486-0E44-4EBE-A7B9-01241C00CC11}"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04-8E3A-4575-98AC-B412FDBCF8B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'W5'!$O$51:$P$51</c15:sqref>
                  </c15:fullRef>
                </c:ext>
              </c:extLst>
              <c:f>'W5'!$O$51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'W5'!$P$51</c15:f>
                <c15:dlblRangeCache>
                  <c:ptCount val="1"/>
                  <c:pt idx="0">
                    <c:v>4.7%</c:v>
                  </c:pt>
                </c15:dlblRangeCache>
              </c15:datalabelsRange>
            </c:ext>
            <c:ext xmlns:c16="http://schemas.microsoft.com/office/drawing/2014/chart" uri="{C3380CC4-5D6E-409C-BE32-E72D297353CC}">
              <c16:uniqueId val="{00000005-8E3A-4575-98AC-B412FDBCF8BF}"/>
            </c:ext>
          </c:extLst>
        </c:ser>
        <c:ser>
          <c:idx val="3"/>
          <c:order val="3"/>
          <c:tx>
            <c:strRef>
              <c:f>'W5'!$D$52</c:f>
              <c:strCache>
                <c:ptCount val="1"/>
                <c:pt idx="0">
                  <c:v>Chi phí biến đổi</c:v>
                </c:pt>
              </c:strCache>
            </c:strRef>
          </c:tx>
          <c:spPr>
            <a:solidFill>
              <a:schemeClr val="accent4"/>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7-8E3A-4575-98AC-B412FDBCF8BF}"/>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7638C2B6-058C-49D1-89D9-C485DA86CCC4}" type="CELLRANGE">
                      <a:rPr lang="en-US" baseline="0"/>
                      <a:pPr>
                        <a:defRPr sz="1300"/>
                      </a:pPr>
                      <a:t>[CELLRANGE]</a:t>
                    </a:fld>
                    <a:r>
                      <a:rPr lang="en-US" baseline="0"/>
                      <a:t>, </a:t>
                    </a:r>
                    <a:fld id="{BEA085AF-26F4-46A1-A87F-B9B55D511B2F}" type="SERIESNAME">
                      <a:rPr lang="en-US" baseline="0"/>
                      <a:pPr>
                        <a:defRPr sz="1300"/>
                      </a:pPr>
                      <a:t>[SERIES NAME]</a:t>
                    </a:fld>
                    <a:r>
                      <a:rPr lang="en-US" baseline="0"/>
                      <a:t>, </a:t>
                    </a:r>
                    <a:fld id="{5CC19041-9916-4CD7-A2F1-4A983E223721}"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7-8E3A-4575-98AC-B412FDBCF8B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'W5'!$O$52:$P$52</c15:sqref>
                  </c15:fullRef>
                </c:ext>
              </c:extLst>
              <c:f>'W5'!$O$52</c:f>
              <c:numCache>
                <c:formatCode>0.0%;\-0.0.%;</c:formatCode>
                <c:ptCount val="1"/>
                <c:pt idx="0" formatCode="#,##0_);\(#,##0\);;">
                  <c:v>229.92620690971106</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'W5'!$P$52</c15:f>
                <c15:dlblRangeCache>
                  <c:ptCount val="1"/>
                  <c:pt idx="0">
                    <c:v>37.7%</c:v>
                  </c:pt>
                </c15:dlblRangeCache>
              </c15:datalabelsRange>
            </c:ext>
            <c:ext xmlns:c16="http://schemas.microsoft.com/office/drawing/2014/chart" uri="{C3380CC4-5D6E-409C-BE32-E72D297353CC}">
              <c16:uniqueId val="{00000008-8E3A-4575-98AC-B412FDBCF8BF}"/>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3BBACBD6-460C-4CA2-8686-7A785412F45F}" type="CELLRANGE">
                      <a:rPr lang="en-US" baseline="0"/>
                      <a:pPr/>
                      <a:t>[CELLRANGE]</a:t>
                    </a:fld>
                    <a:r>
                      <a:rPr lang="en-US" baseline="0"/>
                      <a:t>, </a:t>
                    </a:r>
                    <a:fld id="{B0EE209C-C96E-4ED8-A016-14058D8E3DC8}" type="SERIESNAME">
                      <a:rPr lang="en-US" baseline="0"/>
                      <a:pPr/>
                      <a:t>[SERIES NAME]</a:t>
                    </a:fld>
                    <a:r>
                      <a:rPr lang="en-US" baseline="0"/>
                      <a:t>, </a:t>
                    </a:r>
                    <a:fld id="{39531F9E-1B5B-4B9D-B350-9D5E60343125}"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099181874023998"/>
                      <c:h val="0.21571343829686987"/>
                    </c:manualLayout>
                  </c15:layout>
                  <c15:dlblFieldTable/>
                  <c15:showDataLabelsRange val="1"/>
                </c:ext>
                <c:ext xmlns:c16="http://schemas.microsoft.com/office/drawing/2014/chart" uri="{C3380CC4-5D6E-409C-BE32-E72D297353CC}">
                  <c16:uniqueId val="{00000009-8E3A-4575-98AC-B412FDBCF8B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'W5'!$O$62:$P$62</c15:sqref>
                  </c15:fullRef>
                </c:ext>
              </c:extLst>
              <c:f>'W5'!$O$62</c:f>
              <c:numCache>
                <c:formatCode>0.0%;\-0.0.%;</c:formatCode>
                <c:ptCount val="1"/>
                <c:pt idx="0" formatCode="#,##0_);\(#,##0\);;">
                  <c:v>-6.1116929948454528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'W5'!$P$62</c15:f>
                <c15:dlblRangeCache>
                  <c:ptCount val="1"/>
                  <c:pt idx="0">
                    <c:v>-1.0.%</c:v>
                  </c:pt>
                </c15:dlblRangeCache>
              </c15:datalabelsRange>
            </c:ext>
            <c:ext xmlns:c16="http://schemas.microsoft.com/office/drawing/2014/chart" uri="{C3380CC4-5D6E-409C-BE32-E72D297353CC}">
              <c16:uniqueId val="{0000000A-8E3A-4575-98AC-B412FDBCF8BF}"/>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B17E5C0E-ED28-4713-B367-C0FA7A9D5B98}" type="CELLRANGE">
                      <a:rPr lang="en-US" b="1" baseline="0">
                        <a:solidFill>
                          <a:srgbClr val="FF0000"/>
                        </a:solidFill>
                      </a:rPr>
                      <a:pPr>
                        <a:defRPr sz="1300" b="1">
                          <a:solidFill>
                            <a:srgbClr val="FF0000"/>
                          </a:solidFill>
                        </a:defRPr>
                      </a:pPr>
                      <a:t>[CELLRANGE]</a:t>
                    </a:fld>
                    <a:r>
                      <a:rPr lang="en-US" b="1" baseline="0">
                        <a:solidFill>
                          <a:srgbClr val="FF0000"/>
                        </a:solidFill>
                      </a:rPr>
                      <a:t>, </a:t>
                    </a:r>
                    <a:fld id="{E310A97B-4C70-4B56-AC52-E09B168030A3}" type="SERIESNAME">
                      <a:rPr lang="en-US" b="1" baseline="0">
                        <a:solidFill>
                          <a:srgbClr val="FF0000"/>
                        </a:solidFill>
                      </a:rPr>
                      <a:pPr>
                        <a:defRPr sz="1300" b="1">
                          <a:solidFill>
                            <a:srgbClr val="FF0000"/>
                          </a:solidFill>
                        </a:defRPr>
                      </a:pPr>
                      <a:t>[SERIES NAME]</a:t>
                    </a:fld>
                    <a:r>
                      <a:rPr lang="en-US" b="1" baseline="0">
                        <a:solidFill>
                          <a:srgbClr val="FF0000"/>
                        </a:solidFill>
                      </a:rPr>
                      <a:t>, </a:t>
                    </a:r>
                    <a:fld id="{7EB217F3-F3FD-4FE8-8F2C-6D2135D11350}" type="VALUE">
                      <a:rPr lang="en-US" b="1" baseline="0">
                        <a:solidFill>
                          <a:srgbClr val="FF0000"/>
                        </a:solidFill>
                      </a:rPr>
                      <a:pPr>
                        <a:defRPr sz="1300" b="1">
                          <a:solidFill>
                            <a:srgbClr val="FF0000"/>
                          </a:solidFill>
                        </a:defRPr>
                      </a:pPr>
                      <a:t>[VALUE]</a:t>
                    </a:fld>
                    <a:endParaRPr lang="en-US"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0B-8E3A-4575-98AC-B412FDBCF8B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'W5'!$O$63:$P$63</c15:sqref>
                  </c15:fullRef>
                </c:ext>
              </c:extLst>
              <c:f>'W5'!$O$63</c:f>
              <c:numCache>
                <c:formatCode>0.0%;\-0.0.%;</c:formatCode>
                <c:ptCount val="1"/>
                <c:pt idx="0" formatCode="#,##0_);\(#,##0\);;">
                  <c:v>-24.446771979381811</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'W5'!$P$63</c15:f>
                <c15:dlblRangeCache>
                  <c:ptCount val="1"/>
                  <c:pt idx="0">
                    <c:v>-4.0.%</c:v>
                  </c:pt>
                </c15:dlblRangeCache>
              </c15:datalabelsRange>
            </c:ext>
            <c:ext xmlns:c16="http://schemas.microsoft.com/office/drawing/2014/chart" uri="{C3380CC4-5D6E-409C-BE32-E72D297353CC}">
              <c16:uniqueId val="{0000000C-8E3A-4575-98AC-B412FDBCF8BF}"/>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'W5'!$O$50:$P$50</c15:sqref>
                        </c15:fullRef>
                        <c15:formulaRef>
                          <c15:sqref>'W5'!$O$50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D-8E3A-4575-98AC-B412FDBCF8BF}"/>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'W5'!$O$53:$P$53</c15:sqref>
                        </c15:fullRef>
                        <c15:formulaRef>
                          <c15:sqref>'W5'!$O$53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E-8E3A-4575-98AC-B412FDBCF8BF}"/>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'W5'!$O$54:$P$54</c15:sqref>
                        </c15:fullRef>
                        <c15:formulaRef>
                          <c15:sqref>'W5'!$O$54</c15:sqref>
                        </c15:formulaRef>
                      </c:ext>
                    </c:extLst>
                    <c:numCache>
                      <c:formatCode>0.0%;\-0.0.%;</c:formatCode>
                      <c:ptCount val="1"/>
                      <c:pt idx="0" formatCode="#,##0_);\(#,##0\);;">
                        <c:v>75.221841779627511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F-8E3A-4575-98AC-B412FDBCF8BF}"/>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'W5'!$O$55:$P$55</c15:sqref>
                        </c15:fullRef>
                        <c15:formulaRef>
                          <c15:sqref>'W5'!$O$55</c15:sqref>
                        </c15:formulaRef>
                      </c:ext>
                    </c:extLst>
                    <c:numCache>
                      <c:formatCode>0.0%;\-0.0.%;</c:formatCode>
                      <c:ptCount val="1"/>
                      <c:pt idx="0" formatCode="#,##0_);\(#,##0\);;">
                        <c:v>49.080017572979045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0-8E3A-4575-98AC-B412FDBCF8BF}"/>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'W5'!$O$56:$P$56</c15:sqref>
                        </c15:fullRef>
                        <c15:formulaRef>
                          <c15:sqref>'W5'!$O$56</c15:sqref>
                        </c15:formulaRef>
                      </c:ext>
                    </c:extLst>
                    <c:numCache>
                      <c:formatCode>0.0%;\-0.0.%;</c:formatCode>
                      <c:ptCount val="1"/>
                      <c:pt idx="0" formatCode="#,##0_);\(#,##0\);;">
                        <c:v>52.924243679977039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1-8E3A-4575-98AC-B412FDBCF8BF}"/>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'W5'!$O$57:$P$57</c15:sqref>
                        </c15:fullRef>
                        <c15:formulaRef>
                          <c15:sqref>'W5'!$O$57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2-8E3A-4575-98AC-B412FDBCF8BF}"/>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'W5'!$O$58:$P$58</c15:sqref>
                        </c15:fullRef>
                        <c15:formulaRef>
                          <c15:sqref>'W5'!$O$58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3-8E3A-4575-98AC-B412FDBCF8BF}"/>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'W5'!$O$59:$P$59</c15:sqref>
                        </c15:fullRef>
                        <c15:formulaRef>
                          <c15:sqref>'W5'!$O$59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4-8E3A-4575-98AC-B412FDBCF8BF}"/>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'W5'!$O$60:$P$60</c15:sqref>
                        </c15:fullRef>
                        <c15:formulaRef>
                          <c15:sqref>'W5'!$O$60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5-8E3A-4575-98AC-B412FDBCF8BF}"/>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'W5'!$O$61:$P$61</c15:sqref>
                        </c15:fullRef>
                        <c15:formulaRef>
                          <c15:sqref>'W5'!$O$61</c15:sqref>
                        </c15:formulaRef>
                      </c:ext>
                    </c:extLst>
                    <c:numCache>
                      <c:formatCode>0.0%;\-0.0.%;</c:formatCode>
                      <c:ptCount val="1"/>
                      <c:pt idx="0" formatCode="#,##0_);\(#,##0\);;">
                        <c:v>640.55846497422726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6-8E3A-4575-98AC-B412FDBCF8BF}"/>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'W5'!$O$64:$P$64</c15:sqref>
                        </c15:fullRef>
                        <c15:formulaRef>
                          <c15:sqref>'W5'!$O$64</c15:sqref>
                        </c15:formulaRef>
                      </c:ext>
                    </c:extLst>
                    <c:numCache>
                      <c:formatCode>0.0%;\-0.0.%;</c:formatCode>
                      <c:ptCount val="1"/>
                      <c:pt idx="0" formatCode="#,##0_);\(#,##0\);;">
                        <c:v>610</c:v>
                      </c:pt>
                    </c:numCache>
                  </c:numRef>
                </c:val>
                <c:smooth val="0"/>
                <c:extLst>
                  <c:ex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7-8E3A-4575-98AC-B412FDBCF8BF}"/>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'W5'!$O$65:$P$65</c15:sqref>
                        </c15:fullRef>
                        <c15:formulaRef>
                          <c15:sqref>'W5'!$O$65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8-8E3A-4575-98AC-B412FDBCF8BF}"/>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8FF5477E-2A06-43FD-BFC7-5968C00D885B}" type="CELLRANGE">
                      <a:rPr lang="en-US" baseline="0"/>
                      <a:pPr>
                        <a:defRPr sz="1300"/>
                      </a:pPr>
                      <a:t>[CELLRANGE]</a:t>
                    </a:fld>
                    <a:r>
                      <a:rPr lang="en-US" baseline="0"/>
                      <a:t>, </a:t>
                    </a:r>
                    <a:fld id="{18DD0441-CF2D-4ABE-91FD-6336669A9F37}" type="SERIESNAME">
                      <a:rPr lang="en-US" baseline="0"/>
                      <a:pPr>
                        <a:defRPr sz="1300"/>
                      </a:pPr>
                      <a:t>[SERIES NAME]</a:t>
                    </a:fld>
                    <a:r>
                      <a:rPr lang="en-US" baseline="0"/>
                      <a:t>, </a:t>
                    </a:r>
                    <a:fld id="{6FC9373A-7A85-4CDC-A94C-67E55625A310}"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E705-4592-9418-CD89AE2708C5}"/>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'W5'!$O$71:$P$71</c15:sqref>
                  </c15:fullRef>
                </c:ext>
              </c:extLst>
              <c:f>'W5'!$O$71</c:f>
              <c:numCache>
                <c:formatCode>0.0%;\-0.0.%;</c:formatCode>
                <c:ptCount val="1"/>
                <c:pt idx="0" formatCode="#,##0_);\(#,##0\);;">
                  <c:v>979.2</c:v>
                </c:pt>
              </c:numCache>
            </c:numRef>
          </c:val>
          <c:extLst>
            <c:ext xmlns:c15="http://schemas.microsoft.com/office/drawing/2012/chart" uri="{02D57815-91ED-43cb-92C2-25804820EDAC}">
              <c15:datalabelsRange>
                <c15:f>'W5'!$P$71</c15:f>
                <c15:dlblRangeCache>
                  <c:ptCount val="1"/>
                  <c:pt idx="0">
                    <c:v>62.6%</c:v>
                  </c:pt>
                </c15:dlblRangeCache>
              </c15:datalabelsRange>
            </c:ext>
            <c:ext xmlns:c16="http://schemas.microsoft.com/office/drawing/2014/chart" uri="{C3380CC4-5D6E-409C-BE32-E72D297353CC}">
              <c16:uniqueId val="{00000001-E705-4592-9418-CD89AE2708C5}"/>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D9C9013E-5CB5-49D4-9A54-7A350CA901C3}" type="CELLRANGE">
                      <a:rPr lang="en-US" sz="1100" baseline="0"/>
                      <a:pPr>
                        <a:defRPr sz="1100"/>
                      </a:pPr>
                      <a:t>[CELLRANGE]</a:t>
                    </a:fld>
                    <a:r>
                      <a:rPr lang="en-US" sz="1100" baseline="0"/>
                      <a:t>, </a:t>
                    </a:r>
                    <a:fld id="{1E0E88B2-B5A6-4CB1-8499-BC6E2EEBB128}" type="SERIESNAME">
                      <a:rPr lang="en-US" sz="1100" baseline="0"/>
                      <a:pPr>
                        <a:defRPr sz="1100"/>
                      </a:pPr>
                      <a:t>[SERIES NAME]</a:t>
                    </a:fld>
                    <a:r>
                      <a:rPr lang="en-US" sz="1100" baseline="0"/>
                      <a:t>, </a:t>
                    </a:r>
                    <a:fld id="{5AB24DA7-408F-47C3-A8DD-06A3939D4B5D}"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2-E705-4592-9418-CD89AE2708C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'W5'!$O$73:$P$73</c15:sqref>
                  </c15:fullRef>
                </c:ext>
              </c:extLst>
              <c:f>'W5'!$O$73</c:f>
              <c:numCache>
                <c:formatCode>0.0%;\-0.0.%;</c:formatCode>
                <c:ptCount val="1"/>
                <c:pt idx="0" formatCode="#,##0_);\(#,##0\);;">
                  <c:v>73.703225806451741</c:v>
                </c:pt>
              </c:numCache>
            </c:numRef>
          </c:val>
          <c:extLst>
            <c:ext xmlns:c15="http://schemas.microsoft.com/office/drawing/2012/chart" uri="{02D57815-91ED-43cb-92C2-25804820EDAC}">
              <c15:datalabelsRange>
                <c15:f>'W5'!$P$73</c15:f>
                <c15:dlblRangeCache>
                  <c:ptCount val="1"/>
                  <c:pt idx="0">
                    <c:v>4.7%</c:v>
                  </c:pt>
                </c15:dlblRangeCache>
              </c15:datalabelsRange>
            </c:ext>
            <c:ext xmlns:c16="http://schemas.microsoft.com/office/drawing/2014/chart" uri="{C3380CC4-5D6E-409C-BE32-E72D297353CC}">
              <c16:uniqueId val="{00000003-E705-4592-9418-CD89AE2708C5}"/>
            </c:ext>
          </c:extLst>
        </c:ser>
        <c:ser>
          <c:idx val="14"/>
          <c:order val="3"/>
          <c:tx>
            <c:strRef>
              <c:f>'W5'!$D$74</c:f>
              <c:strCache>
                <c:ptCount val="1"/>
                <c:pt idx="0">
                  <c:v>Chi phí biến đổi</c:v>
                </c:pt>
              </c:strCache>
            </c:strRef>
          </c:tx>
          <c:spPr>
            <a:solidFill>
              <a:srgbClr val="E8E8E8">
                <a:lumMod val="9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DCACC7DD-0C10-4B12-B56C-3DF3BFCFA49A}" type="CELLRANGE">
                      <a:rPr lang="en-US" baseline="0"/>
                      <a:pPr>
                        <a:defRPr sz="1300"/>
                      </a:pPr>
                      <a:t>[CELLRANGE]</a:t>
                    </a:fld>
                    <a:r>
                      <a:rPr lang="en-US" baseline="0"/>
                      <a:t>, </a:t>
                    </a:r>
                    <a:fld id="{805F61E4-4981-46E7-B235-5C4640F06553}" type="SERIESNAME">
                      <a:rPr lang="en-US" baseline="0"/>
                      <a:pPr>
                        <a:defRPr sz="1300"/>
                      </a:pPr>
                      <a:t>[SERIES NAME]</a:t>
                    </a:fld>
                    <a:r>
                      <a:rPr lang="en-US" baseline="0"/>
                      <a:t>, </a:t>
                    </a:r>
                    <a:fld id="{1D68FAA0-9960-430D-B7C3-66501BB141A2}"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4-E705-4592-9418-CD89AE2708C5}"/>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'W5'!$O$74:$P$74</c15:sqref>
                  </c15:fullRef>
                </c:ext>
              </c:extLst>
              <c:f>'W5'!$O$74</c:f>
              <c:numCache>
                <c:formatCode>0.0%;\-0.0.%;</c:formatCode>
                <c:ptCount val="1"/>
                <c:pt idx="0" formatCode="#,##0_);\(#,##0\);;">
                  <c:v>589.55437669156674</c:v>
                </c:pt>
              </c:numCache>
            </c:numRef>
          </c:val>
          <c:extLst xmlns:c15="http://schemas.microsoft.com/office/drawing/2012/chart">
            <c:ext xmlns:c15="http://schemas.microsoft.com/office/drawing/2012/chart" uri="{02D57815-91ED-43cb-92C2-25804820EDAC}">
              <c15:datalabelsRange>
                <c15:f>'W5'!$P$74</c15:f>
                <c15:dlblRangeCache>
                  <c:ptCount val="1"/>
                  <c:pt idx="0">
                    <c:v>37.7%</c:v>
                  </c:pt>
                </c15:dlblRangeCache>
              </c15:datalabelsRange>
            </c:ext>
            <c:ext xmlns:c16="http://schemas.microsoft.com/office/drawing/2014/chart" uri="{C3380CC4-5D6E-409C-BE32-E72D297353CC}">
              <c16:uniqueId val="{00000005-E705-4592-9418-CD89AE2708C5}"/>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6CC2EA09-F464-438F-8DF7-582AA42DD271}" type="CELLRANGE">
                      <a:rPr lang="en-US" sz="1100" baseline="0"/>
                      <a:pPr>
                        <a:defRPr sz="1100"/>
                      </a:pPr>
                      <a:t>[CELLRANGE]</a:t>
                    </a:fld>
                    <a:r>
                      <a:rPr lang="en-US" sz="1100" baseline="0"/>
                      <a:t>, </a:t>
                    </a:r>
                    <a:fld id="{91BDADAD-0355-4111-BA14-841DC711F093}" type="SERIESNAME">
                      <a:rPr lang="en-US" sz="1100" baseline="0"/>
                      <a:pPr>
                        <a:defRPr sz="1100"/>
                      </a:pPr>
                      <a:t>[SERIES NAME]</a:t>
                    </a:fld>
                    <a:r>
                      <a:rPr lang="en-US" sz="1100" baseline="0"/>
                      <a:t>, </a:t>
                    </a:r>
                    <a:fld id="{D549778C-66DD-4904-8B0D-DCFC991409F0}"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763668024281412"/>
                      <c:h val="5.4447738189541295E-2"/>
                    </c:manualLayout>
                  </c15:layout>
                  <c15:dlblFieldTable/>
                  <c15:showDataLabelsRange val="1"/>
                </c:ext>
                <c:ext xmlns:c16="http://schemas.microsoft.com/office/drawing/2014/chart" uri="{C3380CC4-5D6E-409C-BE32-E72D297353CC}">
                  <c16:uniqueId val="{00000006-E705-4592-9418-CD89AE2708C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'W5'!$O$84:$P$84</c15:sqref>
                  </c15:fullRef>
                </c:ext>
              </c:extLst>
              <c:f>'W5'!$O$84</c:f>
              <c:numCache>
                <c:formatCode>0.0%;\-0.0.%;</c:formatCode>
                <c:ptCount val="1"/>
                <c:pt idx="0" formatCode="#,##0_);\(#,##0\);;">
                  <c:v>-15.671007679090827</c:v>
                </c:pt>
              </c:numCache>
            </c:numRef>
          </c:val>
          <c:extLst>
            <c:ext xmlns:c15="http://schemas.microsoft.com/office/drawing/2012/chart" uri="{02D57815-91ED-43cb-92C2-25804820EDAC}">
              <c15:datalabelsRange>
                <c15:f>'W5'!$P$84</c15:f>
                <c15:dlblRangeCache>
                  <c:ptCount val="1"/>
                  <c:pt idx="0">
                    <c:v>-1.0.%</c:v>
                  </c:pt>
                </c15:dlblRangeCache>
              </c15:datalabelsRange>
            </c:ext>
            <c:ext xmlns:c16="http://schemas.microsoft.com/office/drawing/2014/chart" uri="{C3380CC4-5D6E-409C-BE32-E72D297353CC}">
              <c16:uniqueId val="{00000007-E705-4592-9418-CD89AE2708C5}"/>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2A23B8EA-EC1C-4D82-B896-61678AF197B0}" type="CELLRANGE">
                      <a:rPr lang="en-US" sz="1300" b="1" baseline="0"/>
                      <a:pPr>
                        <a:defRPr sz="1300" b="1">
                          <a:solidFill>
                            <a:srgbClr val="FF0000"/>
                          </a:solidFill>
                        </a:defRPr>
                      </a:pPr>
                      <a:t>[CELLRANGE]</a:t>
                    </a:fld>
                    <a:r>
                      <a:rPr lang="en-US" sz="1300" b="1" baseline="0"/>
                      <a:t>, </a:t>
                    </a:r>
                    <a:fld id="{F3A751F3-5EF9-4750-9387-89FD6A74833E}" type="SERIESNAME">
                      <a:rPr lang="en-US" sz="1300" b="1" baseline="0"/>
                      <a:pPr>
                        <a:defRPr sz="1300" b="1">
                          <a:solidFill>
                            <a:srgbClr val="FF0000"/>
                          </a:solidFill>
                        </a:defRPr>
                      </a:pPr>
                      <a:t>[SERIES NAME]</a:t>
                    </a:fld>
                    <a:r>
                      <a:rPr lang="en-US" sz="1300" b="1" baseline="0"/>
                      <a:t>, </a:t>
                    </a:r>
                    <a:fld id="{5C4E7BD8-7CEC-4A25-878B-C2F65C719A97}" type="VALUE">
                      <a:rPr lang="en-US" sz="1300" b="1" baseline="0"/>
                      <a:pPr>
                        <a:defRPr sz="1300" b="1">
                          <a:solidFill>
                            <a:srgbClr val="FF0000"/>
                          </a:solidFill>
                        </a:defRPr>
                      </a:pPr>
                      <a:t>[VALUE]</a:t>
                    </a:fld>
                    <a:endParaRPr lang="en-US" sz="1300" b="1" baseline="0"/>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8-E705-4592-9418-CD89AE2708C5}"/>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'W5'!$O$85:$P$85</c15:sqref>
                  </c15:fullRef>
                </c:ext>
              </c:extLst>
              <c:f>'W5'!$O$85</c:f>
              <c:numCache>
                <c:formatCode>0.0%;\-0.0.%;</c:formatCode>
                <c:ptCount val="1"/>
                <c:pt idx="0" formatCode="#,##0_);\(#,##0\);;">
                  <c:v>-62.68403071636331</c:v>
                </c:pt>
              </c:numCache>
            </c:numRef>
          </c:val>
          <c:extLst>
            <c:ext xmlns:c15="http://schemas.microsoft.com/office/drawing/2012/chart" uri="{02D57815-91ED-43cb-92C2-25804820EDAC}">
              <c15:datalabelsRange>
                <c15:f>'W5'!$P$85</c15:f>
                <c15:dlblRangeCache>
                  <c:ptCount val="1"/>
                  <c:pt idx="0">
                    <c:v>-4.0.%</c:v>
                  </c:pt>
                </c15:dlblRangeCache>
              </c15:datalabelsRange>
            </c:ext>
            <c:ext xmlns:c16="http://schemas.microsoft.com/office/drawing/2014/chart" uri="{C3380CC4-5D6E-409C-BE32-E72D297353CC}">
              <c16:uniqueId val="{00000009-E705-4592-9418-CD89AE2708C5}"/>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'W5'!$O$70:$P$70</c15:sqref>
                        </c15:fullRef>
                        <c15:formulaRef>
                          <c15:sqref>'W5'!$O$70</c15:sqref>
                        </c15:formulaRef>
                      </c:ext>
                    </c:extLst>
                    <c:strCache>
                      <c:ptCount val="1"/>
                      <c:pt idx="0">
                        <c:v>Chi phí
USD/tấn</c:v>
                      </c:pt>
                    </c:strCache>
                  </c:strRef>
                </c:cat>
                <c:val>
                  <c:numRef>
                    <c:extLst>
                      <c:ext uri="{02D57815-91ED-43cb-92C2-25804820EDAC}">
                        <c15:fullRef>
                          <c15:sqref>'W5'!$O$72:$P$72</c15:sqref>
                        </c15:fullRef>
                        <c15:formulaRef>
                          <c15:sqref>'W5'!$O$72</c15:sqref>
                        </c15:formulaRef>
                      </c:ext>
                    </c:extLst>
                    <c:numCache>
                      <c:formatCode>0.0%;\-0.0.%;</c:formatCode>
                      <c:ptCount val="1"/>
                      <c:pt idx="0" formatCode="#,##0_);\(#,##0\);;">
                        <c:v>979.2</c:v>
                      </c:pt>
                    </c:numCache>
                  </c:numRef>
                </c:val>
                <c:extLst>
                  <c:ext xmlns:c16="http://schemas.microsoft.com/office/drawing/2014/chart" uri="{C3380CC4-5D6E-409C-BE32-E72D297353CC}">
                    <c16:uniqueId val="{0000000A-E705-4592-9418-CD89AE2708C5}"/>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'W5'!$O$75:$P$75</c15:sqref>
                        </c15:fullRef>
                        <c15:formulaRef>
                          <c15:sqref>'W5'!$O$75</c15:sqref>
                        </c15:formulaRef>
                      </c:ext>
                    </c:extLst>
                    <c:numCache>
                      <c:formatCode>0.0%;\-0.0.%;</c:formatCode>
                      <c:ptCount val="1"/>
                      <c:pt idx="0" formatCode="#,##0_);\(#,##0\);;">
                        <c:v>39.193355199141216</c:v>
                      </c:pt>
                    </c:numCache>
                  </c:numRef>
                </c:val>
                <c:extLst xmlns:c15="http://schemas.microsoft.com/office/drawing/2012/chart">
                  <c:ext xmlns:c16="http://schemas.microsoft.com/office/drawing/2014/chart" uri="{C3380CC4-5D6E-409C-BE32-E72D297353CC}">
                    <c16:uniqueId val="{0000000B-E705-4592-9418-CD89AE2708C5}"/>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'W5'!$O$76:$P$76</c15:sqref>
                        </c15:fullRef>
                        <c15:formulaRef>
                          <c15:sqref>'W5'!$O$76</c15:sqref>
                        </c15:formulaRef>
                      </c:ext>
                    </c:extLst>
                    <c:numCache>
                      <c:formatCode>0.0%;\-0.0.%;</c:formatCode>
                      <c:ptCount val="1"/>
                      <c:pt idx="0" formatCode="#,##0_);\(#,##0\);;">
                        <c:v>192.87651738366029</c:v>
                      </c:pt>
                    </c:numCache>
                  </c:numRef>
                </c:val>
                <c:extLst xmlns:c15="http://schemas.microsoft.com/office/drawing/2012/chart">
                  <c:ext xmlns:c16="http://schemas.microsoft.com/office/drawing/2014/chart" uri="{C3380CC4-5D6E-409C-BE32-E72D297353CC}">
                    <c16:uniqueId val="{0000000C-E705-4592-9418-CD89AE2708C5}"/>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spPr>
                  <a:solidFill>
                    <a:schemeClr val="accent3"/>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'W5'!$O$77:$P$77</c15:sqref>
                        </c15:fullRef>
                        <c15:formulaRef>
                          <c15:sqref>'W5'!$O$77</c15:sqref>
                        </c15:formulaRef>
                      </c:ext>
                    </c:extLst>
                    <c:numCache>
                      <c:formatCode>0.0%;\-0.0.%;</c:formatCode>
                      <c:ptCount val="1"/>
                      <c:pt idx="0" formatCode="#,##0_);\(#,##0\);;">
                        <c:v>125.84619890507449</c:v>
                      </c:pt>
                    </c:numCache>
                  </c:numRef>
                </c:val>
                <c:extLst xmlns:c15="http://schemas.microsoft.com/office/drawing/2012/chart">
                  <c:ext xmlns:c16="http://schemas.microsoft.com/office/drawing/2014/chart" uri="{C3380CC4-5D6E-409C-BE32-E72D297353CC}">
                    <c16:uniqueId val="{0000000D-E705-4592-9418-CD89AE2708C5}"/>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spPr>
                  <a:solidFill>
                    <a:schemeClr val="accent6"/>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'W5'!$O$78:$P$78</c15:sqref>
                        </c15:fullRef>
                        <c15:formulaRef>
                          <c15:sqref>'W5'!$O$78</c15:sqref>
                        </c15:formulaRef>
                      </c:ext>
                    </c:extLst>
                    <c:numCache>
                      <c:formatCode>0.0%;\-0.0.%;</c:formatCode>
                      <c:ptCount val="1"/>
                      <c:pt idx="0" formatCode="#,##0_);\(#,##0\);;">
                        <c:v>135.70318892301805</c:v>
                      </c:pt>
                    </c:numCache>
                  </c:numRef>
                </c:val>
                <c:extLst xmlns:c15="http://schemas.microsoft.com/office/drawing/2012/chart">
                  <c:ext xmlns:c16="http://schemas.microsoft.com/office/drawing/2014/chart" uri="{C3380CC4-5D6E-409C-BE32-E72D297353CC}">
                    <c16:uniqueId val="{0000000E-E705-4592-9418-CD89AE2708C5}"/>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'W5'!$O$79:$P$79</c15:sqref>
                        </c15:fullRef>
                        <c15:formulaRef>
                          <c15:sqref>'W5'!$O$79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0F-E705-4592-9418-CD89AE2708C5}"/>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'W5'!$O$80:$P$80</c15:sqref>
                        </c15:fullRef>
                        <c15:formulaRef>
                          <c15:sqref>'W5'!$O$80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0-E705-4592-9418-CD89AE2708C5}"/>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'W5'!$O$81:$P$81</c15:sqref>
                        </c15:fullRef>
                        <c15:formulaRef>
                          <c15:sqref>'W5'!$O$81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1-E705-4592-9418-CD89AE2708C5}"/>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'W5'!$O$82:$P$82</c15:sqref>
                        </c15:fullRef>
                        <c15:formulaRef>
                          <c15:sqref>'W5'!$O$82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2-E705-4592-9418-CD89AE2708C5}"/>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'W5'!$O$83:$P$83</c15:sqref>
                        </c15:fullRef>
                        <c15:formulaRef>
                          <c15:sqref>'W5'!$O$83</c15:sqref>
                        </c15:formulaRef>
                      </c:ext>
                    </c:extLst>
                    <c:numCache>
                      <c:formatCode>0.0%;\-0.0.%;</c:formatCode>
                      <c:ptCount val="1"/>
                      <c:pt idx="0" formatCode="#,##0_);\(#,##0\);;">
                        <c:v>1642.4576024980183</c:v>
                      </c:pt>
                    </c:numCache>
                  </c:numRef>
                </c:val>
                <c:extLst xmlns:c15="http://schemas.microsoft.com/office/drawing/2012/chart">
                  <c:ext xmlns:c16="http://schemas.microsoft.com/office/drawing/2014/chart" uri="{C3380CC4-5D6E-409C-BE32-E72D297353CC}">
                    <c16:uniqueId val="{00000013-E705-4592-9418-CD89AE2708C5}"/>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'W5'!$O$86:$P$86</c15:sqref>
                        </c15:fullRef>
                        <c15:formulaRef>
                          <c15:sqref>'W5'!$O$86</c15:sqref>
                        </c15:formulaRef>
                      </c:ext>
                    </c:extLst>
                    <c:numCache>
                      <c:formatCode>0.0%;\-0.0.%;</c:formatCode>
                      <c:ptCount val="1"/>
                      <c:pt idx="0" formatCode="#,##0_);\(#,##0\);;">
                        <c:v>1564.1025641025642</c:v>
                      </c:pt>
                    </c:numCache>
                  </c:numRef>
                </c:val>
                <c:extLst xmlns:c15="http://schemas.microsoft.com/office/drawing/2012/chart">
                  <c:ext xmlns:c16="http://schemas.microsoft.com/office/drawing/2014/chart" uri="{C3380CC4-5D6E-409C-BE32-E72D297353CC}">
                    <c16:uniqueId val="{00000014-E705-4592-9418-CD89AE2708C5}"/>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'W5'!$O$87:$P$87</c15:sqref>
                        </c15:fullRef>
                        <c15:formulaRef>
                          <c15:sqref>'W5'!$O$87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5-E705-4592-9418-CD89AE2708C5}"/>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6.4473836404172938E-2"/>
          <c:w val="0.59309582231339852"/>
          <c:h val="0.93267454335343525"/>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82ED459D-B08C-4AF2-A853-25B566012A22}"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35F42F2F-1786-4914-84CB-ED9996F3381D}"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15D1C257-80E6-4192-9BE1-A4D453A65359}"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6686-4D39-96AE-0733883E17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'W5'!$M$49:$N$49</c15:sqref>
                  </c15:fullRef>
                </c:ext>
              </c:extLst>
              <c:f>'W5'!$M$49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'W5'!$N$49</c15:f>
                <c15:dlblRangeCache>
                  <c:ptCount val="1"/>
                  <c:pt idx="0">
                    <c:v>62.6%</c:v>
                  </c:pt>
                </c15:dlblRangeCache>
              </c15:datalabelsRange>
            </c:ext>
            <c:ext xmlns:c16="http://schemas.microsoft.com/office/drawing/2014/chart" uri="{C3380CC4-5D6E-409C-BE32-E72D297353CC}">
              <c16:uniqueId val="{00000001-6686-4D39-96AE-0733883E173A}"/>
            </c:ext>
          </c:extLst>
        </c:ser>
        <c:ser>
          <c:idx val="11"/>
          <c:order val="2"/>
          <c:tx>
            <c:strRef>
              <c:f>'W5'!$D$51</c:f>
              <c:strCache>
                <c:ptCount val="1"/>
                <c:pt idx="0">
                  <c:v>Hao hụt về tiền</c:v>
                </c:pt>
              </c:strCache>
            </c:strRef>
          </c:tx>
          <c:spPr>
            <a:solidFill>
              <a:srgbClr val="FFC000"/>
            </a:solidFill>
          </c:spPr>
          <c:invertIfNegative val="0"/>
          <c:dLbls>
            <c:dLbl>
              <c:idx val="0"/>
              <c:layout>
                <c:manualLayout>
                  <c:x val="-2.6515897341541726E-2"/>
                  <c:y val="1.345198691987908E-2"/>
                </c:manualLayout>
              </c:layout>
              <c:tx>
                <c:rich>
                  <a:bodyPr wrap="square" lIns="38100" tIns="19050" rIns="38100" bIns="19050" anchor="ctr">
                    <a:noAutofit/>
                  </a:bodyPr>
                  <a:lstStyle/>
                  <a:p>
                    <a:pPr>
                      <a:defRPr sz="1100"/>
                    </a:pPr>
                    <a:fld id="{FE81A58F-3CAC-495B-8D0D-F4143F993B2A}" type="CELLRANGE">
                      <a:rPr lang="en-US" sz="1100" baseline="0"/>
                      <a:pPr>
                        <a:defRPr sz="1100"/>
                      </a:pPr>
                      <a:t>[CELLRANGE]</a:t>
                    </a:fld>
                    <a:r>
                      <a:rPr lang="en-US" sz="1100" baseline="0"/>
                      <a:t>, </a:t>
                    </a:r>
                    <a:fld id="{1F7FF8D6-BA70-4DC8-BD76-7014F2B94155}" type="SERIESNAME">
                      <a:rPr lang="en-US" sz="1100" baseline="0"/>
                      <a:pPr>
                        <a:defRPr sz="1100"/>
                      </a:pPr>
                      <a:t>[SERIES NAME]</a:t>
                    </a:fld>
                    <a:r>
                      <a:rPr lang="en-US" sz="1100" baseline="0"/>
                      <a:t>, </a:t>
                    </a:r>
                    <a:fld id="{E13BF1BB-B5DB-4A81-9F79-0FB63A4E034F}"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680055501344853"/>
                      <c:h val="0.21093818810028875"/>
                    </c:manualLayout>
                  </c15:layout>
                  <c15:dlblFieldTable/>
                  <c15:showDataLabelsRange val="1"/>
                </c:ext>
                <c:ext xmlns:c16="http://schemas.microsoft.com/office/drawing/2014/chart" uri="{C3380CC4-5D6E-409C-BE32-E72D297353CC}">
                  <c16:uniqueId val="{00000002-6686-4D39-96AE-0733883E173A}"/>
                </c:ext>
              </c:extLst>
            </c:dLbl>
            <c:spPr>
              <a:noFill/>
              <a:ln>
                <a:noFill/>
              </a:ln>
              <a:effectLst/>
            </c:spPr>
            <c:txPr>
              <a:bodyPr wrap="square" lIns="38100" tIns="19050" rIns="38100" bIns="19050" anchor="ctr">
                <a:spAutoFit/>
              </a:bodyPr>
              <a:lstStyle/>
              <a:p>
                <a:pPr>
                  <a:defRPr sz="11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'W5'!$M$51:$N$51</c15:sqref>
                  </c15:fullRef>
                </c:ext>
              </c:extLst>
              <c:f>'W5'!$M$51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'W5'!$N$51</c15:f>
                <c15:dlblRangeCache>
                  <c:ptCount val="1"/>
                  <c:pt idx="0">
                    <c:v>4.7%</c:v>
                  </c:pt>
                </c15:dlblRangeCache>
              </c15:datalabelsRange>
            </c:ext>
            <c:ext xmlns:c16="http://schemas.microsoft.com/office/drawing/2014/chart" uri="{C3380CC4-5D6E-409C-BE32-E72D297353CC}">
              <c16:uniqueId val="{00000003-6686-4D39-96AE-0733883E173A}"/>
            </c:ext>
          </c:extLst>
        </c:ser>
        <c:ser>
          <c:idx val="10"/>
          <c:order val="3"/>
          <c:tx>
            <c:strRef>
              <c:f>'W5'!$D$52</c:f>
              <c:strCache>
                <c:ptCount val="1"/>
                <c:pt idx="0">
                  <c:v>Chi phí biến đổi</c:v>
                </c:pt>
              </c:strCache>
            </c:strRef>
          </c:tx>
          <c:spPr>
            <a:solidFill>
              <a:schemeClr val="bg2">
                <a:lumMod val="90000"/>
              </a:schemeClr>
            </a:solidFill>
          </c:spPr>
          <c:invertIfNegative val="0"/>
          <c:dLbls>
            <c:dLbl>
              <c:idx val="0"/>
              <c:layout>
                <c:manualLayout>
                  <c:x val="1.0628482433221708E-2"/>
                  <c:y val="4.5484258122435249E-2"/>
                </c:manualLayout>
              </c:layout>
              <c:tx>
                <c:rich>
                  <a:bodyPr wrap="square" lIns="38100" tIns="19050" rIns="38100" bIns="19050" anchor="ctr">
                    <a:noAutofit/>
                  </a:bodyPr>
                  <a:lstStyle/>
                  <a:p>
                    <a:pPr>
                      <a:defRPr sz="1300"/>
                    </a:pPr>
                    <a:fld id="{EFA714E7-92F1-4881-8281-7B38E1674390}" type="CELLRANGE">
                      <a:rPr lang="en-US" sz="1300" baseline="0"/>
                      <a:pPr>
                        <a:defRPr sz="1300"/>
                      </a:pPr>
                      <a:t>[CELLRANGE]</a:t>
                    </a:fld>
                    <a:r>
                      <a:rPr lang="en-US" sz="1300" baseline="0"/>
                      <a:t>, </a:t>
                    </a:r>
                    <a:fld id="{450EDD68-2D14-427D-AF6D-8CAB6F36496B}" type="SERIESNAME">
                      <a:rPr lang="en-US" sz="1300" baseline="0"/>
                      <a:pPr>
                        <a:defRPr sz="1300"/>
                      </a:pPr>
                      <a:t>[SERIES NAME]</a:t>
                    </a:fld>
                    <a:r>
                      <a:rPr lang="en-US" sz="1300" baseline="0"/>
                      <a:t>, </a:t>
                    </a:r>
                    <a:fld id="{14A38C52-7CB1-4A95-9D4B-9A509886B7DA}"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7137061207137504"/>
                      <c:h val="0.12742330682892611"/>
                    </c:manualLayout>
                  </c15:layout>
                  <c15:dlblFieldTable/>
                  <c15:showDataLabelsRange val="1"/>
                </c:ext>
                <c:ext xmlns:c16="http://schemas.microsoft.com/office/drawing/2014/chart" uri="{C3380CC4-5D6E-409C-BE32-E72D297353CC}">
                  <c16:uniqueId val="{00000004-6686-4D39-96AE-0733883E173A}"/>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'W5'!$M$52:$N$52</c15:sqref>
                  </c15:fullRef>
                </c:ext>
              </c:extLst>
              <c:f>'W5'!$M$52</c:f>
              <c:numCache>
                <c:formatCode>0.0%;\-0.0.%;</c:formatCode>
                <c:ptCount val="1"/>
                <c:pt idx="0" formatCode="#,##0_);\(#,##0\);;">
                  <c:v>197.7268952967712</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'W5'!$N$52</c15:f>
                <c15:dlblRangeCache>
                  <c:ptCount val="1"/>
                  <c:pt idx="0">
                    <c:v>32.4%</c:v>
                  </c:pt>
                </c15:dlblRangeCache>
              </c15:datalabelsRange>
            </c:ext>
            <c:ext xmlns:c16="http://schemas.microsoft.com/office/drawing/2014/chart" uri="{C3380CC4-5D6E-409C-BE32-E72D297353CC}">
              <c16:uniqueId val="{00000005-6686-4D39-96AE-0733883E173A}"/>
            </c:ext>
          </c:extLst>
        </c:ser>
        <c:ser>
          <c:idx val="9"/>
          <c:order val="13"/>
          <c:tx>
            <c:strRef>
              <c:f>'W5'!$D$62</c:f>
              <c:strCache>
                <c:ptCount val="1"/>
                <c:pt idx="0">
                  <c:v>Thuế thu nhập</c:v>
                </c:pt>
              </c:strCache>
            </c:strRef>
          </c:tx>
          <c:spPr>
            <a:solidFill>
              <a:srgbClr val="FFFF00"/>
            </a:solidFill>
          </c:spPr>
          <c:invertIfNegative val="0"/>
          <c:dLbls>
            <c:dLbl>
              <c:idx val="0"/>
              <c:layout>
                <c:manualLayout>
                  <c:x val="2.2099111011793248E-2"/>
                  <c:y val="1.6825609053926445E-2"/>
                </c:manualLayout>
              </c:layout>
              <c:tx>
                <c:rich>
                  <a:bodyPr/>
                  <a:lstStyle/>
                  <a:p>
                    <a:fld id="{A9FBA3B1-5496-4558-9CDD-8AB213E53779}" type="CELLRANGE">
                      <a:rPr lang="en-US" baseline="0"/>
                      <a:pPr/>
                      <a:t>[CELLRANGE]</a:t>
                    </a:fld>
                    <a:r>
                      <a:rPr lang="en-US" baseline="0"/>
                      <a:t>, </a:t>
                    </a:r>
                    <a:fld id="{4F3254C0-A884-4240-B588-1849473FA148}" type="SERIESNAME">
                      <a:rPr lang="en-US" baseline="0"/>
                      <a:pPr/>
                      <a:t>[SERIES NAME]</a:t>
                    </a:fld>
                    <a:r>
                      <a:rPr lang="en-US" baseline="0"/>
                      <a:t>, </a:t>
                    </a:r>
                    <a:fld id="{F96C1644-786A-4617-ADDA-FF3A03BD6D2F}"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3735791898462795"/>
                      <c:h val="0.17438061223489398"/>
                    </c:manualLayout>
                  </c15:layout>
                  <c15:dlblFieldTable/>
                  <c15:showDataLabelsRange val="1"/>
                </c:ext>
                <c:ext xmlns:c16="http://schemas.microsoft.com/office/drawing/2014/chart" uri="{C3380CC4-5D6E-409C-BE32-E72D297353CC}">
                  <c16:uniqueId val="{00000006-6686-4D39-96AE-0733883E173A}"/>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'W5'!$M$62:$N$62</c15:sqref>
                  </c15:fullRef>
                </c:ext>
              </c:extLst>
              <c:f>'W5'!$M$62</c:f>
              <c:numCache>
                <c:formatCode>0.0%;\-0.0.%;</c:formatCode>
                <c:ptCount val="1"/>
                <c:pt idx="0" formatCode="#,##0.0_);\(#,##0.0\);">
                  <c:v>0.32816932774253477</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'W5'!$N$62</c15:f>
                <c15:dlblRangeCache>
                  <c:ptCount val="1"/>
                  <c:pt idx="0">
                    <c:v>0.1%</c:v>
                  </c:pt>
                </c15:dlblRangeCache>
              </c15:datalabelsRange>
            </c:ext>
            <c:ext xmlns:c16="http://schemas.microsoft.com/office/drawing/2014/chart" uri="{C3380CC4-5D6E-409C-BE32-E72D297353CC}">
              <c16:uniqueId val="{00000007-6686-4D39-96AE-0733883E173A}"/>
            </c:ext>
          </c:extLst>
        </c:ser>
        <c:ser>
          <c:idx val="12"/>
          <c:order val="14"/>
          <c:tx>
            <c:strRef>
              <c:f>'W5'!$D$63</c:f>
              <c:strCache>
                <c:ptCount val="1"/>
                <c:pt idx="0">
                  <c:v>Lợi nhuận</c:v>
                </c:pt>
              </c:strCache>
            </c:strRef>
          </c:tx>
          <c:spPr>
            <a:solidFill>
              <a:srgbClr val="92D050"/>
            </a:solidFill>
          </c:spPr>
          <c:invertIfNegative val="0"/>
          <c:dLbls>
            <c:dLbl>
              <c:idx val="0"/>
              <c:layout>
                <c:manualLayout>
                  <c:x val="-6.0944493924083437E-3"/>
                  <c:y val="-4.3782971565266213E-2"/>
                </c:manualLayout>
              </c:layout>
              <c:tx>
                <c:rich>
                  <a:bodyPr wrap="square" lIns="38100" tIns="19050" rIns="38100" bIns="19050" anchor="ctr">
                    <a:noAutofit/>
                  </a:bodyPr>
                  <a:lstStyle/>
                  <a:p>
                    <a:pPr>
                      <a:defRPr sz="1300" b="1">
                        <a:solidFill>
                          <a:srgbClr val="FF0000"/>
                        </a:solidFill>
                      </a:defRPr>
                    </a:pPr>
                    <a:fld id="{747209CB-A6AA-41DA-9CA9-943C1F7886B9}"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99B9FDA0-358F-4C70-A56C-E744A10B6100}"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977399CE-0E73-4AD9-A113-12ED8DA5F7A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069236246241873"/>
                      <c:h val="8.0157309942607793E-2"/>
                    </c:manualLayout>
                  </c15:layout>
                  <c15:dlblFieldTable/>
                  <c15:showDataLabelsRange val="1"/>
                </c:ext>
                <c:ext xmlns:c16="http://schemas.microsoft.com/office/drawing/2014/chart" uri="{C3380CC4-5D6E-409C-BE32-E72D297353CC}">
                  <c16:uniqueId val="{00000008-6686-4D39-96AE-0733883E173A}"/>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'W5'!$M$63:$N$63</c15:sqref>
                  </c15:fullRef>
                </c:ext>
              </c:extLst>
              <c:f>'W5'!$M$63</c:f>
              <c:numCache>
                <c:formatCode>0.0%;\-0.0.%;</c:formatCode>
                <c:ptCount val="1"/>
                <c:pt idx="0" formatCode="#,##0.0_);\(#,##0.0\);">
                  <c:v>1.3126773109701391</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'W5'!$N$63</c15:f>
                <c15:dlblRangeCache>
                  <c:ptCount val="1"/>
                  <c:pt idx="0">
                    <c:v>0.2%</c:v>
                  </c:pt>
                </c15:dlblRangeCache>
              </c15:datalabelsRange>
            </c:ext>
            <c:ext xmlns:c16="http://schemas.microsoft.com/office/drawing/2014/chart" uri="{C3380CC4-5D6E-409C-BE32-E72D297353CC}">
              <c16:uniqueId val="{00000009-6686-4D39-96AE-0733883E173A}"/>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Lbls>
                  <c:dLbl>
                    <c:idx val="0"/>
                    <c:layout>
                      <c:manualLayout>
                        <c:x val="-1.0628482433221854E-2"/>
                        <c:y val="2.695376708876341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15AB1A09-E462-456E-BEA7-267866862C3F}"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66AE64D2-D00F-4A7A-90A6-BB6ED5CD3881}"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5E4DCEF2-8EE8-4FD9-ADD7-17772358D080}"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70180936434669805"/>
                            <c:h val="0.15506560618029541"/>
                          </c:manualLayout>
                        </c15:layout>
                        <c15:dlblFieldTable/>
                        <c15:showDataLabelsRange val="1"/>
                      </c:ext>
                      <c:ext xmlns:c16="http://schemas.microsoft.com/office/drawing/2014/chart" uri="{C3380CC4-5D6E-409C-BE32-E72D297353CC}">
                        <c16:uniqueId val="{0000000A-6686-4D39-96AE-0733883E173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'W5'!$M$50:$N$50</c15:sqref>
                        </c15:fullRef>
                        <c15:formulaRef>
                          <c15:sqref>'W5'!$M$50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uri="{02D57815-91ED-43cb-92C2-25804820EDAC}">
                    <c15:datalabelsRange>
                      <c15:f>'W5'!$F$62</c15:f>
                      <c15:dlblRangeCache>
                        <c:ptCount val="1"/>
                        <c:pt idx="0">
                          <c:v>2.1%</c:v>
                        </c:pt>
                      </c15:dlblRangeCache>
                    </c15:datalabelsRange>
                  </c:ext>
                  <c:ext xmlns:c16="http://schemas.microsoft.com/office/drawing/2014/chart" uri="{C3380CC4-5D6E-409C-BE32-E72D297353CC}">
                    <c16:uniqueId val="{0000000B-6686-4D39-96AE-0733883E173A}"/>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c:spPr>
                <c:invertIfNegative val="0"/>
                <c:dLbls>
                  <c:dLbl>
                    <c:idx val="0"/>
                    <c:layout>
                      <c:manualLayout>
                        <c:x val="-5.4592292744487993E-2"/>
                        <c:y val="-4.3799523323913708E-2"/>
                      </c:manualLayout>
                    </c:layout>
                    <c:tx>
                      <c:rich>
                        <a:bodyPr wrap="square" lIns="38100" tIns="19050" rIns="38100" bIns="19050" anchor="ctr">
                          <a:noAutofit/>
                        </a:bodyPr>
                        <a:lstStyle/>
                        <a:p>
                          <a:pPr>
                            <a:defRPr sz="1300" b="1">
                              <a:solidFill>
                                <a:srgbClr val="FF0000"/>
                              </a:solidFill>
                            </a:defRPr>
                          </a:pPr>
                          <a:fld id="{0F93DBF4-0C5A-45BB-8800-99EC395292E7}"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B4146712-CE4C-4B14-9CDE-36B28606F5C3}"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8BD28BFE-9A87-492E-B0C1-F5BED1F91D37}"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181969427395499"/>
                            <c:h val="0.13416171543965727"/>
                          </c:manualLayout>
                        </c15:layout>
                        <c15:dlblFieldTable/>
                        <c15:showDataLabelsRange val="1"/>
                      </c:ext>
                      <c:ext xmlns:c16="http://schemas.microsoft.com/office/drawing/2014/chart" uri="{C3380CC4-5D6E-409C-BE32-E72D297353CC}">
                        <c16:uniqueId val="{0000000C-6686-4D39-96AE-0733883E173A}"/>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'W5'!$M$53:$N$53</c15:sqref>
                        </c15:fullRef>
                        <c15:formulaRef>
                          <c15:sqref>'W5'!$M$53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'W5'!$J$63</c15:f>
                      <c15:dlblRangeCache>
                        <c:ptCount val="1"/>
                        <c:pt idx="0">
                          <c:v>5.1%</c:v>
                        </c:pt>
                      </c15:dlblRangeCache>
                    </c15:datalabelsRange>
                  </c:ext>
                  <c:ext xmlns:c16="http://schemas.microsoft.com/office/drawing/2014/chart" uri="{C3380CC4-5D6E-409C-BE32-E72D297353CC}">
                    <c16:uniqueId val="{0000000D-6686-4D39-96AE-0733883E173A}"/>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'W5'!$M$54:$N$54</c15:sqref>
                        </c15:fullRef>
                        <c15:formulaRef>
                          <c15:sqref>'W5'!$M$54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0E-6686-4D39-96AE-0733883E173A}"/>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'W5'!$M$55:$N$55</c15:sqref>
                        </c15:fullRef>
                        <c15:formulaRef>
                          <c15:sqref>'W5'!$M$55</c15:sqref>
                        </c15:formulaRef>
                      </c:ext>
                    </c:extLst>
                    <c:numCache>
                      <c:formatCode>0.0%;\-0.0.%;</c:formatCode>
                      <c:ptCount val="1"/>
                      <c:pt idx="0" formatCode="#,##0_);\(#,##0\);;">
                        <c:v>32.74722577596247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0F-6686-4D39-96AE-0733883E173A}"/>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'W5'!$M$56:$N$56</c15:sqref>
                        </c15:fullRef>
                        <c15:formulaRef>
                          <c15:sqref>'W5'!$M$56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0-6686-4D39-96AE-0733883E173A}"/>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'W5'!$M$57:$N$57</c15:sqref>
                        </c15:fullRef>
                        <c15:formulaRef>
                          <c15:sqref>'W5'!$M$57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1-6686-4D39-96AE-0733883E173A}"/>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'W5'!$M$58:$N$58</c15:sqref>
                        </c15:fullRef>
                        <c15:formulaRef>
                          <c15:sqref>'W5'!$M$58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2-6686-4D39-96AE-0733883E173A}"/>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'W5'!$M$59:$N$59</c15:sqref>
                        </c15:fullRef>
                        <c15:formulaRef>
                          <c15:sqref>'W5'!$M$59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3-6686-4D39-96AE-0733883E173A}"/>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'W5'!$M$60:$N$60</c15:sqref>
                        </c15:fullRef>
                        <c15:formulaRef>
                          <c15:sqref>'W5'!$M$60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4-6686-4D39-96AE-0733883E173A}"/>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'W5'!$M$61:$N$61</c15:sqref>
                        </c15:fullRef>
                        <c15:formulaRef>
                          <c15:sqref>'W5'!$M$61</c15:sqref>
                        </c15:formulaRef>
                      </c:ext>
                    </c:extLst>
                    <c:numCache>
                      <c:formatCode>0.0%;\-0.0.%;</c:formatCode>
                      <c:ptCount val="1"/>
                      <c:pt idx="0" formatCode="#,##0_);\(#,##0\);;">
                        <c:v>608.35915336128733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5-6686-4D39-96AE-0733883E173A}"/>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'W5'!$M$64:$N$64</c15:sqref>
                        </c15:fullRef>
                        <c15:formulaRef>
                          <c15:sqref>'W5'!$M$64</c15:sqref>
                        </c15:formulaRef>
                      </c:ext>
                    </c:extLst>
                    <c:numCache>
                      <c:formatCode>0.0%;\-0.0.%;</c:formatCode>
                      <c:ptCount val="1"/>
                      <c:pt idx="0" formatCode="#,##0_);\(#,##0\);;">
                        <c:v>610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6-6686-4D39-96AE-0733883E173A}"/>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'W5'!$M$65:$N$65</c15:sqref>
                        </c15:fullRef>
                        <c15:formulaRef>
                          <c15:sqref>'W5'!$M$65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7-6686-4D39-96AE-0733883E173A}"/>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5BD0EA94-CA14-4541-B97B-C7E2F7451117}"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58D6C165-BCEC-458E-907C-BB7507CFEE06}"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AEB181F9-790B-4ABA-8FFF-1515D219B007}"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458C-4FFF-9253-93B2E25DF4B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'W5'!$M$71:$N$71</c15:sqref>
                  </c15:fullRef>
                </c:ext>
              </c:extLst>
              <c:f>'W5'!$M$71</c:f>
              <c:numCache>
                <c:formatCode>0.0%;\-0.0.%;</c:formatCode>
                <c:ptCount val="1"/>
                <c:pt idx="0" formatCode="#,##0_);\(#,##0\);;">
                  <c:v>979.2</c:v>
                </c:pt>
              </c:numCache>
            </c:numRef>
          </c:val>
          <c:extLst>
            <c:ext xmlns:c15="http://schemas.microsoft.com/office/drawing/2012/chart" uri="{02D57815-91ED-43cb-92C2-25804820EDAC}">
              <c15:datalabelsRange>
                <c15:f>'W5'!$N$71</c15:f>
                <c15:dlblRangeCache>
                  <c:ptCount val="1"/>
                  <c:pt idx="0">
                    <c:v>62.6%</c:v>
                  </c:pt>
                </c15:dlblRangeCache>
              </c15:datalabelsRange>
            </c:ext>
            <c:ext xmlns:c16="http://schemas.microsoft.com/office/drawing/2014/chart" uri="{C3380CC4-5D6E-409C-BE32-E72D297353CC}">
              <c16:uniqueId val="{00000001-458C-4FFF-9253-93B2E25DF4B7}"/>
            </c:ext>
          </c:extLst>
        </c:ser>
        <c:ser>
          <c:idx val="10"/>
          <c:order val="2"/>
          <c:tx>
            <c:strRef>
              <c:f>'W5'!$D$73</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2-458C-4FFF-9253-93B2E25DF4B7}"/>
              </c:ext>
            </c:extLst>
          </c:dPt>
          <c:dLbls>
            <c:dLbl>
              <c:idx val="0"/>
              <c:layout>
                <c:manualLayout>
                  <c:x val="4.572852941038803E-3"/>
                  <c:y val="0"/>
                </c:manualLayout>
              </c:layout>
              <c:tx>
                <c:rich>
                  <a:bodyPr wrap="square" lIns="38100" tIns="19050" rIns="38100" bIns="19050" anchor="ctr">
                    <a:noAutofit/>
                  </a:bodyPr>
                  <a:lstStyle/>
                  <a:p>
                    <a:pPr>
                      <a:defRPr sz="1100"/>
                    </a:pPr>
                    <a:fld id="{829A04E0-C2B2-4533-9EF3-43827812D324}" type="CELLRANGE">
                      <a:rPr lang="en-US" sz="1100" baseline="0"/>
                      <a:pPr>
                        <a:defRPr sz="1100"/>
                      </a:pPr>
                      <a:t>[CELLRANGE]</a:t>
                    </a:fld>
                    <a:r>
                      <a:rPr lang="en-US" sz="1100" baseline="0"/>
                      <a:t>, </a:t>
                    </a:r>
                    <a:fld id="{A7893AF3-23F5-4500-B841-F5A7CCC1AD3B}" type="SERIESNAME">
                      <a:rPr lang="en-US" sz="1100" baseline="0"/>
                      <a:pPr>
                        <a:defRPr sz="1100"/>
                      </a:pPr>
                      <a:t>[SERIES NAME]</a:t>
                    </a:fld>
                    <a:r>
                      <a:rPr lang="en-US" sz="1100" baseline="0"/>
                      <a:t>, </a:t>
                    </a:r>
                    <a:fld id="{E25E6593-EA43-40B1-BFCE-8C65CF63AE2D}"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71879537781"/>
                      <c:h val="7.7114221795072865E-2"/>
                    </c:manualLayout>
                  </c15:layout>
                  <c15:dlblFieldTable/>
                  <c15:showDataLabelsRange val="1"/>
                </c:ext>
                <c:ext xmlns:c16="http://schemas.microsoft.com/office/drawing/2014/chart" uri="{C3380CC4-5D6E-409C-BE32-E72D297353CC}">
                  <c16:uniqueId val="{00000002-458C-4FFF-9253-93B2E25DF4B7}"/>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'W5'!$M$73:$N$73</c15:sqref>
                  </c15:fullRef>
                </c:ext>
              </c:extLst>
              <c:f>'W5'!$M$73</c:f>
              <c:numCache>
                <c:formatCode>0.0%;\-0.0.%;</c:formatCode>
                <c:ptCount val="1"/>
                <c:pt idx="0" formatCode="#,##0_);\(#,##0\);;">
                  <c:v>73.703225806451741</c:v>
                </c:pt>
              </c:numCache>
            </c:numRef>
          </c:val>
          <c:extLst>
            <c:ext xmlns:c15="http://schemas.microsoft.com/office/drawing/2012/chart" uri="{02D57815-91ED-43cb-92C2-25804820EDAC}">
              <c15:datalabelsRange>
                <c15:f>'W5'!$N$73</c15:f>
                <c15:dlblRangeCache>
                  <c:ptCount val="1"/>
                  <c:pt idx="0">
                    <c:v>4.7%</c:v>
                  </c:pt>
                </c15:dlblRangeCache>
              </c15:datalabelsRange>
            </c:ext>
            <c:ext xmlns:c16="http://schemas.microsoft.com/office/drawing/2014/chart" uri="{C3380CC4-5D6E-409C-BE32-E72D297353CC}">
              <c16:uniqueId val="{00000003-458C-4FFF-9253-93B2E25DF4B7}"/>
            </c:ext>
          </c:extLst>
        </c:ser>
        <c:ser>
          <c:idx val="9"/>
          <c:order val="3"/>
          <c:tx>
            <c:strRef>
              <c:f>'W5'!$D$74</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FC3130D9-A848-4FA2-A3BE-E73097E0BAE9}" type="CELLRANGE">
                      <a:rPr lang="en-US" sz="1300" baseline="0"/>
                      <a:pPr>
                        <a:defRPr sz="1300"/>
                      </a:pPr>
                      <a:t>[CELLRANGE]</a:t>
                    </a:fld>
                    <a:r>
                      <a:rPr lang="en-US" sz="1300" baseline="0"/>
                      <a:t>, </a:t>
                    </a:r>
                    <a:fld id="{CC740675-E19D-4687-BF3A-9132C21A01AC}" type="SERIESNAME">
                      <a:rPr lang="en-US" sz="1300" baseline="0"/>
                      <a:pPr>
                        <a:defRPr sz="1300"/>
                      </a:pPr>
                      <a:t>[SERIES NAME]</a:t>
                    </a:fld>
                    <a:r>
                      <a:rPr lang="en-US" sz="1300" baseline="0"/>
                      <a:t>, </a:t>
                    </a:r>
                    <a:fld id="{5FE93AD1-3970-4F8F-9041-AD7C5B3E6696}"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005371630489142"/>
                      <c:h val="0.20994221419753334"/>
                    </c:manualLayout>
                  </c15:layout>
                  <c15:dlblFieldTable/>
                  <c15:showDataLabelsRange val="1"/>
                </c:ext>
                <c:ext xmlns:c16="http://schemas.microsoft.com/office/drawing/2014/chart" uri="{C3380CC4-5D6E-409C-BE32-E72D297353CC}">
                  <c16:uniqueId val="{00000004-458C-4FFF-9253-93B2E25DF4B7}"/>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'W5'!$M$74:$N$74</c15:sqref>
                  </c15:fullRef>
                </c:ext>
              </c:extLst>
              <c:f>'W5'!$M$74</c:f>
              <c:numCache>
                <c:formatCode>0.0%;\-0.0.%;</c:formatCode>
                <c:ptCount val="1"/>
                <c:pt idx="0" formatCode="#,##0_);\(#,##0\);;">
                  <c:v>506.99203922249029</c:v>
                </c:pt>
              </c:numCache>
            </c:numRef>
          </c:val>
          <c:extLst>
            <c:ext xmlns:c15="http://schemas.microsoft.com/office/drawing/2012/chart" uri="{02D57815-91ED-43cb-92C2-25804820EDAC}">
              <c15:datalabelsRange>
                <c15:f>'W5'!$N$74</c15:f>
                <c15:dlblRangeCache>
                  <c:ptCount val="1"/>
                  <c:pt idx="0">
                    <c:v>32.4%</c:v>
                  </c:pt>
                </c15:dlblRangeCache>
              </c15:datalabelsRange>
            </c:ext>
            <c:ext xmlns:c16="http://schemas.microsoft.com/office/drawing/2014/chart" uri="{C3380CC4-5D6E-409C-BE32-E72D297353CC}">
              <c16:uniqueId val="{00000005-458C-4FFF-9253-93B2E25DF4B7}"/>
            </c:ext>
          </c:extLst>
        </c:ser>
        <c:ser>
          <c:idx val="13"/>
          <c:order val="13"/>
          <c:tx>
            <c:strRef>
              <c:f>'W5'!$D$84</c:f>
              <c:strCache>
                <c:ptCount val="1"/>
                <c:pt idx="0">
                  <c:v>Thuế thu nhập</c:v>
                </c:pt>
              </c:strCache>
            </c:strRef>
          </c:tx>
          <c:spPr>
            <a:solidFill>
              <a:srgbClr val="FFFF00"/>
            </a:solidFill>
          </c:spPr>
          <c:invertIfNegative val="0"/>
          <c:dLbls>
            <c:dLbl>
              <c:idx val="0"/>
              <c:layout>
                <c:manualLayout>
                  <c:x val="1.8002649269866553E-7"/>
                  <c:y val="2.3832789790236598E-2"/>
                </c:manualLayout>
              </c:layout>
              <c:tx>
                <c:rich>
                  <a:bodyPr/>
                  <a:lstStyle/>
                  <a:p>
                    <a:fld id="{83A8A8CE-B699-4EB4-8773-65FC83F03751}" type="CELLRANGE">
                      <a:rPr lang="en-US" baseline="0"/>
                      <a:pPr/>
                      <a:t>[CELLRANGE]</a:t>
                    </a:fld>
                    <a:r>
                      <a:rPr lang="en-US" baseline="0"/>
                      <a:t>, </a:t>
                    </a:r>
                    <a:fld id="{3777D2D5-512F-411C-A9DB-32AF32BA78E8}" type="SERIESNAME">
                      <a:rPr lang="en-US" baseline="0"/>
                      <a:pPr/>
                      <a:t>[SERIES NAME]</a:t>
                    </a:fld>
                    <a:r>
                      <a:rPr lang="en-US" baseline="0"/>
                      <a:t>, </a:t>
                    </a:r>
                    <a:fld id="{F5A79D87-A30B-4A61-894F-D28024084187}"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5849755650041454"/>
                      <c:h val="0.13487670083414766"/>
                    </c:manualLayout>
                  </c15:layout>
                  <c15:dlblFieldTable/>
                  <c15:showDataLabelsRange val="1"/>
                </c:ext>
                <c:ext xmlns:c16="http://schemas.microsoft.com/office/drawing/2014/chart" uri="{C3380CC4-5D6E-409C-BE32-E72D297353CC}">
                  <c16:uniqueId val="{00000006-458C-4FFF-9253-93B2E25DF4B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'W5'!$M$84:$N$84</c15:sqref>
                  </c15:fullRef>
                </c:ext>
              </c:extLst>
              <c:f>'W5'!$M$84</c:f>
              <c:numCache>
                <c:formatCode>0.0%;\-0.0.%;</c:formatCode>
                <c:ptCount val="1"/>
                <c:pt idx="0" formatCode="#,##0_);\(#,##0\);;">
                  <c:v>0.84145981472443054</c:v>
                </c:pt>
              </c:numCache>
            </c:numRef>
          </c:val>
          <c:extLst>
            <c:ext xmlns:c15="http://schemas.microsoft.com/office/drawing/2012/chart" uri="{02D57815-91ED-43cb-92C2-25804820EDAC}">
              <c15:datalabelsRange>
                <c15:f>'W5'!$N$84</c15:f>
                <c15:dlblRangeCache>
                  <c:ptCount val="1"/>
                  <c:pt idx="0">
                    <c:v>0.1%</c:v>
                  </c:pt>
                </c15:dlblRangeCache>
              </c15:datalabelsRange>
            </c:ext>
            <c:ext xmlns:c16="http://schemas.microsoft.com/office/drawing/2014/chart" uri="{C3380CC4-5D6E-409C-BE32-E72D297353CC}">
              <c16:uniqueId val="{00000007-458C-4FFF-9253-93B2E25DF4B7}"/>
            </c:ext>
          </c:extLst>
        </c:ser>
        <c:ser>
          <c:idx val="14"/>
          <c:order val="14"/>
          <c:tx>
            <c:strRef>
              <c:f>'W5'!$D$85</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9-458C-4FFF-9253-93B2E25DF4B7}"/>
              </c:ext>
            </c:extLst>
          </c:dPt>
          <c:dLbls>
            <c:dLbl>
              <c:idx val="0"/>
              <c:layout>
                <c:manualLayout>
                  <c:x val="-7.5791153426138188E-4"/>
                  <c:y val="-2.4077015566377268E-2"/>
                </c:manualLayout>
              </c:layout>
              <c:tx>
                <c:rich>
                  <a:bodyPr wrap="square" lIns="38100" tIns="19050" rIns="38100" bIns="19050" anchor="ctr">
                    <a:noAutofit/>
                  </a:bodyPr>
                  <a:lstStyle/>
                  <a:p>
                    <a:pPr>
                      <a:defRPr sz="1300" b="1">
                        <a:solidFill>
                          <a:srgbClr val="FF0000"/>
                        </a:solidFill>
                      </a:defRPr>
                    </a:pPr>
                    <a:fld id="{0A800D1C-8216-4865-BDBB-82DEC45B900A}"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01034FE7-5703-4B04-B549-99DDC6571D6A}"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8CAC0A7B-F5CE-471D-B7D9-A1B3A1C8CCD6}"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957164136274298"/>
                      <c:h val="0.12760756590543826"/>
                    </c:manualLayout>
                  </c15:layout>
                  <c15:dlblFieldTable/>
                  <c15:showDataLabelsRange val="1"/>
                </c:ext>
                <c:ext xmlns:c16="http://schemas.microsoft.com/office/drawing/2014/chart" uri="{C3380CC4-5D6E-409C-BE32-E72D297353CC}">
                  <c16:uniqueId val="{00000009-458C-4FFF-9253-93B2E25DF4B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'W5'!$M$85:$N$85</c15:sqref>
                  </c15:fullRef>
                </c:ext>
              </c:extLst>
              <c:f>'W5'!$M$85</c:f>
              <c:numCache>
                <c:formatCode>0.0%;\-0.0.%;</c:formatCode>
                <c:ptCount val="1"/>
                <c:pt idx="0" formatCode="#,##0_);\(#,##0\);;">
                  <c:v>3.3658392588977222</c:v>
                </c:pt>
              </c:numCache>
            </c:numRef>
          </c:val>
          <c:extLst>
            <c:ext xmlns:c15="http://schemas.microsoft.com/office/drawing/2012/chart" uri="{02D57815-91ED-43cb-92C2-25804820EDAC}">
              <c15:datalabelsRange>
                <c15:f>'W5'!$N$85</c15:f>
                <c15:dlblRangeCache>
                  <c:ptCount val="1"/>
                  <c:pt idx="0">
                    <c:v>0.2%</c:v>
                  </c:pt>
                </c15:dlblRangeCache>
              </c15:datalabelsRange>
            </c:ext>
            <c:ext xmlns:c16="http://schemas.microsoft.com/office/drawing/2014/chart" uri="{C3380CC4-5D6E-409C-BE32-E72D297353CC}">
              <c16:uniqueId val="{0000000A-458C-4FFF-9253-93B2E25DF4B7}"/>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F4070368-A141-40E0-A49A-B017F0A8F19F}"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CCF94D5A-2B8F-480B-B247-5DC71786ABBB}"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51171D4B-2873-4C6E-8B4D-2E6341CDA186}"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B-458C-4FFF-9253-93B2E25DF4B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'W5'!$M$70:$N$70</c15:sqref>
                        </c15:fullRef>
                        <c15:formulaRef>
                          <c15:sqref>'W5'!$M$70</c15:sqref>
                        </c15:formulaRef>
                      </c:ext>
                    </c:extLst>
                    <c:strCache>
                      <c:ptCount val="1"/>
                      <c:pt idx="0">
                        <c:v>Chi phí
USD/tấn</c:v>
                      </c:pt>
                    </c:strCache>
                  </c:strRef>
                </c:cat>
                <c:val>
                  <c:numRef>
                    <c:extLst>
                      <c:ext uri="{02D57815-91ED-43cb-92C2-25804820EDAC}">
                        <c15:fullRef>
                          <c15:sqref>'W5'!$M$72:$N$72</c15:sqref>
                        </c15:fullRef>
                        <c15:formulaRef>
                          <c15:sqref>'W5'!$M$72</c15:sqref>
                        </c15:formulaRef>
                      </c:ext>
                    </c:extLst>
                    <c:numCache>
                      <c:formatCode>0.0%;\-0.0.%;</c:formatCode>
                      <c:ptCount val="1"/>
                      <c:pt idx="0" formatCode="#,##0_);\(#,##0\);;">
                        <c:v>979.2</c:v>
                      </c:pt>
                    </c:numCache>
                  </c:numRef>
                </c:val>
                <c:extLst>
                  <c:ext uri="{02D57815-91ED-43cb-92C2-25804820EDAC}">
                    <c15:datalabelsRange>
                      <c15:f>'W5'!$J$73</c15:f>
                      <c15:dlblRangeCache>
                        <c:ptCount val="1"/>
                        <c:pt idx="0">
                          <c:v>4.4%</c:v>
                        </c:pt>
                      </c15:dlblRangeCache>
                    </c15:datalabelsRange>
                  </c:ext>
                  <c:ext xmlns:c16="http://schemas.microsoft.com/office/drawing/2014/chart" uri="{C3380CC4-5D6E-409C-BE32-E72D297353CC}">
                    <c16:uniqueId val="{0000000C-458C-4FFF-9253-93B2E25DF4B7}"/>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44872C5B-6FA4-4443-9042-F66DD6D028F9}"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B118BC9F-F0CC-4E78-9C81-57358B90CBF1}"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48EEE000-3FCD-47F9-B486-68544797D1CA}"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D-458C-4FFF-9253-93B2E25DF4B7}"/>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'W5'!$M$75:$N$75</c15:sqref>
                        </c15:fullRef>
                        <c15:formulaRef>
                          <c15:sqref>'W5'!$M$75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'W5'!$J$85</c15:f>
                      <c15:dlblRangeCache>
                        <c:ptCount val="1"/>
                        <c:pt idx="0">
                          <c:v>5.1%</c:v>
                        </c:pt>
                      </c15:dlblRangeCache>
                    </c15:datalabelsRange>
                  </c:ext>
                  <c:ext xmlns:c16="http://schemas.microsoft.com/office/drawing/2014/chart" uri="{C3380CC4-5D6E-409C-BE32-E72D297353CC}">
                    <c16:uniqueId val="{0000000E-458C-4FFF-9253-93B2E25DF4B7}"/>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'W5'!$M$76:$N$76</c15:sqref>
                        </c15:fullRef>
                        <c15:formulaRef>
                          <c15:sqref>'W5'!$M$76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F-458C-4FFF-9253-93B2E25DF4B7}"/>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'W5'!$M$77:$N$77</c15:sqref>
                        </c15:fullRef>
                        <c15:formulaRef>
                          <c15:sqref>'W5'!$M$77</c15:sqref>
                        </c15:formulaRef>
                      </c:ext>
                    </c:extLst>
                    <c:numCache>
                      <c:formatCode>0.0%;\-0.0.%;</c:formatCode>
                      <c:ptCount val="1"/>
                      <c:pt idx="0" formatCode="#,##0_);\(#,##0\);;">
                        <c:v>83.967245579390948</c:v>
                      </c:pt>
                    </c:numCache>
                  </c:numRef>
                </c:val>
                <c:extLst xmlns:c15="http://schemas.microsoft.com/office/drawing/2012/chart">
                  <c:ext xmlns:c16="http://schemas.microsoft.com/office/drawing/2014/chart" uri="{C3380CC4-5D6E-409C-BE32-E72D297353CC}">
                    <c16:uniqueId val="{00000010-458C-4FFF-9253-93B2E25DF4B7}"/>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'W5'!$M$78:$N$78</c15:sqref>
                        </c15:fullRef>
                        <c15:formulaRef>
                          <c15:sqref>'W5'!$M$78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11-458C-4FFF-9253-93B2E25DF4B7}"/>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'W5'!$M$79:$N$79</c15:sqref>
                        </c15:fullRef>
                        <c15:formulaRef>
                          <c15:sqref>'W5'!$M$79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2-458C-4FFF-9253-93B2E25DF4B7}"/>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'W5'!$M$80:$N$80</c15:sqref>
                        </c15:fullRef>
                        <c15:formulaRef>
                          <c15:sqref>'W5'!$M$80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3-458C-4FFF-9253-93B2E25DF4B7}"/>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'W5'!$M$81:$N$81</c15:sqref>
                        </c15:fullRef>
                        <c15:formulaRef>
                          <c15:sqref>'W5'!$M$81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458C-4FFF-9253-93B2E25DF4B7}"/>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'W5'!$M$82:$N$82</c15:sqref>
                        </c15:fullRef>
                        <c15:formulaRef>
                          <c15:sqref>'W5'!$M$82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458C-4FFF-9253-93B2E25DF4B7}"/>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'W5'!$M$83:$N$83</c15:sqref>
                        </c15:fullRef>
                        <c15:formulaRef>
                          <c15:sqref>'W5'!$M$83</c15:sqref>
                        </c15:formulaRef>
                      </c:ext>
                    </c:extLst>
                    <c:numCache>
                      <c:formatCode>0.0%;\-0.0.%;</c:formatCode>
                      <c:ptCount val="1"/>
                      <c:pt idx="0" formatCode="#,##0_);\(#,##0\);;">
                        <c:v>1559.895265028942</c:v>
                      </c:pt>
                    </c:numCache>
                  </c:numRef>
                </c:val>
                <c:extLst xmlns:c15="http://schemas.microsoft.com/office/drawing/2012/chart">
                  <c:ext xmlns:c16="http://schemas.microsoft.com/office/drawing/2014/chart" uri="{C3380CC4-5D6E-409C-BE32-E72D297353CC}">
                    <c16:uniqueId val="{00000016-458C-4FFF-9253-93B2E25DF4B7}"/>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'W5'!$M$86:$N$86</c15:sqref>
                        </c15:fullRef>
                        <c15:formulaRef>
                          <c15:sqref>'W5'!$M$86</c15:sqref>
                        </c15:formulaRef>
                      </c:ext>
                    </c:extLst>
                    <c:numCache>
                      <c:formatCode>0.0%;\-0.0.%;</c:formatCode>
                      <c:ptCount val="1"/>
                      <c:pt idx="0" formatCode="#,##0_);\(#,##0\);;">
                        <c:v>1564.1025641025642</c:v>
                      </c:pt>
                    </c:numCache>
                  </c:numRef>
                </c:val>
                <c:extLst xmlns:c15="http://schemas.microsoft.com/office/drawing/2012/chart">
                  <c:ext xmlns:c16="http://schemas.microsoft.com/office/drawing/2014/chart" uri="{C3380CC4-5D6E-409C-BE32-E72D297353CC}">
                    <c16:uniqueId val="{00000017-458C-4FFF-9253-93B2E25DF4B7}"/>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'W5'!$M$87:$N$87</c15:sqref>
                        </c15:fullRef>
                        <c15:formulaRef>
                          <c15:sqref>'W5'!$M$87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8-458C-4FFF-9253-93B2E25DF4B7}"/>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10AF-4752-B77C-C0673BE2D9E1}"/>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9D407FEA-E9DF-4D3F-A721-B41AA701ADF0}" type="CELLRANGE">
                      <a:rPr lang="en-US" baseline="0"/>
                      <a:pPr>
                        <a:defRPr sz="1300"/>
                      </a:pPr>
                      <a:t>[CELLRANGE]</a:t>
                    </a:fld>
                    <a:r>
                      <a:rPr lang="en-US" baseline="0"/>
                      <a:t>, </a:t>
                    </a:r>
                    <a:fld id="{581C8025-59B7-4A68-8130-16344122A2F3}" type="SERIESNAME">
                      <a:rPr lang="en-US" baseline="0"/>
                      <a:pPr>
                        <a:defRPr sz="1300"/>
                      </a:pPr>
                      <a:t>[SERIES NAME]</a:t>
                    </a:fld>
                    <a:r>
                      <a:rPr lang="en-US" baseline="0"/>
                      <a:t>, </a:t>
                    </a:r>
                    <a:fld id="{4EDD9CE4-D438-4CB8-A790-2E04F08F642B}"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0-10AF-4752-B77C-C0673BE2D9E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'W5'!$O$49:$P$49</c15:sqref>
                  </c15:fullRef>
                </c:ext>
              </c:extLst>
              <c:f>'W5'!$O$49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'W5'!$P$49</c15:f>
                <c15:dlblRangeCache>
                  <c:ptCount val="1"/>
                  <c:pt idx="0">
                    <c:v>62.6%</c:v>
                  </c:pt>
                </c15:dlblRangeCache>
              </c15:datalabelsRange>
            </c:ext>
            <c:ext xmlns:c16="http://schemas.microsoft.com/office/drawing/2014/chart" uri="{C3380CC4-5D6E-409C-BE32-E72D297353CC}">
              <c16:uniqueId val="{00000001-10AF-4752-B77C-C0673BE2D9E1}"/>
            </c:ext>
          </c:extLst>
        </c:ser>
        <c:ser>
          <c:idx val="4"/>
          <c:order val="2"/>
          <c:tx>
            <c:strRef>
              <c:f>'W5'!$D$51</c:f>
              <c:strCache>
                <c:ptCount val="1"/>
                <c:pt idx="0">
                  <c:v>Hao hụt về tiền</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10AF-4752-B77C-C0673BE2D9E1}"/>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9C6DD506-E2D1-4EC5-A15F-A306316A670A}" type="CELLRANGE">
                      <a:rPr lang="en-US" sz="1100" baseline="0"/>
                      <a:pPr>
                        <a:defRPr sz="1100"/>
                      </a:pPr>
                      <a:t>[CELLRANGE]</a:t>
                    </a:fld>
                    <a:r>
                      <a:rPr lang="en-US" sz="1100" baseline="0"/>
                      <a:t>, </a:t>
                    </a:r>
                    <a:fld id="{614255BB-222F-423B-B186-A61B41C9C869}" type="SERIESNAME">
                      <a:rPr lang="en-US" sz="1100" baseline="0"/>
                      <a:pPr>
                        <a:defRPr sz="1100"/>
                      </a:pPr>
                      <a:t>[SERIES NAME]</a:t>
                    </a:fld>
                    <a:r>
                      <a:rPr lang="en-US" sz="1100" baseline="0"/>
                      <a:t>, </a:t>
                    </a:r>
                    <a:fld id="{DACAE9D8-96E3-48C7-A71C-DB6885E2E6F8}"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02-10AF-4752-B77C-C0673BE2D9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'W5'!$O$51:$P$51</c15:sqref>
                  </c15:fullRef>
                </c:ext>
              </c:extLst>
              <c:f>'W5'!$O$51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'W5'!$P$51</c15:f>
                <c15:dlblRangeCache>
                  <c:ptCount val="1"/>
                  <c:pt idx="0">
                    <c:v>4.7%</c:v>
                  </c:pt>
                </c15:dlblRangeCache>
              </c15:datalabelsRange>
            </c:ext>
            <c:ext xmlns:c16="http://schemas.microsoft.com/office/drawing/2014/chart" uri="{C3380CC4-5D6E-409C-BE32-E72D297353CC}">
              <c16:uniqueId val="{00000003-10AF-4752-B77C-C0673BE2D9E1}"/>
            </c:ext>
          </c:extLst>
        </c:ser>
        <c:ser>
          <c:idx val="3"/>
          <c:order val="3"/>
          <c:tx>
            <c:strRef>
              <c:f>'W5'!$D$52</c:f>
              <c:strCache>
                <c:ptCount val="1"/>
                <c:pt idx="0">
                  <c:v>Chi phí biến đổi</c:v>
                </c:pt>
              </c:strCache>
            </c:strRef>
          </c:tx>
          <c:spPr>
            <a:solidFill>
              <a:schemeClr val="accent4"/>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4-10AF-4752-B77C-C0673BE2D9E1}"/>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164D772A-68FF-415A-A874-A56B2CB7A45C}" type="CELLRANGE">
                      <a:rPr lang="en-US" baseline="0"/>
                      <a:pPr>
                        <a:defRPr sz="1300"/>
                      </a:pPr>
                      <a:t>[CELLRANGE]</a:t>
                    </a:fld>
                    <a:r>
                      <a:rPr lang="en-US" baseline="0"/>
                      <a:t>, </a:t>
                    </a:r>
                    <a:fld id="{3781ED88-2083-4B46-9797-59E6141C36C9}" type="SERIESNAME">
                      <a:rPr lang="en-US" baseline="0"/>
                      <a:pPr>
                        <a:defRPr sz="1300"/>
                      </a:pPr>
                      <a:t>[SERIES NAME]</a:t>
                    </a:fld>
                    <a:r>
                      <a:rPr lang="en-US" baseline="0"/>
                      <a:t>, </a:t>
                    </a:r>
                    <a:fld id="{56A10A89-0707-4C95-9F14-C224EA4E1303}"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4-10AF-4752-B77C-C0673BE2D9E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'W5'!$O$52:$P$52</c15:sqref>
                  </c15:fullRef>
                </c:ext>
              </c:extLst>
              <c:f>'W5'!$O$52</c:f>
              <c:numCache>
                <c:formatCode>0.0%;\-0.0.%;</c:formatCode>
                <c:ptCount val="1"/>
                <c:pt idx="0" formatCode="#,##0_);\(#,##0\);;">
                  <c:v>229.92620690971106</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'W5'!$P$52</c15:f>
                <c15:dlblRangeCache>
                  <c:ptCount val="1"/>
                  <c:pt idx="0">
                    <c:v>37.7%</c:v>
                  </c:pt>
                </c15:dlblRangeCache>
              </c15:datalabelsRange>
            </c:ext>
            <c:ext xmlns:c16="http://schemas.microsoft.com/office/drawing/2014/chart" uri="{C3380CC4-5D6E-409C-BE32-E72D297353CC}">
              <c16:uniqueId val="{00000005-10AF-4752-B77C-C0673BE2D9E1}"/>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63048C50-CF8A-4944-AEBC-5D0CA92C9CC3}" type="CELLRANGE">
                      <a:rPr lang="en-US" baseline="0"/>
                      <a:pPr/>
                      <a:t>[CELLRANGE]</a:t>
                    </a:fld>
                    <a:r>
                      <a:rPr lang="en-US" baseline="0"/>
                      <a:t>, </a:t>
                    </a:r>
                    <a:fld id="{DC186490-9A86-450C-9F4D-5812793A2205}" type="SERIESNAME">
                      <a:rPr lang="en-US" baseline="0"/>
                      <a:pPr/>
                      <a:t>[SERIES NAME]</a:t>
                    </a:fld>
                    <a:r>
                      <a:rPr lang="en-US" baseline="0"/>
                      <a:t>, </a:t>
                    </a:r>
                    <a:fld id="{7CB8A88A-6618-4FA6-B1C1-7676F8B7B63F}"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099181874023998"/>
                      <c:h val="0.21571343829686987"/>
                    </c:manualLayout>
                  </c15:layout>
                  <c15:dlblFieldTable/>
                  <c15:showDataLabelsRange val="1"/>
                </c:ext>
                <c:ext xmlns:c16="http://schemas.microsoft.com/office/drawing/2014/chart" uri="{C3380CC4-5D6E-409C-BE32-E72D297353CC}">
                  <c16:uniqueId val="{0000000A-205B-453A-B49B-E2D0F5B87D0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'W5'!$O$62:$P$62</c15:sqref>
                  </c15:fullRef>
                </c:ext>
              </c:extLst>
              <c:f>'W5'!$O$62</c:f>
              <c:numCache>
                <c:formatCode>0.0%;\-0.0.%;</c:formatCode>
                <c:ptCount val="1"/>
                <c:pt idx="0" formatCode="#,##0_);\(#,##0\);;">
                  <c:v>-6.1116929948454528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'W5'!$P$62</c15:f>
                <c15:dlblRangeCache>
                  <c:ptCount val="1"/>
                  <c:pt idx="0">
                    <c:v>-1.0.%</c:v>
                  </c:pt>
                </c15:dlblRangeCache>
              </c15:datalabelsRange>
            </c:ext>
            <c:ext xmlns:c16="http://schemas.microsoft.com/office/drawing/2014/chart" uri="{C3380CC4-5D6E-409C-BE32-E72D297353CC}">
              <c16:uniqueId val="{00000009-10AF-4752-B77C-C0673BE2D9E1}"/>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1FBD1C0D-6A0B-4192-9BDF-215A12922F30}" type="CELLRANGE">
                      <a:rPr lang="en-US" b="1" baseline="0">
                        <a:solidFill>
                          <a:srgbClr val="FF0000"/>
                        </a:solidFill>
                      </a:rPr>
                      <a:pPr>
                        <a:defRPr sz="1300" b="1">
                          <a:solidFill>
                            <a:srgbClr val="FF0000"/>
                          </a:solidFill>
                        </a:defRPr>
                      </a:pPr>
                      <a:t>[CELLRANGE]</a:t>
                    </a:fld>
                    <a:r>
                      <a:rPr lang="en-US" b="1" baseline="0">
                        <a:solidFill>
                          <a:srgbClr val="FF0000"/>
                        </a:solidFill>
                      </a:rPr>
                      <a:t>, </a:t>
                    </a:r>
                    <a:fld id="{D1A213D6-FCD7-498C-81DC-16939CDA2C2C}" type="SERIESNAME">
                      <a:rPr lang="en-US" b="1" baseline="0">
                        <a:solidFill>
                          <a:srgbClr val="FF0000"/>
                        </a:solidFill>
                      </a:rPr>
                      <a:pPr>
                        <a:defRPr sz="1300" b="1">
                          <a:solidFill>
                            <a:srgbClr val="FF0000"/>
                          </a:solidFill>
                        </a:defRPr>
                      </a:pPr>
                      <a:t>[SERIES NAME]</a:t>
                    </a:fld>
                    <a:r>
                      <a:rPr lang="en-US" b="1" baseline="0">
                        <a:solidFill>
                          <a:srgbClr val="FF0000"/>
                        </a:solidFill>
                      </a:rPr>
                      <a:t>, </a:t>
                    </a:r>
                    <a:fld id="{FC446922-3DF4-460B-9CFC-FCE7FBDF5BFF}" type="VALUE">
                      <a:rPr lang="en-US" b="1" baseline="0">
                        <a:solidFill>
                          <a:srgbClr val="FF0000"/>
                        </a:solidFill>
                      </a:rPr>
                      <a:pPr>
                        <a:defRPr sz="1300" b="1">
                          <a:solidFill>
                            <a:srgbClr val="FF0000"/>
                          </a:solidFill>
                        </a:defRPr>
                      </a:pPr>
                      <a:t>[VALUE]</a:t>
                    </a:fld>
                    <a:endParaRPr lang="en-US"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0A-10AF-4752-B77C-C0673BE2D9E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'W5'!$O$63:$P$63</c15:sqref>
                  </c15:fullRef>
                </c:ext>
              </c:extLst>
              <c:f>'W5'!$O$63</c:f>
              <c:numCache>
                <c:formatCode>0.0%;\-0.0.%;</c:formatCode>
                <c:ptCount val="1"/>
                <c:pt idx="0" formatCode="#,##0_);\(#,##0\);;">
                  <c:v>-24.446771979381811</c:v>
                </c:pt>
              </c:numCache>
            </c:numRef>
          </c:val>
          <c:extLs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5="http://schemas.microsoft.com/office/drawing/2012/chart" uri="{02D57815-91ED-43cb-92C2-25804820EDAC}">
              <c15:datalabelsRange>
                <c15:f>'W5'!$P$63</c15:f>
                <c15:dlblRangeCache>
                  <c:ptCount val="1"/>
                  <c:pt idx="0">
                    <c:v>-4.0.%</c:v>
                  </c:pt>
                </c15:dlblRangeCache>
              </c15:datalabelsRange>
            </c:ext>
            <c:ext xmlns:c16="http://schemas.microsoft.com/office/drawing/2014/chart" uri="{C3380CC4-5D6E-409C-BE32-E72D297353CC}">
              <c16:uniqueId val="{0000000B-10AF-4752-B77C-C0673BE2D9E1}"/>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'W5'!$O$50:$P$50</c15:sqref>
                        </c15:fullRef>
                        <c15:formulaRef>
                          <c15:sqref>'W5'!$O$50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C-10AF-4752-B77C-C0673BE2D9E1}"/>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'W5'!$O$53:$P$53</c15:sqref>
                        </c15:fullRef>
                        <c15:formulaRef>
                          <c15:sqref>'W5'!$O$53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D-10AF-4752-B77C-C0673BE2D9E1}"/>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'W5'!$O$54:$P$54</c15:sqref>
                        </c15:fullRef>
                        <c15:formulaRef>
                          <c15:sqref>'W5'!$O$54</c15:sqref>
                        </c15:formulaRef>
                      </c:ext>
                    </c:extLst>
                    <c:numCache>
                      <c:formatCode>0.0%;\-0.0.%;</c:formatCode>
                      <c:ptCount val="1"/>
                      <c:pt idx="0" formatCode="#,##0_);\(#,##0\);;">
                        <c:v>75.221841779627511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E-10AF-4752-B77C-C0673BE2D9E1}"/>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'W5'!$O$55:$P$55</c15:sqref>
                        </c15:fullRef>
                        <c15:formulaRef>
                          <c15:sqref>'W5'!$O$55</c15:sqref>
                        </c15:formulaRef>
                      </c:ext>
                    </c:extLst>
                    <c:numCache>
                      <c:formatCode>0.0%;\-0.0.%;</c:formatCode>
                      <c:ptCount val="1"/>
                      <c:pt idx="0" formatCode="#,##0_);\(#,##0\);;">
                        <c:v>49.080017572979045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F-10AF-4752-B77C-C0673BE2D9E1}"/>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'W5'!$O$56:$P$56</c15:sqref>
                        </c15:fullRef>
                        <c15:formulaRef>
                          <c15:sqref>'W5'!$O$56</c15:sqref>
                        </c15:formulaRef>
                      </c:ext>
                    </c:extLst>
                    <c:numCache>
                      <c:formatCode>0.0%;\-0.0.%;</c:formatCode>
                      <c:ptCount val="1"/>
                      <c:pt idx="0" formatCode="#,##0_);\(#,##0\);;">
                        <c:v>52.924243679977039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0-10AF-4752-B77C-C0673BE2D9E1}"/>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'W5'!$O$57:$P$57</c15:sqref>
                        </c15:fullRef>
                        <c15:formulaRef>
                          <c15:sqref>'W5'!$O$57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1-10AF-4752-B77C-C0673BE2D9E1}"/>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'W5'!$O$58:$P$58</c15:sqref>
                        </c15:fullRef>
                        <c15:formulaRef>
                          <c15:sqref>'W5'!$O$58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2-10AF-4752-B77C-C0673BE2D9E1}"/>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'W5'!$O$59:$P$59</c15:sqref>
                        </c15:fullRef>
                        <c15:formulaRef>
                          <c15:sqref>'W5'!$O$59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6-10AF-4752-B77C-C0673BE2D9E1}"/>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'W5'!$O$60:$P$60</c15:sqref>
                        </c15:fullRef>
                        <c15:formulaRef>
                          <c15:sqref>'W5'!$O$60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07-10AF-4752-B77C-C0673BE2D9E1}"/>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'W5'!$O$61:$P$61</c15:sqref>
                        </c15:fullRef>
                        <c15:formulaRef>
                          <c15:sqref>'W5'!$O$61</c15:sqref>
                        </c15:formulaRef>
                      </c:ext>
                    </c:extLst>
                    <c:numCache>
                      <c:formatCode>0.0%;\-0.0.%;</c:formatCode>
                      <c:ptCount val="1"/>
                      <c:pt idx="0" formatCode="#,##0_);\(#,##0\);;">
                        <c:v>640.55846497422726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3-10AF-4752-B77C-C0673BE2D9E1}"/>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'W5'!$O$64:$P$64</c15:sqref>
                        </c15:fullRef>
                        <c15:formulaRef>
                          <c15:sqref>'W5'!$O$64</c15:sqref>
                        </c15:formulaRef>
                      </c:ext>
                    </c:extLst>
                    <c:numCache>
                      <c:formatCode>0.0%;\-0.0.%;</c:formatCode>
                      <c:ptCount val="1"/>
                      <c:pt idx="0" formatCode="#,##0_);\(#,##0\);;">
                        <c:v>610</c:v>
                      </c:pt>
                    </c:numCache>
                  </c:numRef>
                </c:val>
                <c:smooth val="0"/>
                <c:extLst>
                  <c:ex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4-10AF-4752-B77C-C0673BE2D9E1}"/>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'W5'!$O$65:$P$65</c15:sqref>
                        </c15:fullRef>
                        <c15:formulaRef>
                          <c15:sqref>'W5'!$O$65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Cache>
                            <c:ptCount val="1"/>
                            <c:pt idx="0">
                              <c:v>Chi phí
VNĐ / Phôi</c:v>
                            </c:pt>
                          </c:strCache>
                        </c:strRef>
                      </c15:cat>
                    </c15:filteredCategoryTitle>
                  </c:ext>
                  <c:ext xmlns:c16="http://schemas.microsoft.com/office/drawing/2014/chart" uri="{C3380CC4-5D6E-409C-BE32-E72D297353CC}">
                    <c16:uniqueId val="{00000015-10AF-4752-B77C-C0673BE2D9E1}"/>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6C3D546F-6BC7-48E9-A69B-008EA7A7D0C5}" type="CELLRANGE">
                      <a:rPr lang="en-US" baseline="0"/>
                      <a:pPr>
                        <a:defRPr sz="1300"/>
                      </a:pPr>
                      <a:t>[CELLRANGE]</a:t>
                    </a:fld>
                    <a:r>
                      <a:rPr lang="en-US" baseline="0"/>
                      <a:t>, </a:t>
                    </a:r>
                    <a:fld id="{D14786EF-CA2C-473D-9A63-F72AD50195E3}" type="SERIESNAME">
                      <a:rPr lang="en-US" baseline="0"/>
                      <a:pPr>
                        <a:defRPr sz="1300"/>
                      </a:pPr>
                      <a:t>[SERIES NAME]</a:t>
                    </a:fld>
                    <a:r>
                      <a:rPr lang="en-US" baseline="0"/>
                      <a:t>, </a:t>
                    </a:r>
                    <a:fld id="{A967CB41-7D53-4FF6-80FF-73575A1800E6}"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78FD-4B7A-83A3-EFD07E1588E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'W5'!$O$71:$P$71</c15:sqref>
                  </c15:fullRef>
                </c:ext>
              </c:extLst>
              <c:f>'W5'!$O$71</c:f>
              <c:numCache>
                <c:formatCode>0.0%;\-0.0.%;</c:formatCode>
                <c:ptCount val="1"/>
                <c:pt idx="0" formatCode="#,##0_);\(#,##0\);;">
                  <c:v>979.2</c:v>
                </c:pt>
              </c:numCache>
            </c:numRef>
          </c:val>
          <c:extLst>
            <c:ext xmlns:c15="http://schemas.microsoft.com/office/drawing/2012/chart" uri="{02D57815-91ED-43cb-92C2-25804820EDAC}">
              <c15:datalabelsRange>
                <c15:f>'W5'!$P$71</c15:f>
                <c15:dlblRangeCache>
                  <c:ptCount val="1"/>
                  <c:pt idx="0">
                    <c:v>62.6%</c:v>
                  </c:pt>
                </c15:dlblRangeCache>
              </c15:datalabelsRange>
            </c:ext>
            <c:ext xmlns:c16="http://schemas.microsoft.com/office/drawing/2014/chart" uri="{C3380CC4-5D6E-409C-BE32-E72D297353CC}">
              <c16:uniqueId val="{00000001-78FD-4B7A-83A3-EFD07E1588E2}"/>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8B059718-DF1D-4D1D-AE96-AB11319DD148}" type="CELLRANGE">
                      <a:rPr lang="en-US" sz="1100" baseline="0"/>
                      <a:pPr>
                        <a:defRPr sz="1100"/>
                      </a:pPr>
                      <a:t>[CELLRANGE]</a:t>
                    </a:fld>
                    <a:r>
                      <a:rPr lang="en-US" sz="1100" baseline="0"/>
                      <a:t>, </a:t>
                    </a:r>
                    <a:fld id="{BED47488-E8E7-4B8D-81BE-091AF7BA2C59}" type="SERIESNAME">
                      <a:rPr lang="en-US" sz="1100" baseline="0"/>
                      <a:pPr>
                        <a:defRPr sz="1100"/>
                      </a:pPr>
                      <a:t>[SERIES NAME]</a:t>
                    </a:fld>
                    <a:r>
                      <a:rPr lang="en-US" sz="1100" baseline="0"/>
                      <a:t>, </a:t>
                    </a:r>
                    <a:fld id="{3ADB8AED-E503-4AD7-842A-9E61F4F74548}"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2-78FD-4B7A-83A3-EFD07E1588E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'W5'!$O$73:$P$73</c15:sqref>
                  </c15:fullRef>
                </c:ext>
              </c:extLst>
              <c:f>'W5'!$O$73</c:f>
              <c:numCache>
                <c:formatCode>0.0%;\-0.0.%;</c:formatCode>
                <c:ptCount val="1"/>
                <c:pt idx="0" formatCode="#,##0_);\(#,##0\);;">
                  <c:v>73.703225806451741</c:v>
                </c:pt>
              </c:numCache>
            </c:numRef>
          </c:val>
          <c:extLst>
            <c:ext xmlns:c15="http://schemas.microsoft.com/office/drawing/2012/chart" uri="{02D57815-91ED-43cb-92C2-25804820EDAC}">
              <c15:datalabelsRange>
                <c15:f>'W5'!$P$73</c15:f>
                <c15:dlblRangeCache>
                  <c:ptCount val="1"/>
                  <c:pt idx="0">
                    <c:v>4.7%</c:v>
                  </c:pt>
                </c15:dlblRangeCache>
              </c15:datalabelsRange>
            </c:ext>
            <c:ext xmlns:c16="http://schemas.microsoft.com/office/drawing/2014/chart" uri="{C3380CC4-5D6E-409C-BE32-E72D297353CC}">
              <c16:uniqueId val="{00000003-78FD-4B7A-83A3-EFD07E1588E2}"/>
            </c:ext>
          </c:extLst>
        </c:ser>
        <c:ser>
          <c:idx val="14"/>
          <c:order val="3"/>
          <c:tx>
            <c:strRef>
              <c:f>'W5'!$D$74</c:f>
              <c:strCache>
                <c:ptCount val="1"/>
                <c:pt idx="0">
                  <c:v>Chi phí biến đổi</c:v>
                </c:pt>
              </c:strCache>
            </c:strRef>
          </c:tx>
          <c:spPr>
            <a:solidFill>
              <a:srgbClr val="E8E8E8">
                <a:lumMod val="9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7141E55A-C499-4D98-A463-1ABA70C31F0A}" type="CELLRANGE">
                      <a:rPr lang="en-US" baseline="0"/>
                      <a:pPr>
                        <a:defRPr sz="1300"/>
                      </a:pPr>
                      <a:t>[CELLRANGE]</a:t>
                    </a:fld>
                    <a:r>
                      <a:rPr lang="en-US" baseline="0"/>
                      <a:t>, </a:t>
                    </a:r>
                    <a:fld id="{2B201DBD-0E98-41D3-8E0D-B5877A4ED179}" type="SERIESNAME">
                      <a:rPr lang="en-US" baseline="0"/>
                      <a:pPr>
                        <a:defRPr sz="1300"/>
                      </a:pPr>
                      <a:t>[SERIES NAME]</a:t>
                    </a:fld>
                    <a:r>
                      <a:rPr lang="en-US" baseline="0"/>
                      <a:t>, </a:t>
                    </a:r>
                    <a:fld id="{67EB0D60-3347-4C42-B969-1835A025370F}"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4-78FD-4B7A-83A3-EFD07E1588E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'W5'!$O$74:$P$74</c15:sqref>
                  </c15:fullRef>
                </c:ext>
              </c:extLst>
              <c:f>'W5'!$O$74</c:f>
              <c:numCache>
                <c:formatCode>0.0%;\-0.0.%;</c:formatCode>
                <c:ptCount val="1"/>
                <c:pt idx="0" formatCode="#,##0_);\(#,##0\);;">
                  <c:v>589.55437669156674</c:v>
                </c:pt>
              </c:numCache>
            </c:numRef>
          </c:val>
          <c:extLst xmlns:c15="http://schemas.microsoft.com/office/drawing/2012/chart">
            <c:ext xmlns:c15="http://schemas.microsoft.com/office/drawing/2012/chart" uri="{02D57815-91ED-43cb-92C2-25804820EDAC}">
              <c15:datalabelsRange>
                <c15:f>'W5'!$P$74</c15:f>
                <c15:dlblRangeCache>
                  <c:ptCount val="1"/>
                  <c:pt idx="0">
                    <c:v>37.7%</c:v>
                  </c:pt>
                </c15:dlblRangeCache>
              </c15:datalabelsRange>
            </c:ext>
            <c:ext xmlns:c16="http://schemas.microsoft.com/office/drawing/2014/chart" uri="{C3380CC4-5D6E-409C-BE32-E72D297353CC}">
              <c16:uniqueId val="{00000005-78FD-4B7A-83A3-EFD07E1588E2}"/>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B01FE321-9877-49F5-B6CA-A00198981865}" type="CELLRANGE">
                      <a:rPr lang="en-US" sz="1100" baseline="0"/>
                      <a:pPr>
                        <a:defRPr sz="1100"/>
                      </a:pPr>
                      <a:t>[CELLRANGE]</a:t>
                    </a:fld>
                    <a:r>
                      <a:rPr lang="en-US" sz="1100" baseline="0"/>
                      <a:t>, </a:t>
                    </a:r>
                    <a:fld id="{3DD8055D-464F-4DFC-BD7B-F219057982A7}" type="SERIESNAME">
                      <a:rPr lang="en-US" sz="1100" baseline="0"/>
                      <a:pPr>
                        <a:defRPr sz="1100"/>
                      </a:pPr>
                      <a:t>[SERIES NAME]</a:t>
                    </a:fld>
                    <a:r>
                      <a:rPr lang="en-US" sz="1100" baseline="0"/>
                      <a:t>, </a:t>
                    </a:r>
                    <a:fld id="{E16FF355-B5AE-4442-A893-3FE24E08C4B6}"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763668024281412"/>
                      <c:h val="5.4447738189541295E-2"/>
                    </c:manualLayout>
                  </c15:layout>
                  <c15:dlblFieldTable/>
                  <c15:showDataLabelsRange val="1"/>
                </c:ext>
                <c:ext xmlns:c16="http://schemas.microsoft.com/office/drawing/2014/chart" uri="{C3380CC4-5D6E-409C-BE32-E72D297353CC}">
                  <c16:uniqueId val="{00000008-78FD-4B7A-83A3-EFD07E1588E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'W5'!$O$84:$P$84</c15:sqref>
                  </c15:fullRef>
                </c:ext>
              </c:extLst>
              <c:f>'W5'!$O$84</c:f>
              <c:numCache>
                <c:formatCode>0.0%;\-0.0.%;</c:formatCode>
                <c:ptCount val="1"/>
                <c:pt idx="0" formatCode="#,##0_);\(#,##0\);;">
                  <c:v>-15.671007679090827</c:v>
                </c:pt>
              </c:numCache>
            </c:numRef>
          </c:val>
          <c:extLst>
            <c:ext xmlns:c15="http://schemas.microsoft.com/office/drawing/2012/chart" uri="{02D57815-91ED-43cb-92C2-25804820EDAC}">
              <c15:datalabelsRange>
                <c15:f>'W5'!$P$84</c15:f>
                <c15:dlblRangeCache>
                  <c:ptCount val="1"/>
                  <c:pt idx="0">
                    <c:v>-1.0.%</c:v>
                  </c:pt>
                </c15:dlblRangeCache>
              </c15:datalabelsRange>
            </c:ext>
            <c:ext xmlns:c16="http://schemas.microsoft.com/office/drawing/2014/chart" uri="{C3380CC4-5D6E-409C-BE32-E72D297353CC}">
              <c16:uniqueId val="{00000009-78FD-4B7A-83A3-EFD07E1588E2}"/>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3E0CD35E-3016-4411-BDF2-BF9CBBE5F903}" type="CELLRANGE">
                      <a:rPr lang="en-US" sz="1300" b="1" baseline="0"/>
                      <a:pPr>
                        <a:defRPr sz="1300" b="1">
                          <a:solidFill>
                            <a:srgbClr val="FF0000"/>
                          </a:solidFill>
                        </a:defRPr>
                      </a:pPr>
                      <a:t>[CELLRANGE]</a:t>
                    </a:fld>
                    <a:r>
                      <a:rPr lang="en-US" sz="1300" b="1" baseline="0"/>
                      <a:t>, </a:t>
                    </a:r>
                    <a:fld id="{560D903C-BD03-48DC-AED4-2F358951BB6C}" type="SERIESNAME">
                      <a:rPr lang="en-US" sz="1300" b="1" baseline="0"/>
                      <a:pPr>
                        <a:defRPr sz="1300" b="1">
                          <a:solidFill>
                            <a:srgbClr val="FF0000"/>
                          </a:solidFill>
                        </a:defRPr>
                      </a:pPr>
                      <a:t>[SERIES NAME]</a:t>
                    </a:fld>
                    <a:r>
                      <a:rPr lang="en-US" sz="1300" b="1" baseline="0"/>
                      <a:t>, </a:t>
                    </a:r>
                    <a:fld id="{72AADA7E-D00F-40F7-A593-DFD0CB2CAE32}" type="VALUE">
                      <a:rPr lang="en-US" sz="1300" b="1" baseline="0"/>
                      <a:pPr>
                        <a:defRPr sz="1300" b="1">
                          <a:solidFill>
                            <a:srgbClr val="FF0000"/>
                          </a:solidFill>
                        </a:defRPr>
                      </a:pPr>
                      <a:t>[VALUE]</a:t>
                    </a:fld>
                    <a:endParaRPr lang="en-US" sz="1300" b="1" baseline="0"/>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A-78FD-4B7A-83A3-EFD07E1588E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'W5'!$O$70:$P$70</c15:sqref>
                  </c15:fullRef>
                </c:ext>
              </c:extLst>
              <c:f>'W5'!$O$70</c:f>
              <c:strCache>
                <c:ptCount val="1"/>
                <c:pt idx="0">
                  <c:v>Chi phí
USD/tấn</c:v>
                </c:pt>
              </c:strCache>
            </c:strRef>
          </c:cat>
          <c:val>
            <c:numRef>
              <c:extLst>
                <c:ext xmlns:c15="http://schemas.microsoft.com/office/drawing/2012/chart" uri="{02D57815-91ED-43cb-92C2-25804820EDAC}">
                  <c15:fullRef>
                    <c15:sqref>'W5'!$O$85:$P$85</c15:sqref>
                  </c15:fullRef>
                </c:ext>
              </c:extLst>
              <c:f>'W5'!$O$85</c:f>
              <c:numCache>
                <c:formatCode>0.0%;\-0.0.%;</c:formatCode>
                <c:ptCount val="1"/>
                <c:pt idx="0" formatCode="#,##0_);\(#,##0\);;">
                  <c:v>-62.68403071636331</c:v>
                </c:pt>
              </c:numCache>
            </c:numRef>
          </c:val>
          <c:extLst>
            <c:ext xmlns:c15="http://schemas.microsoft.com/office/drawing/2012/chart" uri="{02D57815-91ED-43cb-92C2-25804820EDAC}">
              <c15:datalabelsRange>
                <c15:f>'W5'!$P$85</c15:f>
                <c15:dlblRangeCache>
                  <c:ptCount val="1"/>
                  <c:pt idx="0">
                    <c:v>-4.0.%</c:v>
                  </c:pt>
                </c15:dlblRangeCache>
              </c15:datalabelsRange>
            </c:ext>
            <c:ext xmlns:c16="http://schemas.microsoft.com/office/drawing/2014/chart" uri="{C3380CC4-5D6E-409C-BE32-E72D297353CC}">
              <c16:uniqueId val="{0000000B-78FD-4B7A-83A3-EFD07E1588E2}"/>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'W5'!$O$70:$P$70</c15:sqref>
                        </c15:fullRef>
                        <c15:formulaRef>
                          <c15:sqref>'W5'!$O$70</c15:sqref>
                        </c15:formulaRef>
                      </c:ext>
                    </c:extLst>
                    <c:strCache>
                      <c:ptCount val="1"/>
                      <c:pt idx="0">
                        <c:v>Chi phí
USD/tấn</c:v>
                      </c:pt>
                    </c:strCache>
                  </c:strRef>
                </c:cat>
                <c:val>
                  <c:numRef>
                    <c:extLst>
                      <c:ext uri="{02D57815-91ED-43cb-92C2-25804820EDAC}">
                        <c15:fullRef>
                          <c15:sqref>'W5'!$O$72:$P$72</c15:sqref>
                        </c15:fullRef>
                        <c15:formulaRef>
                          <c15:sqref>'W5'!$O$72</c15:sqref>
                        </c15:formulaRef>
                      </c:ext>
                    </c:extLst>
                    <c:numCache>
                      <c:formatCode>0.0%;\-0.0.%;</c:formatCode>
                      <c:ptCount val="1"/>
                      <c:pt idx="0" formatCode="#,##0_);\(#,##0\);;">
                        <c:v>979.2</c:v>
                      </c:pt>
                    </c:numCache>
                  </c:numRef>
                </c:val>
                <c:extLst>
                  <c:ext xmlns:c16="http://schemas.microsoft.com/office/drawing/2014/chart" uri="{C3380CC4-5D6E-409C-BE32-E72D297353CC}">
                    <c16:uniqueId val="{0000000D-78FD-4B7A-83A3-EFD07E1588E2}"/>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'W5'!$O$75:$P$75</c15:sqref>
                        </c15:fullRef>
                        <c15:formulaRef>
                          <c15:sqref>'W5'!$O$75</c15:sqref>
                        </c15:formulaRef>
                      </c:ext>
                    </c:extLst>
                    <c:numCache>
                      <c:formatCode>0.0%;\-0.0.%;</c:formatCode>
                      <c:ptCount val="1"/>
                      <c:pt idx="0" formatCode="#,##0_);\(#,##0\);;">
                        <c:v>39.193355199141216</c:v>
                      </c:pt>
                    </c:numCache>
                  </c:numRef>
                </c:val>
                <c:extLst xmlns:c15="http://schemas.microsoft.com/office/drawing/2012/chart">
                  <c:ext xmlns:c16="http://schemas.microsoft.com/office/drawing/2014/chart" uri="{C3380CC4-5D6E-409C-BE32-E72D297353CC}">
                    <c16:uniqueId val="{0000000F-78FD-4B7A-83A3-EFD07E1588E2}"/>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'W5'!$O$76:$P$76</c15:sqref>
                        </c15:fullRef>
                        <c15:formulaRef>
                          <c15:sqref>'W5'!$O$76</c15:sqref>
                        </c15:formulaRef>
                      </c:ext>
                    </c:extLst>
                    <c:numCache>
                      <c:formatCode>0.0%;\-0.0.%;</c:formatCode>
                      <c:ptCount val="1"/>
                      <c:pt idx="0" formatCode="#,##0_);\(#,##0\);;">
                        <c:v>192.87651738366029</c:v>
                      </c:pt>
                    </c:numCache>
                  </c:numRef>
                </c:val>
                <c:extLst xmlns:c15="http://schemas.microsoft.com/office/drawing/2012/chart">
                  <c:ext xmlns:c16="http://schemas.microsoft.com/office/drawing/2014/chart" uri="{C3380CC4-5D6E-409C-BE32-E72D297353CC}">
                    <c16:uniqueId val="{00000010-78FD-4B7A-83A3-EFD07E1588E2}"/>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spPr>
                  <a:solidFill>
                    <a:schemeClr val="accent3"/>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'W5'!$O$77:$P$77</c15:sqref>
                        </c15:fullRef>
                        <c15:formulaRef>
                          <c15:sqref>'W5'!$O$77</c15:sqref>
                        </c15:formulaRef>
                      </c:ext>
                    </c:extLst>
                    <c:numCache>
                      <c:formatCode>0.0%;\-0.0.%;</c:formatCode>
                      <c:ptCount val="1"/>
                      <c:pt idx="0" formatCode="#,##0_);\(#,##0\);;">
                        <c:v>125.84619890507449</c:v>
                      </c:pt>
                    </c:numCache>
                  </c:numRef>
                </c:val>
                <c:extLst xmlns:c15="http://schemas.microsoft.com/office/drawing/2012/chart">
                  <c:ext xmlns:c16="http://schemas.microsoft.com/office/drawing/2014/chart" uri="{C3380CC4-5D6E-409C-BE32-E72D297353CC}">
                    <c16:uniqueId val="{00000011-78FD-4B7A-83A3-EFD07E1588E2}"/>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spPr>
                  <a:solidFill>
                    <a:schemeClr val="accent6"/>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'W5'!$O$78:$P$78</c15:sqref>
                        </c15:fullRef>
                        <c15:formulaRef>
                          <c15:sqref>'W5'!$O$78</c15:sqref>
                        </c15:formulaRef>
                      </c:ext>
                    </c:extLst>
                    <c:numCache>
                      <c:formatCode>0.0%;\-0.0.%;</c:formatCode>
                      <c:ptCount val="1"/>
                      <c:pt idx="0" formatCode="#,##0_);\(#,##0\);;">
                        <c:v>135.70318892301805</c:v>
                      </c:pt>
                    </c:numCache>
                  </c:numRef>
                </c:val>
                <c:extLst xmlns:c15="http://schemas.microsoft.com/office/drawing/2012/chart">
                  <c:ext xmlns:c16="http://schemas.microsoft.com/office/drawing/2014/chart" uri="{C3380CC4-5D6E-409C-BE32-E72D297353CC}">
                    <c16:uniqueId val="{00000012-78FD-4B7A-83A3-EFD07E1588E2}"/>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'W5'!$O$79:$P$79</c15:sqref>
                        </c15:fullRef>
                        <c15:formulaRef>
                          <c15:sqref>'W5'!$O$79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3-78FD-4B7A-83A3-EFD07E1588E2}"/>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'W5'!$O$80:$P$80</c15:sqref>
                        </c15:fullRef>
                        <c15:formulaRef>
                          <c15:sqref>'W5'!$O$80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4-78FD-4B7A-83A3-EFD07E1588E2}"/>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'W5'!$O$81:$P$81</c15:sqref>
                        </c15:fullRef>
                        <c15:formulaRef>
                          <c15:sqref>'W5'!$O$81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06-78FD-4B7A-83A3-EFD07E1588E2}"/>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'W5'!$O$82:$P$82</c15:sqref>
                        </c15:fullRef>
                        <c15:formulaRef>
                          <c15:sqref>'W5'!$O$82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07-78FD-4B7A-83A3-EFD07E1588E2}"/>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'W5'!$O$83:$P$83</c15:sqref>
                        </c15:fullRef>
                        <c15:formulaRef>
                          <c15:sqref>'W5'!$O$83</c15:sqref>
                        </c15:formulaRef>
                      </c:ext>
                    </c:extLst>
                    <c:numCache>
                      <c:formatCode>0.0%;\-0.0.%;</c:formatCode>
                      <c:ptCount val="1"/>
                      <c:pt idx="0" formatCode="#,##0_);\(#,##0\);;">
                        <c:v>1642.4576024980183</c:v>
                      </c:pt>
                    </c:numCache>
                  </c:numRef>
                </c:val>
                <c:extLst xmlns:c15="http://schemas.microsoft.com/office/drawing/2012/chart">
                  <c:ext xmlns:c16="http://schemas.microsoft.com/office/drawing/2014/chart" uri="{C3380CC4-5D6E-409C-BE32-E72D297353CC}">
                    <c16:uniqueId val="{00000015-78FD-4B7A-83A3-EFD07E1588E2}"/>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'W5'!$O$86:$P$86</c15:sqref>
                        </c15:fullRef>
                        <c15:formulaRef>
                          <c15:sqref>'W5'!$O$86</c15:sqref>
                        </c15:formulaRef>
                      </c:ext>
                    </c:extLst>
                    <c:numCache>
                      <c:formatCode>0.0%;\-0.0.%;</c:formatCode>
                      <c:ptCount val="1"/>
                      <c:pt idx="0" formatCode="#,##0_);\(#,##0\);;">
                        <c:v>1564.1025641025642</c:v>
                      </c:pt>
                    </c:numCache>
                  </c:numRef>
                </c:val>
                <c:extLst xmlns:c15="http://schemas.microsoft.com/office/drawing/2012/chart">
                  <c:ext xmlns:c16="http://schemas.microsoft.com/office/drawing/2014/chart" uri="{C3380CC4-5D6E-409C-BE32-E72D297353CC}">
                    <c16:uniqueId val="{00000016-78FD-4B7A-83A3-EFD07E1588E2}"/>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'W5'!$O$70:$P$70</c15:sqref>
                        </c15:fullRef>
                        <c15:formulaRef>
                          <c15:sqref>'W5'!$O$70</c15:sqref>
                        </c15:formulaRef>
                      </c:ext>
                    </c:extLst>
                    <c:strCache>
                      <c:ptCount val="1"/>
                      <c:pt idx="0">
                        <c:v>Chi phí
USD/tấn</c:v>
                      </c:pt>
                    </c:strCache>
                  </c:strRef>
                </c:cat>
                <c:val>
                  <c:numRef>
                    <c:extLst>
                      <c:ext xmlns:c15="http://schemas.microsoft.com/office/drawing/2012/chart" uri="{02D57815-91ED-43cb-92C2-25804820EDAC}">
                        <c15:fullRef>
                          <c15:sqref>'W5'!$O$87:$P$87</c15:sqref>
                        </c15:fullRef>
                        <c15:formulaRef>
                          <c15:sqref>'W5'!$O$87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78FD-4B7A-83A3-EFD07E1588E2}"/>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5563DA8-7F7F-434D-A4DD-1DC9E88CDDB8}"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B525E516-5CAB-4201-8120-137644E5BD02}"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BF040A8C-FE48-4A2C-A082-58820EF73747}"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2946-4F42-865C-F09368FF3B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'W5'!$G$49:$H$49</c15:sqref>
                  </c15:fullRef>
                </c:ext>
              </c:extLst>
              <c:f>'W5'!$G$49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'W5'!$H$49</c15:f>
                <c15:dlblRangeCache>
                  <c:ptCount val="1"/>
                  <c:pt idx="0">
                    <c:v>56.2%</c:v>
                  </c:pt>
                </c15:dlblRangeCache>
              </c15:datalabelsRange>
            </c:ext>
            <c:ext xmlns:c16="http://schemas.microsoft.com/office/drawing/2014/chart" uri="{C3380CC4-5D6E-409C-BE32-E72D297353CC}">
              <c16:uniqueId val="{00000001-2946-4F42-865C-F09368FF3B9A}"/>
            </c:ext>
          </c:extLst>
        </c:ser>
        <c:ser>
          <c:idx val="3"/>
          <c:order val="2"/>
          <c:tx>
            <c:strRef>
              <c:f>'W5'!$D$51</c:f>
              <c:strCache>
                <c:ptCount val="1"/>
                <c:pt idx="0">
                  <c:v>Hao hụt về tiền</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013EB251-447B-4215-92D6-2C636727D013}"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89F090C3-1F9A-4C63-A357-8DC3F3DE320F}"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1B823497-D251-491B-90E0-734CFE49ED11}"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2-2946-4F42-865C-F09368FF3B9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'W5'!$G$51:$H$51</c15:sqref>
                  </c15:fullRef>
                </c:ext>
              </c:extLst>
              <c:f>'W5'!$G$51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'W5'!$H$51</c15:f>
                <c15:dlblRangeCache>
                  <c:ptCount val="1"/>
                  <c:pt idx="0">
                    <c:v>4.2%</c:v>
                  </c:pt>
                </c15:dlblRangeCache>
              </c15:datalabelsRange>
            </c:ext>
            <c:ext xmlns:c16="http://schemas.microsoft.com/office/drawing/2014/chart" uri="{C3380CC4-5D6E-409C-BE32-E72D297353CC}">
              <c16:uniqueId val="{00000003-2946-4F42-865C-F09368FF3B9A}"/>
            </c:ext>
          </c:extLst>
        </c:ser>
        <c:ser>
          <c:idx val="14"/>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F051D5A-0CB5-40B4-986C-2552512B2637}"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55382992-77D2-46B5-8F27-E5A580AF3910}"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393FA562-5224-4D6F-AAC7-E1AA608D27B2}"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36434669805"/>
                      <c:h val="0.15506560618029541"/>
                    </c:manualLayout>
                  </c15:layout>
                  <c15:dlblFieldTable/>
                  <c15:showDataLabelsRange val="1"/>
                </c:ext>
                <c:ext xmlns:c16="http://schemas.microsoft.com/office/drawing/2014/chart" uri="{C3380CC4-5D6E-409C-BE32-E72D297353CC}">
                  <c16:uniqueId val="{00000004-2946-4F42-865C-F09368FF3B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'W5'!$G$52:$H$52</c15:sqref>
                  </c15:fullRef>
                </c:ext>
              </c:extLst>
              <c:f>'W5'!$G$52</c:f>
              <c:numCache>
                <c:formatCode>0.0%;\-0.0.%;</c:formatCode>
                <c:ptCount val="1"/>
                <c:pt idx="0" formatCode="#,##0_);\(#,##0\);;">
                  <c:v>229.92620690971106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'W5'!$H$52</c15:f>
                <c15:dlblRangeCache>
                  <c:ptCount val="1"/>
                  <c:pt idx="0">
                    <c:v>33.8%</c:v>
                  </c:pt>
                </c15:dlblRangeCache>
              </c15:datalabelsRange>
            </c:ext>
            <c:ext xmlns:c16="http://schemas.microsoft.com/office/drawing/2014/chart" uri="{C3380CC4-5D6E-409C-BE32-E72D297353CC}">
              <c16:uniqueId val="{00000005-2946-4F42-865C-F09368FF3B9A}"/>
            </c:ext>
          </c:extLst>
        </c:ser>
        <c:ser>
          <c:idx val="11"/>
          <c:order val="13"/>
          <c:tx>
            <c:strRef>
              <c:f>'W5'!$D$62</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B61D41E0-C8A6-473A-ABF9-842EE59DFEC1}" type="CELLRANGE">
                      <a:rPr lang="en-US" baseline="0"/>
                      <a:pPr>
                        <a:defRPr/>
                      </a:pPr>
                      <a:t>[CELLRANGE]</a:t>
                    </a:fld>
                    <a:r>
                      <a:rPr lang="en-US" baseline="0"/>
                      <a:t>, </a:t>
                    </a:r>
                    <a:fld id="{7E9A259F-8FAD-4807-9577-F8224781C144}" type="SERIESNAME">
                      <a:rPr lang="en-US" baseline="0"/>
                      <a:pPr>
                        <a:defRPr/>
                      </a:pPr>
                      <a:t>[SERIES NAME]</a:t>
                    </a:fld>
                    <a:r>
                      <a:rPr lang="en-US" baseline="0"/>
                      <a:t>, </a:t>
                    </a:r>
                    <a:fld id="{13F8DE46-D3EB-4AD8-AC64-AE4F202B96E7}"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468386614508439"/>
                      <c:h val="5.2585546042181623E-2"/>
                    </c:manualLayout>
                  </c15:layout>
                  <c15:dlblFieldTable/>
                  <c15:showDataLabelsRange val="1"/>
                </c:ext>
                <c:ext xmlns:c16="http://schemas.microsoft.com/office/drawing/2014/chart" uri="{C3380CC4-5D6E-409C-BE32-E72D297353CC}">
                  <c16:uniqueId val="{00000006-2946-4F42-865C-F09368FF3B9A}"/>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'W5'!$G$62:$H$62</c15:sqref>
                  </c15:fullRef>
                </c:ext>
              </c:extLst>
              <c:f>'W5'!$G$62</c:f>
              <c:numCache>
                <c:formatCode>0.0%;\-0.0.%;</c:formatCode>
                <c:ptCount val="1"/>
                <c:pt idx="0" formatCode="#,##0_);\(#,##0\);;">
                  <c:v>7.8883070051545481</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'W5'!$H$62</c15:f>
                <c15:dlblRangeCache>
                  <c:ptCount val="1"/>
                  <c:pt idx="0">
                    <c:v>1.2%</c:v>
                  </c:pt>
                </c15:dlblRangeCache>
              </c15:datalabelsRange>
            </c:ext>
            <c:ext xmlns:c16="http://schemas.microsoft.com/office/drawing/2014/chart" uri="{C3380CC4-5D6E-409C-BE32-E72D297353CC}">
              <c16:uniqueId val="{00000007-2946-4F42-865C-F09368FF3B9A}"/>
            </c:ext>
          </c:extLst>
        </c:ser>
        <c:ser>
          <c:idx val="12"/>
          <c:order val="14"/>
          <c:tx>
            <c:strRef>
              <c:f>'W5'!$D$63</c:f>
              <c:strCache>
                <c:ptCount val="1"/>
                <c:pt idx="0">
                  <c:v>Lợi nhuận</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32BC13E0-7ED1-439C-A311-B590931D709D}" type="CELLRANGE">
                      <a:rPr lang="en-US" baseline="0"/>
                      <a:pPr>
                        <a:defRPr sz="1300" b="1">
                          <a:solidFill>
                            <a:srgbClr val="FF0000"/>
                          </a:solidFill>
                        </a:defRPr>
                      </a:pPr>
                      <a:t>[CELLRANGE]</a:t>
                    </a:fld>
                    <a:r>
                      <a:rPr lang="en-US" baseline="0"/>
                      <a:t>, </a:t>
                    </a:r>
                    <a:fld id="{6043C1FB-1F2F-429E-B324-BFDEBACA5344}" type="SERIESNAME">
                      <a:rPr lang="en-US" baseline="0"/>
                      <a:pPr>
                        <a:defRPr sz="1300" b="1">
                          <a:solidFill>
                            <a:srgbClr val="FF0000"/>
                          </a:solidFill>
                        </a:defRPr>
                      </a:pPr>
                      <a:t>[SERIES NAME]</a:t>
                    </a:fld>
                    <a:r>
                      <a:rPr lang="en-US" baseline="0"/>
                      <a:t>, </a:t>
                    </a:r>
                    <a:fld id="{B46309CA-C9CA-4FDC-A401-96CFDDDDADA9}"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8-2946-4F42-865C-F09368FF3B9A}"/>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'W5'!$G$63:$H$63</c15:sqref>
                  </c15:fullRef>
                </c:ext>
              </c:extLst>
              <c:f>'W5'!$G$63</c:f>
              <c:numCache>
                <c:formatCode>0.0%;\-0.0.%;</c:formatCode>
                <c:ptCount val="1"/>
                <c:pt idx="0" formatCode="#,##0_);\(#,##0\);;">
                  <c:v>31.553228020618192</c:v>
                </c:pt>
              </c:numCache>
            </c:numRef>
          </c:val>
          <c:extLs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'W5'!$H$63</c15:f>
                <c15:dlblRangeCache>
                  <c:ptCount val="1"/>
                  <c:pt idx="0">
                    <c:v>4.6%</c:v>
                  </c:pt>
                </c15:dlblRangeCache>
              </c15:datalabelsRange>
            </c:ext>
            <c:ext xmlns:c16="http://schemas.microsoft.com/office/drawing/2014/chart" uri="{C3380CC4-5D6E-409C-BE32-E72D297353CC}">
              <c16:uniqueId val="{00000009-2946-4F42-865C-F09368FF3B9A}"/>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Lbls>
                  <c:dLbl>
                    <c:idx val="0"/>
                    <c:tx>
                      <c:rich>
                        <a:bodyPr/>
                        <a:lstStyle/>
                        <a:p>
                          <a:fld id="{E9ED0836-060D-44AD-89D3-38CF4D72213D}" type="CELLRANGE">
                            <a:rPr lang="en-US" baseline="0"/>
                            <a:pPr/>
                            <a:t>[CELLRANGE]</a:t>
                          </a:fld>
                          <a:r>
                            <a:rPr lang="en-US" baseline="0"/>
                            <a:t>, </a:t>
                          </a:r>
                          <a:fld id="{BD8800A7-C973-4705-9314-55681C808970}" type="SERIESNAME">
                            <a:rPr lang="en-US" baseline="0"/>
                            <a:pPr/>
                            <a:t>[SERIES NAME]</a:t>
                          </a:fld>
                          <a:r>
                            <a:rPr lang="en-US" baseline="0"/>
                            <a:t>, </a:t>
                          </a:r>
                          <a:fld id="{1576E43C-B889-446E-B253-9CE98CBE325E}" type="VALUE">
                            <a:rPr lang="en-US" baseline="0"/>
                            <a:pPr/>
                            <a:t>[VALUE]</a:t>
                          </a:fld>
                          <a:endParaRPr lang="en-US" baseline="0"/>
                        </a:p>
                      </c:rich>
                    </c:tx>
                    <c:showLegendKey val="0"/>
                    <c:showVal val="1"/>
                    <c:showCatName val="0"/>
                    <c:showSerName val="1"/>
                    <c:showPercent val="0"/>
                    <c:showBubbleSize val="0"/>
                    <c:extLst>
                      <c:ex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A-2946-4F42-865C-F09368FF3B9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'W5'!$G$50:$H$50</c15:sqref>
                        </c15:fullRef>
                        <c15:formulaRef>
                          <c15:sqref>'W5'!$G$50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uri="{02D57815-91ED-43cb-92C2-25804820EDAC}">
                    <c15:datalabelsRange>
                      <c15:f>'W5'!$F$51</c15:f>
                      <c15:dlblRangeCache>
                        <c:ptCount val="1"/>
                        <c:pt idx="0">
                          <c:v>4.2%</c:v>
                        </c:pt>
                      </c15:dlblRangeCache>
                    </c15:datalabelsRange>
                  </c:ext>
                  <c:ext xmlns:c16="http://schemas.microsoft.com/office/drawing/2014/chart" uri="{C3380CC4-5D6E-409C-BE32-E72D297353CC}">
                    <c16:uniqueId val="{0000000B-2946-4F42-865C-F09368FF3B9A}"/>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7EB0D01C-B4AA-4D88-9D40-F107C92BD57F}" type="CELLRANGE">
                            <a:rPr lang="en-US" sz="1300" b="1" baseline="0">
                              <a:solidFill>
                                <a:srgbClr val="FF0000"/>
                              </a:solidFill>
                            </a:rPr>
                            <a:pPr>
                              <a:defRPr sz="1300" b="1" i="0" u="none" strike="noStrike" kern="1200" baseline="0">
                                <a:solidFill>
                                  <a:srgbClr val="FF0000"/>
                                </a:solidFill>
                                <a:latin typeface="+mn-lt"/>
                                <a:ea typeface="+mn-ea"/>
                                <a:cs typeface="+mn-cs"/>
                              </a:defRPr>
                            </a:pPr>
                            <a:t>[CELLRANGE]</a:t>
                          </a:fld>
                          <a:r>
                            <a:rPr lang="en-US" sz="1300" b="1" baseline="0">
                              <a:solidFill>
                                <a:srgbClr val="FF0000"/>
                              </a:solidFill>
                            </a:rPr>
                            <a:t>, </a:t>
                          </a:r>
                          <a:fld id="{3BAA111C-D569-40F5-9B8B-D5E12E82A4DE}" type="SERIESNAME">
                            <a:rPr lang="en-US" sz="1300" b="1" baseline="0">
                              <a:solidFill>
                                <a:srgbClr val="FF0000"/>
                              </a:solidFill>
                            </a:rPr>
                            <a:pPr>
                              <a:defRPr sz="1300" b="1" i="0" u="none" strike="noStrike" kern="1200" baseline="0">
                                <a:solidFill>
                                  <a:srgbClr val="FF0000"/>
                                </a:solidFill>
                                <a:latin typeface="+mn-lt"/>
                                <a:ea typeface="+mn-ea"/>
                                <a:cs typeface="+mn-cs"/>
                              </a:defRPr>
                            </a:pPr>
                            <a:t>[SERIES NAME]</a:t>
                          </a:fld>
                          <a:r>
                            <a:rPr lang="en-US" sz="1300" b="1" baseline="0">
                              <a:solidFill>
                                <a:srgbClr val="FF0000"/>
                              </a:solidFill>
                            </a:rPr>
                            <a:t>, </a:t>
                          </a:r>
                          <a:fld id="{D54D272B-3ADD-45E0-A11A-F3EFBF187EAA}" type="VALUE">
                            <a:rPr lang="en-US" sz="1300" b="1" baseline="0">
                              <a:solidFill>
                                <a:srgbClr val="FF0000"/>
                              </a:solidFill>
                            </a:rPr>
                            <a:pPr>
                              <a:defRPr sz="1300" b="1" i="0" u="none" strike="noStrike" kern="1200" baseline="0">
                                <a:solidFill>
                                  <a:srgbClr val="FF0000"/>
                                </a:solidFill>
                                <a:latin typeface="+mn-lt"/>
                                <a:ea typeface="+mn-ea"/>
                                <a:cs typeface="+mn-cs"/>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C-2946-4F42-865C-F09368FF3B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'W5'!$G$53:$H$53</c15:sqref>
                        </c15:fullRef>
                        <c15:formulaRef>
                          <c15:sqref>'W5'!$G$53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5="http://schemas.microsoft.com/office/drawing/2012/chart" uri="{02D57815-91ED-43cb-92C2-25804820EDAC}">
                    <c15:datalabelsRange>
                      <c15:f>'W5'!$F$63</c15:f>
                      <c15:dlblRangeCache>
                        <c:ptCount val="1"/>
                        <c:pt idx="0">
                          <c:v>8.4%</c:v>
                        </c:pt>
                      </c15:dlblRangeCache>
                    </c15:datalabelsRange>
                  </c:ext>
                  <c:ext xmlns:c16="http://schemas.microsoft.com/office/drawing/2014/chart" uri="{C3380CC4-5D6E-409C-BE32-E72D297353CC}">
                    <c16:uniqueId val="{0000000D-2946-4F42-865C-F09368FF3B9A}"/>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'W5'!$G$54:$H$54</c15:sqref>
                        </c15:fullRef>
                        <c15:formulaRef>
                          <c15:sqref>'W5'!$G$54</c15:sqref>
                        </c15:formulaRef>
                      </c:ext>
                    </c:extLst>
                    <c:numCache>
                      <c:formatCode>0.0%;\-0.0.%;</c:formatCode>
                      <c:ptCount val="1"/>
                      <c:pt idx="0" formatCode="#,##0_);\(#,##0\);;">
                        <c:v>75.221841779627511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E-2946-4F42-865C-F09368FF3B9A}"/>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'W5'!$G$55:$H$55</c15:sqref>
                        </c15:fullRef>
                        <c15:formulaRef>
                          <c15:sqref>'W5'!$G$55</c15:sqref>
                        </c15:formulaRef>
                      </c:ext>
                    </c:extLst>
                    <c:numCache>
                      <c:formatCode>0.0%;\-0.0.%;</c:formatCode>
                      <c:ptCount val="1"/>
                      <c:pt idx="0" formatCode="#,##0_);\(#,##0\);;">
                        <c:v>49.080017572979045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0F-2946-4F42-865C-F09368FF3B9A}"/>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'W5'!$G$56:$H$56</c15:sqref>
                        </c15:fullRef>
                        <c15:formulaRef>
                          <c15:sqref>'W5'!$G$56</c15:sqref>
                        </c15:formulaRef>
                      </c:ext>
                    </c:extLst>
                    <c:numCache>
                      <c:formatCode>0.0%;\-0.0.%;</c:formatCode>
                      <c:ptCount val="1"/>
                      <c:pt idx="0" formatCode="#,##0_);\(#,##0\);;">
                        <c:v>52.924243679977039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0-2946-4F42-865C-F09368FF3B9A}"/>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'W5'!$G$57:$H$57</c15:sqref>
                        </c15:fullRef>
                        <c15:formulaRef>
                          <c15:sqref>'W5'!$G$57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1-2946-4F42-865C-F09368FF3B9A}"/>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'W5'!$G$58:$H$58</c15:sqref>
                        </c15:fullRef>
                        <c15:formulaRef>
                          <c15:sqref>'W5'!$G$58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2-2946-4F42-865C-F09368FF3B9A}"/>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'W5'!$G$59:$H$59</c15:sqref>
                        </c15:fullRef>
                        <c15:formulaRef>
                          <c15:sqref>'W5'!$G$59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3-2946-4F42-865C-F09368FF3B9A}"/>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'W5'!$G$60:$H$60</c15:sqref>
                        </c15:fullRef>
                        <c15:formulaRef>
                          <c15:sqref>'W5'!$G$60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4-2946-4F42-865C-F09368FF3B9A}"/>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'W5'!$G$61:$H$61</c15:sqref>
                        </c15:fullRef>
                        <c15:formulaRef>
                          <c15:sqref>'W5'!$G$61</c15:sqref>
                        </c15:formulaRef>
                      </c:ext>
                    </c:extLst>
                    <c:numCache>
                      <c:formatCode>0.0%;\-0.0.%;</c:formatCode>
                      <c:ptCount val="1"/>
                      <c:pt idx="0" formatCode="#,##0_);\(#,##0\);;">
                        <c:v>640.55846497422726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5-2946-4F42-865C-F09368FF3B9A}"/>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'W5'!$G$64:$H$64</c15:sqref>
                        </c15:fullRef>
                        <c15:formulaRef>
                          <c15:sqref>'W5'!$G$64</c15:sqref>
                        </c15:formulaRef>
                      </c:ext>
                    </c:extLst>
                    <c:numCache>
                      <c:formatCode>0.0%;\-0.0.%;</c:formatCode>
                      <c:ptCount val="1"/>
                      <c:pt idx="0" formatCode="#,##0_);\(#,##0\);;">
                        <c:v>680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6-2946-4F42-865C-F09368FF3B9A}"/>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'W5'!$G$65:$H$65</c15:sqref>
                        </c15:fullRef>
                        <c15:formulaRef>
                          <c15:sqref>'W5'!$G$65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Cache>
                            <c:ptCount val="1"/>
                            <c:pt idx="0">
                              <c:v>Chi phí
VNĐ / Phôi</c:v>
                            </c:pt>
                          </c:strCache>
                        </c:strRef>
                      </c15:cat>
                    </c15:filteredCategoryTitle>
                  </c:ext>
                  <c:ext xmlns:c16="http://schemas.microsoft.com/office/drawing/2014/chart" uri="{C3380CC4-5D6E-409C-BE32-E72D297353CC}">
                    <c16:uniqueId val="{00000017-2946-4F42-865C-F09368FF3B9A}"/>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F505A13D-E4CA-4D9B-AD4B-DF92BF1B3350}"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7A61F841-9006-47DA-A2A7-9EB2EC237D55}"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2DBB991A-0022-4FF0-93CC-C83E6933D104}"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FF01-4E59-8B47-ACA044FB8F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'W5'!$I$49:$J$49</c15:sqref>
                  </c15:fullRef>
                </c:ext>
              </c:extLst>
              <c:f>'W5'!$I$49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'W5'!$J$49</c15:f>
                <c15:dlblRangeCache>
                  <c:ptCount val="1"/>
                  <c:pt idx="0">
                    <c:v>58.8%</c:v>
                  </c:pt>
                </c15:dlblRangeCache>
              </c15:datalabelsRange>
            </c:ext>
            <c:ext xmlns:c16="http://schemas.microsoft.com/office/drawing/2014/chart" uri="{C3380CC4-5D6E-409C-BE32-E72D297353CC}">
              <c16:uniqueId val="{00000001-FF01-4E59-8B47-ACA044FB8FEC}"/>
            </c:ext>
          </c:extLst>
        </c:ser>
        <c:ser>
          <c:idx val="14"/>
          <c:order val="2"/>
          <c:tx>
            <c:strRef>
              <c:f>'W5'!$D$51</c:f>
              <c:strCache>
                <c:ptCount val="1"/>
                <c:pt idx="0">
                  <c:v>Hao hụt về tiền</c:v>
                </c:pt>
              </c:strCache>
            </c:strRef>
          </c:tx>
          <c:spPr>
            <a:solidFill>
              <a:srgbClr val="FFC000"/>
            </a:solidFill>
            <a:ln>
              <a:noFill/>
            </a:ln>
            <a:effectLst/>
          </c:spPr>
          <c:invertIfNegative val="0"/>
          <c:dLbls>
            <c:dLbl>
              <c:idx val="0"/>
              <c:layout>
                <c:manualLayout>
                  <c:x val="-1.0628482433221854E-2"/>
                  <c:y val="6.7385412565699482E-3"/>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FE5D872-333B-4166-ADFE-D8AE377976DD}"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51350845-08EE-4ED5-AA8C-3CC03277BF83}"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559BE623-E5FB-4F84-AE47-EF8D900A3B47}"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36434669805"/>
                      <c:h val="0.15506560618029541"/>
                    </c:manualLayout>
                  </c15:layout>
                  <c15:dlblFieldTable/>
                  <c15:showDataLabelsRange val="1"/>
                </c:ext>
                <c:ext xmlns:c16="http://schemas.microsoft.com/office/drawing/2014/chart" uri="{C3380CC4-5D6E-409C-BE32-E72D297353CC}">
                  <c16:uniqueId val="{00000002-FF01-4E59-8B47-ACA044FB8FE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'W5'!$I$51:$J$51</c15:sqref>
                  </c15:fullRef>
                </c:ext>
              </c:extLst>
              <c:f>'W5'!$I$51</c:f>
              <c:numCache>
                <c:formatCode>0.0%;\-0.0.%;</c:formatCode>
                <c:ptCount val="1"/>
                <c:pt idx="0" formatCode="#,##0_);\(#,##0\);;">
                  <c:v>28.744258064516178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'W5'!$J$51</c15:f>
                <c15:dlblRangeCache>
                  <c:ptCount val="1"/>
                  <c:pt idx="0">
                    <c:v>4.4%</c:v>
                  </c:pt>
                </c15:dlblRangeCache>
              </c15:datalabelsRange>
            </c:ext>
            <c:ext xmlns:c16="http://schemas.microsoft.com/office/drawing/2014/chart" uri="{C3380CC4-5D6E-409C-BE32-E72D297353CC}">
              <c16:uniqueId val="{00000003-FF01-4E59-8B47-ACA044FB8FEC}"/>
            </c:ext>
          </c:extLst>
        </c:ser>
        <c:ser>
          <c:idx val="11"/>
          <c:order val="3"/>
          <c:tx>
            <c:strRef>
              <c:f>'W5'!$D$52</c:f>
              <c:strCache>
                <c:ptCount val="1"/>
                <c:pt idx="0">
                  <c:v>Chi phí biến đổi</c:v>
                </c:pt>
              </c:strCache>
            </c:strRef>
          </c:tx>
          <c:spPr>
            <a:solidFill>
              <a:schemeClr val="bg2">
                <a:lumMod val="90000"/>
              </a:schemeClr>
            </a:solidFill>
          </c:spPr>
          <c:invertIfNegative val="0"/>
          <c:dLbls>
            <c:dLbl>
              <c:idx val="0"/>
              <c:tx>
                <c:rich>
                  <a:bodyPr wrap="square" lIns="38100" tIns="19050" rIns="38100" bIns="19050" anchor="ctr">
                    <a:noAutofit/>
                  </a:bodyPr>
                  <a:lstStyle/>
                  <a:p>
                    <a:pPr>
                      <a:defRPr sz="1300"/>
                    </a:pPr>
                    <a:fld id="{B8C1E564-CD6E-4FC4-BF20-FFF2A76E06A7}" type="CELLRANGE">
                      <a:rPr lang="en-US" sz="1300" baseline="0"/>
                      <a:pPr>
                        <a:defRPr sz="1300"/>
                      </a:pPr>
                      <a:t>[CELLRANGE]</a:t>
                    </a:fld>
                    <a:r>
                      <a:rPr lang="en-US" sz="1300" baseline="0"/>
                      <a:t>, </a:t>
                    </a:r>
                    <a:fld id="{57426743-D77A-49DB-8D4D-195A03F03517}" type="SERIESNAME">
                      <a:rPr lang="en-US" sz="1300" baseline="0"/>
                      <a:pPr>
                        <a:defRPr sz="1300"/>
                      </a:pPr>
                      <a:t>[SERIES NAME]</a:t>
                    </a:fld>
                    <a:r>
                      <a:rPr lang="en-US" sz="1300" baseline="0"/>
                      <a:t>, </a:t>
                    </a:r>
                    <a:fld id="{9C552518-185B-4A3B-9B13-90E1F9F214C2}"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680055501344853"/>
                      <c:h val="0.21093818810028875"/>
                    </c:manualLayout>
                  </c15:layout>
                  <c15:dlblFieldTable/>
                  <c15:showDataLabelsRange val="1"/>
                </c:ext>
                <c:ext xmlns:c16="http://schemas.microsoft.com/office/drawing/2014/chart" uri="{C3380CC4-5D6E-409C-BE32-E72D297353CC}">
                  <c16:uniqueId val="{00000004-FF01-4E59-8B47-ACA044FB8FE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'W5'!$I$52:$J$52</c15:sqref>
                  </c15:fullRef>
                </c:ext>
              </c:extLst>
              <c:f>'W5'!$I$52</c:f>
              <c:numCache>
                <c:formatCode>0.0%;\-0.0.%;</c:formatCode>
                <c:ptCount val="1"/>
                <c:pt idx="0" formatCode="#,##0_);\(#,##0\);;">
                  <c:v>197.7268952967712</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'W5'!$J$52</c15:f>
                <c15:dlblRangeCache>
                  <c:ptCount val="1"/>
                  <c:pt idx="0">
                    <c:v>30.4%</c:v>
                  </c:pt>
                </c15:dlblRangeCache>
              </c15:datalabelsRange>
            </c:ext>
            <c:ext xmlns:c16="http://schemas.microsoft.com/office/drawing/2014/chart" uri="{C3380CC4-5D6E-409C-BE32-E72D297353CC}">
              <c16:uniqueId val="{00000005-FF01-4E59-8B47-ACA044FB8FEC}"/>
            </c:ext>
          </c:extLst>
        </c:ser>
        <c:ser>
          <c:idx val="10"/>
          <c:order val="13"/>
          <c:tx>
            <c:strRef>
              <c:f>'W5'!$D$62</c:f>
              <c:strCache>
                <c:ptCount val="1"/>
                <c:pt idx="0">
                  <c:v>Thuế thu nhập</c:v>
                </c:pt>
              </c:strCache>
            </c:strRef>
          </c:tx>
          <c:spPr>
            <a:solidFill>
              <a:srgbClr val="FFFF00"/>
            </a:solidFill>
          </c:spPr>
          <c:invertIfNegative val="0"/>
          <c:dLbls>
            <c:dLbl>
              <c:idx val="0"/>
              <c:layout>
                <c:manualLayout>
                  <c:x val="1.0628526825145769E-2"/>
                  <c:y val="1.5188855153841944E-2"/>
                </c:manualLayout>
              </c:layout>
              <c:tx>
                <c:rich>
                  <a:bodyPr wrap="square" lIns="38100" tIns="19050" rIns="38100" bIns="19050" anchor="ctr">
                    <a:noAutofit/>
                  </a:bodyPr>
                  <a:lstStyle/>
                  <a:p>
                    <a:pPr>
                      <a:defRPr/>
                    </a:pPr>
                    <a:fld id="{BA53BC04-A641-4B8D-A86C-04694CBC27D8}" type="CELLRANGE">
                      <a:rPr lang="en-US" baseline="0"/>
                      <a:pPr>
                        <a:defRPr/>
                      </a:pPr>
                      <a:t>[CELLRANGE]</a:t>
                    </a:fld>
                    <a:r>
                      <a:rPr lang="en-US" baseline="0"/>
                      <a:t>, </a:t>
                    </a:r>
                    <a:fld id="{64D6D315-1AEA-4619-9521-AFB2763372F7}" type="SERIESNAME">
                      <a:rPr lang="en-US" baseline="0"/>
                      <a:pPr>
                        <a:defRPr/>
                      </a:pPr>
                      <a:t>[SERIES NAME]</a:t>
                    </a:fld>
                    <a:r>
                      <a:rPr lang="en-US" baseline="0"/>
                      <a:t>, </a:t>
                    </a:r>
                    <a:fld id="{2983EEFA-FFF1-4AE1-81C6-BD8C4C6F9B55}"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7137061207137504"/>
                      <c:h val="0.12742330682892611"/>
                    </c:manualLayout>
                  </c15:layout>
                  <c15:dlblFieldTable/>
                  <c15:showDataLabelsRange val="1"/>
                </c:ext>
                <c:ext xmlns:c16="http://schemas.microsoft.com/office/drawing/2014/chart" uri="{C3380CC4-5D6E-409C-BE32-E72D297353CC}">
                  <c16:uniqueId val="{00000006-FF01-4E59-8B47-ACA044FB8FE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'W5'!$I$62:$J$62</c15:sqref>
                  </c15:fullRef>
                </c:ext>
              </c:extLst>
              <c:f>'W5'!$I$62</c:f>
              <c:numCache>
                <c:formatCode>0.0%;\-0.0.%;</c:formatCode>
                <c:ptCount val="1"/>
                <c:pt idx="0" formatCode="#,##0_);\(#,##0\);;">
                  <c:v>8.3281693277425344</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'W5'!$J$62</c15:f>
                <c15:dlblRangeCache>
                  <c:ptCount val="1"/>
                  <c:pt idx="0">
                    <c:v>1.3%</c:v>
                  </c:pt>
                </c15:dlblRangeCache>
              </c15:datalabelsRange>
            </c:ext>
            <c:ext xmlns:c16="http://schemas.microsoft.com/office/drawing/2014/chart" uri="{C3380CC4-5D6E-409C-BE32-E72D297353CC}">
              <c16:uniqueId val="{00000007-FF01-4E59-8B47-ACA044FB8FEC}"/>
            </c:ext>
          </c:extLst>
        </c:ser>
        <c:ser>
          <c:idx val="13"/>
          <c:order val="14"/>
          <c:tx>
            <c:strRef>
              <c:f>'W5'!$D$63</c:f>
              <c:strCache>
                <c:ptCount val="1"/>
                <c:pt idx="0">
                  <c:v>Lợi nhuận</c:v>
                </c:pt>
              </c:strCache>
            </c:strRef>
          </c:tx>
          <c:spPr>
            <a:solidFill>
              <a:srgbClr val="92D050"/>
            </a:solidFill>
          </c:spPr>
          <c:invertIfNegative val="0"/>
          <c:dLbls>
            <c:dLbl>
              <c:idx val="0"/>
              <c:layout>
                <c:manualLayout>
                  <c:x val="-5.4592292744487993E-2"/>
                  <c:y val="-4.3799523323913708E-2"/>
                </c:manualLayout>
              </c:layout>
              <c:tx>
                <c:rich>
                  <a:bodyPr wrap="square" lIns="38100" tIns="19050" rIns="38100" bIns="19050" anchor="ctr">
                    <a:noAutofit/>
                  </a:bodyPr>
                  <a:lstStyle/>
                  <a:p>
                    <a:pPr>
                      <a:defRPr sz="1300" b="1">
                        <a:solidFill>
                          <a:srgbClr val="FF0000"/>
                        </a:solidFill>
                      </a:defRPr>
                    </a:pPr>
                    <a:fld id="{0FBC76F9-F33B-400B-BD54-EA98E7FA389C}"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9F802E0F-DAFA-495B-A459-CD419A985EB0}"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AA767DF8-E306-4115-987C-F6E0D04A9B4E}"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0181969427395499"/>
                      <c:h val="0.13416171543965727"/>
                    </c:manualLayout>
                  </c15:layout>
                  <c15:dlblFieldTable/>
                  <c15:showDataLabelsRange val="1"/>
                </c:ext>
                <c:ext xmlns:c16="http://schemas.microsoft.com/office/drawing/2014/chart" uri="{C3380CC4-5D6E-409C-BE32-E72D297353CC}">
                  <c16:uniqueId val="{00000008-FF01-4E59-8B47-ACA044FB8FEC}"/>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'W5'!$I$63:$J$63</c15:sqref>
                  </c15:fullRef>
                </c:ext>
              </c:extLst>
              <c:f>'W5'!$I$63</c:f>
              <c:numCache>
                <c:formatCode>0.0%;\-0.0.%;</c:formatCode>
                <c:ptCount val="1"/>
                <c:pt idx="0" formatCode="#,##0_);\(#,##0\);;">
                  <c:v>33.312677310970138</c:v>
                </c:pt>
              </c:numCache>
            </c:numRef>
          </c:val>
          <c:extLs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'W5'!$J$63</c15:f>
                <c15:dlblRangeCache>
                  <c:ptCount val="1"/>
                  <c:pt idx="0">
                    <c:v>5.1%</c:v>
                  </c:pt>
                </c15:dlblRangeCache>
              </c15:datalabelsRange>
            </c:ext>
            <c:ext xmlns:c16="http://schemas.microsoft.com/office/drawing/2014/chart" uri="{C3380CC4-5D6E-409C-BE32-E72D297353CC}">
              <c16:uniqueId val="{00000009-FF01-4E59-8B47-ACA044FB8FE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68B75B7C-FFE2-4F41-BD00-99E3DE24C007}"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C9652810-417E-4B6E-AE24-1429177B33A8}"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1E39FB04-8699-408B-947A-D96776143366}"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FF01-4E59-8B47-ACA044FB8FE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'W5'!$I$50:$J$50</c15:sqref>
                        </c15:fullRef>
                        <c15:formulaRef>
                          <c15:sqref>'W5'!$I$50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uri="{02D57815-91ED-43cb-92C2-25804820EDAC}">
                    <c15:datalabelsRange>
                      <c15:f>'W5'!$F$52</c15:f>
                      <c15:dlblRangeCache>
                        <c:ptCount val="1"/>
                        <c:pt idx="0">
                          <c:v>29.1%</c:v>
                        </c:pt>
                      </c15:dlblRangeCache>
                    </c15:datalabelsRange>
                  </c:ext>
                  <c:ext xmlns:c16="http://schemas.microsoft.com/office/drawing/2014/chart" uri="{C3380CC4-5D6E-409C-BE32-E72D297353CC}">
                    <c16:uniqueId val="{0000000B-FF01-4E59-8B47-ACA044FB8FEC}"/>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1B2F3085-671E-4F89-9E49-CF6170251382}" type="CELLRANGE">
                            <a:rPr lang="en-US" baseline="0"/>
                            <a:pPr>
                              <a:defRPr sz="1300" b="1">
                                <a:solidFill>
                                  <a:srgbClr val="FF0000"/>
                                </a:solidFill>
                              </a:defRPr>
                            </a:pPr>
                            <a:t>[CELLRANGE]</a:t>
                          </a:fld>
                          <a:r>
                            <a:rPr lang="en-US" baseline="0"/>
                            <a:t>, </a:t>
                          </a:r>
                          <a:fld id="{8271E558-8322-426A-83B2-74880E042D31}" type="SERIESNAME">
                            <a:rPr lang="en-US" baseline="0"/>
                            <a:pPr>
                              <a:defRPr sz="1300" b="1">
                                <a:solidFill>
                                  <a:srgbClr val="FF0000"/>
                                </a:solidFill>
                              </a:defRPr>
                            </a:pPr>
                            <a:t>[SERIES NAME]</a:t>
                          </a:fld>
                          <a:r>
                            <a:rPr lang="en-US" baseline="0"/>
                            <a:t>, </a:t>
                          </a:r>
                          <a:fld id="{7FE57A87-CF37-4783-90FE-75040AD7A610}"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FF01-4E59-8B47-ACA044FB8FEC}"/>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'W5'!$I$53:$J$53</c15:sqref>
                        </c15:fullRef>
                        <c15:formulaRef>
                          <c15:sqref>'W5'!$I$53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5="http://schemas.microsoft.com/office/drawing/2012/chart" uri="{02D57815-91ED-43cb-92C2-25804820EDAC}">
                    <c15:datalabelsRange>
                      <c15:f>'W5'!$H$63</c15:f>
                      <c15:dlblRangeCache>
                        <c:ptCount val="1"/>
                        <c:pt idx="0">
                          <c:v>4.6%</c:v>
                        </c:pt>
                      </c15:dlblRangeCache>
                    </c15:datalabelsRange>
                  </c:ext>
                  <c:ext xmlns:c16="http://schemas.microsoft.com/office/drawing/2014/chart" uri="{C3380CC4-5D6E-409C-BE32-E72D297353CC}">
                    <c16:uniqueId val="{0000000D-FF01-4E59-8B47-ACA044FB8FE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'W5'!$I$54:$J$54</c15:sqref>
                        </c15:fullRef>
                        <c15:formulaRef>
                          <c15:sqref>'W5'!$I$54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0E-FF01-4E59-8B47-ACA044FB8FE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'W5'!$I$55:$J$55</c15:sqref>
                        </c15:fullRef>
                        <c15:formulaRef>
                          <c15:sqref>'W5'!$I$55</c15:sqref>
                        </c15:formulaRef>
                      </c:ext>
                    </c:extLst>
                    <c:numCache>
                      <c:formatCode>0.0%;\-0.0.%;</c:formatCode>
                      <c:ptCount val="1"/>
                      <c:pt idx="0" formatCode="#,##0_);\(#,##0\);;">
                        <c:v>32.74722577596247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0F-FF01-4E59-8B47-ACA044FB8FEC}"/>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'W5'!$I$56:$J$56</c15:sqref>
                        </c15:fullRef>
                        <c15:formulaRef>
                          <c15:sqref>'W5'!$I$56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0-FF01-4E59-8B47-ACA044FB8FEC}"/>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'W5'!$I$57:$J$57</c15:sqref>
                        </c15:fullRef>
                        <c15:formulaRef>
                          <c15:sqref>'W5'!$I$57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1-FF01-4E59-8B47-ACA044FB8FEC}"/>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'W5'!$I$58:$J$58</c15:sqref>
                        </c15:fullRef>
                        <c15:formulaRef>
                          <c15:sqref>'W5'!$I$58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2-FF01-4E59-8B47-ACA044FB8FEC}"/>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'W5'!$I$59:$J$59</c15:sqref>
                        </c15:fullRef>
                        <c15:formulaRef>
                          <c15:sqref>'W5'!$I$59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3-FF01-4E59-8B47-ACA044FB8FEC}"/>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'W5'!$I$60:$J$60</c15:sqref>
                        </c15:fullRef>
                        <c15:formulaRef>
                          <c15:sqref>'W5'!$I$60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4-FF01-4E59-8B47-ACA044FB8FEC}"/>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'W5'!$I$61:$J$61</c15:sqref>
                        </c15:fullRef>
                        <c15:formulaRef>
                          <c15:sqref>'W5'!$I$61</c15:sqref>
                        </c15:formulaRef>
                      </c:ext>
                    </c:extLst>
                    <c:numCache>
                      <c:formatCode>0.0%;\-0.0.%;</c:formatCode>
                      <c:ptCount val="1"/>
                      <c:pt idx="0" formatCode="#,##0_);\(#,##0\);;">
                        <c:v>608.35915336128733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5-FF01-4E59-8B47-ACA044FB8FE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'W5'!$I$64:$J$64</c15:sqref>
                        </c15:fullRef>
                        <c15:formulaRef>
                          <c15:sqref>'W5'!$I$64</c15:sqref>
                        </c15:formulaRef>
                      </c:ext>
                    </c:extLst>
                    <c:numCache>
                      <c:formatCode>0.0%;\-0.0.%;</c:formatCode>
                      <c:ptCount val="1"/>
                      <c:pt idx="0" formatCode="#,##0_);\(#,##0\);;">
                        <c:v>650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6-FF01-4E59-8B47-ACA044FB8FE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'W5'!$I$65:$J$65</c15:sqref>
                        </c15:fullRef>
                        <c15:formulaRef>
                          <c15:sqref>'W5'!$I$65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Cache>
                            <c:ptCount val="1"/>
                            <c:pt idx="0">
                              <c:v>Chi phí
VNĐ / Phôi</c:v>
                            </c:pt>
                          </c:strCache>
                        </c:strRef>
                      </c15:cat>
                    </c15:filteredCategoryTitle>
                  </c:ext>
                  <c:ext xmlns:c16="http://schemas.microsoft.com/office/drawing/2014/chart" uri="{C3380CC4-5D6E-409C-BE32-E72D297353CC}">
                    <c16:uniqueId val="{00000017-FF01-4E59-8B47-ACA044FB8FE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6.4473836404172938E-2"/>
          <c:w val="0.59309582231339852"/>
          <c:h val="0.93267454335343525"/>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16183B23-3E8B-4157-BC32-EA193BB348F5}"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F96DD9F3-C6A8-4050-BF4A-04757BF0D09F}"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AB0E969D-FD15-4FFB-96C2-7E2DB5A5C89E}"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4515-4D3F-99A4-43ADB3155F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'W5'!$M$49:$N$49</c15:sqref>
                  </c15:fullRef>
                </c:ext>
              </c:extLst>
              <c:f>'W5'!$M$49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'W5'!$N$49</c15:f>
                <c15:dlblRangeCache>
                  <c:ptCount val="1"/>
                  <c:pt idx="0">
                    <c:v>62.6%</c:v>
                  </c:pt>
                </c15:dlblRangeCache>
              </c15:datalabelsRange>
            </c:ext>
            <c:ext xmlns:c16="http://schemas.microsoft.com/office/drawing/2014/chart" uri="{C3380CC4-5D6E-409C-BE32-E72D297353CC}">
              <c16:uniqueId val="{00000001-4515-4D3F-99A4-43ADB3155FD8}"/>
            </c:ext>
          </c:extLst>
        </c:ser>
        <c:ser>
          <c:idx val="11"/>
          <c:order val="2"/>
          <c:tx>
            <c:strRef>
              <c:f>'W5'!$D$51</c:f>
              <c:strCache>
                <c:ptCount val="1"/>
                <c:pt idx="0">
                  <c:v>Hao hụt về tiền</c:v>
                </c:pt>
              </c:strCache>
            </c:strRef>
          </c:tx>
          <c:spPr>
            <a:solidFill>
              <a:srgbClr val="FFC000"/>
            </a:solidFill>
          </c:spPr>
          <c:invertIfNegative val="0"/>
          <c:dLbls>
            <c:dLbl>
              <c:idx val="0"/>
              <c:layout>
                <c:manualLayout>
                  <c:x val="-2.6515897341541726E-2"/>
                  <c:y val="1.345198691987908E-2"/>
                </c:manualLayout>
              </c:layout>
              <c:tx>
                <c:rich>
                  <a:bodyPr wrap="square" lIns="38100" tIns="19050" rIns="38100" bIns="19050" anchor="ctr">
                    <a:noAutofit/>
                  </a:bodyPr>
                  <a:lstStyle/>
                  <a:p>
                    <a:pPr>
                      <a:defRPr sz="1100"/>
                    </a:pPr>
                    <a:fld id="{05BA5997-8B08-4283-90BC-829D7E084793}" type="CELLRANGE">
                      <a:rPr lang="en-US" sz="1100" baseline="0"/>
                      <a:pPr>
                        <a:defRPr sz="1100"/>
                      </a:pPr>
                      <a:t>[CELLRANGE]</a:t>
                    </a:fld>
                    <a:r>
                      <a:rPr lang="en-US" sz="1100" baseline="0"/>
                      <a:t>, </a:t>
                    </a:r>
                    <a:fld id="{CB05CF48-865A-4C4A-9852-F8517DF3AFED}" type="SERIESNAME">
                      <a:rPr lang="en-US" sz="1100" baseline="0"/>
                      <a:pPr>
                        <a:defRPr sz="1100"/>
                      </a:pPr>
                      <a:t>[SERIES NAME]</a:t>
                    </a:fld>
                    <a:r>
                      <a:rPr lang="en-US" sz="1100" baseline="0"/>
                      <a:t>, </a:t>
                    </a:r>
                    <a:fld id="{082CC83B-571C-499A-B0B2-A3C4ADA202D9}"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680055501344853"/>
                      <c:h val="0.21093818810028875"/>
                    </c:manualLayout>
                  </c15:layout>
                  <c15:dlblFieldTable/>
                  <c15:showDataLabelsRange val="1"/>
                </c:ext>
                <c:ext xmlns:c16="http://schemas.microsoft.com/office/drawing/2014/chart" uri="{C3380CC4-5D6E-409C-BE32-E72D297353CC}">
                  <c16:uniqueId val="{00000002-4515-4D3F-99A4-43ADB3155FD8}"/>
                </c:ext>
              </c:extLst>
            </c:dLbl>
            <c:spPr>
              <a:noFill/>
              <a:ln>
                <a:noFill/>
              </a:ln>
              <a:effectLst/>
            </c:spPr>
            <c:txPr>
              <a:bodyPr wrap="square" lIns="38100" tIns="19050" rIns="38100" bIns="19050" anchor="ctr">
                <a:spAutoFit/>
              </a:bodyPr>
              <a:lstStyle/>
              <a:p>
                <a:pPr>
                  <a:defRPr sz="11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'W5'!$M$51:$N$51</c15:sqref>
                  </c15:fullRef>
                </c:ext>
              </c:extLst>
              <c:f>'W5'!$M$51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'W5'!$N$51</c15:f>
                <c15:dlblRangeCache>
                  <c:ptCount val="1"/>
                  <c:pt idx="0">
                    <c:v>4.7%</c:v>
                  </c:pt>
                </c15:dlblRangeCache>
              </c15:datalabelsRange>
            </c:ext>
            <c:ext xmlns:c16="http://schemas.microsoft.com/office/drawing/2014/chart" uri="{C3380CC4-5D6E-409C-BE32-E72D297353CC}">
              <c16:uniqueId val="{00000003-4515-4D3F-99A4-43ADB3155FD8}"/>
            </c:ext>
          </c:extLst>
        </c:ser>
        <c:ser>
          <c:idx val="10"/>
          <c:order val="3"/>
          <c:tx>
            <c:strRef>
              <c:f>'W5'!$D$52</c:f>
              <c:strCache>
                <c:ptCount val="1"/>
                <c:pt idx="0">
                  <c:v>Chi phí biến đổi</c:v>
                </c:pt>
              </c:strCache>
            </c:strRef>
          </c:tx>
          <c:spPr>
            <a:solidFill>
              <a:schemeClr val="bg2">
                <a:lumMod val="90000"/>
              </a:schemeClr>
            </a:solidFill>
          </c:spPr>
          <c:invertIfNegative val="0"/>
          <c:dLbls>
            <c:dLbl>
              <c:idx val="0"/>
              <c:layout>
                <c:manualLayout>
                  <c:x val="1.0628482433221708E-2"/>
                  <c:y val="4.5484258122435249E-2"/>
                </c:manualLayout>
              </c:layout>
              <c:tx>
                <c:rich>
                  <a:bodyPr wrap="square" lIns="38100" tIns="19050" rIns="38100" bIns="19050" anchor="ctr">
                    <a:noAutofit/>
                  </a:bodyPr>
                  <a:lstStyle/>
                  <a:p>
                    <a:pPr>
                      <a:defRPr sz="1300"/>
                    </a:pPr>
                    <a:fld id="{F60AC559-8876-40F5-AE52-E4652AD883B2}" type="CELLRANGE">
                      <a:rPr lang="en-US" sz="1300" baseline="0"/>
                      <a:pPr>
                        <a:defRPr sz="1300"/>
                      </a:pPr>
                      <a:t>[CELLRANGE]</a:t>
                    </a:fld>
                    <a:r>
                      <a:rPr lang="en-US" sz="1300" baseline="0"/>
                      <a:t>, </a:t>
                    </a:r>
                    <a:fld id="{00633290-6528-4BA4-9F83-9FB2B20274A3}" type="SERIESNAME">
                      <a:rPr lang="en-US" sz="1300" baseline="0"/>
                      <a:pPr>
                        <a:defRPr sz="1300"/>
                      </a:pPr>
                      <a:t>[SERIES NAME]</a:t>
                    </a:fld>
                    <a:r>
                      <a:rPr lang="en-US" sz="1300" baseline="0"/>
                      <a:t>, </a:t>
                    </a:r>
                    <a:fld id="{5920D403-2F70-40FD-802E-D8712BCD6136}"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7137061207137504"/>
                      <c:h val="0.12742330682892611"/>
                    </c:manualLayout>
                  </c15:layout>
                  <c15:dlblFieldTable/>
                  <c15:showDataLabelsRange val="1"/>
                </c:ext>
                <c:ext xmlns:c16="http://schemas.microsoft.com/office/drawing/2014/chart" uri="{C3380CC4-5D6E-409C-BE32-E72D297353CC}">
                  <c16:uniqueId val="{00000004-4515-4D3F-99A4-43ADB3155FD8}"/>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'W5'!$M$52:$N$52</c15:sqref>
                  </c15:fullRef>
                </c:ext>
              </c:extLst>
              <c:f>'W5'!$M$52</c:f>
              <c:numCache>
                <c:formatCode>0.0%;\-0.0.%;</c:formatCode>
                <c:ptCount val="1"/>
                <c:pt idx="0" formatCode="#,##0_);\(#,##0\);;">
                  <c:v>197.7268952967712</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'W5'!$N$52</c15:f>
                <c15:dlblRangeCache>
                  <c:ptCount val="1"/>
                  <c:pt idx="0">
                    <c:v>32.4%</c:v>
                  </c:pt>
                </c15:dlblRangeCache>
              </c15:datalabelsRange>
            </c:ext>
            <c:ext xmlns:c16="http://schemas.microsoft.com/office/drawing/2014/chart" uri="{C3380CC4-5D6E-409C-BE32-E72D297353CC}">
              <c16:uniqueId val="{00000005-4515-4D3F-99A4-43ADB3155FD8}"/>
            </c:ext>
          </c:extLst>
        </c:ser>
        <c:ser>
          <c:idx val="9"/>
          <c:order val="13"/>
          <c:tx>
            <c:strRef>
              <c:f>'W5'!$D$62</c:f>
              <c:strCache>
                <c:ptCount val="1"/>
                <c:pt idx="0">
                  <c:v>Thuế thu nhập</c:v>
                </c:pt>
              </c:strCache>
            </c:strRef>
          </c:tx>
          <c:spPr>
            <a:solidFill>
              <a:srgbClr val="FFFF00"/>
            </a:solidFill>
          </c:spPr>
          <c:invertIfNegative val="0"/>
          <c:dLbls>
            <c:dLbl>
              <c:idx val="0"/>
              <c:layout>
                <c:manualLayout>
                  <c:x val="2.2099111011793248E-2"/>
                  <c:y val="1.6825609053926445E-2"/>
                </c:manualLayout>
              </c:layout>
              <c:tx>
                <c:rich>
                  <a:bodyPr/>
                  <a:lstStyle/>
                  <a:p>
                    <a:fld id="{79F34DC9-961F-4D9F-A4A4-4F4D0B80F904}" type="CELLRANGE">
                      <a:rPr lang="en-US" baseline="0"/>
                      <a:pPr/>
                      <a:t>[CELLRANGE]</a:t>
                    </a:fld>
                    <a:r>
                      <a:rPr lang="en-US" baseline="0"/>
                      <a:t>, </a:t>
                    </a:r>
                    <a:fld id="{9EEEDC0E-7B67-4C9E-90FD-C500666B5924}" type="SERIESNAME">
                      <a:rPr lang="en-US" baseline="0"/>
                      <a:pPr/>
                      <a:t>[SERIES NAME]</a:t>
                    </a:fld>
                    <a:r>
                      <a:rPr lang="en-US" baseline="0"/>
                      <a:t>, </a:t>
                    </a:r>
                    <a:fld id="{604873DE-B604-4D7E-A8E0-1E15C1087228}"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3735791898462795"/>
                      <c:h val="0.17438061223489398"/>
                    </c:manualLayout>
                  </c15:layout>
                  <c15:dlblFieldTable/>
                  <c15:showDataLabelsRange val="1"/>
                </c:ext>
                <c:ext xmlns:c16="http://schemas.microsoft.com/office/drawing/2014/chart" uri="{C3380CC4-5D6E-409C-BE32-E72D297353CC}">
                  <c16:uniqueId val="{00000006-4515-4D3F-99A4-43ADB3155FD8}"/>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'W5'!$M$62:$N$62</c15:sqref>
                  </c15:fullRef>
                </c:ext>
              </c:extLst>
              <c:f>'W5'!$M$62</c:f>
              <c:numCache>
                <c:formatCode>0.0%;\-0.0.%;</c:formatCode>
                <c:ptCount val="1"/>
                <c:pt idx="0" formatCode="#,##0.0_);\(#,##0.0\);">
                  <c:v>0.32816932774253477</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'W5'!$N$62</c15:f>
                <c15:dlblRangeCache>
                  <c:ptCount val="1"/>
                  <c:pt idx="0">
                    <c:v>0.1%</c:v>
                  </c:pt>
                </c15:dlblRangeCache>
              </c15:datalabelsRange>
            </c:ext>
            <c:ext xmlns:c16="http://schemas.microsoft.com/office/drawing/2014/chart" uri="{C3380CC4-5D6E-409C-BE32-E72D297353CC}">
              <c16:uniqueId val="{00000007-4515-4D3F-99A4-43ADB3155FD8}"/>
            </c:ext>
          </c:extLst>
        </c:ser>
        <c:ser>
          <c:idx val="12"/>
          <c:order val="14"/>
          <c:tx>
            <c:strRef>
              <c:f>'W5'!$D$63</c:f>
              <c:strCache>
                <c:ptCount val="1"/>
                <c:pt idx="0">
                  <c:v>Lợi nhuận</c:v>
                </c:pt>
              </c:strCache>
            </c:strRef>
          </c:tx>
          <c:spPr>
            <a:solidFill>
              <a:srgbClr val="92D050"/>
            </a:solidFill>
          </c:spPr>
          <c:invertIfNegative val="0"/>
          <c:dLbls>
            <c:dLbl>
              <c:idx val="0"/>
              <c:layout>
                <c:manualLayout>
                  <c:x val="-1.2188953971202912E-2"/>
                  <c:y val="-4.3782971565266213E-2"/>
                </c:manualLayout>
              </c:layout>
              <c:tx>
                <c:rich>
                  <a:bodyPr wrap="square" lIns="38100" tIns="19050" rIns="38100" bIns="19050" anchor="ctr">
                    <a:noAutofit/>
                  </a:bodyPr>
                  <a:lstStyle/>
                  <a:p>
                    <a:pPr>
                      <a:defRPr sz="1300" b="1">
                        <a:solidFill>
                          <a:srgbClr val="FF0000"/>
                        </a:solidFill>
                      </a:defRPr>
                    </a:pPr>
                    <a:fld id="{76F35BE1-7601-4EDE-8FD7-7813D3DCA0BE}"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B2777A12-090B-4329-B814-B5FC68CE4CA7}"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F4E802A5-06FB-46F3-AA05-CCE51461CC23}"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8850335330482959"/>
                      <c:h val="8.0157309942607793E-2"/>
                    </c:manualLayout>
                  </c15:layout>
                  <c15:dlblFieldTable/>
                  <c15:showDataLabelsRange val="1"/>
                </c:ext>
                <c:ext xmlns:c16="http://schemas.microsoft.com/office/drawing/2014/chart" uri="{C3380CC4-5D6E-409C-BE32-E72D297353CC}">
                  <c16:uniqueId val="{00000008-4515-4D3F-99A4-43ADB3155FD8}"/>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'W5'!$M$63:$N$63</c15:sqref>
                  </c15:fullRef>
                </c:ext>
              </c:extLst>
              <c:f>'W5'!$M$63</c:f>
              <c:numCache>
                <c:formatCode>0.0%;\-0.0.%;</c:formatCode>
                <c:ptCount val="1"/>
                <c:pt idx="0" formatCode="#,##0.0_);\(#,##0.0\);">
                  <c:v>1.3126773109701391</c:v>
                </c:pt>
              </c:numCache>
            </c:numRef>
          </c:val>
          <c:extLs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'W5'!$N$63</c15:f>
                <c15:dlblRangeCache>
                  <c:ptCount val="1"/>
                  <c:pt idx="0">
                    <c:v>0.2%</c:v>
                  </c:pt>
                </c15:dlblRangeCache>
              </c15:datalabelsRange>
            </c:ext>
            <c:ext xmlns:c16="http://schemas.microsoft.com/office/drawing/2014/chart" uri="{C3380CC4-5D6E-409C-BE32-E72D297353CC}">
              <c16:uniqueId val="{00000009-4515-4D3F-99A4-43ADB3155FD8}"/>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Lbls>
                  <c:dLbl>
                    <c:idx val="0"/>
                    <c:layout>
                      <c:manualLayout>
                        <c:x val="-1.0628482433221854E-2"/>
                        <c:y val="2.695376708876341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B3F73B2-6C3A-4883-8AC1-9FF3238D51AA}"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1838ED64-1000-4F49-8C57-F9FF89422E6B}"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5AFF8D4A-5149-4D2D-95D5-ED60ECF1101D}"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70180936434669805"/>
                            <c:h val="0.15506560618029541"/>
                          </c:manualLayout>
                        </c15:layout>
                        <c15:dlblFieldTable/>
                        <c15:showDataLabelsRange val="1"/>
                      </c:ext>
                      <c:ext xmlns:c16="http://schemas.microsoft.com/office/drawing/2014/chart" uri="{C3380CC4-5D6E-409C-BE32-E72D297353CC}">
                        <c16:uniqueId val="{0000000A-4515-4D3F-99A4-43ADB3155FD8}"/>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'W5'!$M$50:$N$50</c15:sqref>
                        </c15:fullRef>
                        <c15:formulaRef>
                          <c15:sqref>'W5'!$M$50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uri="{02D57815-91ED-43cb-92C2-25804820EDAC}">
                    <c15:datalabelsRange>
                      <c15:f>'W5'!$F$62</c15:f>
                      <c15:dlblRangeCache>
                        <c:ptCount val="1"/>
                        <c:pt idx="0">
                          <c:v>2.1%</c:v>
                        </c:pt>
                      </c15:dlblRangeCache>
                    </c15:datalabelsRange>
                  </c:ext>
                  <c:ext xmlns:c16="http://schemas.microsoft.com/office/drawing/2014/chart" uri="{C3380CC4-5D6E-409C-BE32-E72D297353CC}">
                    <c16:uniqueId val="{0000000B-4515-4D3F-99A4-43ADB3155FD8}"/>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c:spPr>
                <c:invertIfNegative val="0"/>
                <c:dLbls>
                  <c:dLbl>
                    <c:idx val="0"/>
                    <c:layout>
                      <c:manualLayout>
                        <c:x val="-5.4592292744487993E-2"/>
                        <c:y val="-4.3799523323913708E-2"/>
                      </c:manualLayout>
                    </c:layout>
                    <c:tx>
                      <c:rich>
                        <a:bodyPr wrap="square" lIns="38100" tIns="19050" rIns="38100" bIns="19050" anchor="ctr">
                          <a:noAutofit/>
                        </a:bodyPr>
                        <a:lstStyle/>
                        <a:p>
                          <a:pPr>
                            <a:defRPr sz="1300" b="1">
                              <a:solidFill>
                                <a:srgbClr val="FF0000"/>
                              </a:solidFill>
                            </a:defRPr>
                          </a:pPr>
                          <a:fld id="{631B815F-FEF0-428C-93F8-4D79AB3AF622}"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CB7F3BB8-0CE9-4A4F-803B-B4E71AB9C717}"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2FDE9009-DC0F-43B4-B5ED-711272D8F79C}"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181969427395499"/>
                            <c:h val="0.13416171543965727"/>
                          </c:manualLayout>
                        </c15:layout>
                        <c15:dlblFieldTable/>
                        <c15:showDataLabelsRange val="1"/>
                      </c:ext>
                      <c:ext xmlns:c16="http://schemas.microsoft.com/office/drawing/2014/chart" uri="{C3380CC4-5D6E-409C-BE32-E72D297353CC}">
                        <c16:uniqueId val="{0000000C-4515-4D3F-99A4-43ADB3155FD8}"/>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'W5'!$M$53:$N$53</c15:sqref>
                        </c15:fullRef>
                        <c15:formulaRef>
                          <c15:sqref>'W5'!$M$53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5="http://schemas.microsoft.com/office/drawing/2012/chart" uri="{02D57815-91ED-43cb-92C2-25804820EDAC}">
                    <c15:datalabelsRange>
                      <c15:f>'W5'!$J$63</c15:f>
                      <c15:dlblRangeCache>
                        <c:ptCount val="1"/>
                        <c:pt idx="0">
                          <c:v>5.1%</c:v>
                        </c:pt>
                      </c15:dlblRangeCache>
                    </c15:datalabelsRange>
                  </c:ext>
                  <c:ext xmlns:c16="http://schemas.microsoft.com/office/drawing/2014/chart" uri="{C3380CC4-5D6E-409C-BE32-E72D297353CC}">
                    <c16:uniqueId val="{0000000D-4515-4D3F-99A4-43ADB3155FD8}"/>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'W5'!$M$54:$N$54</c15:sqref>
                        </c15:fullRef>
                        <c15:formulaRef>
                          <c15:sqref>'W5'!$M$54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0E-4515-4D3F-99A4-43ADB3155FD8}"/>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'W5'!$M$55:$N$55</c15:sqref>
                        </c15:fullRef>
                        <c15:formulaRef>
                          <c15:sqref>'W5'!$M$55</c15:sqref>
                        </c15:formulaRef>
                      </c:ext>
                    </c:extLst>
                    <c:numCache>
                      <c:formatCode>0.0%;\-0.0.%;</c:formatCode>
                      <c:ptCount val="1"/>
                      <c:pt idx="0" formatCode="#,##0_);\(#,##0\);;">
                        <c:v>32.74722577596247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0F-4515-4D3F-99A4-43ADB3155FD8}"/>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'W5'!$M$56:$N$56</c15:sqref>
                        </c15:fullRef>
                        <c15:formulaRef>
                          <c15:sqref>'W5'!$M$56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0-4515-4D3F-99A4-43ADB3155FD8}"/>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'W5'!$M$57:$N$57</c15:sqref>
                        </c15:fullRef>
                        <c15:formulaRef>
                          <c15:sqref>'W5'!$M$57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1-4515-4D3F-99A4-43ADB3155FD8}"/>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'W5'!$M$58:$N$58</c15:sqref>
                        </c15:fullRef>
                        <c15:formulaRef>
                          <c15:sqref>'W5'!$M$58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2-4515-4D3F-99A4-43ADB3155FD8}"/>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'W5'!$M$59:$N$59</c15:sqref>
                        </c15:fullRef>
                        <c15:formulaRef>
                          <c15:sqref>'W5'!$M$59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3-4515-4D3F-99A4-43ADB3155FD8}"/>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'W5'!$M$60:$N$60</c15:sqref>
                        </c15:fullRef>
                        <c15:formulaRef>
                          <c15:sqref>'W5'!$M$60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4-4515-4D3F-99A4-43ADB3155FD8}"/>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'W5'!$M$61:$N$61</c15:sqref>
                        </c15:fullRef>
                        <c15:formulaRef>
                          <c15:sqref>'W5'!$M$61</c15:sqref>
                        </c15:formulaRef>
                      </c:ext>
                    </c:extLst>
                    <c:numCache>
                      <c:formatCode>0.0%;\-0.0.%;</c:formatCode>
                      <c:ptCount val="1"/>
                      <c:pt idx="0" formatCode="#,##0_);\(#,##0\);;">
                        <c:v>608.35915336128733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5-4515-4D3F-99A4-43ADB3155FD8}"/>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'W5'!$M$64:$N$64</c15:sqref>
                        </c15:fullRef>
                        <c15:formulaRef>
                          <c15:sqref>'W5'!$M$64</c15:sqref>
                        </c15:formulaRef>
                      </c:ext>
                    </c:extLst>
                    <c:numCache>
                      <c:formatCode>0.0%;\-0.0.%;</c:formatCode>
                      <c:ptCount val="1"/>
                      <c:pt idx="0" formatCode="#,##0_);\(#,##0\);;">
                        <c:v>610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6-4515-4D3F-99A4-43ADB3155FD8}"/>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'W5'!$M$65:$N$65</c15:sqref>
                        </c15:fullRef>
                        <c15:formulaRef>
                          <c15:sqref>'W5'!$M$65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Cache>
                            <c:ptCount val="1"/>
                            <c:pt idx="0">
                              <c:v>Chi phí
VNĐ / Phôi</c:v>
                            </c:pt>
                          </c:strCache>
                        </c:strRef>
                      </c15:cat>
                    </c15:filteredCategoryTitle>
                  </c:ext>
                  <c:ext xmlns:c16="http://schemas.microsoft.com/office/drawing/2014/chart" uri="{C3380CC4-5D6E-409C-BE32-E72D297353CC}">
                    <c16:uniqueId val="{00000017-4515-4D3F-99A4-43ADB3155FD8}"/>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9.8165813622631451E-2"/>
          <c:w val="0.76338100491563388"/>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5EF7543-BA6E-4E3C-9A51-53C4E0C73742}" type="CELLRANGE">
                      <a:rPr lang="en-US" sz="1300" baseline="0"/>
                      <a:pPr>
                        <a:defRPr sz="1300"/>
                      </a:pPr>
                      <a:t>[CELLRANGE]</a:t>
                    </a:fld>
                    <a:r>
                      <a:rPr lang="en-US" sz="1300" baseline="0"/>
                      <a:t>, </a:t>
                    </a:r>
                    <a:fld id="{57DC0F24-5FED-4EC8-9FC9-77E1321D6744}" type="SERIESNAME">
                      <a:rPr lang="en-US" sz="1300" baseline="0"/>
                      <a:pPr>
                        <a:defRPr sz="1300"/>
                      </a:pPr>
                      <a:t>[SERIES NAME]</a:t>
                    </a:fld>
                    <a:r>
                      <a:rPr lang="en-US" sz="1300" baseline="0"/>
                      <a:t>, </a:t>
                    </a:r>
                    <a:fld id="{A7F5936D-85CB-4417-93C6-DF8686DA970F}"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8B28-48F8-9510-FB30B8640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'W5'!$E$49:$F$49</c15:sqref>
                  </c15:fullRef>
                </c:ext>
              </c:extLst>
              <c:f>'W5'!$E$49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'W5'!$F$49</c15:f>
                <c15:dlblRangeCache>
                  <c:ptCount val="1"/>
                  <c:pt idx="0">
                    <c:v>56.2%</c:v>
                  </c:pt>
                </c15:dlblRangeCache>
              </c15:datalabelsRange>
            </c:ext>
            <c:ext xmlns:c16="http://schemas.microsoft.com/office/drawing/2014/chart" uri="{C3380CC4-5D6E-409C-BE32-E72D297353CC}">
              <c16:uniqueId val="{00000001-8B28-48F8-9510-FB30B864065F}"/>
            </c:ext>
          </c:extLst>
        </c:ser>
        <c:ser>
          <c:idx val="4"/>
          <c:order val="2"/>
          <c:tx>
            <c:strRef>
              <c:f>'W5'!$D$51</c:f>
              <c:strCache>
                <c:ptCount val="1"/>
                <c:pt idx="0">
                  <c:v>Hao hụt về tiền</c:v>
                </c:pt>
              </c:strCache>
            </c:strRef>
          </c:tx>
          <c:spPr>
            <a:solidFill>
              <a:srgbClr val="FFC000"/>
            </a:solidFill>
            <a:ln>
              <a:noFill/>
            </a:ln>
            <a:effectLst/>
          </c:spPr>
          <c:invertIfNegative val="0"/>
          <c:dLbls>
            <c:dLbl>
              <c:idx val="0"/>
              <c:tx>
                <c:rich>
                  <a:bodyPr/>
                  <a:lstStyle/>
                  <a:p>
                    <a:fld id="{54CB6D08-96DC-4215-A0CA-F95F51A304DE}" type="CELLRANGE">
                      <a:rPr lang="en-US" baseline="0"/>
                      <a:pPr/>
                      <a:t>[CELLRANGE]</a:t>
                    </a:fld>
                    <a:r>
                      <a:rPr lang="en-US" baseline="0"/>
                      <a:t>, </a:t>
                    </a:r>
                    <a:fld id="{41628C37-37ED-4A82-A142-FADF45B22A81}" type="SERIESNAME">
                      <a:rPr lang="en-US" baseline="0"/>
                      <a:pPr/>
                      <a:t>[SERIES NAME]</a:t>
                    </a:fld>
                    <a:r>
                      <a:rPr lang="en-US" baseline="0"/>
                      <a:t>, </a:t>
                    </a:r>
                    <a:fld id="{EEF14DD1-025A-4F9E-8256-856893F96F7C}"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2-8B28-48F8-9510-FB30B864065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'W5'!$E$51:$F$51</c15:sqref>
                  </c15:fullRef>
                </c:ext>
              </c:extLst>
              <c:f>'W5'!$E$51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'W5'!$F$51</c15:f>
                <c15:dlblRangeCache>
                  <c:ptCount val="1"/>
                  <c:pt idx="0">
                    <c:v>4.2%</c:v>
                  </c:pt>
                </c15:dlblRangeCache>
              </c15:datalabelsRange>
            </c:ext>
            <c:ext xmlns:c16="http://schemas.microsoft.com/office/drawing/2014/chart" uri="{C3380CC4-5D6E-409C-BE32-E72D297353CC}">
              <c16:uniqueId val="{00000003-8B28-48F8-9510-FB30B864065F}"/>
            </c:ext>
          </c:extLst>
        </c:ser>
        <c:ser>
          <c:idx val="3"/>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703C41AF-E1C6-4905-897C-E58434DBEA56}" type="CELLRANGE">
                      <a:rPr lang="en-US" sz="1300" baseline="0"/>
                      <a:pPr>
                        <a:defRPr sz="1300"/>
                      </a:pPr>
                      <a:t>[CELLRANGE]</a:t>
                    </a:fld>
                    <a:r>
                      <a:rPr lang="en-US" sz="1300" baseline="0"/>
                      <a:t>, </a:t>
                    </a:r>
                    <a:fld id="{5BAA5750-400B-4630-B810-DC2E416DCC90}" type="SERIESNAME">
                      <a:rPr lang="en-US" sz="1300" baseline="0"/>
                      <a:pPr>
                        <a:defRPr sz="1300"/>
                      </a:pPr>
                      <a:t>[SERIES NAME]</a:t>
                    </a:fld>
                    <a:r>
                      <a:rPr lang="en-US" sz="1300" baseline="0"/>
                      <a:t>, </a:t>
                    </a:r>
                    <a:fld id="{B0DA2F02-BB59-40DA-A9F2-6DD51F0BF989}"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4-8B28-48F8-9510-FB30B864065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'W5'!$E$52:$F$52</c15:sqref>
                  </c15:fullRef>
                </c:ext>
              </c:extLst>
              <c:f>'W5'!$E$52</c:f>
              <c:numCache>
                <c:formatCode>0.0%;\-0.0.%;</c:formatCode>
                <c:ptCount val="1"/>
                <c:pt idx="0" formatCode="#,##0_);\(#,##0\);;">
                  <c:v>197.7268952967712</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'W5'!$F$52</c15:f>
                <c15:dlblRangeCache>
                  <c:ptCount val="1"/>
                  <c:pt idx="0">
                    <c:v>29.1%</c:v>
                  </c:pt>
                </c15:dlblRangeCache>
              </c15:datalabelsRange>
            </c:ext>
            <c:ext xmlns:c16="http://schemas.microsoft.com/office/drawing/2014/chart" uri="{C3380CC4-5D6E-409C-BE32-E72D297353CC}">
              <c16:uniqueId val="{00000005-8B28-48F8-9510-FB30B864065F}"/>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772A16AA-D386-415D-913D-3F3A726BAB43}" type="CELLRANGE">
                      <a:rPr lang="en-US" baseline="0"/>
                      <a:pPr/>
                      <a:t>[CELLRANGE]</a:t>
                    </a:fld>
                    <a:r>
                      <a:rPr lang="en-US" baseline="0"/>
                      <a:t>, </a:t>
                    </a:r>
                    <a:fld id="{D2A56008-381D-4278-86D9-73C844BA44F6}" type="SERIESNAME">
                      <a:rPr lang="en-US" baseline="0"/>
                      <a:pPr/>
                      <a:t>[SERIES NAME]</a:t>
                    </a:fld>
                    <a:r>
                      <a:rPr lang="en-US" baseline="0"/>
                      <a:t>, </a:t>
                    </a:r>
                    <a:fld id="{539F22B9-1756-47DE-A56F-AB0658F226F4}"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58953255249543"/>
                      <c:h val="8.4272718986321854E-2"/>
                    </c:manualLayout>
                  </c15:layout>
                  <c15:dlblFieldTable/>
                  <c15:showDataLabelsRange val="1"/>
                </c:ext>
                <c:ext xmlns:c16="http://schemas.microsoft.com/office/drawing/2014/chart" uri="{C3380CC4-5D6E-409C-BE32-E72D297353CC}">
                  <c16:uniqueId val="{00000006-8B28-48F8-9510-FB30B8640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'W5'!$E$62:$F$62</c15:sqref>
                  </c15:fullRef>
                </c:ext>
              </c:extLst>
              <c:f>'W5'!$E$62</c:f>
              <c:numCache>
                <c:formatCode>0.0%;\-0.0.%;</c:formatCode>
                <c:ptCount val="1"/>
                <c:pt idx="0" formatCode="#,##0_);\(#,##0\);;">
                  <c:v>14.328169327742536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'W5'!$F$62</c15:f>
                <c15:dlblRangeCache>
                  <c:ptCount val="1"/>
                  <c:pt idx="0">
                    <c:v>2.1%</c:v>
                  </c:pt>
                </c15:dlblRangeCache>
              </c15:datalabelsRange>
            </c:ext>
            <c:ext xmlns:c16="http://schemas.microsoft.com/office/drawing/2014/chart" uri="{C3380CC4-5D6E-409C-BE32-E72D297353CC}">
              <c16:uniqueId val="{00000007-8B28-48F8-9510-FB30B864065F}"/>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8240C857-A0A1-4985-A490-0FD1D04A6B87}"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477269C3-3A92-4852-B909-C57A44F2B93B}"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007743B8-D727-42AF-9F6A-5C690BEBE272}"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8-8B28-48F8-9510-FB30B864065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'W5'!$E$63:$F$63</c15:sqref>
                  </c15:fullRef>
                </c:ext>
              </c:extLst>
              <c:f>'W5'!$E$63</c:f>
              <c:numCache>
                <c:formatCode>0.0%;\-0.0.%;</c:formatCode>
                <c:ptCount val="1"/>
                <c:pt idx="0" formatCode="#,##0_);\(#,##0\);;">
                  <c:v>57.312677310970145</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'W5'!$F$63</c15:f>
                <c15:dlblRangeCache>
                  <c:ptCount val="1"/>
                  <c:pt idx="0">
                    <c:v>8.4%</c:v>
                  </c:pt>
                </c15:dlblRangeCache>
              </c15:datalabelsRange>
            </c:ext>
            <c:ext xmlns:c16="http://schemas.microsoft.com/office/drawing/2014/chart" uri="{C3380CC4-5D6E-409C-BE32-E72D297353CC}">
              <c16:uniqueId val="{00000009-8B28-48F8-9510-FB30B864065F}"/>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'W5'!$E$50:$F$50</c15:sqref>
                        </c15:fullRef>
                        <c15:formulaRef>
                          <c15:sqref>'W5'!$E$50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A-8B28-48F8-9510-FB30B864065F}"/>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'W5'!$E$53:$F$53</c15:sqref>
                        </c15:fullRef>
                        <c15:formulaRef>
                          <c15:sqref>'W5'!$E$53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B-8B28-48F8-9510-FB30B864065F}"/>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'W5'!$E$54:$F$54</c15:sqref>
                        </c15:fullRef>
                        <c15:formulaRef>
                          <c15:sqref>'W5'!$E$54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C-8B28-48F8-9510-FB30B864065F}"/>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'W5'!$E$55:$F$55</c15:sqref>
                        </c15:fullRef>
                        <c15:formulaRef>
                          <c15:sqref>'W5'!$E$55</c15:sqref>
                        </c15:formulaRef>
                      </c:ext>
                    </c:extLst>
                    <c:numCache>
                      <c:formatCode>0.0%;\-0.0.%;</c:formatCode>
                      <c:ptCount val="1"/>
                      <c:pt idx="0" formatCode="#,##0_);\(#,##0\);;">
                        <c:v>32.74722577596247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D-8B28-48F8-9510-FB30B864065F}"/>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'W5'!$E$56:$F$56</c15:sqref>
                        </c15:fullRef>
                        <c15:formulaRef>
                          <c15:sqref>'W5'!$E$56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E-8B28-48F8-9510-FB30B864065F}"/>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'W5'!$E$57:$F$57</c15:sqref>
                        </c15:fullRef>
                        <c15:formulaRef>
                          <c15:sqref>'W5'!$E$57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F-8B28-48F8-9510-FB30B864065F}"/>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'W5'!$E$58:$F$58</c15:sqref>
                        </c15:fullRef>
                        <c15:formulaRef>
                          <c15:sqref>'W5'!$E$58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0-8B28-48F8-9510-FB30B864065F}"/>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'W5'!$E$59:$F$59</c15:sqref>
                        </c15:fullRef>
                        <c15:formulaRef>
                          <c15:sqref>'W5'!$E$59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1-8B28-48F8-9510-FB30B864065F}"/>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'W5'!$E$60:$F$60</c15:sqref>
                        </c15:fullRef>
                        <c15:formulaRef>
                          <c15:sqref>'W5'!$E$60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2-8B28-48F8-9510-FB30B864065F}"/>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'W5'!$E$61:$F$61</c15:sqref>
                        </c15:fullRef>
                        <c15:formulaRef>
                          <c15:sqref>'W5'!$E$61</c15:sqref>
                        </c15:formulaRef>
                      </c:ext>
                    </c:extLst>
                    <c:numCache>
                      <c:formatCode>0.0%;\-0.0.%;</c:formatCode>
                      <c:ptCount val="1"/>
                      <c:pt idx="0" formatCode="#,##0_);\(#,##0\);;">
                        <c:v>608.35915336128733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3-8B28-48F8-9510-FB30B864065F}"/>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'W5'!$E$64:$F$64</c15:sqref>
                        </c15:fullRef>
                        <c15:formulaRef>
                          <c15:sqref>'W5'!$E$64</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4-8B28-48F8-9510-FB30B864065F}"/>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'W5'!$E$65:$F$65</c15:sqref>
                        </c15:fullRef>
                        <c15:formulaRef>
                          <c15:sqref>'W5'!$E$65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5-8B28-48F8-9510-FB30B864065F}"/>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2498B030-7A22-44C9-BC80-22E09EE94A91}" type="CELLRANGE">
                      <a:rPr lang="en-US" baseline="0"/>
                      <a:pPr>
                        <a:defRPr sz="1300"/>
                      </a:pPr>
                      <a:t>[CELLRANGE]</a:t>
                    </a:fld>
                    <a:r>
                      <a:rPr lang="en-US" baseline="0"/>
                      <a:t>, </a:t>
                    </a:r>
                    <a:fld id="{0F50E706-0BCB-4520-968E-9F50786CB3AE}" type="SERIESNAME">
                      <a:rPr lang="en-US" baseline="0"/>
                      <a:pPr>
                        <a:defRPr sz="1300"/>
                      </a:pPr>
                      <a:t>[SERIES NAME]</a:t>
                    </a:fld>
                    <a:r>
                      <a:rPr lang="en-US" baseline="0"/>
                      <a:t>, </a:t>
                    </a:r>
                    <a:fld id="{74A23A9D-F3AA-4D99-8478-FB351F756222}"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6943226626543529"/>
                      <c:h val="0.2523939065954558"/>
                    </c:manualLayout>
                  </c15:layout>
                  <c15:dlblFieldTable/>
                  <c15:showDataLabelsRange val="1"/>
                </c:ext>
                <c:ext xmlns:c16="http://schemas.microsoft.com/office/drawing/2014/chart" uri="{C3380CC4-5D6E-409C-BE32-E72D297353CC}">
                  <c16:uniqueId val="{00000000-F83D-43DE-88A5-68B8920BABD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'W5'!$E$71:$F$71</c15:sqref>
                  </c15:fullRef>
                </c:ext>
              </c:extLst>
              <c:f>'W5'!$E$71</c:f>
              <c:numCache>
                <c:formatCode>0.0%;\-0.0.%;</c:formatCode>
                <c:ptCount val="1"/>
                <c:pt idx="0" formatCode="#,##0_);\(#,##0\);;">
                  <c:v>979.2</c:v>
                </c:pt>
              </c:numCache>
            </c:numRef>
          </c:val>
          <c:extLst>
            <c:ext xmlns:c15="http://schemas.microsoft.com/office/drawing/2012/chart" uri="{02D57815-91ED-43cb-92C2-25804820EDAC}">
              <c15:datalabelsRange>
                <c15:f>'W5'!$F$71</c15:f>
                <c15:dlblRangeCache>
                  <c:ptCount val="1"/>
                  <c:pt idx="0">
                    <c:v>56.2%</c:v>
                  </c:pt>
                </c15:dlblRangeCache>
              </c15:datalabelsRange>
            </c:ext>
            <c:ext xmlns:c16="http://schemas.microsoft.com/office/drawing/2014/chart" uri="{C3380CC4-5D6E-409C-BE32-E72D297353CC}">
              <c16:uniqueId val="{00000001-F83D-43DE-88A5-68B8920BABD6}"/>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1CE64D9A-95FF-4672-AA7B-2B82391DCE6A}" type="CELLRANGE">
                      <a:rPr lang="en-US" baseline="0"/>
                      <a:pPr>
                        <a:defRPr sz="1100"/>
                      </a:pPr>
                      <a:t>[CELLRANGE]</a:t>
                    </a:fld>
                    <a:r>
                      <a:rPr lang="en-US" baseline="0"/>
                      <a:t>, </a:t>
                    </a:r>
                    <a:fld id="{3BA5A6BF-8A40-4B65-BE60-BAD7B6E5D7A3}" type="SERIESNAME">
                      <a:rPr lang="en-US" baseline="0"/>
                      <a:pPr>
                        <a:defRPr sz="1100"/>
                      </a:pPr>
                      <a:t>[SERIES NAME]</a:t>
                    </a:fld>
                    <a:r>
                      <a:rPr lang="en-US" baseline="0"/>
                      <a:t>, </a:t>
                    </a:r>
                    <a:fld id="{01579CC4-73C0-4797-83F9-FBBD8BA7808C}"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705101431980909"/>
                      <c:h val="0.10217243866235731"/>
                    </c:manualLayout>
                  </c15:layout>
                  <c15:dlblFieldTable/>
                  <c15:showDataLabelsRange val="1"/>
                </c:ext>
                <c:ext xmlns:c16="http://schemas.microsoft.com/office/drawing/2014/chart" uri="{C3380CC4-5D6E-409C-BE32-E72D297353CC}">
                  <c16:uniqueId val="{00000002-F83D-43DE-88A5-68B8920BABD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'W5'!$E$73:$F$73</c15:sqref>
                  </c15:fullRef>
                </c:ext>
              </c:extLst>
              <c:f>'W5'!$E$73</c:f>
              <c:numCache>
                <c:formatCode>0.0%;\-0.0.%;</c:formatCode>
                <c:ptCount val="1"/>
                <c:pt idx="0" formatCode="#,##0_);\(#,##0\);;">
                  <c:v>73.703225806451741</c:v>
                </c:pt>
              </c:numCache>
            </c:numRef>
          </c:val>
          <c:extLst>
            <c:ext xmlns:c15="http://schemas.microsoft.com/office/drawing/2012/chart" uri="{02D57815-91ED-43cb-92C2-25804820EDAC}">
              <c15:datalabelsRange>
                <c15:f>'W5'!$F$73</c15:f>
                <c15:dlblRangeCache>
                  <c:ptCount val="1"/>
                  <c:pt idx="0">
                    <c:v>4.2%</c:v>
                  </c:pt>
                </c15:dlblRangeCache>
              </c15:datalabelsRange>
            </c:ext>
            <c:ext xmlns:c16="http://schemas.microsoft.com/office/drawing/2014/chart" uri="{C3380CC4-5D6E-409C-BE32-E72D297353CC}">
              <c16:uniqueId val="{00000003-F83D-43DE-88A5-68B8920BABD6}"/>
            </c:ext>
          </c:extLst>
        </c:ser>
        <c:ser>
          <c:idx val="14"/>
          <c:order val="3"/>
          <c:tx>
            <c:strRef>
              <c:f>'W5'!$D$74</c:f>
              <c:strCache>
                <c:ptCount val="1"/>
                <c:pt idx="0">
                  <c:v>Chi phí biến đổi</c:v>
                </c:pt>
              </c:strCache>
            </c:strRef>
          </c:tx>
          <c:spPr>
            <a:solidFill>
              <a:schemeClr val="accent3">
                <a:lumMod val="80000"/>
                <a:lumOff val="20000"/>
              </a:schemeClr>
            </a:solidFill>
            <a:ln>
              <a:noFill/>
            </a:ln>
            <a:effectLst/>
          </c:spPr>
          <c:invertIfNegative val="0"/>
          <c:dPt>
            <c:idx val="0"/>
            <c:invertIfNegative val="0"/>
            <c:bubble3D val="0"/>
            <c:spPr>
              <a:solidFill>
                <a:srgbClr val="E8E8E8">
                  <a:lumMod val="90000"/>
                </a:srgbClr>
              </a:solidFill>
              <a:ln>
                <a:noFill/>
              </a:ln>
              <a:effectLst/>
            </c:spPr>
            <c:extLst>
              <c:ext xmlns:c16="http://schemas.microsoft.com/office/drawing/2014/chart" uri="{C3380CC4-5D6E-409C-BE32-E72D297353CC}">
                <c16:uniqueId val="{00000005-F83D-43DE-88A5-68B8920BABD6}"/>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3C0975E-D7AD-4EEE-9CDA-440AD2176E97}" type="CELLRANGE">
                      <a:rPr lang="en-US" baseline="0"/>
                      <a:pPr>
                        <a:defRPr sz="1300"/>
                      </a:pPr>
                      <a:t>[CELLRANGE]</a:t>
                    </a:fld>
                    <a:r>
                      <a:rPr lang="en-US" baseline="0"/>
                      <a:t>, </a:t>
                    </a:r>
                    <a:fld id="{88CA9724-83F8-41EB-AECF-0D3B5B0D2120}" type="SERIESNAME">
                      <a:rPr lang="en-US" baseline="0"/>
                      <a:pPr>
                        <a:defRPr sz="1300"/>
                      </a:pPr>
                      <a:t>[SERIES NAME]</a:t>
                    </a:fld>
                    <a:r>
                      <a:rPr lang="en-US" baseline="0"/>
                      <a:t>, </a:t>
                    </a:r>
                    <a:fld id="{17D14737-F287-4FBC-BDBC-B25819FE608D}"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469372600394306"/>
                      <c:h val="0.1752356287679375"/>
                    </c:manualLayout>
                  </c15:layout>
                  <c15:dlblFieldTable/>
                  <c15:showDataLabelsRange val="1"/>
                </c:ext>
                <c:ext xmlns:c16="http://schemas.microsoft.com/office/drawing/2014/chart" uri="{C3380CC4-5D6E-409C-BE32-E72D297353CC}">
                  <c16:uniqueId val="{00000005-F83D-43DE-88A5-68B8920BABD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'W5'!$E$74:$F$74</c15:sqref>
                  </c15:fullRef>
                </c:ext>
              </c:extLst>
              <c:f>'W5'!$E$74</c:f>
              <c:numCache>
                <c:formatCode>0.0%;\-0.0.%;</c:formatCode>
                <c:ptCount val="1"/>
                <c:pt idx="0" formatCode="#,##0_);\(#,##0\);;">
                  <c:v>506.99203922249029</c:v>
                </c:pt>
              </c:numCache>
            </c:numRef>
          </c:val>
          <c:extLst xmlns:c15="http://schemas.microsoft.com/office/drawing/2012/chart">
            <c:ext xmlns:c15="http://schemas.microsoft.com/office/drawing/2012/chart" uri="{02D57815-91ED-43cb-92C2-25804820EDAC}">
              <c15:datalabelsRange>
                <c15:f>'W5'!$F$74</c15:f>
                <c15:dlblRangeCache>
                  <c:ptCount val="1"/>
                  <c:pt idx="0">
                    <c:v>29.1%</c:v>
                  </c:pt>
                </c15:dlblRangeCache>
              </c15:datalabelsRange>
            </c:ext>
            <c:ext xmlns:c16="http://schemas.microsoft.com/office/drawing/2014/chart" uri="{C3380CC4-5D6E-409C-BE32-E72D297353CC}">
              <c16:uniqueId val="{00000006-F83D-43DE-88A5-68B8920BABD6}"/>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080DD7F2-012C-4A6D-A2C4-DA65799C3F3E}" type="CELLRANGE">
                      <a:rPr lang="en-US" sz="1100" baseline="0"/>
                      <a:pPr>
                        <a:defRPr sz="1100"/>
                      </a:pPr>
                      <a:t>[CELLRANGE]</a:t>
                    </a:fld>
                    <a:r>
                      <a:rPr lang="en-US" sz="1100" baseline="0"/>
                      <a:t>, </a:t>
                    </a:r>
                    <a:fld id="{C79437D0-7EDF-4AAA-B6C9-64D229E4E02B}" type="SERIESNAME">
                      <a:rPr lang="en-US" sz="1100" baseline="0"/>
                      <a:pPr>
                        <a:defRPr sz="1100"/>
                      </a:pPr>
                      <a:t>[SERIES NAME]</a:t>
                    </a:fld>
                    <a:r>
                      <a:rPr lang="en-US" sz="1100" baseline="0"/>
                      <a:t>, </a:t>
                    </a:r>
                    <a:fld id="{F0D89253-627A-41F5-8584-126F9C18B854}"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452865583169034"/>
                      <c:h val="6.8098030596001849E-2"/>
                    </c:manualLayout>
                  </c15:layout>
                  <c15:dlblFieldTable/>
                  <c15:showDataLabelsRange val="1"/>
                </c:ext>
                <c:ext xmlns:c16="http://schemas.microsoft.com/office/drawing/2014/chart" uri="{C3380CC4-5D6E-409C-BE32-E72D297353CC}">
                  <c16:uniqueId val="{00000007-F83D-43DE-88A5-68B8920BABD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'W5'!$E$84:$F$84</c15:sqref>
                  </c15:fullRef>
                </c:ext>
              </c:extLst>
              <c:f>'W5'!$E$84</c:f>
              <c:numCache>
                <c:formatCode>0.0%;\-0.0.%;</c:formatCode>
                <c:ptCount val="1"/>
                <c:pt idx="0" formatCode="#,##0_);\(#,##0\);;">
                  <c:v>36.738895712160321</c:v>
                </c:pt>
              </c:numCache>
            </c:numRef>
          </c:val>
          <c:extLst>
            <c:ext xmlns:c15="http://schemas.microsoft.com/office/drawing/2012/chart" uri="{02D57815-91ED-43cb-92C2-25804820EDAC}">
              <c15:datalabelsRange>
                <c15:f>'W5'!$F$84</c15:f>
                <c15:dlblRangeCache>
                  <c:ptCount val="1"/>
                  <c:pt idx="0">
                    <c:v>2.1%</c:v>
                  </c:pt>
                </c15:dlblRangeCache>
              </c15:datalabelsRange>
            </c:ext>
            <c:ext xmlns:c16="http://schemas.microsoft.com/office/drawing/2014/chart" uri="{C3380CC4-5D6E-409C-BE32-E72D297353CC}">
              <c16:uniqueId val="{00000008-F83D-43DE-88A5-68B8920BABD6}"/>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4.4155582001660738E-3"/>
                  <c:y val="-6.318279522682183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2E7DF225-4064-4C1B-8ECA-B0188C31924D}"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88FC3C16-CE2C-4A1B-91E3-697F913E05FA}"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3FB8706A-6448-4880-A52D-E7D496123B1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2727913899553798"/>
                      <c:h val="6.1221561442975629E-2"/>
                    </c:manualLayout>
                  </c15:layout>
                  <c15:dlblFieldTable/>
                  <c15:showDataLabelsRange val="1"/>
                </c:ext>
                <c:ext xmlns:c16="http://schemas.microsoft.com/office/drawing/2014/chart" uri="{C3380CC4-5D6E-409C-BE32-E72D297353CC}">
                  <c16:uniqueId val="{00000009-F83D-43DE-88A5-68B8920BABD6}"/>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'W5'!$E$85:$F$85</c15:sqref>
                  </c15:fullRef>
                </c:ext>
              </c:extLst>
              <c:f>'W5'!$E$85</c:f>
              <c:numCache>
                <c:formatCode>0.0%;\-0.0.%;</c:formatCode>
                <c:ptCount val="1"/>
                <c:pt idx="0" formatCode="#,##0_);\(#,##0\);;">
                  <c:v>146.95558284864128</c:v>
                </c:pt>
              </c:numCache>
            </c:numRef>
          </c:val>
          <c:extLst>
            <c:ext xmlns:c15="http://schemas.microsoft.com/office/drawing/2012/chart" uri="{02D57815-91ED-43cb-92C2-25804820EDAC}">
              <c15:datalabelsRange>
                <c15:f>'W5'!$F$85</c15:f>
                <c15:dlblRangeCache>
                  <c:ptCount val="1"/>
                  <c:pt idx="0">
                    <c:v>8.4%</c:v>
                  </c:pt>
                </c15:dlblRangeCache>
              </c15:datalabelsRange>
            </c:ext>
            <c:ext xmlns:c16="http://schemas.microsoft.com/office/drawing/2014/chart" uri="{C3380CC4-5D6E-409C-BE32-E72D297353CC}">
              <c16:uniqueId val="{0000000A-F83D-43DE-88A5-68B8920BABD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'W5'!$E$70:$F$70</c15:sqref>
                        </c15:fullRef>
                        <c15:formulaRef>
                          <c15:sqref>'W5'!$E$70</c15:sqref>
                        </c15:formulaRef>
                      </c:ext>
                    </c:extLst>
                    <c:strCache>
                      <c:ptCount val="1"/>
                      <c:pt idx="0">
                        <c:v>Chi phí
USD/tấn</c:v>
                      </c:pt>
                    </c:strCache>
                  </c:strRef>
                </c:cat>
                <c:val>
                  <c:numRef>
                    <c:extLst>
                      <c:ext uri="{02D57815-91ED-43cb-92C2-25804820EDAC}">
                        <c15:fullRef>
                          <c15:sqref>'W5'!$E$72:$F$72</c15:sqref>
                        </c15:fullRef>
                        <c15:formulaRef>
                          <c15:sqref>'W5'!$E$72</c15:sqref>
                        </c15:formulaRef>
                      </c:ext>
                    </c:extLst>
                    <c:numCache>
                      <c:formatCode>0.0%;\-0.0.%;</c:formatCode>
                      <c:ptCount val="1"/>
                      <c:pt idx="0" formatCode="#,##0_);\(#,##0\);;">
                        <c:v>979.2</c:v>
                      </c:pt>
                    </c:numCache>
                  </c:numRef>
                </c:val>
                <c:extLst>
                  <c:ext xmlns:c16="http://schemas.microsoft.com/office/drawing/2014/chart" uri="{C3380CC4-5D6E-409C-BE32-E72D297353CC}">
                    <c16:uniqueId val="{0000000B-F83D-43DE-88A5-68B8920BABD6}"/>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'W5'!$E$75:$F$75</c15:sqref>
                        </c15:fullRef>
                        <c15:formulaRef>
                          <c15:sqref>'W5'!$E$75</c15:sqref>
                        </c15:formulaRef>
                      </c:ext>
                    </c:extLst>
                    <c:numCache>
                      <c:formatCode>0.0%;\-0.0.%;</c:formatCode>
                      <c:ptCount val="1"/>
                      <c:pt idx="0" formatCode="#,##0_);\(#,##0\);;">
                        <c:v>39.193355199141216</c:v>
                      </c:pt>
                    </c:numCache>
                  </c:numRef>
                </c:val>
                <c:extLst xmlns:c15="http://schemas.microsoft.com/office/drawing/2012/chart">
                  <c:ext xmlns:c16="http://schemas.microsoft.com/office/drawing/2014/chart" uri="{C3380CC4-5D6E-409C-BE32-E72D297353CC}">
                    <c16:uniqueId val="{0000000C-F83D-43DE-88A5-68B8920BABD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'W5'!$E$76:$F$76</c15:sqref>
                        </c15:fullRef>
                        <c15:formulaRef>
                          <c15:sqref>'W5'!$E$76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D-F83D-43DE-88A5-68B8920BABD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spPr>
                  <a:solidFill>
                    <a:schemeClr val="accent3"/>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'W5'!$E$77:$F$77</c15:sqref>
                        </c15:fullRef>
                        <c15:formulaRef>
                          <c15:sqref>'W5'!$E$77</c15:sqref>
                        </c15:formulaRef>
                      </c:ext>
                    </c:extLst>
                    <c:numCache>
                      <c:formatCode>0.0%;\-0.0.%;</c:formatCode>
                      <c:ptCount val="1"/>
                      <c:pt idx="0" formatCode="#,##0_);\(#,##0\);;">
                        <c:v>83.967245579390948</c:v>
                      </c:pt>
                    </c:numCache>
                  </c:numRef>
                </c:val>
                <c:extLst xmlns:c15="http://schemas.microsoft.com/office/drawing/2012/chart">
                  <c:ext xmlns:c16="http://schemas.microsoft.com/office/drawing/2014/chart" uri="{C3380CC4-5D6E-409C-BE32-E72D297353CC}">
                    <c16:uniqueId val="{0000000E-F83D-43DE-88A5-68B8920BABD6}"/>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spPr>
                  <a:solidFill>
                    <a:schemeClr val="accent6"/>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'W5'!$E$78:$F$78</c15:sqref>
                        </c15:fullRef>
                        <c15:formulaRef>
                          <c15:sqref>'W5'!$E$78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0F-F83D-43DE-88A5-68B8920BABD6}"/>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'W5'!$E$79:$F$79</c15:sqref>
                        </c15:fullRef>
                        <c15:formulaRef>
                          <c15:sqref>'W5'!$E$79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0-F83D-43DE-88A5-68B8920BABD6}"/>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'W5'!$E$80:$F$80</c15:sqref>
                        </c15:fullRef>
                        <c15:formulaRef>
                          <c15:sqref>'W5'!$E$80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1-F83D-43DE-88A5-68B8920BABD6}"/>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'W5'!$E$81:$F$81</c15:sqref>
                        </c15:fullRef>
                        <c15:formulaRef>
                          <c15:sqref>'W5'!$E$81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2-F83D-43DE-88A5-68B8920BABD6}"/>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'W5'!$E$82:$F$82</c15:sqref>
                        </c15:fullRef>
                        <c15:formulaRef>
                          <c15:sqref>'W5'!$E$82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3-F83D-43DE-88A5-68B8920BABD6}"/>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'W5'!$E$83:$F$83</c15:sqref>
                        </c15:fullRef>
                        <c15:formulaRef>
                          <c15:sqref>'W5'!$E$83</c15:sqref>
                        </c15:formulaRef>
                      </c:ext>
                    </c:extLst>
                    <c:numCache>
                      <c:formatCode>0.0%;\-0.0.%;</c:formatCode>
                      <c:ptCount val="1"/>
                      <c:pt idx="0" formatCode="#,##0_);\(#,##0\);;">
                        <c:v>1559.895265028942</c:v>
                      </c:pt>
                    </c:numCache>
                  </c:numRef>
                </c:val>
                <c:extLst xmlns:c15="http://schemas.microsoft.com/office/drawing/2012/chart">
                  <c:ext xmlns:c16="http://schemas.microsoft.com/office/drawing/2014/chart" uri="{C3380CC4-5D6E-409C-BE32-E72D297353CC}">
                    <c16:uniqueId val="{00000014-F83D-43DE-88A5-68B8920BABD6}"/>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'W5'!$E$86:$F$86</c15:sqref>
                        </c15:fullRef>
                        <c15:formulaRef>
                          <c15:sqref>'W5'!$E$86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5-F83D-43DE-88A5-68B8920BABD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'W5'!$E$87:$F$87</c15:sqref>
                        </c15:fullRef>
                        <c15:formulaRef>
                          <c15:sqref>'W5'!$E$87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6-F83D-43DE-88A5-68B8920BABD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0EBDCB22-603B-46B7-9BBF-57820F6B957D}"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17F7C196-4B5D-4D50-9E5F-462165AAE0D0}"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92B8AC60-A718-4BFC-849E-8E88CD0E8B80}"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60E2-44EF-A6D9-FC4CAA8EE37E}"/>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'W5'!$G$71:$H$71</c15:sqref>
                  </c15:fullRef>
                </c:ext>
              </c:extLst>
              <c:f>'W5'!$G$71</c:f>
              <c:numCache>
                <c:formatCode>0.0%;\-0.0.%;</c:formatCode>
                <c:ptCount val="1"/>
                <c:pt idx="0" formatCode="#,##0_);\(#,##0\);;">
                  <c:v>979.2</c:v>
                </c:pt>
              </c:numCache>
            </c:numRef>
          </c:val>
          <c:extLst>
            <c:ext xmlns:c15="http://schemas.microsoft.com/office/drawing/2012/chart" uri="{02D57815-91ED-43cb-92C2-25804820EDAC}">
              <c15:datalabelsRange>
                <c15:f>'W5'!$H$71</c15:f>
                <c15:dlblRangeCache>
                  <c:ptCount val="1"/>
                  <c:pt idx="0">
                    <c:v>56.2%</c:v>
                  </c:pt>
                </c15:dlblRangeCache>
              </c15:datalabelsRange>
            </c:ext>
            <c:ext xmlns:c16="http://schemas.microsoft.com/office/drawing/2014/chart" uri="{C3380CC4-5D6E-409C-BE32-E72D297353CC}">
              <c16:uniqueId val="{00000001-60E2-44EF-A6D9-FC4CAA8EE37E}"/>
            </c:ext>
          </c:extLst>
        </c:ser>
        <c:ser>
          <c:idx val="14"/>
          <c:order val="2"/>
          <c:tx>
            <c:strRef>
              <c:f>'W5'!$D$73</c:f>
              <c:strCache>
                <c:ptCount val="1"/>
                <c:pt idx="0">
                  <c:v>Hao hụt về tiền</c:v>
                </c:pt>
              </c:strCache>
            </c:strRef>
          </c:tx>
          <c:spPr>
            <a:solidFill>
              <a:srgbClr val="FFC000"/>
            </a:solidFill>
            <a:ln>
              <a:noFill/>
            </a:ln>
            <a:effectLst/>
          </c:spPr>
          <c:invertIfNegative val="0"/>
          <c:dLbls>
            <c:dLbl>
              <c:idx val="0"/>
              <c:layout>
                <c:manualLayout>
                  <c:x val="4.6586681858082294E-3"/>
                  <c:y val="3.404684255748085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2443989C-FD35-4303-A8CE-E837ACDE3685}"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10DB6B84-26B0-4CEE-A0FB-E5DDC720061D}"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2D42A82C-F1C1-411A-BD4F-EC1878FA7CD0}"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2-60E2-44EF-A6D9-FC4CAA8EE37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'W5'!$G$73:$H$73</c15:sqref>
                  </c15:fullRef>
                </c:ext>
              </c:extLst>
              <c:f>'W5'!$G$73</c:f>
              <c:numCache>
                <c:formatCode>0.0%;\-0.0.%;</c:formatCode>
                <c:ptCount val="1"/>
                <c:pt idx="0" formatCode="#,##0_);\(#,##0\);;">
                  <c:v>73.703225806451741</c:v>
                </c:pt>
              </c:numCache>
            </c:numRef>
          </c:val>
          <c:extLst xmlns:c15="http://schemas.microsoft.com/office/drawing/2012/chart">
            <c:ext xmlns:c15="http://schemas.microsoft.com/office/drawing/2012/chart" uri="{02D57815-91ED-43cb-92C2-25804820EDAC}">
              <c15:datalabelsRange>
                <c15:f>'W5'!$H$73</c15:f>
                <c15:dlblRangeCache>
                  <c:ptCount val="1"/>
                  <c:pt idx="0">
                    <c:v>4.2%</c:v>
                  </c:pt>
                </c15:dlblRangeCache>
              </c15:datalabelsRange>
            </c:ext>
            <c:ext xmlns:c16="http://schemas.microsoft.com/office/drawing/2014/chart" uri="{C3380CC4-5D6E-409C-BE32-E72D297353CC}">
              <c16:uniqueId val="{00000003-60E2-44EF-A6D9-FC4CAA8EE37E}"/>
            </c:ext>
          </c:extLst>
        </c:ser>
        <c:ser>
          <c:idx val="11"/>
          <c:order val="3"/>
          <c:tx>
            <c:strRef>
              <c:f>'W5'!$D$74</c:f>
              <c:strCache>
                <c:ptCount val="1"/>
                <c:pt idx="0">
                  <c:v>Chi phí biến đổi</c:v>
                </c:pt>
              </c:strCache>
            </c:strRef>
          </c:tx>
          <c:spPr>
            <a:solidFill>
              <a:srgbClr val="E8E8E8">
                <a:lumMod val="90000"/>
              </a:srgbClr>
            </a:solidFill>
            <a:ln>
              <a:noFill/>
            </a:ln>
            <a:effectLst/>
          </c:spPr>
          <c:invertIfNegative val="0"/>
          <c:dLbls>
            <c:dLbl>
              <c:idx val="0"/>
              <c:layout>
                <c:manualLayout>
                  <c:x val="9.3175304864683284E-3"/>
                  <c:y val="4.2558753879341694E-2"/>
                </c:manualLayout>
              </c:layout>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2D42521-76F8-4C15-B039-5A51C9CCE4A3}"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D405CBBC-FF02-4C70-8D1F-13E8EB9F1567}"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3774CC5F-B714-4356-B174-547092CAD8E1}"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4-60E2-44EF-A6D9-FC4CAA8EE37E}"/>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'W5'!$G$74:$H$74</c15:sqref>
                  </c15:fullRef>
                </c:ext>
              </c:extLst>
              <c:f>'W5'!$G$74</c:f>
              <c:numCache>
                <c:formatCode>0.0%;\-0.0.%;</c:formatCode>
                <c:ptCount val="1"/>
                <c:pt idx="0" formatCode="#,##0_);\(#,##0\);;">
                  <c:v>589.55437669156674</c:v>
                </c:pt>
              </c:numCache>
            </c:numRef>
          </c:val>
          <c:extLst>
            <c:ext xmlns:c15="http://schemas.microsoft.com/office/drawing/2012/chart" uri="{02D57815-91ED-43cb-92C2-25804820EDAC}">
              <c15:datalabelsRange>
                <c15:f>'W5'!$H$74</c15:f>
                <c15:dlblRangeCache>
                  <c:ptCount val="1"/>
                  <c:pt idx="0">
                    <c:v>33.8%</c:v>
                  </c:pt>
                </c15:dlblRangeCache>
              </c15:datalabelsRange>
            </c:ext>
            <c:ext xmlns:c16="http://schemas.microsoft.com/office/drawing/2014/chart" uri="{C3380CC4-5D6E-409C-BE32-E72D297353CC}">
              <c16:uniqueId val="{00000005-60E2-44EF-A6D9-FC4CAA8EE37E}"/>
            </c:ext>
          </c:extLst>
        </c:ser>
        <c:ser>
          <c:idx val="10"/>
          <c:order val="13"/>
          <c:tx>
            <c:strRef>
              <c:f>'W5'!$D$84</c:f>
              <c:strCache>
                <c:ptCount val="1"/>
                <c:pt idx="0">
                  <c:v>Thuế thu nhập</c:v>
                </c:pt>
              </c:strCache>
            </c:strRef>
          </c:tx>
          <c:invertIfNegative val="0"/>
          <c:dPt>
            <c:idx val="0"/>
            <c:invertIfNegative val="0"/>
            <c:bubble3D val="0"/>
            <c:spPr>
              <a:solidFill>
                <a:srgbClr val="FFFF00"/>
              </a:solidFill>
            </c:spPr>
            <c:extLst>
              <c:ext xmlns:c16="http://schemas.microsoft.com/office/drawing/2014/chart" uri="{C3380CC4-5D6E-409C-BE32-E72D297353CC}">
                <c16:uniqueId val="{00000007-60E2-44EF-A6D9-FC4CAA8EE37E}"/>
              </c:ext>
            </c:extLst>
          </c:dPt>
          <c:dLbls>
            <c:dLbl>
              <c:idx val="0"/>
              <c:tx>
                <c:rich>
                  <a:bodyPr wrap="square" lIns="38100" tIns="19050" rIns="38100" bIns="19050" anchor="ctr">
                    <a:noAutofit/>
                  </a:bodyPr>
                  <a:lstStyle/>
                  <a:p>
                    <a:pPr>
                      <a:defRPr/>
                    </a:pPr>
                    <a:fld id="{92546D5D-09CA-4B42-AFB4-C9D132B236A9}" type="CELLRANGE">
                      <a:rPr lang="en-US" baseline="0"/>
                      <a:pPr>
                        <a:defRPr/>
                      </a:pPr>
                      <a:t>[CELLRANGE]</a:t>
                    </a:fld>
                    <a:r>
                      <a:rPr lang="en-US" baseline="0"/>
                      <a:t>, </a:t>
                    </a:r>
                    <a:fld id="{9BBE54AB-AF91-4424-A68A-B74BED9669EB}" type="SERIESNAME">
                      <a:rPr lang="en-US" baseline="0"/>
                      <a:pPr>
                        <a:defRPr/>
                      </a:pPr>
                      <a:t>[SERIES NAME]</a:t>
                    </a:fld>
                    <a:r>
                      <a:rPr lang="en-US" baseline="0"/>
                      <a:t>, </a:t>
                    </a:r>
                    <a:fld id="{67F9EA2B-7715-4925-87A7-DAE200019486}"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6873901592"/>
                      <c:h val="4.6354910184697416E-2"/>
                    </c:manualLayout>
                  </c15:layout>
                  <c15:dlblFieldTable/>
                  <c15:showDataLabelsRange val="1"/>
                </c:ext>
                <c:ext xmlns:c16="http://schemas.microsoft.com/office/drawing/2014/chart" uri="{C3380CC4-5D6E-409C-BE32-E72D297353CC}">
                  <c16:uniqueId val="{00000007-60E2-44EF-A6D9-FC4CAA8EE37E}"/>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'W5'!$G$84:$H$84</c15:sqref>
                  </c15:fullRef>
                </c:ext>
              </c:extLst>
              <c:f>'W5'!$G$84</c:f>
              <c:numCache>
                <c:formatCode>0.0%;\-0.0.%;</c:formatCode>
                <c:ptCount val="1"/>
                <c:pt idx="0" formatCode="#,##0_);\(#,##0\);;">
                  <c:v>20.226428218345063</c:v>
                </c:pt>
              </c:numCache>
            </c:numRef>
          </c:val>
          <c:extLst>
            <c:ext xmlns:c15="http://schemas.microsoft.com/office/drawing/2012/chart" uri="{02D57815-91ED-43cb-92C2-25804820EDAC}">
              <c15:datalabelsRange>
                <c15:f>'W5'!$H$84</c15:f>
                <c15:dlblRangeCache>
                  <c:ptCount val="1"/>
                  <c:pt idx="0">
                    <c:v>1.2%</c:v>
                  </c:pt>
                </c15:dlblRangeCache>
              </c15:datalabelsRange>
            </c:ext>
            <c:ext xmlns:c16="http://schemas.microsoft.com/office/drawing/2014/chart" uri="{C3380CC4-5D6E-409C-BE32-E72D297353CC}">
              <c16:uniqueId val="{00000008-60E2-44EF-A6D9-FC4CAA8EE37E}"/>
            </c:ext>
          </c:extLst>
        </c:ser>
        <c:ser>
          <c:idx val="13"/>
          <c:order val="14"/>
          <c:tx>
            <c:strRef>
              <c:f>'W5'!$D$85</c:f>
              <c:strCache>
                <c:ptCount val="1"/>
                <c:pt idx="0">
                  <c:v>Lợi nhuận</c:v>
                </c:pt>
              </c:strCache>
            </c:strRef>
          </c:tx>
          <c:spPr>
            <a:solidFill>
              <a:srgbClr val="92D050"/>
            </a:solidFill>
          </c:spPr>
          <c:invertIfNegative val="0"/>
          <c:dLbls>
            <c:dLbl>
              <c:idx val="0"/>
              <c:layout>
                <c:manualLayout>
                  <c:x val="1.5579026602461784E-3"/>
                  <c:y val="-4.0856211068977029E-2"/>
                </c:manualLayout>
              </c:layout>
              <c:tx>
                <c:rich>
                  <a:bodyPr wrap="square" lIns="38100" tIns="19050" rIns="38100" bIns="19050" anchor="ctr">
                    <a:noAutofit/>
                  </a:bodyPr>
                  <a:lstStyle/>
                  <a:p>
                    <a:pPr>
                      <a:defRPr sz="1300" b="1">
                        <a:solidFill>
                          <a:srgbClr val="FF0000"/>
                        </a:solidFill>
                      </a:defRPr>
                    </a:pPr>
                    <a:fld id="{7493DCE5-5BD8-4EC1-A5C1-CA548E5EA449}"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14B3D0B7-25AD-4D83-86BA-1C4E0A420C7B}"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B8D6DB51-6158-48F5-8D43-AA04012D788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715507605917757"/>
                      <c:h val="0.11584451584451586"/>
                    </c:manualLayout>
                  </c15:layout>
                  <c15:dlblFieldTable/>
                  <c15:showDataLabelsRange val="1"/>
                </c:ext>
                <c:ext xmlns:c16="http://schemas.microsoft.com/office/drawing/2014/chart" uri="{C3380CC4-5D6E-409C-BE32-E72D297353CC}">
                  <c16:uniqueId val="{00000009-60E2-44EF-A6D9-FC4CAA8EE37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'W5'!$G$70:$H$70</c15:sqref>
                  </c15:fullRef>
                </c:ext>
              </c:extLst>
              <c:f>'W5'!$G$70</c:f>
              <c:strCache>
                <c:ptCount val="1"/>
                <c:pt idx="0">
                  <c:v>Chi phí
USD/tấn</c:v>
                </c:pt>
              </c:strCache>
            </c:strRef>
          </c:cat>
          <c:val>
            <c:numRef>
              <c:extLst>
                <c:ext xmlns:c15="http://schemas.microsoft.com/office/drawing/2012/chart" uri="{02D57815-91ED-43cb-92C2-25804820EDAC}">
                  <c15:fullRef>
                    <c15:sqref>'W5'!$G$85:$H$85</c15:sqref>
                  </c15:fullRef>
                </c:ext>
              </c:extLst>
              <c:f>'W5'!$G$85</c:f>
              <c:numCache>
                <c:formatCode>0.0%;\-0.0.%;</c:formatCode>
                <c:ptCount val="1"/>
                <c:pt idx="0" formatCode="#,##0_);\(#,##0\);;">
                  <c:v>80.905712873380253</c:v>
                </c:pt>
              </c:numCache>
            </c:numRef>
          </c:val>
          <c:extLst>
            <c:ext xmlns:c15="http://schemas.microsoft.com/office/drawing/2012/chart" uri="{02D57815-91ED-43cb-92C2-25804820EDAC}">
              <c15:datalabelsRange>
                <c15:f>'W5'!$H$85</c15:f>
                <c15:dlblRangeCache>
                  <c:ptCount val="1"/>
                  <c:pt idx="0">
                    <c:v>4.6%</c:v>
                  </c:pt>
                </c15:dlblRangeCache>
              </c15:datalabelsRange>
            </c:ext>
            <c:ext xmlns:c16="http://schemas.microsoft.com/office/drawing/2014/chart" uri="{C3380CC4-5D6E-409C-BE32-E72D297353CC}">
              <c16:uniqueId val="{0000000A-60E2-44EF-A6D9-FC4CAA8EE37E}"/>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22D4EB8-045C-4884-BCF7-14A75D4190DC}"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DCD802F0-A48B-46CB-ACAB-844A0FAE3BCB}"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0FF6817B-FF90-4891-BEB4-EB91929E360C}"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B-60E2-44EF-A6D9-FC4CAA8EE37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'W5'!$G$70:$H$70</c15:sqref>
                        </c15:fullRef>
                        <c15:formulaRef>
                          <c15:sqref>'W5'!$G$70</c15:sqref>
                        </c15:formulaRef>
                      </c:ext>
                    </c:extLst>
                    <c:strCache>
                      <c:ptCount val="1"/>
                      <c:pt idx="0">
                        <c:v>Chi phí
USD/tấn</c:v>
                      </c:pt>
                    </c:strCache>
                  </c:strRef>
                </c:cat>
                <c:val>
                  <c:numRef>
                    <c:extLst>
                      <c:ext uri="{02D57815-91ED-43cb-92C2-25804820EDAC}">
                        <c15:fullRef>
                          <c15:sqref>'W5'!$G$72:$H$72</c15:sqref>
                        </c15:fullRef>
                        <c15:formulaRef>
                          <c15:sqref>'W5'!$G$72</c15:sqref>
                        </c15:formulaRef>
                      </c:ext>
                    </c:extLst>
                    <c:numCache>
                      <c:formatCode>0.0%;\-0.0.%;</c:formatCode>
                      <c:ptCount val="1"/>
                      <c:pt idx="0" formatCode="#,##0_);\(#,##0\);;">
                        <c:v>979.2</c:v>
                      </c:pt>
                    </c:numCache>
                  </c:numRef>
                </c:val>
                <c:extLst>
                  <c:ext uri="{02D57815-91ED-43cb-92C2-25804820EDAC}">
                    <c15:datalabelsRange>
                      <c15:f>'W5'!$P$73</c15:f>
                      <c15:dlblRangeCache>
                        <c:ptCount val="1"/>
                        <c:pt idx="0">
                          <c:v>4.7%</c:v>
                        </c:pt>
                      </c15:dlblRangeCache>
                    </c15:datalabelsRange>
                  </c:ext>
                  <c:ext xmlns:c16="http://schemas.microsoft.com/office/drawing/2014/chart" uri="{C3380CC4-5D6E-409C-BE32-E72D297353CC}">
                    <c16:uniqueId val="{0000000C-60E2-44EF-A6D9-FC4CAA8EE37E}"/>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F54E9EA9-0F83-4E87-B9D2-F6A6AC037670}" type="CELLRANGE">
                            <a:rPr lang="en-US" sz="1300" b="1" baseline="0"/>
                            <a:pPr>
                              <a:defRPr sz="1300" b="1" i="0" u="none" strike="noStrike" kern="1200" baseline="0">
                                <a:solidFill>
                                  <a:srgbClr val="FF0000"/>
                                </a:solidFill>
                                <a:latin typeface="+mn-lt"/>
                                <a:ea typeface="+mn-ea"/>
                                <a:cs typeface="+mn-cs"/>
                              </a:defRPr>
                            </a:pPr>
                            <a:t>[CELLRANGE]</a:t>
                          </a:fld>
                          <a:r>
                            <a:rPr lang="en-US" sz="1300" b="1" baseline="0"/>
                            <a:t>, </a:t>
                          </a:r>
                          <a:fld id="{2359A6C7-8C75-4995-A3A5-C868E9D7D6A3}" type="SERIESNAME">
                            <a:rPr lang="en-US" sz="1300" b="1" baseline="0"/>
                            <a:pPr>
                              <a:defRPr sz="1300" b="1" i="0" u="none" strike="noStrike" kern="1200" baseline="0">
                                <a:solidFill>
                                  <a:srgbClr val="FF0000"/>
                                </a:solidFill>
                                <a:latin typeface="+mn-lt"/>
                                <a:ea typeface="+mn-ea"/>
                                <a:cs typeface="+mn-cs"/>
                              </a:defRPr>
                            </a:pPr>
                            <a:t>[SERIES NAME]</a:t>
                          </a:fld>
                          <a:r>
                            <a:rPr lang="en-US" sz="1300" b="1" baseline="0"/>
                            <a:t>, </a:t>
                          </a:r>
                          <a:fld id="{6992AC70-D9A8-49D4-BB42-DE29896B509C}" type="VALUE">
                            <a:rPr lang="en-US" sz="1300" b="1" baseline="0"/>
                            <a:pPr>
                              <a:defRPr sz="1300" b="1" i="0" u="none" strike="noStrike" kern="1200" baseline="0">
                                <a:solidFill>
                                  <a:srgbClr val="FF0000"/>
                                </a:solidFill>
                                <a:latin typeface="+mn-lt"/>
                                <a:ea typeface="+mn-ea"/>
                                <a:cs typeface="+mn-cs"/>
                              </a:defRPr>
                            </a:pPr>
                            <a:t>[VALUE]</a:t>
                          </a:fld>
                          <a:endParaRPr lang="en-US" sz="1300" b="1"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D-60E2-44EF-A6D9-FC4CAA8EE37E}"/>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'W5'!$G$75:$H$75</c15:sqref>
                        </c15:fullRef>
                        <c15:formulaRef>
                          <c15:sqref>'W5'!$G$75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'W5'!$P$85</c15:f>
                      <c15:dlblRangeCache>
                        <c:ptCount val="1"/>
                        <c:pt idx="0">
                          <c:v>-4.0.%</c:v>
                        </c:pt>
                      </c15:dlblRangeCache>
                    </c15:datalabelsRange>
                  </c:ext>
                  <c:ext xmlns:c16="http://schemas.microsoft.com/office/drawing/2014/chart" uri="{C3380CC4-5D6E-409C-BE32-E72D297353CC}">
                    <c16:uniqueId val="{0000000E-60E2-44EF-A6D9-FC4CAA8EE37E}"/>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'W5'!$G$76:$H$76</c15:sqref>
                        </c15:fullRef>
                        <c15:formulaRef>
                          <c15:sqref>'W5'!$G$76</c15:sqref>
                        </c15:formulaRef>
                      </c:ext>
                    </c:extLst>
                    <c:numCache>
                      <c:formatCode>0.0%;\-0.0.%;</c:formatCode>
                      <c:ptCount val="1"/>
                      <c:pt idx="0" formatCode="#,##0_);\(#,##0\);;">
                        <c:v>192.87651738366029</c:v>
                      </c:pt>
                    </c:numCache>
                  </c:numRef>
                </c:val>
                <c:extLst xmlns:c15="http://schemas.microsoft.com/office/drawing/2012/chart">
                  <c:ext xmlns:c16="http://schemas.microsoft.com/office/drawing/2014/chart" uri="{C3380CC4-5D6E-409C-BE32-E72D297353CC}">
                    <c16:uniqueId val="{0000000F-60E2-44EF-A6D9-FC4CAA8EE37E}"/>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'W5'!$G$77:$H$77</c15:sqref>
                        </c15:fullRef>
                        <c15:formulaRef>
                          <c15:sqref>'W5'!$G$77</c15:sqref>
                        </c15:formulaRef>
                      </c:ext>
                    </c:extLst>
                    <c:numCache>
                      <c:formatCode>0.0%;\-0.0.%;</c:formatCode>
                      <c:ptCount val="1"/>
                      <c:pt idx="0" formatCode="#,##0_);\(#,##0\);;">
                        <c:v>125.84619890507449</c:v>
                      </c:pt>
                    </c:numCache>
                  </c:numRef>
                </c:val>
                <c:extLst xmlns:c15="http://schemas.microsoft.com/office/drawing/2012/chart">
                  <c:ext xmlns:c16="http://schemas.microsoft.com/office/drawing/2014/chart" uri="{C3380CC4-5D6E-409C-BE32-E72D297353CC}">
                    <c16:uniqueId val="{00000010-60E2-44EF-A6D9-FC4CAA8EE37E}"/>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'W5'!$G$78:$H$78</c15:sqref>
                        </c15:fullRef>
                        <c15:formulaRef>
                          <c15:sqref>'W5'!$G$78</c15:sqref>
                        </c15:formulaRef>
                      </c:ext>
                    </c:extLst>
                    <c:numCache>
                      <c:formatCode>0.0%;\-0.0.%;</c:formatCode>
                      <c:ptCount val="1"/>
                      <c:pt idx="0" formatCode="#,##0_);\(#,##0\);;">
                        <c:v>135.70318892301805</c:v>
                      </c:pt>
                    </c:numCache>
                  </c:numRef>
                </c:val>
                <c:extLst xmlns:c15="http://schemas.microsoft.com/office/drawing/2012/chart">
                  <c:ext xmlns:c16="http://schemas.microsoft.com/office/drawing/2014/chart" uri="{C3380CC4-5D6E-409C-BE32-E72D297353CC}">
                    <c16:uniqueId val="{00000011-60E2-44EF-A6D9-FC4CAA8EE37E}"/>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'W5'!$G$79:$H$79</c15:sqref>
                        </c15:fullRef>
                        <c15:formulaRef>
                          <c15:sqref>'W5'!$G$79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2-60E2-44EF-A6D9-FC4CAA8EE37E}"/>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'W5'!$G$80:$H$80</c15:sqref>
                        </c15:fullRef>
                        <c15:formulaRef>
                          <c15:sqref>'W5'!$G$80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3-60E2-44EF-A6D9-FC4CAA8EE37E}"/>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'W5'!$G$81:$H$81</c15:sqref>
                        </c15:fullRef>
                        <c15:formulaRef>
                          <c15:sqref>'W5'!$G$81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60E2-44EF-A6D9-FC4CAA8EE37E}"/>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'W5'!$G$82:$H$82</c15:sqref>
                        </c15:fullRef>
                        <c15:formulaRef>
                          <c15:sqref>'W5'!$G$82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60E2-44EF-A6D9-FC4CAA8EE37E}"/>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'W5'!$G$83:$H$83</c15:sqref>
                        </c15:fullRef>
                        <c15:formulaRef>
                          <c15:sqref>'W5'!$G$83</c15:sqref>
                        </c15:formulaRef>
                      </c:ext>
                    </c:extLst>
                    <c:numCache>
                      <c:formatCode>0.0%;\-0.0.%;</c:formatCode>
                      <c:ptCount val="1"/>
                      <c:pt idx="0" formatCode="#,##0_);\(#,##0\);;">
                        <c:v>1642.4576024980183</c:v>
                      </c:pt>
                    </c:numCache>
                  </c:numRef>
                </c:val>
                <c:extLst xmlns:c15="http://schemas.microsoft.com/office/drawing/2012/chart">
                  <c:ext xmlns:c16="http://schemas.microsoft.com/office/drawing/2014/chart" uri="{C3380CC4-5D6E-409C-BE32-E72D297353CC}">
                    <c16:uniqueId val="{00000016-60E2-44EF-A6D9-FC4CAA8EE37E}"/>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'W5'!$G$86:$H$86</c15:sqref>
                        </c15:fullRef>
                        <c15:formulaRef>
                          <c15:sqref>'W5'!$G$86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7-60E2-44EF-A6D9-FC4CAA8EE37E}"/>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'W5'!$G$70:$H$70</c15:sqref>
                        </c15:fullRef>
                        <c15:formulaRef>
                          <c15:sqref>'W5'!$G$70</c15:sqref>
                        </c15:formulaRef>
                      </c:ext>
                    </c:extLst>
                    <c:strCache>
                      <c:ptCount val="1"/>
                      <c:pt idx="0">
                        <c:v>Chi phí
USD/tấn</c:v>
                      </c:pt>
                    </c:strCache>
                  </c:strRef>
                </c:cat>
                <c:val>
                  <c:numRef>
                    <c:extLst>
                      <c:ext xmlns:c15="http://schemas.microsoft.com/office/drawing/2012/chart" uri="{02D57815-91ED-43cb-92C2-25804820EDAC}">
                        <c15:fullRef>
                          <c15:sqref>'W5'!$G$87:$H$87</c15:sqref>
                        </c15:fullRef>
                        <c15:formulaRef>
                          <c15:sqref>'W5'!$G$87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8-60E2-44EF-A6D9-FC4CAA8EE37E}"/>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233ED7D2-5D77-463F-B9C1-A46BA926F0A2}"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9BC8BE36-D929-4E7E-A70E-C8710919E2D8}"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2A23182D-9FC7-4DBB-B8DB-8374C876C977}"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9108-4B8B-8F3B-CEE6836500F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'W5'!$I$71:$J$71</c15:sqref>
                  </c15:fullRef>
                </c:ext>
              </c:extLst>
              <c:f>'W5'!$I$71</c:f>
              <c:numCache>
                <c:formatCode>0.0%;\-0.0.%;</c:formatCode>
                <c:ptCount val="1"/>
                <c:pt idx="0" formatCode="#,##0_);\(#,##0\);;">
                  <c:v>979.2</c:v>
                </c:pt>
              </c:numCache>
            </c:numRef>
          </c:val>
          <c:extLst>
            <c:ext xmlns:c15="http://schemas.microsoft.com/office/drawing/2012/chart" uri="{02D57815-91ED-43cb-92C2-25804820EDAC}">
              <c15:datalabelsRange>
                <c15:f>'W5'!$J$71</c15:f>
                <c15:dlblRangeCache>
                  <c:ptCount val="1"/>
                  <c:pt idx="0">
                    <c:v>58.8%</c:v>
                  </c:pt>
                </c15:dlblRangeCache>
              </c15:datalabelsRange>
            </c:ext>
            <c:ext xmlns:c16="http://schemas.microsoft.com/office/drawing/2014/chart" uri="{C3380CC4-5D6E-409C-BE32-E72D297353CC}">
              <c16:uniqueId val="{00000001-9108-4B8B-8F3B-CEE6836500FD}"/>
            </c:ext>
          </c:extLst>
        </c:ser>
        <c:ser>
          <c:idx val="11"/>
          <c:order val="2"/>
          <c:tx>
            <c:strRef>
              <c:f>'W5'!$D$73</c:f>
              <c:strCache>
                <c:ptCount val="1"/>
                <c:pt idx="0">
                  <c:v>Hao hụt về tiền</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26C9877B-8824-47FB-B4EA-E6FBB1C68C6A}"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B03D874F-2ADC-4390-A8B0-FCC02B2849EA}"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50798DCD-BACE-498A-95DB-A49FA0841604}"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2-9108-4B8B-8F3B-CEE6836500F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'W5'!$I$73:$J$73</c15:sqref>
                  </c15:fullRef>
                </c:ext>
              </c:extLst>
              <c:f>'W5'!$I$73</c:f>
              <c:numCache>
                <c:formatCode>0.0%;\-0.0.%;</c:formatCode>
                <c:ptCount val="1"/>
                <c:pt idx="0" formatCode="#,##0_);\(#,##0\);;">
                  <c:v>73.703225806451741</c:v>
                </c:pt>
              </c:numCache>
            </c:numRef>
          </c:val>
          <c:extLst>
            <c:ext xmlns:c15="http://schemas.microsoft.com/office/drawing/2012/chart" uri="{02D57815-91ED-43cb-92C2-25804820EDAC}">
              <c15:datalabelsRange>
                <c15:f>'W5'!$J$73</c15:f>
                <c15:dlblRangeCache>
                  <c:ptCount val="1"/>
                  <c:pt idx="0">
                    <c:v>4.4%</c:v>
                  </c:pt>
                </c15:dlblRangeCache>
              </c15:datalabelsRange>
            </c:ext>
            <c:ext xmlns:c16="http://schemas.microsoft.com/office/drawing/2014/chart" uri="{C3380CC4-5D6E-409C-BE32-E72D297353CC}">
              <c16:uniqueId val="{00000003-9108-4B8B-8F3B-CEE6836500FD}"/>
            </c:ext>
          </c:extLst>
        </c:ser>
        <c:ser>
          <c:idx val="10"/>
          <c:order val="3"/>
          <c:tx>
            <c:strRef>
              <c:f>'W5'!$D$74</c:f>
              <c:strCache>
                <c:ptCount val="1"/>
                <c:pt idx="0">
                  <c:v>Chi phí biến đổi</c:v>
                </c:pt>
              </c:strCache>
            </c:strRef>
          </c:tx>
          <c:spPr>
            <a:solidFill>
              <a:srgbClr val="E8E8E8">
                <a:lumMod val="90000"/>
              </a:srgbClr>
            </a:solidFill>
          </c:spPr>
          <c:invertIfNegative val="0"/>
          <c:dPt>
            <c:idx val="0"/>
            <c:invertIfNegative val="0"/>
            <c:bubble3D val="0"/>
            <c:extLst>
              <c:ext xmlns:c16="http://schemas.microsoft.com/office/drawing/2014/chart" uri="{C3380CC4-5D6E-409C-BE32-E72D297353CC}">
                <c16:uniqueId val="{00000004-9108-4B8B-8F3B-CEE6836500FD}"/>
              </c:ext>
            </c:extLst>
          </c:dPt>
          <c:dLbls>
            <c:dLbl>
              <c:idx val="0"/>
              <c:tx>
                <c:rich>
                  <a:bodyPr wrap="square" lIns="38100" tIns="19050" rIns="38100" bIns="19050" anchor="ctr">
                    <a:noAutofit/>
                  </a:bodyPr>
                  <a:lstStyle/>
                  <a:p>
                    <a:pPr>
                      <a:defRPr sz="1300"/>
                    </a:pPr>
                    <a:fld id="{01408B98-DFEE-4ABB-B462-239AA4C93A0D}" type="CELLRANGE">
                      <a:rPr lang="en-US" sz="1300" baseline="0"/>
                      <a:pPr>
                        <a:defRPr sz="1300"/>
                      </a:pPr>
                      <a:t>[CELLRANGE]</a:t>
                    </a:fld>
                    <a:r>
                      <a:rPr lang="en-US" sz="1300" baseline="0"/>
                      <a:t>, </a:t>
                    </a:r>
                    <a:fld id="{56D48D11-0908-45B5-83C6-409A1B766ED6}" type="SERIESNAME">
                      <a:rPr lang="en-US" sz="1300" baseline="0"/>
                      <a:pPr>
                        <a:defRPr sz="1300"/>
                      </a:pPr>
                      <a:t>[SERIES NAME]</a:t>
                    </a:fld>
                    <a:r>
                      <a:rPr lang="en-US" sz="1300" baseline="0"/>
                      <a:t>, </a:t>
                    </a:r>
                    <a:fld id="{F7D1FE7C-E9A1-42F9-A85E-A22D9D4CC5C9}"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4-9108-4B8B-8F3B-CEE6836500FD}"/>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'W5'!$I$74:$J$74</c15:sqref>
                  </c15:fullRef>
                </c:ext>
              </c:extLst>
              <c:f>'W5'!$I$74</c:f>
              <c:numCache>
                <c:formatCode>0.0%;\-0.0.%;</c:formatCode>
                <c:ptCount val="1"/>
                <c:pt idx="0" formatCode="#,##0_);\(#,##0\);;">
                  <c:v>506.99203922249029</c:v>
                </c:pt>
              </c:numCache>
            </c:numRef>
          </c:val>
          <c:extLst>
            <c:ext xmlns:c15="http://schemas.microsoft.com/office/drawing/2012/chart" uri="{02D57815-91ED-43cb-92C2-25804820EDAC}">
              <c15:datalabelsRange>
                <c15:f>'W5'!$J$74</c15:f>
                <c15:dlblRangeCache>
                  <c:ptCount val="1"/>
                  <c:pt idx="0">
                    <c:v>30.4%</c:v>
                  </c:pt>
                </c15:dlblRangeCache>
              </c15:datalabelsRange>
            </c:ext>
            <c:ext xmlns:c16="http://schemas.microsoft.com/office/drawing/2014/chart" uri="{C3380CC4-5D6E-409C-BE32-E72D297353CC}">
              <c16:uniqueId val="{00000005-9108-4B8B-8F3B-CEE6836500FD}"/>
            </c:ext>
          </c:extLst>
        </c:ser>
        <c:ser>
          <c:idx val="9"/>
          <c:order val="13"/>
          <c:tx>
            <c:strRef>
              <c:f>'W5'!$D$84</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9A2F40F7-DA92-481C-B5CE-6E1E566F7AB8}" type="CELLRANGE">
                      <a:rPr lang="en-US" baseline="0"/>
                      <a:pPr>
                        <a:defRPr/>
                      </a:pPr>
                      <a:t>[CELLRANGE]</a:t>
                    </a:fld>
                    <a:r>
                      <a:rPr lang="en-US" baseline="0"/>
                      <a:t>, </a:t>
                    </a:r>
                    <a:fld id="{8A5D4D13-5403-433D-B318-69C840E8EC31}" type="SERIESNAME">
                      <a:rPr lang="en-US" baseline="0"/>
                      <a:pPr>
                        <a:defRPr/>
                      </a:pPr>
                      <a:t>[SERIES NAME]</a:t>
                    </a:fld>
                    <a:r>
                      <a:rPr lang="en-US" baseline="0"/>
                      <a:t>, </a:t>
                    </a:r>
                    <a:fld id="{DFF1ACD0-5DE3-480B-82DB-8526C2743349}"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646158713225886"/>
                      <c:h val="0.11801567883357468"/>
                    </c:manualLayout>
                  </c15:layout>
                  <c15:dlblFieldTable/>
                  <c15:showDataLabelsRange val="1"/>
                </c:ext>
                <c:ext xmlns:c16="http://schemas.microsoft.com/office/drawing/2014/chart" uri="{C3380CC4-5D6E-409C-BE32-E72D297353CC}">
                  <c16:uniqueId val="{00000006-9108-4B8B-8F3B-CEE6836500FD}"/>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'W5'!$I$84:$J$84</c15:sqref>
                  </c15:fullRef>
                </c:ext>
              </c:extLst>
              <c:f>'W5'!$I$84</c:f>
              <c:numCache>
                <c:formatCode>0.0%;\-0.0.%;</c:formatCode>
                <c:ptCount val="1"/>
                <c:pt idx="0" formatCode="#,##0_);\(#,##0\);;">
                  <c:v>21.354280327544942</c:v>
                </c:pt>
              </c:numCache>
            </c:numRef>
          </c:val>
          <c:extLst>
            <c:ext xmlns:c15="http://schemas.microsoft.com/office/drawing/2012/chart" uri="{02D57815-91ED-43cb-92C2-25804820EDAC}">
              <c15:datalabelsRange>
                <c15:f>'W5'!$J$84</c15:f>
                <c15:dlblRangeCache>
                  <c:ptCount val="1"/>
                  <c:pt idx="0">
                    <c:v>1.3%</c:v>
                  </c:pt>
                </c15:dlblRangeCache>
              </c15:datalabelsRange>
            </c:ext>
            <c:ext xmlns:c16="http://schemas.microsoft.com/office/drawing/2014/chart" uri="{C3380CC4-5D6E-409C-BE32-E72D297353CC}">
              <c16:uniqueId val="{00000007-9108-4B8B-8F3B-CEE6836500FD}"/>
            </c:ext>
          </c:extLst>
        </c:ser>
        <c:ser>
          <c:idx val="12"/>
          <c:order val="14"/>
          <c:tx>
            <c:strRef>
              <c:f>'W5'!$D$85</c:f>
              <c:strCache>
                <c:ptCount val="1"/>
                <c:pt idx="0">
                  <c:v>Lợi nhuận</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30615A8B-9F57-4922-9D78-968C66988B50}"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34A83F5E-A40D-494D-B84B-272103E1D5F1}"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0084B798-ED6D-4BB0-ACDC-1FA86B921F19}"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8-9108-4B8B-8F3B-CEE6836500FD}"/>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ext>
              </c:extLst>
              <c:f>'W5'!$I$70</c:f>
              <c:strCache>
                <c:ptCount val="1"/>
                <c:pt idx="0">
                  <c:v>Chi phí
USD/tấn</c:v>
                </c:pt>
              </c:strCache>
            </c:strRef>
          </c:cat>
          <c:val>
            <c:numRef>
              <c:extLst>
                <c:ext xmlns:c15="http://schemas.microsoft.com/office/drawing/2012/chart" uri="{02D57815-91ED-43cb-92C2-25804820EDAC}">
                  <c15:fullRef>
                    <c15:sqref>'W5'!$I$85:$J$85</c15:sqref>
                  </c15:fullRef>
                </c:ext>
              </c:extLst>
              <c:f>'W5'!$I$85</c:f>
              <c:numCache>
                <c:formatCode>0.0%;\-0.0.%;</c:formatCode>
                <c:ptCount val="1"/>
                <c:pt idx="0" formatCode="#,##0_);\(#,##0\);;">
                  <c:v>85.417121310179766</c:v>
                </c:pt>
              </c:numCache>
            </c:numRef>
          </c:val>
          <c:extLst>
            <c:ext xmlns:c15="http://schemas.microsoft.com/office/drawing/2012/chart" uri="{02D57815-91ED-43cb-92C2-25804820EDAC}">
              <c15:datalabelsRange>
                <c15:f>'W5'!$J$85</c15:f>
                <c15:dlblRangeCache>
                  <c:ptCount val="1"/>
                  <c:pt idx="0">
                    <c:v>5.1%</c:v>
                  </c:pt>
                </c15:dlblRangeCache>
              </c15:datalabelsRange>
            </c:ext>
            <c:ext xmlns:c16="http://schemas.microsoft.com/office/drawing/2014/chart" uri="{C3380CC4-5D6E-409C-BE32-E72D297353CC}">
              <c16:uniqueId val="{00000009-9108-4B8B-8F3B-CEE6836500FD}"/>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4.6586681858082294E-3"/>
                        <c:y val="3.404684255748085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0DD1F411-31A4-4969-AABE-EBFB2728A697}"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342D0B11-9FFA-4DA8-96B8-C10264009A17}"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882AE950-34AA-43A4-B1FA-833AA1121DD8}"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A-9108-4B8B-8F3B-CEE6836500F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'W5'!$I$70:$J$70</c15:sqref>
                        </c15:fullRef>
                        <c15:formulaRef>
                          <c15:sqref>'W5'!$I$70</c15:sqref>
                        </c15:formulaRef>
                      </c:ext>
                    </c:extLst>
                    <c:strCache>
                      <c:ptCount val="1"/>
                      <c:pt idx="0">
                        <c:v>Chi phí
USD/tấn</c:v>
                      </c:pt>
                    </c:strCache>
                  </c:strRef>
                </c:cat>
                <c:val>
                  <c:numRef>
                    <c:extLst>
                      <c:ext uri="{02D57815-91ED-43cb-92C2-25804820EDAC}">
                        <c15:fullRef>
                          <c15:sqref>'W5'!$I$72:$J$72</c15:sqref>
                        </c15:fullRef>
                        <c15:formulaRef>
                          <c15:sqref>'W5'!$I$72</c15:sqref>
                        </c15:formulaRef>
                      </c:ext>
                    </c:extLst>
                    <c:numCache>
                      <c:formatCode>0.0%;\-0.0.%;</c:formatCode>
                      <c:ptCount val="1"/>
                      <c:pt idx="0" formatCode="#,##0_);\(#,##0\);;">
                        <c:v>979.2</c:v>
                      </c:pt>
                    </c:numCache>
                  </c:numRef>
                </c:val>
                <c:extLst>
                  <c:ext uri="{02D57815-91ED-43cb-92C2-25804820EDAC}">
                    <c15:datalabelsRange>
                      <c15:f>'W5'!$H$73</c15:f>
                      <c15:dlblRangeCache>
                        <c:ptCount val="1"/>
                        <c:pt idx="0">
                          <c:v>4.2%</c:v>
                        </c:pt>
                      </c15:dlblRangeCache>
                    </c15:datalabelsRange>
                  </c:ext>
                  <c:ext xmlns:c16="http://schemas.microsoft.com/office/drawing/2014/chart" uri="{C3380CC4-5D6E-409C-BE32-E72D297353CC}">
                    <c16:uniqueId val="{0000000B-9108-4B8B-8F3B-CEE6836500FD}"/>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1.5579026602461784E-3"/>
                        <c:y val="-4.0856211068977029E-2"/>
                      </c:manualLayout>
                    </c:layout>
                    <c:tx>
                      <c:rich>
                        <a:bodyPr wrap="square" lIns="38100" tIns="19050" rIns="38100" bIns="19050" anchor="ctr">
                          <a:noAutofit/>
                        </a:bodyPr>
                        <a:lstStyle/>
                        <a:p>
                          <a:pPr>
                            <a:defRPr sz="1300" b="1">
                              <a:solidFill>
                                <a:srgbClr val="FF0000"/>
                              </a:solidFill>
                            </a:defRPr>
                          </a:pPr>
                          <a:fld id="{A51CB9C8-8854-4E2E-AC53-8C5798F71F7A}"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03C1825D-EF0D-471C-BD53-6F72A0D18E7E}"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4B87677C-A2E2-4AEE-8948-AE2D934DBD2A}"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4715507605917757"/>
                            <c:h val="0.11584451584451586"/>
                          </c:manualLayout>
                        </c15:layout>
                        <c15:dlblFieldTable/>
                        <c15:showDataLabelsRange val="1"/>
                      </c:ext>
                      <c:ext xmlns:c16="http://schemas.microsoft.com/office/drawing/2014/chart" uri="{C3380CC4-5D6E-409C-BE32-E72D297353CC}">
                        <c16:uniqueId val="{0000000C-9108-4B8B-8F3B-CEE6836500FD}"/>
                      </c:ext>
                    </c:extLst>
                  </c:dLbl>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'W5'!$I$75:$J$75</c15:sqref>
                        </c15:fullRef>
                        <c15:formulaRef>
                          <c15:sqref>'W5'!$I$75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'W5'!$H$85</c15:f>
                      <c15:dlblRangeCache>
                        <c:ptCount val="1"/>
                        <c:pt idx="0">
                          <c:v>4.6%</c:v>
                        </c:pt>
                      </c15:dlblRangeCache>
                    </c15:datalabelsRange>
                  </c:ext>
                  <c:ext xmlns:c16="http://schemas.microsoft.com/office/drawing/2014/chart" uri="{C3380CC4-5D6E-409C-BE32-E72D297353CC}">
                    <c16:uniqueId val="{0000000D-9108-4B8B-8F3B-CEE6836500FD}"/>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rgbClr val="0F9ED5">
                      <a:lumMod val="60000"/>
                      <a:lumOff val="40000"/>
                    </a:srgbClr>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'W5'!$I$76:$J$76</c15:sqref>
                        </c15:fullRef>
                        <c15:formulaRef>
                          <c15:sqref>'W5'!$I$76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E-9108-4B8B-8F3B-CEE6836500FD}"/>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spPr>
                  <a:solidFill>
                    <a:srgbClr val="FFC000"/>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'W5'!$I$77:$J$77</c15:sqref>
                        </c15:fullRef>
                        <c15:formulaRef>
                          <c15:sqref>'W5'!$I$77</c15:sqref>
                        </c15:formulaRef>
                      </c:ext>
                    </c:extLst>
                    <c:numCache>
                      <c:formatCode>0.0%;\-0.0.%;</c:formatCode>
                      <c:ptCount val="1"/>
                      <c:pt idx="0" formatCode="#,##0_);\(#,##0\);;">
                        <c:v>83.967245579390948</c:v>
                      </c:pt>
                    </c:numCache>
                  </c:numRef>
                </c:val>
                <c:extLst xmlns:c15="http://schemas.microsoft.com/office/drawing/2012/chart">
                  <c:ext xmlns:c16="http://schemas.microsoft.com/office/drawing/2014/chart" uri="{C3380CC4-5D6E-409C-BE32-E72D297353CC}">
                    <c16:uniqueId val="{0000000F-9108-4B8B-8F3B-CEE6836500FD}"/>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spPr>
                  <a:solidFill>
                    <a:srgbClr val="E8E8E8">
                      <a:lumMod val="90000"/>
                    </a:srgbClr>
                  </a:solidFill>
                  <a:ln>
                    <a:noFill/>
                  </a:ln>
                  <a:effectLst/>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'W5'!$I$78:$J$78</c15:sqref>
                        </c15:fullRef>
                        <c15:formulaRef>
                          <c15:sqref>'W5'!$I$78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10-9108-4B8B-8F3B-CEE6836500FD}"/>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'W5'!$I$79:$J$79</c15:sqref>
                        </c15:fullRef>
                        <c15:formulaRef>
                          <c15:sqref>'W5'!$I$79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1-9108-4B8B-8F3B-CEE6836500FD}"/>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rgbClr val="92D050"/>
                  </a:solidFill>
                </c:spPr>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'W5'!$I$80:$J$80</c15:sqref>
                        </c15:fullRef>
                        <c15:formulaRef>
                          <c15:sqref>'W5'!$I$80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2-9108-4B8B-8F3B-CEE6836500FD}"/>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'W5'!$I$81:$J$81</c15:sqref>
                        </c15:fullRef>
                        <c15:formulaRef>
                          <c15:sqref>'W5'!$I$81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9108-4B8B-8F3B-CEE6836500FD}"/>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'W5'!$I$82:$J$82</c15:sqref>
                        </c15:fullRef>
                        <c15:formulaRef>
                          <c15:sqref>'W5'!$I$82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9108-4B8B-8F3B-CEE6836500FD}"/>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'W5'!$I$83:$J$83</c15:sqref>
                        </c15:fullRef>
                        <c15:formulaRef>
                          <c15:sqref>'W5'!$I$83</c15:sqref>
                        </c15:formulaRef>
                      </c:ext>
                    </c:extLst>
                    <c:numCache>
                      <c:formatCode>0.0%;\-0.0.%;</c:formatCode>
                      <c:ptCount val="1"/>
                      <c:pt idx="0" formatCode="#,##0_);\(#,##0\);;">
                        <c:v>1559.895265028942</c:v>
                      </c:pt>
                    </c:numCache>
                  </c:numRef>
                </c:val>
                <c:extLst xmlns:c15="http://schemas.microsoft.com/office/drawing/2012/chart">
                  <c:ext xmlns:c16="http://schemas.microsoft.com/office/drawing/2014/chart" uri="{C3380CC4-5D6E-409C-BE32-E72D297353CC}">
                    <c16:uniqueId val="{00000015-9108-4B8B-8F3B-CEE6836500FD}"/>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'W5'!$I$86:$J$86</c15:sqref>
                        </c15:fullRef>
                        <c15:formulaRef>
                          <c15:sqref>'W5'!$I$86</c15:sqref>
                        </c15:formulaRef>
                      </c:ext>
                    </c:extLst>
                    <c:numCache>
                      <c:formatCode>0.0%;\-0.0.%;</c:formatCode>
                      <c:ptCount val="1"/>
                      <c:pt idx="0" formatCode="#,##0_);\(#,##0\);;">
                        <c:v>1666.6666666666667</c:v>
                      </c:pt>
                    </c:numCache>
                  </c:numRef>
                </c:val>
                <c:extLst xmlns:c15="http://schemas.microsoft.com/office/drawing/2012/chart">
                  <c:ext xmlns:c16="http://schemas.microsoft.com/office/drawing/2014/chart" uri="{C3380CC4-5D6E-409C-BE32-E72D297353CC}">
                    <c16:uniqueId val="{00000016-9108-4B8B-8F3B-CEE6836500FD}"/>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'W5'!$I$70:$J$70</c15:sqref>
                        </c15:fullRef>
                        <c15:formulaRef>
                          <c15:sqref>'W5'!$I$70</c15:sqref>
                        </c15:formulaRef>
                      </c:ext>
                    </c:extLst>
                    <c:strCache>
                      <c:ptCount val="1"/>
                      <c:pt idx="0">
                        <c:v>Chi phí
USD/tấn</c:v>
                      </c:pt>
                    </c:strCache>
                  </c:strRef>
                </c:cat>
                <c:val>
                  <c:numRef>
                    <c:extLst>
                      <c:ext xmlns:c15="http://schemas.microsoft.com/office/drawing/2012/chart" uri="{02D57815-91ED-43cb-92C2-25804820EDAC}">
                        <c15:fullRef>
                          <c15:sqref>'W5'!$I$87:$J$87</c15:sqref>
                        </c15:fullRef>
                        <c15:formulaRef>
                          <c15:sqref>'W5'!$I$87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9108-4B8B-8F3B-CEE6836500FD}"/>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882E3EC7-D710-4224-9B16-E3E5ED2C1DF7}"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243D5021-7EA5-4D6B-93CF-68398D53F7F7}"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D2E309B5-08F8-45CA-B13A-CF0721206352}"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8BFC-4045-8786-C2D37EC213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'W5'!$M$71:$N$71</c15:sqref>
                  </c15:fullRef>
                </c:ext>
              </c:extLst>
              <c:f>'W5'!$M$71</c:f>
              <c:numCache>
                <c:formatCode>0.0%;\-0.0.%;</c:formatCode>
                <c:ptCount val="1"/>
                <c:pt idx="0" formatCode="#,##0_);\(#,##0\);;">
                  <c:v>979.2</c:v>
                </c:pt>
              </c:numCache>
            </c:numRef>
          </c:val>
          <c:extLst>
            <c:ext xmlns:c15="http://schemas.microsoft.com/office/drawing/2012/chart" uri="{02D57815-91ED-43cb-92C2-25804820EDAC}">
              <c15:datalabelsRange>
                <c15:f>'W5'!$N$71</c15:f>
                <c15:dlblRangeCache>
                  <c:ptCount val="1"/>
                  <c:pt idx="0">
                    <c:v>62.6%</c:v>
                  </c:pt>
                </c15:dlblRangeCache>
              </c15:datalabelsRange>
            </c:ext>
            <c:ext xmlns:c16="http://schemas.microsoft.com/office/drawing/2014/chart" uri="{C3380CC4-5D6E-409C-BE32-E72D297353CC}">
              <c16:uniqueId val="{00000002-8BFC-4045-8786-C2D37EC213DC}"/>
            </c:ext>
          </c:extLst>
        </c:ser>
        <c:ser>
          <c:idx val="10"/>
          <c:order val="2"/>
          <c:tx>
            <c:strRef>
              <c:f>'W5'!$D$73</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6-8BFC-4045-8786-C2D37EC213DC}"/>
              </c:ext>
            </c:extLst>
          </c:dPt>
          <c:dLbls>
            <c:dLbl>
              <c:idx val="0"/>
              <c:layout>
                <c:manualLayout>
                  <c:x val="4.572852941038803E-3"/>
                  <c:y val="0"/>
                </c:manualLayout>
              </c:layout>
              <c:tx>
                <c:rich>
                  <a:bodyPr wrap="square" lIns="38100" tIns="19050" rIns="38100" bIns="19050" anchor="ctr">
                    <a:noAutofit/>
                  </a:bodyPr>
                  <a:lstStyle/>
                  <a:p>
                    <a:pPr>
                      <a:defRPr sz="1100"/>
                    </a:pPr>
                    <a:fld id="{0629BBCA-BED5-4E23-AE49-372F69B62F1B}" type="CELLRANGE">
                      <a:rPr lang="en-US" sz="1100" baseline="0"/>
                      <a:pPr>
                        <a:defRPr sz="1100"/>
                      </a:pPr>
                      <a:t>[CELLRANGE]</a:t>
                    </a:fld>
                    <a:r>
                      <a:rPr lang="en-US" sz="1100" baseline="0"/>
                      <a:t>, </a:t>
                    </a:r>
                    <a:fld id="{0A71B4A5-8F45-4765-8208-8FA2FFC07C20}" type="SERIESNAME">
                      <a:rPr lang="en-US" sz="1100" baseline="0"/>
                      <a:pPr>
                        <a:defRPr sz="1100"/>
                      </a:pPr>
                      <a:t>[SERIES NAME]</a:t>
                    </a:fld>
                    <a:r>
                      <a:rPr lang="en-US" sz="1100" baseline="0"/>
                      <a:t>, </a:t>
                    </a:r>
                    <a:fld id="{47E77A8C-489E-42EE-962D-10094DD3C06F}"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71879537781"/>
                      <c:h val="7.7114221795072865E-2"/>
                    </c:manualLayout>
                  </c15:layout>
                  <c15:dlblFieldTable/>
                  <c15:showDataLabelsRange val="1"/>
                </c:ext>
                <c:ext xmlns:c16="http://schemas.microsoft.com/office/drawing/2014/chart" uri="{C3380CC4-5D6E-409C-BE32-E72D297353CC}">
                  <c16:uniqueId val="{00000006-8BFC-4045-8786-C2D37EC213D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'W5'!$M$73:$N$73</c15:sqref>
                  </c15:fullRef>
                </c:ext>
              </c:extLst>
              <c:f>'W5'!$M$73</c:f>
              <c:numCache>
                <c:formatCode>0.0%;\-0.0.%;</c:formatCode>
                <c:ptCount val="1"/>
                <c:pt idx="0" formatCode="#,##0_);\(#,##0\);;">
                  <c:v>73.703225806451741</c:v>
                </c:pt>
              </c:numCache>
            </c:numRef>
          </c:val>
          <c:extLst>
            <c:ext xmlns:c15="http://schemas.microsoft.com/office/drawing/2012/chart" uri="{02D57815-91ED-43cb-92C2-25804820EDAC}">
              <c15:datalabelsRange>
                <c15:f>'W5'!$N$73</c15:f>
                <c15:dlblRangeCache>
                  <c:ptCount val="1"/>
                  <c:pt idx="0">
                    <c:v>4.7%</c:v>
                  </c:pt>
                </c15:dlblRangeCache>
              </c15:datalabelsRange>
            </c:ext>
            <c:ext xmlns:c16="http://schemas.microsoft.com/office/drawing/2014/chart" uri="{C3380CC4-5D6E-409C-BE32-E72D297353CC}">
              <c16:uniqueId val="{00000008-8BFC-4045-8786-C2D37EC213DC}"/>
            </c:ext>
          </c:extLst>
        </c:ser>
        <c:ser>
          <c:idx val="9"/>
          <c:order val="3"/>
          <c:tx>
            <c:strRef>
              <c:f>'W5'!$D$74</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816E32DE-F895-41E7-8AD8-8CC9622B8643}" type="CELLRANGE">
                      <a:rPr lang="en-US" sz="1300" baseline="0"/>
                      <a:pPr>
                        <a:defRPr sz="1300"/>
                      </a:pPr>
                      <a:t>[CELLRANGE]</a:t>
                    </a:fld>
                    <a:r>
                      <a:rPr lang="en-US" sz="1300" baseline="0"/>
                      <a:t>, </a:t>
                    </a:r>
                    <a:fld id="{E01FB14D-5883-4E21-9347-F9522A6E9B5C}" type="SERIESNAME">
                      <a:rPr lang="en-US" sz="1300" baseline="0"/>
                      <a:pPr>
                        <a:defRPr sz="1300"/>
                      </a:pPr>
                      <a:t>[SERIES NAME]</a:t>
                    </a:fld>
                    <a:r>
                      <a:rPr lang="en-US" sz="1300" baseline="0"/>
                      <a:t>, </a:t>
                    </a:r>
                    <a:fld id="{73980D41-BCFE-43A6-9A4C-37971C6F78C5}"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005371630489142"/>
                      <c:h val="0.20994221419753334"/>
                    </c:manualLayout>
                  </c15:layout>
                  <c15:dlblFieldTable/>
                  <c15:showDataLabelsRange val="1"/>
                </c:ext>
                <c:ext xmlns:c16="http://schemas.microsoft.com/office/drawing/2014/chart" uri="{C3380CC4-5D6E-409C-BE32-E72D297353CC}">
                  <c16:uniqueId val="{00000009-8BFC-4045-8786-C2D37EC213D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'W5'!$M$74:$N$74</c15:sqref>
                  </c15:fullRef>
                </c:ext>
              </c:extLst>
              <c:f>'W5'!$M$74</c:f>
              <c:numCache>
                <c:formatCode>0.0%;\-0.0.%;</c:formatCode>
                <c:ptCount val="1"/>
                <c:pt idx="0" formatCode="#,##0_);\(#,##0\);;">
                  <c:v>506.99203922249029</c:v>
                </c:pt>
              </c:numCache>
            </c:numRef>
          </c:val>
          <c:extLst>
            <c:ext xmlns:c15="http://schemas.microsoft.com/office/drawing/2012/chart" uri="{02D57815-91ED-43cb-92C2-25804820EDAC}">
              <c15:datalabelsRange>
                <c15:f>'W5'!$N$74</c15:f>
                <c15:dlblRangeCache>
                  <c:ptCount val="1"/>
                  <c:pt idx="0">
                    <c:v>32.4%</c:v>
                  </c:pt>
                </c15:dlblRangeCache>
              </c15:datalabelsRange>
            </c:ext>
            <c:ext xmlns:c16="http://schemas.microsoft.com/office/drawing/2014/chart" uri="{C3380CC4-5D6E-409C-BE32-E72D297353CC}">
              <c16:uniqueId val="{0000000B-8BFC-4045-8786-C2D37EC213DC}"/>
            </c:ext>
          </c:extLst>
        </c:ser>
        <c:ser>
          <c:idx val="13"/>
          <c:order val="13"/>
          <c:tx>
            <c:strRef>
              <c:f>'W5'!$D$84</c:f>
              <c:strCache>
                <c:ptCount val="1"/>
                <c:pt idx="0">
                  <c:v>Thuế thu nhập</c:v>
                </c:pt>
              </c:strCache>
            </c:strRef>
          </c:tx>
          <c:spPr>
            <a:solidFill>
              <a:srgbClr val="FFFF00"/>
            </a:solidFill>
          </c:spPr>
          <c:invertIfNegative val="0"/>
          <c:dLbls>
            <c:dLbl>
              <c:idx val="0"/>
              <c:layout>
                <c:manualLayout>
                  <c:x val="1.8002649269866553E-7"/>
                  <c:y val="2.3832789790236598E-2"/>
                </c:manualLayout>
              </c:layout>
              <c:tx>
                <c:rich>
                  <a:bodyPr/>
                  <a:lstStyle/>
                  <a:p>
                    <a:fld id="{E7806858-ACEB-4152-97BC-9CC9B8103606}" type="CELLRANGE">
                      <a:rPr lang="en-US" baseline="0"/>
                      <a:pPr/>
                      <a:t>[CELLRANGE]</a:t>
                    </a:fld>
                    <a:r>
                      <a:rPr lang="en-US" baseline="0"/>
                      <a:t>, </a:t>
                    </a:r>
                    <a:fld id="{3EC01B80-485E-47D8-9DD3-3D1FDD149455}" type="SERIESNAME">
                      <a:rPr lang="en-US" baseline="0"/>
                      <a:pPr/>
                      <a:t>[SERIES NAME]</a:t>
                    </a:fld>
                    <a:r>
                      <a:rPr lang="en-US" baseline="0"/>
                      <a:t>, </a:t>
                    </a:r>
                    <a:fld id="{C20E69C9-D472-48E6-9634-A25DC305CFF0}"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5849755650041454"/>
                      <c:h val="0.13487670083414766"/>
                    </c:manualLayout>
                  </c15:layout>
                  <c15:dlblFieldTable/>
                  <c15:showDataLabelsRange val="1"/>
                </c:ext>
                <c:ext xmlns:c16="http://schemas.microsoft.com/office/drawing/2014/chart" uri="{C3380CC4-5D6E-409C-BE32-E72D297353CC}">
                  <c16:uniqueId val="{0000001C-8BFC-4045-8786-C2D37EC213D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'W5'!$M$84:$N$84</c15:sqref>
                  </c15:fullRef>
                </c:ext>
              </c:extLst>
              <c:f>'W5'!$M$84</c:f>
              <c:numCache>
                <c:formatCode>0.0%;\-0.0.%;</c:formatCode>
                <c:ptCount val="1"/>
                <c:pt idx="0" formatCode="#,##0_);\(#,##0\);;">
                  <c:v>0.84145981472443054</c:v>
                </c:pt>
              </c:numCache>
            </c:numRef>
          </c:val>
          <c:extLst>
            <c:ext xmlns:c15="http://schemas.microsoft.com/office/drawing/2012/chart" uri="{02D57815-91ED-43cb-92C2-25804820EDAC}">
              <c15:datalabelsRange>
                <c15:f>'W5'!$N$84</c15:f>
                <c15:dlblRangeCache>
                  <c:ptCount val="1"/>
                  <c:pt idx="0">
                    <c:v>0.1%</c:v>
                  </c:pt>
                </c15:dlblRangeCache>
              </c15:datalabelsRange>
            </c:ext>
            <c:ext xmlns:c16="http://schemas.microsoft.com/office/drawing/2014/chart" uri="{C3380CC4-5D6E-409C-BE32-E72D297353CC}">
              <c16:uniqueId val="{00000017-8BFC-4045-8786-C2D37EC213DC}"/>
            </c:ext>
          </c:extLst>
        </c:ser>
        <c:ser>
          <c:idx val="14"/>
          <c:order val="14"/>
          <c:tx>
            <c:strRef>
              <c:f>'W5'!$D$85</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1B-8BFC-4045-8786-C2D37EC213DC}"/>
              </c:ext>
            </c:extLst>
          </c:dPt>
          <c:dLbls>
            <c:dLbl>
              <c:idx val="0"/>
              <c:layout>
                <c:manualLayout>
                  <c:x val="-7.5791153426138188E-4"/>
                  <c:y val="-2.4077015566377268E-2"/>
                </c:manualLayout>
              </c:layout>
              <c:tx>
                <c:rich>
                  <a:bodyPr wrap="square" lIns="38100" tIns="19050" rIns="38100" bIns="19050" anchor="ctr">
                    <a:noAutofit/>
                  </a:bodyPr>
                  <a:lstStyle/>
                  <a:p>
                    <a:pPr>
                      <a:defRPr sz="1300" b="1">
                        <a:solidFill>
                          <a:srgbClr val="FF0000"/>
                        </a:solidFill>
                      </a:defRPr>
                    </a:pPr>
                    <a:fld id="{2644B8C4-FCFC-47A1-9E0C-05F4E3ED5545}"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FAB5B9CA-8FA3-4635-A35F-7CB6B4080DDC}"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AA83DC8E-463F-4386-BE66-56731A90B8BF}"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957164136274298"/>
                      <c:h val="0.12760756590543826"/>
                    </c:manualLayout>
                  </c15:layout>
                  <c15:dlblFieldTable/>
                  <c15:showDataLabelsRange val="1"/>
                </c:ext>
                <c:ext xmlns:c16="http://schemas.microsoft.com/office/drawing/2014/chart" uri="{C3380CC4-5D6E-409C-BE32-E72D297353CC}">
                  <c16:uniqueId val="{0000001B-8BFC-4045-8786-C2D37EC213D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'W5'!$M$70:$N$70</c15:sqref>
                  </c15:fullRef>
                </c:ext>
              </c:extLst>
              <c:f>'W5'!$M$70</c:f>
              <c:strCache>
                <c:ptCount val="1"/>
                <c:pt idx="0">
                  <c:v>Chi phí
USD/tấn</c:v>
                </c:pt>
              </c:strCache>
            </c:strRef>
          </c:cat>
          <c:val>
            <c:numRef>
              <c:extLst>
                <c:ext xmlns:c15="http://schemas.microsoft.com/office/drawing/2012/chart" uri="{02D57815-91ED-43cb-92C2-25804820EDAC}">
                  <c15:fullRef>
                    <c15:sqref>'W5'!$M$85:$N$85</c15:sqref>
                  </c15:fullRef>
                </c:ext>
              </c:extLst>
              <c:f>'W5'!$M$85</c:f>
              <c:numCache>
                <c:formatCode>0.0%;\-0.0.%;</c:formatCode>
                <c:ptCount val="1"/>
                <c:pt idx="0" formatCode="#,##0_);\(#,##0\);;">
                  <c:v>3.3658392588977222</c:v>
                </c:pt>
              </c:numCache>
            </c:numRef>
          </c:val>
          <c:extLst>
            <c:ext xmlns:c15="http://schemas.microsoft.com/office/drawing/2012/chart" uri="{02D57815-91ED-43cb-92C2-25804820EDAC}">
              <c15:datalabelsRange>
                <c15:f>'W5'!$N$85</c15:f>
                <c15:dlblRangeCache>
                  <c:ptCount val="1"/>
                  <c:pt idx="0">
                    <c:v>0.2%</c:v>
                  </c:pt>
                </c15:dlblRangeCache>
              </c15:datalabelsRange>
            </c:ext>
            <c:ext xmlns:c16="http://schemas.microsoft.com/office/drawing/2014/chart" uri="{C3380CC4-5D6E-409C-BE32-E72D297353CC}">
              <c16:uniqueId val="{00000018-8BFC-4045-8786-C2D37EC213D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825FE9E8-C29E-4DA9-A529-F710B751B592}"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8B4B72CF-AEA6-48B8-A0EE-729C02601696}"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0BC10CF0-8977-4859-B2CC-113EAD2D7289}"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3-8BFC-4045-8786-C2D37EC213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'W5'!$M$70:$N$70</c15:sqref>
                        </c15:fullRef>
                        <c15:formulaRef>
                          <c15:sqref>'W5'!$M$70</c15:sqref>
                        </c15:formulaRef>
                      </c:ext>
                    </c:extLst>
                    <c:strCache>
                      <c:ptCount val="1"/>
                      <c:pt idx="0">
                        <c:v>Chi phí
USD/tấn</c:v>
                      </c:pt>
                    </c:strCache>
                  </c:strRef>
                </c:cat>
                <c:val>
                  <c:numRef>
                    <c:extLst>
                      <c:ext uri="{02D57815-91ED-43cb-92C2-25804820EDAC}">
                        <c15:fullRef>
                          <c15:sqref>'W5'!$M$72:$N$72</c15:sqref>
                        </c15:fullRef>
                        <c15:formulaRef>
                          <c15:sqref>'W5'!$M$72</c15:sqref>
                        </c15:formulaRef>
                      </c:ext>
                    </c:extLst>
                    <c:numCache>
                      <c:formatCode>0.0%;\-0.0.%;</c:formatCode>
                      <c:ptCount val="1"/>
                      <c:pt idx="0" formatCode="#,##0_);\(#,##0\);;">
                        <c:v>979.2</c:v>
                      </c:pt>
                    </c:numCache>
                  </c:numRef>
                </c:val>
                <c:extLst>
                  <c:ext uri="{02D57815-91ED-43cb-92C2-25804820EDAC}">
                    <c15:datalabelsRange>
                      <c15:f>'W5'!$J$73</c15:f>
                      <c15:dlblRangeCache>
                        <c:ptCount val="1"/>
                        <c:pt idx="0">
                          <c:v>4.4%</c:v>
                        </c:pt>
                      </c15:dlblRangeCache>
                    </c15:datalabelsRange>
                  </c:ext>
                  <c:ext xmlns:c16="http://schemas.microsoft.com/office/drawing/2014/chart" uri="{C3380CC4-5D6E-409C-BE32-E72D297353CC}">
                    <c16:uniqueId val="{00000005-8BFC-4045-8786-C2D37EC213DC}"/>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BC6BA06D-9AC7-43F4-87C9-2ADBDD8866A8}"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B026B5AE-B470-4446-A129-05FAEFEEB90D}"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E975DB22-0441-44BF-B146-8898A3E35C2D}"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C-8BFC-4045-8786-C2D37EC213DC}"/>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'W5'!$M$75:$N$75</c15:sqref>
                        </c15:fullRef>
                        <c15:formulaRef>
                          <c15:sqref>'W5'!$M$75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'W5'!$J$85</c15:f>
                      <c15:dlblRangeCache>
                        <c:ptCount val="1"/>
                        <c:pt idx="0">
                          <c:v>5.1%</c:v>
                        </c:pt>
                      </c15:dlblRangeCache>
                    </c15:datalabelsRange>
                  </c:ext>
                  <c:ext xmlns:c16="http://schemas.microsoft.com/office/drawing/2014/chart" uri="{C3380CC4-5D6E-409C-BE32-E72D297353CC}">
                    <c16:uniqueId val="{0000000E-8BFC-4045-8786-C2D37EC213D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'W5'!$M$76:$N$76</c15:sqref>
                        </c15:fullRef>
                        <c15:formulaRef>
                          <c15:sqref>'W5'!$M$76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F-8BFC-4045-8786-C2D37EC213D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'W5'!$M$77:$N$77</c15:sqref>
                        </c15:fullRef>
                        <c15:formulaRef>
                          <c15:sqref>'W5'!$M$77</c15:sqref>
                        </c15:formulaRef>
                      </c:ext>
                    </c:extLst>
                    <c:numCache>
                      <c:formatCode>0.0%;\-0.0.%;</c:formatCode>
                      <c:ptCount val="1"/>
                      <c:pt idx="0" formatCode="#,##0_);\(#,##0\);;">
                        <c:v>83.967245579390948</c:v>
                      </c:pt>
                    </c:numCache>
                  </c:numRef>
                </c:val>
                <c:extLst xmlns:c15="http://schemas.microsoft.com/office/drawing/2012/chart">
                  <c:ext xmlns:c16="http://schemas.microsoft.com/office/drawing/2014/chart" uri="{C3380CC4-5D6E-409C-BE32-E72D297353CC}">
                    <c16:uniqueId val="{00000010-8BFC-4045-8786-C2D37EC213DC}"/>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'W5'!$M$78:$N$78</c15:sqref>
                        </c15:fullRef>
                        <c15:formulaRef>
                          <c15:sqref>'W5'!$M$78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11-8BFC-4045-8786-C2D37EC213DC}"/>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'W5'!$M$79:$N$79</c15:sqref>
                        </c15:fullRef>
                        <c15:formulaRef>
                          <c15:sqref>'W5'!$M$79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2-8BFC-4045-8786-C2D37EC213DC}"/>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'W5'!$M$80:$N$80</c15:sqref>
                        </c15:fullRef>
                        <c15:formulaRef>
                          <c15:sqref>'W5'!$M$80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3-8BFC-4045-8786-C2D37EC213DC}"/>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'W5'!$M$81:$N$81</c15:sqref>
                        </c15:fullRef>
                        <c15:formulaRef>
                          <c15:sqref>'W5'!$M$81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8BFC-4045-8786-C2D37EC213DC}"/>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'W5'!$M$82:$N$82</c15:sqref>
                        </c15:fullRef>
                        <c15:formulaRef>
                          <c15:sqref>'W5'!$M$82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8BFC-4045-8786-C2D37EC213DC}"/>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'W5'!$M$83:$N$83</c15:sqref>
                        </c15:fullRef>
                        <c15:formulaRef>
                          <c15:sqref>'W5'!$M$83</c15:sqref>
                        </c15:formulaRef>
                      </c:ext>
                    </c:extLst>
                    <c:numCache>
                      <c:formatCode>0.0%;\-0.0.%;</c:formatCode>
                      <c:ptCount val="1"/>
                      <c:pt idx="0" formatCode="#,##0_);\(#,##0\);;">
                        <c:v>1559.895265028942</c:v>
                      </c:pt>
                    </c:numCache>
                  </c:numRef>
                </c:val>
                <c:extLst xmlns:c15="http://schemas.microsoft.com/office/drawing/2012/chart">
                  <c:ext xmlns:c16="http://schemas.microsoft.com/office/drawing/2014/chart" uri="{C3380CC4-5D6E-409C-BE32-E72D297353CC}">
                    <c16:uniqueId val="{00000016-8BFC-4045-8786-C2D37EC213D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'W5'!$M$86:$N$86</c15:sqref>
                        </c15:fullRef>
                        <c15:formulaRef>
                          <c15:sqref>'W5'!$M$86</c15:sqref>
                        </c15:formulaRef>
                      </c:ext>
                    </c:extLst>
                    <c:numCache>
                      <c:formatCode>0.0%;\-0.0.%;</c:formatCode>
                      <c:ptCount val="1"/>
                      <c:pt idx="0" formatCode="#,##0_);\(#,##0\);;">
                        <c:v>1564.1025641025642</c:v>
                      </c:pt>
                    </c:numCache>
                  </c:numRef>
                </c:val>
                <c:extLst xmlns:c15="http://schemas.microsoft.com/office/drawing/2012/chart">
                  <c:ext xmlns:c16="http://schemas.microsoft.com/office/drawing/2014/chart" uri="{C3380CC4-5D6E-409C-BE32-E72D297353CC}">
                    <c16:uniqueId val="{00000019-8BFC-4045-8786-C2D37EC213D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'W5'!$M$70:$N$70</c15:sqref>
                        </c15:fullRef>
                        <c15:formulaRef>
                          <c15:sqref>'W5'!$M$70</c15:sqref>
                        </c15:formulaRef>
                      </c:ext>
                    </c:extLst>
                    <c:strCache>
                      <c:ptCount val="1"/>
                      <c:pt idx="0">
                        <c:v>Chi phí
USD/tấn</c:v>
                      </c:pt>
                    </c:strCache>
                  </c:strRef>
                </c:cat>
                <c:val>
                  <c:numRef>
                    <c:extLst>
                      <c:ext xmlns:c15="http://schemas.microsoft.com/office/drawing/2012/chart" uri="{02D57815-91ED-43cb-92C2-25804820EDAC}">
                        <c15:fullRef>
                          <c15:sqref>'W5'!$M$87:$N$87</c15:sqref>
                        </c15:fullRef>
                        <c15:formulaRef>
                          <c15:sqref>'W5'!$M$87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A-8BFC-4045-8786-C2D37EC213D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65DE13EA-43DA-4656-890C-FD0C0A05C821}"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16A3D221-087F-4478-8EEF-CACC623651B3}"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8C162883-CD9B-4F49-A162-371615144F26}"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C8D5-4687-A9AE-744C99B4C1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'W5'!$K$49:$L$49</c15:sqref>
                  </c15:fullRef>
                </c:ext>
              </c:extLst>
              <c:f>'W5'!$K$49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'W5'!$L$49</c15:f>
                <c15:dlblRangeCache>
                  <c:ptCount val="1"/>
                  <c:pt idx="0">
                    <c:v>58.8%</c:v>
                  </c:pt>
                </c15:dlblRangeCache>
              </c15:datalabelsRange>
            </c:ext>
            <c:ext xmlns:c16="http://schemas.microsoft.com/office/drawing/2014/chart" uri="{C3380CC4-5D6E-409C-BE32-E72D297353CC}">
              <c16:uniqueId val="{00000001-C8D5-4687-A9AE-744C99B4C136}"/>
            </c:ext>
          </c:extLst>
        </c:ser>
        <c:ser>
          <c:idx val="14"/>
          <c:order val="2"/>
          <c:tx>
            <c:strRef>
              <c:f>'W5'!$D$51</c:f>
              <c:strCache>
                <c:ptCount val="1"/>
                <c:pt idx="0">
                  <c:v>Hao hụt về tiền</c:v>
                </c:pt>
              </c:strCache>
            </c:strRef>
          </c:tx>
          <c:spPr>
            <a:solidFill>
              <a:srgbClr val="FFC000"/>
            </a:solidFill>
            <a:ln>
              <a:noFill/>
            </a:ln>
            <a:effectLst/>
          </c:spPr>
          <c:invertIfNegative val="0"/>
          <c:dLbls>
            <c:dLbl>
              <c:idx val="0"/>
              <c:layout>
                <c:manualLayout>
                  <c:x val="-1.3485188769027651E-7"/>
                  <c:y val="1.012026293173866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53ABFF7C-4914-4F6B-AD6E-EDDC8E56EB19}"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D076A267-1D85-41AB-8EA6-B98AF310FB06}"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0D099EDA-4ABE-4E73-AC4F-BCEAC9A07510}"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51204282183"/>
                      <c:h val="0.10783874934026985"/>
                    </c:manualLayout>
                  </c15:layout>
                  <c15:dlblFieldTable/>
                  <c15:showDataLabelsRange val="1"/>
                </c:ext>
                <c:ext xmlns:c16="http://schemas.microsoft.com/office/drawing/2014/chart" uri="{C3380CC4-5D6E-409C-BE32-E72D297353CC}">
                  <c16:uniqueId val="{00000002-C8D5-4687-A9AE-744C99B4C13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'W5'!$K$51:$L$51</c15:sqref>
                  </c15:fullRef>
                </c:ext>
              </c:extLst>
              <c:f>'W5'!$K$51</c:f>
              <c:numCache>
                <c:formatCode>0.0%;\-0.0.%;</c:formatCode>
                <c:ptCount val="1"/>
                <c:pt idx="0" formatCode="#,##0_);\(#,##0\);;">
                  <c:v>28.744258064516178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'W5'!$L$51</c15:f>
                <c15:dlblRangeCache>
                  <c:ptCount val="1"/>
                  <c:pt idx="0">
                    <c:v>4.4%</c:v>
                  </c:pt>
                </c15:dlblRangeCache>
              </c15:datalabelsRange>
            </c:ext>
            <c:ext xmlns:c16="http://schemas.microsoft.com/office/drawing/2014/chart" uri="{C3380CC4-5D6E-409C-BE32-E72D297353CC}">
              <c16:uniqueId val="{00000003-C8D5-4687-A9AE-744C99B4C136}"/>
            </c:ext>
          </c:extLst>
        </c:ser>
        <c:ser>
          <c:idx val="11"/>
          <c:order val="3"/>
          <c:tx>
            <c:strRef>
              <c:f>'W5'!$D$52</c:f>
              <c:strCache>
                <c:ptCount val="1"/>
                <c:pt idx="0">
                  <c:v>Chi phí biến đổi</c:v>
                </c:pt>
              </c:strCache>
            </c:strRef>
          </c:tx>
          <c:spPr>
            <a:solidFill>
              <a:schemeClr val="bg2">
                <a:lumMod val="90000"/>
              </a:schemeClr>
            </a:solidFill>
          </c:spPr>
          <c:invertIfNegative val="0"/>
          <c:dLbls>
            <c:dLbl>
              <c:idx val="0"/>
              <c:layout>
                <c:manualLayout>
                  <c:x val="-1.5903144857800155E-2"/>
                  <c:y val="-5.0597681627987468E-3"/>
                </c:manualLayout>
              </c:layout>
              <c:tx>
                <c:rich>
                  <a:bodyPr wrap="square" lIns="38100" tIns="19050" rIns="38100" bIns="19050" anchor="ctr">
                    <a:noAutofit/>
                  </a:bodyPr>
                  <a:lstStyle/>
                  <a:p>
                    <a:pPr>
                      <a:defRPr sz="1300"/>
                    </a:pPr>
                    <a:fld id="{CB28971C-A56E-4946-B9EF-B1C648B318A6}" type="CELLRANGE">
                      <a:rPr lang="en-US" sz="1300" baseline="0"/>
                      <a:pPr>
                        <a:defRPr sz="1300"/>
                      </a:pPr>
                      <a:t>[CELLRANGE]</a:t>
                    </a:fld>
                    <a:r>
                      <a:rPr lang="en-US" sz="1300" baseline="0"/>
                      <a:t>, </a:t>
                    </a:r>
                    <a:fld id="{3FDDB9DE-ACED-43C8-9034-DED8E0ADEBC9}" type="SERIESNAME">
                      <a:rPr lang="en-US" sz="1300" baseline="0"/>
                      <a:pPr>
                        <a:defRPr sz="1300"/>
                      </a:pPr>
                      <a:t>[SERIES NAME]</a:t>
                    </a:fld>
                    <a:r>
                      <a:rPr lang="en-US" sz="1300" baseline="0"/>
                      <a:t>, </a:t>
                    </a:r>
                    <a:fld id="{3706D075-B502-4CB1-A8D5-DBD3A5052BB2}"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468382792438712"/>
                      <c:h val="0.12342604395402992"/>
                    </c:manualLayout>
                  </c15:layout>
                  <c15:dlblFieldTable/>
                  <c15:showDataLabelsRange val="1"/>
                </c:ext>
                <c:ext xmlns:c16="http://schemas.microsoft.com/office/drawing/2014/chart" uri="{C3380CC4-5D6E-409C-BE32-E72D297353CC}">
                  <c16:uniqueId val="{00000004-C8D5-4687-A9AE-744C99B4C13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'W5'!$K$52:$L$52</c15:sqref>
                  </c15:fullRef>
                </c:ext>
              </c:extLst>
              <c:f>'W5'!$K$52</c:f>
              <c:numCache>
                <c:formatCode>0.0%;\-0.0.%;</c:formatCode>
                <c:ptCount val="1"/>
                <c:pt idx="0" formatCode="#,##0_);\(#,##0\);;">
                  <c:v>229.92620690971106</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'W5'!$L$52</c15:f>
                <c15:dlblRangeCache>
                  <c:ptCount val="1"/>
                  <c:pt idx="0">
                    <c:v>35.4%</c:v>
                  </c:pt>
                </c15:dlblRangeCache>
              </c15:datalabelsRange>
            </c:ext>
            <c:ext xmlns:c16="http://schemas.microsoft.com/office/drawing/2014/chart" uri="{C3380CC4-5D6E-409C-BE32-E72D297353CC}">
              <c16:uniqueId val="{00000005-C8D5-4687-A9AE-744C99B4C136}"/>
            </c:ext>
          </c:extLst>
        </c:ser>
        <c:ser>
          <c:idx val="10"/>
          <c:order val="13"/>
          <c:tx>
            <c:strRef>
              <c:f>'W5'!$D$62</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83F59E94-47C8-4E0F-BC54-3CC91FC3F8EB}" type="CELLRANGE">
                      <a:rPr lang="en-US" baseline="0"/>
                      <a:pPr>
                        <a:defRPr/>
                      </a:pPr>
                      <a:t>[CELLRANGE]</a:t>
                    </a:fld>
                    <a:r>
                      <a:rPr lang="en-US" baseline="0"/>
                      <a:t>, </a:t>
                    </a:r>
                    <a:fld id="{6BCC6BB6-7CFB-4D0B-A330-9DFED0E81DBF}" type="SERIESNAME">
                      <a:rPr lang="en-US" baseline="0"/>
                      <a:pPr>
                        <a:defRPr/>
                      </a:pPr>
                      <a:t>[SERIES NAME]</a:t>
                    </a:fld>
                    <a:r>
                      <a:rPr lang="en-US" baseline="0"/>
                      <a:t>, </a:t>
                    </a:r>
                    <a:fld id="{F30E5732-690B-4C5D-963B-DC4BAF93FADE}"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6034283558117095"/>
                      <c:h val="0.13095367426185264"/>
                    </c:manualLayout>
                  </c15:layout>
                  <c15:dlblFieldTable/>
                  <c15:showDataLabelsRange val="1"/>
                </c:ext>
                <c:ext xmlns:c16="http://schemas.microsoft.com/office/drawing/2014/chart" uri="{C3380CC4-5D6E-409C-BE32-E72D297353CC}">
                  <c16:uniqueId val="{00000006-C8D5-4687-A9AE-744C99B4C13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'W5'!$K$62:$L$62</c15:sqref>
                  </c15:fullRef>
                </c:ext>
              </c:extLst>
              <c:f>'W5'!$K$62</c:f>
              <c:numCache>
                <c:formatCode>0.0%;\-0.0.%;</c:formatCode>
                <c:ptCount val="1"/>
                <c:pt idx="0" formatCode="#,##0_);\(#,##0\);;">
                  <c:v>1.8883070051545474</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'W5'!$L$62</c15:f>
                <c15:dlblRangeCache>
                  <c:ptCount val="1"/>
                  <c:pt idx="0">
                    <c:v>0.3%</c:v>
                  </c:pt>
                </c15:dlblRangeCache>
              </c15:datalabelsRange>
            </c:ext>
            <c:ext xmlns:c16="http://schemas.microsoft.com/office/drawing/2014/chart" uri="{C3380CC4-5D6E-409C-BE32-E72D297353CC}">
              <c16:uniqueId val="{00000007-C8D5-4687-A9AE-744C99B4C136}"/>
            </c:ext>
          </c:extLst>
        </c:ser>
        <c:ser>
          <c:idx val="13"/>
          <c:order val="14"/>
          <c:tx>
            <c:strRef>
              <c:f>'W5'!$D$63</c:f>
              <c:strCache>
                <c:ptCount val="1"/>
                <c:pt idx="0">
                  <c:v>Lợi nhuận</c:v>
                </c:pt>
              </c:strCache>
            </c:strRef>
          </c:tx>
          <c:spPr>
            <a:solidFill>
              <a:srgbClr val="92D050"/>
            </a:solidFill>
          </c:spPr>
          <c:invertIfNegative val="0"/>
          <c:dLbls>
            <c:dLbl>
              <c:idx val="0"/>
              <c:layout>
                <c:manualLayout>
                  <c:x val="-1.8139782217428624E-2"/>
                  <c:y val="-6.5780439157808512E-2"/>
                </c:manualLayout>
              </c:layout>
              <c:tx>
                <c:rich>
                  <a:bodyPr wrap="square" lIns="38100" tIns="19050" rIns="38100" bIns="19050" anchor="ctr">
                    <a:noAutofit/>
                  </a:bodyPr>
                  <a:lstStyle/>
                  <a:p>
                    <a:pPr>
                      <a:defRPr sz="1300" b="1">
                        <a:solidFill>
                          <a:srgbClr val="FF0000"/>
                        </a:solidFill>
                      </a:defRPr>
                    </a:pPr>
                    <a:fld id="{C7655EF6-E8FB-48BE-B0DA-42AFA4FE17FF}"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40C8839E-A1A1-4297-845C-48485390174E}"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61AE9ED9-1061-4E3E-A4C1-4A1038314230}"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519582733668811"/>
                      <c:h val="0.10396682742787991"/>
                    </c:manualLayout>
                  </c15:layout>
                  <c15:dlblFieldTable/>
                  <c15:showDataLabelsRange val="1"/>
                </c:ext>
                <c:ext xmlns:c16="http://schemas.microsoft.com/office/drawing/2014/chart" uri="{C3380CC4-5D6E-409C-BE32-E72D297353CC}">
                  <c16:uniqueId val="{00000008-C8D5-4687-A9AE-744C99B4C13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'W5'!$K$63:$L$63</c15:sqref>
                  </c15:fullRef>
                </c:ext>
              </c:extLst>
              <c:f>'W5'!$K$63</c:f>
              <c:numCache>
                <c:formatCode>0.0%;\-0.0.%;</c:formatCode>
                <c:ptCount val="1"/>
                <c:pt idx="0" formatCode="#,##0_);\(#,##0\);;">
                  <c:v>7.5532280206181897</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'W5'!$L$63</c15:f>
                <c15:dlblRangeCache>
                  <c:ptCount val="1"/>
                  <c:pt idx="0">
                    <c:v>1.2%</c:v>
                  </c:pt>
                </c15:dlblRangeCache>
              </c15:datalabelsRange>
            </c:ext>
            <c:ext xmlns:c16="http://schemas.microsoft.com/office/drawing/2014/chart" uri="{C3380CC4-5D6E-409C-BE32-E72D297353CC}">
              <c16:uniqueId val="{00000009-C8D5-4687-A9AE-744C99B4C13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66C6EF6E-5A6B-4C79-8B97-57F2003E1892}"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DBE6B88E-271E-4A06-8FD9-74FC34CA82D8}"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42B8066E-26E8-4B21-BBA5-F2E13BE52EC2}"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C8D5-4687-A9AE-744C99B4C13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'W5'!$K$50:$L$50</c15:sqref>
                        </c15:fullRef>
                        <c15:formulaRef>
                          <c15:sqref>'W5'!$K$50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uri="{02D57815-91ED-43cb-92C2-25804820EDAC}">
                    <c15:datalabelsRange>
                      <c15:f>'W5'!$H$51</c15:f>
                      <c15:dlblRangeCache>
                        <c:ptCount val="1"/>
                        <c:pt idx="0">
                          <c:v>4.2%</c:v>
                        </c:pt>
                      </c15:dlblRangeCache>
                    </c15:datalabelsRange>
                  </c:ext>
                  <c:ext xmlns:c16="http://schemas.microsoft.com/office/drawing/2014/chart" uri="{C3380CC4-5D6E-409C-BE32-E72D297353CC}">
                    <c16:uniqueId val="{0000000B-C8D5-4687-A9AE-744C99B4C136}"/>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137FD74F-1933-44C5-BD39-38EC55BBE3CF}" type="CELLRANGE">
                            <a:rPr lang="en-US" baseline="0"/>
                            <a:pPr>
                              <a:defRPr sz="1300" b="1">
                                <a:solidFill>
                                  <a:srgbClr val="FF0000"/>
                                </a:solidFill>
                              </a:defRPr>
                            </a:pPr>
                            <a:t>[CELLRANGE]</a:t>
                          </a:fld>
                          <a:r>
                            <a:rPr lang="en-US" baseline="0"/>
                            <a:t>, </a:t>
                          </a:r>
                          <a:fld id="{5AC0BA6C-1494-496F-B417-4AA9514FC122}" type="SERIESNAME">
                            <a:rPr lang="en-US" baseline="0"/>
                            <a:pPr>
                              <a:defRPr sz="1300" b="1">
                                <a:solidFill>
                                  <a:srgbClr val="FF0000"/>
                                </a:solidFill>
                              </a:defRPr>
                            </a:pPr>
                            <a:t>[SERIES NAME]</a:t>
                          </a:fld>
                          <a:r>
                            <a:rPr lang="en-US" baseline="0"/>
                            <a:t>, </a:t>
                          </a:r>
                          <a:fld id="{91D0D9E2-A8D2-42C6-99A0-3611185B78DA}"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C8D5-4687-A9AE-744C99B4C136}"/>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'W5'!$K$53:$L$53</c15:sqref>
                        </c15:fullRef>
                        <c15:formulaRef>
                          <c15:sqref>'W5'!$K$53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'W5'!$H$63</c15:f>
                      <c15:dlblRangeCache>
                        <c:ptCount val="1"/>
                        <c:pt idx="0">
                          <c:v>4.6%</c:v>
                        </c:pt>
                      </c15:dlblRangeCache>
                    </c15:datalabelsRange>
                  </c:ext>
                  <c:ext xmlns:c16="http://schemas.microsoft.com/office/drawing/2014/chart" uri="{C3380CC4-5D6E-409C-BE32-E72D297353CC}">
                    <c16:uniqueId val="{0000000D-C8D5-4687-A9AE-744C99B4C13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'W5'!$K$54:$L$54</c15:sqref>
                        </c15:fullRef>
                        <c15:formulaRef>
                          <c15:sqref>'W5'!$K$54</c15:sqref>
                        </c15:formulaRef>
                      </c:ext>
                    </c:extLst>
                    <c:numCache>
                      <c:formatCode>0.0%;\-0.0.%;</c:formatCode>
                      <c:ptCount val="1"/>
                      <c:pt idx="0" formatCode="#,##0_);\(#,##0\);;">
                        <c:v>75.221841779627511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0E-C8D5-4687-A9AE-744C99B4C13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'W5'!$K$55:$L$55</c15:sqref>
                        </c15:fullRef>
                        <c15:formulaRef>
                          <c15:sqref>'W5'!$K$55</c15:sqref>
                        </c15:formulaRef>
                      </c:ext>
                    </c:extLst>
                    <c:numCache>
                      <c:formatCode>0.0%;\-0.0.%;</c:formatCode>
                      <c:ptCount val="1"/>
                      <c:pt idx="0" formatCode="#,##0_);\(#,##0\);;">
                        <c:v>49.080017572979045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0F-C8D5-4687-A9AE-744C99B4C136}"/>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'W5'!$K$56:$L$56</c15:sqref>
                        </c15:fullRef>
                        <c15:formulaRef>
                          <c15:sqref>'W5'!$K$56</c15:sqref>
                        </c15:formulaRef>
                      </c:ext>
                    </c:extLst>
                    <c:numCache>
                      <c:formatCode>0.0%;\-0.0.%;</c:formatCode>
                      <c:ptCount val="1"/>
                      <c:pt idx="0" formatCode="#,##0_);\(#,##0\);;">
                        <c:v>52.924243679977039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0-C8D5-4687-A9AE-744C99B4C136}"/>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'W5'!$K$57:$L$57</c15:sqref>
                        </c15:fullRef>
                        <c15:formulaRef>
                          <c15:sqref>'W5'!$K$57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1-C8D5-4687-A9AE-744C99B4C136}"/>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'W5'!$K$58:$L$58</c15:sqref>
                        </c15:fullRef>
                        <c15:formulaRef>
                          <c15:sqref>'W5'!$K$58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2-C8D5-4687-A9AE-744C99B4C136}"/>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'W5'!$K$59:$L$59</c15:sqref>
                        </c15:fullRef>
                        <c15:formulaRef>
                          <c15:sqref>'W5'!$K$59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3-C8D5-4687-A9AE-744C99B4C136}"/>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'W5'!$K$60:$L$60</c15:sqref>
                        </c15:fullRef>
                        <c15:formulaRef>
                          <c15:sqref>'W5'!$K$60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4-C8D5-4687-A9AE-744C99B4C136}"/>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'W5'!$K$61:$L$61</c15:sqref>
                        </c15:fullRef>
                        <c15:formulaRef>
                          <c15:sqref>'W5'!$K$61</c15:sqref>
                        </c15:formulaRef>
                      </c:ext>
                    </c:extLst>
                    <c:numCache>
                      <c:formatCode>0.0%;\-0.0.%;</c:formatCode>
                      <c:ptCount val="1"/>
                      <c:pt idx="0" formatCode="#,##0_);\(#,##0\);;">
                        <c:v>640.55846497422726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5-C8D5-4687-A9AE-744C99B4C136}"/>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'W5'!$K$64:$L$64</c15:sqref>
                        </c15:fullRef>
                        <c15:formulaRef>
                          <c15:sqref>'W5'!$K$64</c15:sqref>
                        </c15:formulaRef>
                      </c:ext>
                    </c:extLst>
                    <c:numCache>
                      <c:formatCode>0.0%;\-0.0.%;</c:formatCode>
                      <c:ptCount val="1"/>
                      <c:pt idx="0" formatCode="#,##0_);\(#,##0\);;">
                        <c:v>650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6-C8D5-4687-A9AE-744C99B4C13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'W5'!$K$65:$L$65</c15:sqref>
                        </c15:fullRef>
                        <c15:formulaRef>
                          <c15:sqref>'W5'!$K$65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7-C8D5-4687-A9AE-744C99B4C13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DEEC45E9-051D-45BA-9ED2-89839F040B80}"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8E33FB89-56D2-4111-850E-370E177CB146}"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9D11FDF4-1019-4E6C-819A-B12554A9F79C}"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22D5-4C8E-9BB2-045B2FBEA940}"/>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'W5'!$K$71:$L$71</c15:sqref>
                  </c15:fullRef>
                </c:ext>
              </c:extLst>
              <c:f>'W5'!$K$71</c:f>
              <c:numCache>
                <c:formatCode>0.0%;\-0.0.%;</c:formatCode>
                <c:ptCount val="1"/>
                <c:pt idx="0" formatCode="#,##0_);\(#,##0\);;">
                  <c:v>979.2</c:v>
                </c:pt>
              </c:numCache>
            </c:numRef>
          </c:val>
          <c:extLst>
            <c:ext xmlns:c15="http://schemas.microsoft.com/office/drawing/2012/chart" uri="{02D57815-91ED-43cb-92C2-25804820EDAC}">
              <c15:datalabelsRange>
                <c15:f>'W5'!$L$71</c15:f>
                <c15:dlblRangeCache>
                  <c:ptCount val="1"/>
                  <c:pt idx="0">
                    <c:v>58.8%</c:v>
                  </c:pt>
                </c15:dlblRangeCache>
              </c15:datalabelsRange>
            </c:ext>
            <c:ext xmlns:c16="http://schemas.microsoft.com/office/drawing/2014/chart" uri="{C3380CC4-5D6E-409C-BE32-E72D297353CC}">
              <c16:uniqueId val="{00000001-22D5-4C8E-9BB2-045B2FBEA940}"/>
            </c:ext>
          </c:extLst>
        </c:ser>
        <c:ser>
          <c:idx val="10"/>
          <c:order val="2"/>
          <c:tx>
            <c:strRef>
              <c:f>'W5'!$D$73</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2-22D5-4C8E-9BB2-045B2FBEA940}"/>
              </c:ext>
            </c:extLst>
          </c:dPt>
          <c:dLbls>
            <c:dLbl>
              <c:idx val="0"/>
              <c:layout>
                <c:manualLayout>
                  <c:x val="-9.1416791105074242E-3"/>
                  <c:y val="-1.0227993284335027E-2"/>
                </c:manualLayout>
              </c:layout>
              <c:tx>
                <c:rich>
                  <a:bodyPr wrap="square" lIns="38100" tIns="19050" rIns="38100" bIns="19050" anchor="ctr">
                    <a:noAutofit/>
                  </a:bodyPr>
                  <a:lstStyle/>
                  <a:p>
                    <a:pPr>
                      <a:defRPr sz="1100"/>
                    </a:pPr>
                    <a:fld id="{6F71F0A5-FEDE-43AB-9DBC-08A5B11ADE4B}" type="CELLRANGE">
                      <a:rPr lang="en-US" sz="1100" baseline="0"/>
                      <a:pPr>
                        <a:defRPr sz="1100"/>
                      </a:pPr>
                      <a:t>[CELLRANGE]</a:t>
                    </a:fld>
                    <a:r>
                      <a:rPr lang="en-US" sz="1100" baseline="0"/>
                      <a:t>, </a:t>
                    </a:r>
                    <a:fld id="{4B27F57A-3FC1-4EB2-B01D-E98F5A13F333}" type="SERIESNAME">
                      <a:rPr lang="en-US" sz="1100" baseline="0"/>
                      <a:pPr>
                        <a:defRPr sz="1100"/>
                      </a:pPr>
                      <a:t>[SERIES NAME]</a:t>
                    </a:fld>
                    <a:r>
                      <a:rPr lang="en-US" sz="1100" baseline="0"/>
                      <a:t>, </a:t>
                    </a:r>
                    <a:fld id="{2D9C38AB-096F-4933-A673-994FB563F204}"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2-22D5-4C8E-9BB2-045B2FBEA940}"/>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'W5'!$K$73:$L$73</c15:sqref>
                  </c15:fullRef>
                </c:ext>
              </c:extLst>
              <c:f>'W5'!$K$73</c:f>
              <c:numCache>
                <c:formatCode>0.0%;\-0.0.%;</c:formatCode>
                <c:ptCount val="1"/>
                <c:pt idx="0" formatCode="#,##0_);\(#,##0\);;">
                  <c:v>73.703225806451741</c:v>
                </c:pt>
              </c:numCache>
            </c:numRef>
          </c:val>
          <c:extLst>
            <c:ext xmlns:c15="http://schemas.microsoft.com/office/drawing/2012/chart" uri="{02D57815-91ED-43cb-92C2-25804820EDAC}">
              <c15:datalabelsRange>
                <c15:f>'W5'!$L$73</c15:f>
                <c15:dlblRangeCache>
                  <c:ptCount val="1"/>
                  <c:pt idx="0">
                    <c:v>4.4%</c:v>
                  </c:pt>
                </c15:dlblRangeCache>
              </c15:datalabelsRange>
            </c:ext>
            <c:ext xmlns:c16="http://schemas.microsoft.com/office/drawing/2014/chart" uri="{C3380CC4-5D6E-409C-BE32-E72D297353CC}">
              <c16:uniqueId val="{00000003-22D5-4C8E-9BB2-045B2FBEA940}"/>
            </c:ext>
          </c:extLst>
        </c:ser>
        <c:ser>
          <c:idx val="9"/>
          <c:order val="3"/>
          <c:tx>
            <c:strRef>
              <c:f>'W5'!$D$74</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CA15392D-3F41-450A-BC34-475FB8A8E814}" type="CELLRANGE">
                      <a:rPr lang="en-US" sz="1300" baseline="0"/>
                      <a:pPr>
                        <a:defRPr sz="1300"/>
                      </a:pPr>
                      <a:t>[CELLRANGE]</a:t>
                    </a:fld>
                    <a:r>
                      <a:rPr lang="en-US" sz="1300" baseline="0"/>
                      <a:t>, </a:t>
                    </a:r>
                    <a:fld id="{E40BAEE5-CF3C-4371-A90C-D6E8D1583080}" type="SERIESNAME">
                      <a:rPr lang="en-US" sz="1300" baseline="0"/>
                      <a:pPr>
                        <a:defRPr sz="1300"/>
                      </a:pPr>
                      <a:t>[SERIES NAME]</a:t>
                    </a:fld>
                    <a:r>
                      <a:rPr lang="en-US" sz="1300" baseline="0"/>
                      <a:t>, </a:t>
                    </a:r>
                    <a:fld id="{7F3C4A4D-0CE8-4583-B448-9CBAE424B29B}"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413242046109337"/>
                      <c:h val="0.15551881304325182"/>
                    </c:manualLayout>
                  </c15:layout>
                  <c15:dlblFieldTable/>
                  <c15:showDataLabelsRange val="1"/>
                </c:ext>
                <c:ext xmlns:c16="http://schemas.microsoft.com/office/drawing/2014/chart" uri="{C3380CC4-5D6E-409C-BE32-E72D297353CC}">
                  <c16:uniqueId val="{00000004-22D5-4C8E-9BB2-045B2FBEA940}"/>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'W5'!$K$74:$L$74</c15:sqref>
                  </c15:fullRef>
                </c:ext>
              </c:extLst>
              <c:f>'W5'!$K$74</c:f>
              <c:numCache>
                <c:formatCode>0.0%;\-0.0.%;</c:formatCode>
                <c:ptCount val="1"/>
                <c:pt idx="0" formatCode="#,##0_);\(#,##0\);;">
                  <c:v>589.55437669156674</c:v>
                </c:pt>
              </c:numCache>
            </c:numRef>
          </c:val>
          <c:extLst>
            <c:ext xmlns:c15="http://schemas.microsoft.com/office/drawing/2012/chart" uri="{02D57815-91ED-43cb-92C2-25804820EDAC}">
              <c15:datalabelsRange>
                <c15:f>'W5'!$L$74</c15:f>
                <c15:dlblRangeCache>
                  <c:ptCount val="1"/>
                  <c:pt idx="0">
                    <c:v>35.4%</c:v>
                  </c:pt>
                </c15:dlblRangeCache>
              </c15:datalabelsRange>
            </c:ext>
            <c:ext xmlns:c16="http://schemas.microsoft.com/office/drawing/2014/chart" uri="{C3380CC4-5D6E-409C-BE32-E72D297353CC}">
              <c16:uniqueId val="{00000005-22D5-4C8E-9BB2-045B2FBEA940}"/>
            </c:ext>
          </c:extLst>
        </c:ser>
        <c:ser>
          <c:idx val="13"/>
          <c:order val="13"/>
          <c:tx>
            <c:strRef>
              <c:f>'W5'!$D$84</c:f>
              <c:strCache>
                <c:ptCount val="1"/>
                <c:pt idx="0">
                  <c:v>Thuế thu nhập</c:v>
                </c:pt>
              </c:strCache>
            </c:strRef>
          </c:tx>
          <c:spPr>
            <a:solidFill>
              <a:srgbClr val="FFFF00"/>
            </a:solidFill>
          </c:spPr>
          <c:invertIfNegative val="0"/>
          <c:dLbls>
            <c:dLbl>
              <c:idx val="0"/>
              <c:tx>
                <c:rich>
                  <a:bodyPr/>
                  <a:lstStyle/>
                  <a:p>
                    <a:fld id="{263CD808-EA38-4E1D-95A7-4A2322ED072C}" type="CELLRANGE">
                      <a:rPr lang="en-US" baseline="0"/>
                      <a:pPr/>
                      <a:t>[CELLRANGE]</a:t>
                    </a:fld>
                    <a:r>
                      <a:rPr lang="en-US" baseline="0"/>
                      <a:t>, </a:t>
                    </a:r>
                    <a:fld id="{A0639B3A-6929-41DB-961C-52CED615476B}" type="SERIESNAME">
                      <a:rPr lang="en-US" baseline="0"/>
                      <a:pPr/>
                      <a:t>[SERIES NAME]</a:t>
                    </a:fld>
                    <a:r>
                      <a:rPr lang="en-US" baseline="0"/>
                      <a:t>, </a:t>
                    </a:r>
                    <a:fld id="{93F28298-FE82-4FD8-A822-7A4C57F712F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2804915488055891"/>
                      <c:h val="0.13506255801979156"/>
                    </c:manualLayout>
                  </c15:layout>
                  <c15:dlblFieldTable/>
                  <c15:showDataLabelsRange val="1"/>
                </c:ext>
                <c:ext xmlns:c16="http://schemas.microsoft.com/office/drawing/2014/chart" uri="{C3380CC4-5D6E-409C-BE32-E72D297353CC}">
                  <c16:uniqueId val="{00000006-22D5-4C8E-9BB2-045B2FBEA940}"/>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'W5'!$K$84:$L$84</c15:sqref>
                  </c15:fullRef>
                </c:ext>
              </c:extLst>
              <c:f>'W5'!$K$84</c:f>
              <c:numCache>
                <c:formatCode>0.0%;\-0.0.%;</c:formatCode>
                <c:ptCount val="1"/>
                <c:pt idx="0" formatCode="#,##0_);\(#,##0\);;">
                  <c:v>4.8418128337296826</c:v>
                </c:pt>
              </c:numCache>
            </c:numRef>
          </c:val>
          <c:extLst>
            <c:ext xmlns:c15="http://schemas.microsoft.com/office/drawing/2012/chart" uri="{02D57815-91ED-43cb-92C2-25804820EDAC}">
              <c15:datalabelsRange>
                <c15:f>'W5'!$L$84</c15:f>
                <c15:dlblRangeCache>
                  <c:ptCount val="1"/>
                  <c:pt idx="0">
                    <c:v>0.3%</c:v>
                  </c:pt>
                </c15:dlblRangeCache>
              </c15:datalabelsRange>
            </c:ext>
            <c:ext xmlns:c16="http://schemas.microsoft.com/office/drawing/2014/chart" uri="{C3380CC4-5D6E-409C-BE32-E72D297353CC}">
              <c16:uniqueId val="{00000007-22D5-4C8E-9BB2-045B2FBEA940}"/>
            </c:ext>
          </c:extLst>
        </c:ser>
        <c:ser>
          <c:idx val="14"/>
          <c:order val="14"/>
          <c:tx>
            <c:strRef>
              <c:f>'W5'!$D$85</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9-22D5-4C8E-9BB2-045B2FBEA940}"/>
              </c:ext>
            </c:extLst>
          </c:dPt>
          <c:dLbls>
            <c:dLbl>
              <c:idx val="0"/>
              <c:layout>
                <c:manualLayout>
                  <c:x val="3.8751361804265135E-3"/>
                  <c:y val="-5.4550147623289233E-2"/>
                </c:manualLayout>
              </c:layout>
              <c:tx>
                <c:rich>
                  <a:bodyPr wrap="square" lIns="38100" tIns="19050" rIns="38100" bIns="19050" anchor="ctr">
                    <a:noAutofit/>
                  </a:bodyPr>
                  <a:lstStyle/>
                  <a:p>
                    <a:pPr>
                      <a:defRPr sz="1300" b="1">
                        <a:solidFill>
                          <a:srgbClr val="FF0000"/>
                        </a:solidFill>
                      </a:defRPr>
                    </a:pPr>
                    <a:fld id="{8799B4AC-4396-4C06-8F61-95693DEB05F8}"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7B51CED3-4D3D-4987-91C3-E7BCF53B73C8}"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08502862-50A6-4034-9FEA-09E1E0F450BF}"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374995276199278"/>
                      <c:h val="6.9824017146744355E-2"/>
                    </c:manualLayout>
                  </c15:layout>
                  <c15:dlblFieldTable/>
                  <c15:showDataLabelsRange val="1"/>
                </c:ext>
                <c:ext xmlns:c16="http://schemas.microsoft.com/office/drawing/2014/chart" uri="{C3380CC4-5D6E-409C-BE32-E72D297353CC}">
                  <c16:uniqueId val="{00000009-22D5-4C8E-9BB2-045B2FBEA940}"/>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'W5'!$K$85:$L$85</c15:sqref>
                  </c15:fullRef>
                </c:ext>
              </c:extLst>
              <c:f>'W5'!$K$85</c:f>
              <c:numCache>
                <c:formatCode>0.0%;\-0.0.%;</c:formatCode>
                <c:ptCount val="1"/>
                <c:pt idx="0" formatCode="#,##0_);\(#,##0\);;">
                  <c:v>19.367251334918731</c:v>
                </c:pt>
              </c:numCache>
            </c:numRef>
          </c:val>
          <c:extLst>
            <c:ext xmlns:c15="http://schemas.microsoft.com/office/drawing/2012/chart" uri="{02D57815-91ED-43cb-92C2-25804820EDAC}">
              <c15:datalabelsRange>
                <c15:f>'W5'!$L$85</c15:f>
                <c15:dlblRangeCache>
                  <c:ptCount val="1"/>
                  <c:pt idx="0">
                    <c:v>1.2%</c:v>
                  </c:pt>
                </c15:dlblRangeCache>
              </c15:datalabelsRange>
            </c:ext>
            <c:ext xmlns:c16="http://schemas.microsoft.com/office/drawing/2014/chart" uri="{C3380CC4-5D6E-409C-BE32-E72D297353CC}">
              <c16:uniqueId val="{0000000A-22D5-4C8E-9BB2-045B2FBEA940}"/>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CCF6C212-A9B1-49D9-AB4B-AFE8A7939C32}"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6612D694-C6C8-4970-A65A-720F93FA2667}"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975F7881-FC9A-487C-86EB-F800644D67CF}"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B-22D5-4C8E-9BB2-045B2FBEA940}"/>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'W5'!$K$70:$L$70</c15:sqref>
                        </c15:fullRef>
                        <c15:formulaRef>
                          <c15:sqref>'W5'!$K$70</c15:sqref>
                        </c15:formulaRef>
                      </c:ext>
                    </c:extLst>
                    <c:strCache>
                      <c:ptCount val="1"/>
                      <c:pt idx="0">
                        <c:v>Chi phí
USD/tấn</c:v>
                      </c:pt>
                    </c:strCache>
                  </c:strRef>
                </c:cat>
                <c:val>
                  <c:numRef>
                    <c:extLst>
                      <c:ext uri="{02D57815-91ED-43cb-92C2-25804820EDAC}">
                        <c15:fullRef>
                          <c15:sqref>'W5'!$K$72:$L$72</c15:sqref>
                        </c15:fullRef>
                        <c15:formulaRef>
                          <c15:sqref>'W5'!$K$72</c15:sqref>
                        </c15:formulaRef>
                      </c:ext>
                    </c:extLst>
                    <c:numCache>
                      <c:formatCode>0.0%;\-0.0.%;</c:formatCode>
                      <c:ptCount val="1"/>
                      <c:pt idx="0" formatCode="#,##0_);\(#,##0\);;">
                        <c:v>979.2</c:v>
                      </c:pt>
                    </c:numCache>
                  </c:numRef>
                </c:val>
                <c:extLst>
                  <c:ext uri="{02D57815-91ED-43cb-92C2-25804820EDAC}">
                    <c15:datalabelsRange>
                      <c15:f>'W5'!$J$73</c15:f>
                      <c15:dlblRangeCache>
                        <c:ptCount val="1"/>
                        <c:pt idx="0">
                          <c:v>4.4%</c:v>
                        </c:pt>
                      </c15:dlblRangeCache>
                    </c15:datalabelsRange>
                  </c:ext>
                  <c:ext xmlns:c16="http://schemas.microsoft.com/office/drawing/2014/chart" uri="{C3380CC4-5D6E-409C-BE32-E72D297353CC}">
                    <c16:uniqueId val="{0000000C-22D5-4C8E-9BB2-045B2FBEA940}"/>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FB128572-AF31-407E-9B2E-768C4EDFF7BB}"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C6BEBB07-FF96-454D-8AD4-CB1F3209832B}"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5048A389-B03C-4095-B3A6-3A14CB62AB6E}"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D-22D5-4C8E-9BB2-045B2FBEA940}"/>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'W5'!$K$75:$L$75</c15:sqref>
                        </c15:fullRef>
                        <c15:formulaRef>
                          <c15:sqref>'W5'!$K$75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'W5'!$J$85</c15:f>
                      <c15:dlblRangeCache>
                        <c:ptCount val="1"/>
                        <c:pt idx="0">
                          <c:v>5.1%</c:v>
                        </c:pt>
                      </c15:dlblRangeCache>
                    </c15:datalabelsRange>
                  </c:ext>
                  <c:ext xmlns:c16="http://schemas.microsoft.com/office/drawing/2014/chart" uri="{C3380CC4-5D6E-409C-BE32-E72D297353CC}">
                    <c16:uniqueId val="{0000000E-22D5-4C8E-9BB2-045B2FBEA940}"/>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'W5'!$K$76:$L$76</c15:sqref>
                        </c15:fullRef>
                        <c15:formulaRef>
                          <c15:sqref>'W5'!$K$76</c15:sqref>
                        </c15:formulaRef>
                      </c:ext>
                    </c:extLst>
                    <c:numCache>
                      <c:formatCode>0.0%;\-0.0.%;</c:formatCode>
                      <c:ptCount val="1"/>
                      <c:pt idx="0" formatCode="#,##0_);\(#,##0\);;">
                        <c:v>192.87651738366029</c:v>
                      </c:pt>
                    </c:numCache>
                  </c:numRef>
                </c:val>
                <c:extLst xmlns:c15="http://schemas.microsoft.com/office/drawing/2012/chart">
                  <c:ext xmlns:c16="http://schemas.microsoft.com/office/drawing/2014/chart" uri="{C3380CC4-5D6E-409C-BE32-E72D297353CC}">
                    <c16:uniqueId val="{0000000F-22D5-4C8E-9BB2-045B2FBEA940}"/>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'W5'!$K$77:$L$77</c15:sqref>
                        </c15:fullRef>
                        <c15:formulaRef>
                          <c15:sqref>'W5'!$K$77</c15:sqref>
                        </c15:formulaRef>
                      </c:ext>
                    </c:extLst>
                    <c:numCache>
                      <c:formatCode>0.0%;\-0.0.%;</c:formatCode>
                      <c:ptCount val="1"/>
                      <c:pt idx="0" formatCode="#,##0_);\(#,##0\);;">
                        <c:v>125.84619890507449</c:v>
                      </c:pt>
                    </c:numCache>
                  </c:numRef>
                </c:val>
                <c:extLst xmlns:c15="http://schemas.microsoft.com/office/drawing/2012/chart">
                  <c:ext xmlns:c16="http://schemas.microsoft.com/office/drawing/2014/chart" uri="{C3380CC4-5D6E-409C-BE32-E72D297353CC}">
                    <c16:uniqueId val="{00000010-22D5-4C8E-9BB2-045B2FBEA940}"/>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'W5'!$K$78:$L$78</c15:sqref>
                        </c15:fullRef>
                        <c15:formulaRef>
                          <c15:sqref>'W5'!$K$78</c15:sqref>
                        </c15:formulaRef>
                      </c:ext>
                    </c:extLst>
                    <c:numCache>
                      <c:formatCode>0.0%;\-0.0.%;</c:formatCode>
                      <c:ptCount val="1"/>
                      <c:pt idx="0" formatCode="#,##0_);\(#,##0\);;">
                        <c:v>135.70318892301805</c:v>
                      </c:pt>
                    </c:numCache>
                  </c:numRef>
                </c:val>
                <c:extLst xmlns:c15="http://schemas.microsoft.com/office/drawing/2012/chart">
                  <c:ext xmlns:c16="http://schemas.microsoft.com/office/drawing/2014/chart" uri="{C3380CC4-5D6E-409C-BE32-E72D297353CC}">
                    <c16:uniqueId val="{00000011-22D5-4C8E-9BB2-045B2FBEA940}"/>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'W5'!$K$79:$L$79</c15:sqref>
                        </c15:fullRef>
                        <c15:formulaRef>
                          <c15:sqref>'W5'!$K$79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2-22D5-4C8E-9BB2-045B2FBEA940}"/>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'W5'!$K$80:$L$80</c15:sqref>
                        </c15:fullRef>
                        <c15:formulaRef>
                          <c15:sqref>'W5'!$K$80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3-22D5-4C8E-9BB2-045B2FBEA940}"/>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'W5'!$K$81:$L$81</c15:sqref>
                        </c15:fullRef>
                        <c15:formulaRef>
                          <c15:sqref>'W5'!$K$81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22D5-4C8E-9BB2-045B2FBEA940}"/>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'W5'!$K$82:$L$82</c15:sqref>
                        </c15:fullRef>
                        <c15:formulaRef>
                          <c15:sqref>'W5'!$K$82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22D5-4C8E-9BB2-045B2FBEA940}"/>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'W5'!$K$83:$L$83</c15:sqref>
                        </c15:fullRef>
                        <c15:formulaRef>
                          <c15:sqref>'W5'!$K$83</c15:sqref>
                        </c15:formulaRef>
                      </c:ext>
                    </c:extLst>
                    <c:numCache>
                      <c:formatCode>0.0%;\-0.0.%;</c:formatCode>
                      <c:ptCount val="1"/>
                      <c:pt idx="0" formatCode="#,##0_);\(#,##0\);;">
                        <c:v>1642.4576024980183</c:v>
                      </c:pt>
                    </c:numCache>
                  </c:numRef>
                </c:val>
                <c:extLst xmlns:c15="http://schemas.microsoft.com/office/drawing/2012/chart">
                  <c:ext xmlns:c16="http://schemas.microsoft.com/office/drawing/2014/chart" uri="{C3380CC4-5D6E-409C-BE32-E72D297353CC}">
                    <c16:uniqueId val="{00000016-22D5-4C8E-9BB2-045B2FBEA940}"/>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'W5'!$K$86:$L$86</c15:sqref>
                        </c15:fullRef>
                        <c15:formulaRef>
                          <c15:sqref>'W5'!$K$86</c15:sqref>
                        </c15:formulaRef>
                      </c:ext>
                    </c:extLst>
                    <c:numCache>
                      <c:formatCode>0.0%;\-0.0.%;</c:formatCode>
                      <c:ptCount val="1"/>
                      <c:pt idx="0" formatCode="#,##0_);\(#,##0\);;">
                        <c:v>1666.6666666666667</c:v>
                      </c:pt>
                    </c:numCache>
                  </c:numRef>
                </c:val>
                <c:extLst xmlns:c15="http://schemas.microsoft.com/office/drawing/2012/chart">
                  <c:ext xmlns:c16="http://schemas.microsoft.com/office/drawing/2014/chart" uri="{C3380CC4-5D6E-409C-BE32-E72D297353CC}">
                    <c16:uniqueId val="{00000017-22D5-4C8E-9BB2-045B2FBEA940}"/>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'W5'!$K$87:$L$87</c15:sqref>
                        </c15:fullRef>
                        <c15:formulaRef>
                          <c15:sqref>'W5'!$K$87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8-22D5-4C8E-9BB2-045B2FBEA940}"/>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0739-4B5B-9096-FD747A99CFB7}"/>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41303012-C482-48AC-87FE-80777D76029E}"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A7EF93E1-6E05-4122-8871-B4287E8A9B62}"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9C18EA7A-A11D-4CB9-AE2E-272759DC0CC0}"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0739-4B5B-9096-FD747A99CFB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'W5'!$Q$49:$R$49</c15:sqref>
                  </c15:fullRef>
                </c:ext>
              </c:extLst>
              <c:f>'W5'!$Q$49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5="http://schemas.microsoft.com/office/drawing/2012/chart" uri="{02D57815-91ED-43cb-92C2-25804820EDAC}">
              <c15:datalabelsRange>
                <c15:f>'W5'!$R$49</c15:f>
                <c15:dlblRangeCache>
                  <c:ptCount val="1"/>
                  <c:pt idx="0">
                    <c:v>65.2%</c:v>
                  </c:pt>
                </c15:dlblRangeCache>
              </c15:datalabelsRange>
            </c:ext>
            <c:ext xmlns:c16="http://schemas.microsoft.com/office/drawing/2014/chart" uri="{C3380CC4-5D6E-409C-BE32-E72D297353CC}">
              <c16:uniqueId val="{00000002-0739-4B5B-9096-FD747A99CFB7}"/>
            </c:ext>
          </c:extLst>
        </c:ser>
        <c:ser>
          <c:idx val="3"/>
          <c:order val="2"/>
          <c:tx>
            <c:strRef>
              <c:f>'W5'!$D$51</c:f>
              <c:strCache>
                <c:ptCount val="1"/>
                <c:pt idx="0">
                  <c:v>Hao hụt về tiền</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3-0739-4B5B-9096-FD747A99CFB7}"/>
              </c:ext>
            </c:extLst>
          </c:dPt>
          <c:dLbls>
            <c:dLbl>
              <c:idx val="0"/>
              <c:layout>
                <c:manualLayout>
                  <c:x val="2.0813759731636345E-7"/>
                  <c:y val="3.3747425762305897E-3"/>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80D47A4A-0DA3-4D80-BAF6-77836D3B9BA7}"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1349D257-AE3E-4024-A1A7-74EC205C4EF4}"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A162ED16-71AB-42AB-977E-432DE1A17C55}"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3-0739-4B5B-9096-FD747A99CFB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'W5'!$Q$51:$R$51</c15:sqref>
                  </c15:fullRef>
                </c:ext>
              </c:extLst>
              <c:f>'W5'!$Q$51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5="http://schemas.microsoft.com/office/drawing/2012/chart" uri="{02D57815-91ED-43cb-92C2-25804820EDAC}">
              <c15:datalabelsRange>
                <c15:f>'W5'!$R$51</c15:f>
                <c15:dlblRangeCache>
                  <c:ptCount val="1"/>
                  <c:pt idx="0">
                    <c:v>4.9%</c:v>
                  </c:pt>
                </c15:dlblRangeCache>
              </c15:datalabelsRange>
            </c:ext>
            <c:ext xmlns:c16="http://schemas.microsoft.com/office/drawing/2014/chart" uri="{C3380CC4-5D6E-409C-BE32-E72D297353CC}">
              <c16:uniqueId val="{00000004-0739-4B5B-9096-FD747A99CFB7}"/>
            </c:ext>
          </c:extLst>
        </c:ser>
        <c:ser>
          <c:idx val="14"/>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DF9C5DA6-1300-4F1C-A068-D9EBFB606225}"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B179C4C7-DA8E-45D1-9D54-FF365BC905F7}"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C9C9AFEC-58D3-40EF-BB58-D34A026547D9}"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151236524651611"/>
                      <c:h val="0.13471972364312762"/>
                    </c:manualLayout>
                  </c15:layout>
                  <c15:dlblFieldTable/>
                  <c15:showDataLabelsRange val="1"/>
                </c:ext>
                <c:ext xmlns:c16="http://schemas.microsoft.com/office/drawing/2014/chart" uri="{C3380CC4-5D6E-409C-BE32-E72D297353CC}">
                  <c16:uniqueId val="{00000005-0739-4B5B-9096-FD747A99CFB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'W5'!$Q$52:$R$52</c15:sqref>
                  </c15:fullRef>
                </c:ext>
              </c:extLst>
              <c:f>'W5'!$Q$52</c:f>
              <c:numCache>
                <c:formatCode>0.0%;\-0.0.%;</c:formatCode>
                <c:ptCount val="1"/>
                <c:pt idx="0" formatCode="#,##0_);\(#,##0\);;">
                  <c:v>197.7268952967712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5="http://schemas.microsoft.com/office/drawing/2012/chart" uri="{02D57815-91ED-43cb-92C2-25804820EDAC}">
              <c15:datalabelsRange>
                <c15:f>'W5'!$R$52</c15:f>
                <c15:dlblRangeCache>
                  <c:ptCount val="1"/>
                  <c:pt idx="0">
                    <c:v>33.7%</c:v>
                  </c:pt>
                </c15:dlblRangeCache>
              </c15:datalabelsRange>
            </c:ext>
            <c:ext xmlns:c16="http://schemas.microsoft.com/office/drawing/2014/chart" uri="{C3380CC4-5D6E-409C-BE32-E72D297353CC}">
              <c16:uniqueId val="{00000006-0739-4B5B-9096-FD747A99CFB7}"/>
            </c:ext>
          </c:extLst>
        </c:ser>
        <c:ser>
          <c:idx val="11"/>
          <c:order val="13"/>
          <c:tx>
            <c:strRef>
              <c:f>'W5'!$D$62</c:f>
              <c:strCache>
                <c:ptCount val="1"/>
                <c:pt idx="0">
                  <c:v>Thuế thu nhập</c:v>
                </c:pt>
              </c:strCache>
            </c:strRef>
          </c:tx>
          <c:spPr>
            <a:solidFill>
              <a:srgbClr val="FFFF00"/>
            </a:solidFill>
          </c:spPr>
          <c:invertIfNegative val="0"/>
          <c:dLbls>
            <c:dLbl>
              <c:idx val="0"/>
              <c:tx>
                <c:rich>
                  <a:bodyPr/>
                  <a:lstStyle/>
                  <a:p>
                    <a:fld id="{FF3E5A89-293F-4C96-804D-89CECBEA9581}" type="CELLRANGE">
                      <a:rPr lang="en-US" baseline="0"/>
                      <a:pPr/>
                      <a:t>[CELLRANGE]</a:t>
                    </a:fld>
                    <a:r>
                      <a:rPr lang="en-US" baseline="0"/>
                      <a:t>, </a:t>
                    </a:r>
                    <a:fld id="{4660D1DA-3BEF-49CF-B1F0-BE26C9554728}" type="SERIESNAME">
                      <a:rPr lang="en-US" baseline="0"/>
                      <a:pPr/>
                      <a:t>[SERIES NAME]</a:t>
                    </a:fld>
                    <a:r>
                      <a:rPr lang="en-US" baseline="0"/>
                      <a:t>, </a:t>
                    </a:r>
                    <a:fld id="{F84CEDB2-5479-4A56-9C04-2984A61C7D1D}"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1741079326649899"/>
                      <c:h val="0.21606802630704844"/>
                    </c:manualLayout>
                  </c15:layout>
                  <c15:dlblFieldTable/>
                  <c15:showDataLabelsRange val="1"/>
                </c:ext>
                <c:ext xmlns:c16="http://schemas.microsoft.com/office/drawing/2014/chart" uri="{C3380CC4-5D6E-409C-BE32-E72D297353CC}">
                  <c16:uniqueId val="{00000007-0739-4B5B-9096-FD747A99CFB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'W5'!$Q$62:$R$62</c15:sqref>
                  </c15:fullRef>
                </c:ext>
              </c:extLst>
              <c:f>'W5'!$Q$62</c:f>
              <c:numCache>
                <c:formatCode>0.0%;\-0.0.%;</c:formatCode>
                <c:ptCount val="1"/>
                <c:pt idx="0" formatCode="#,##0_);\(#,##0\);;">
                  <c:v>-4.4767874208404468</c:v>
                </c:pt>
              </c:numCache>
            </c:numRef>
          </c:val>
          <c:extLs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5="http://schemas.microsoft.com/office/drawing/2012/chart" uri="{02D57815-91ED-43cb-92C2-25804820EDAC}">
              <c15:datalabelsRange>
                <c15:f>'W5'!$R$62</c15:f>
                <c15:dlblRangeCache>
                  <c:ptCount val="1"/>
                  <c:pt idx="0">
                    <c:v>-0.8.%</c:v>
                  </c:pt>
                </c15:dlblRangeCache>
              </c15:datalabelsRange>
            </c:ext>
            <c:ext xmlns:c16="http://schemas.microsoft.com/office/drawing/2014/chart" uri="{C3380CC4-5D6E-409C-BE32-E72D297353CC}">
              <c16:uniqueId val="{00000008-0739-4B5B-9096-FD747A99CFB7}"/>
            </c:ext>
          </c:extLst>
        </c:ser>
        <c:ser>
          <c:idx val="12"/>
          <c:order val="14"/>
          <c:tx>
            <c:strRef>
              <c:f>'W5'!$D$63</c:f>
              <c:strCache>
                <c:ptCount val="1"/>
                <c:pt idx="0">
                  <c:v>Lợi nhuận</c:v>
                </c:pt>
              </c:strCache>
            </c:strRef>
          </c:tx>
          <c:spPr>
            <a:solidFill>
              <a:srgbClr val="92D050"/>
            </a:solidFill>
          </c:spPr>
          <c:invertIfNegative val="0"/>
          <c:dLbls>
            <c:dLbl>
              <c:idx val="0"/>
              <c:layout>
                <c:manualLayout>
                  <c:x val="-1.109165255840658E-2"/>
                  <c:y val="-8.4368697269647241E-2"/>
                </c:manualLayout>
              </c:layout>
              <c:tx>
                <c:rich>
                  <a:bodyPr wrap="square" lIns="38100" tIns="19050" rIns="38100" bIns="19050" anchor="ctr">
                    <a:noAutofit/>
                  </a:bodyPr>
                  <a:lstStyle/>
                  <a:p>
                    <a:pPr>
                      <a:defRPr sz="1300" b="1">
                        <a:solidFill>
                          <a:srgbClr val="FF0000"/>
                        </a:solidFill>
                      </a:defRPr>
                    </a:pPr>
                    <a:fld id="{C7EC40A1-3EF4-4D78-B41A-EEC4681CA586}" type="CELLRANGE">
                      <a:rPr lang="en-US" baseline="0"/>
                      <a:pPr>
                        <a:defRPr sz="1300" b="1">
                          <a:solidFill>
                            <a:srgbClr val="FF0000"/>
                          </a:solidFill>
                        </a:defRPr>
                      </a:pPr>
                      <a:t>[CELLRANGE]</a:t>
                    </a:fld>
                    <a:r>
                      <a:rPr lang="en-US" baseline="0"/>
                      <a:t>, </a:t>
                    </a:r>
                    <a:fld id="{D245DB08-CA8B-4DFE-8237-057B99586A3D}" type="SERIESNAME">
                      <a:rPr lang="en-US" baseline="0"/>
                      <a:pPr>
                        <a:defRPr sz="1300" b="1">
                          <a:solidFill>
                            <a:srgbClr val="FF0000"/>
                          </a:solidFill>
                        </a:defRPr>
                      </a:pPr>
                      <a:t>[SERIES NAME]</a:t>
                    </a:fld>
                    <a:r>
                      <a:rPr lang="en-US" baseline="0"/>
                      <a:t>, </a:t>
                    </a:r>
                    <a:fld id="{DC7FDD29-D864-4B45-85C1-1A2D3806413C}"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2221152857500261"/>
                      <c:h val="0.15010854979073934"/>
                    </c:manualLayout>
                  </c15:layout>
                  <c15:dlblFieldTable/>
                  <c15:showDataLabelsRange val="1"/>
                </c:ext>
                <c:ext xmlns:c16="http://schemas.microsoft.com/office/drawing/2014/chart" uri="{C3380CC4-5D6E-409C-BE32-E72D297353CC}">
                  <c16:uniqueId val="{00000009-0739-4B5B-9096-FD747A99CFB7}"/>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'W5'!$Q$63:$R$63</c15:sqref>
                  </c15:fullRef>
                </c:ext>
              </c:extLst>
              <c:f>'W5'!$Q$63</c:f>
              <c:numCache>
                <c:formatCode>0.0%;\-0.0.%;</c:formatCode>
                <c:ptCount val="1"/>
                <c:pt idx="0" formatCode="#,##0_);\(#,##0\);;">
                  <c:v>-17.907149683361787</c:v>
                </c:pt>
              </c:numCache>
            </c:numRef>
          </c:val>
          <c:extLs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5="http://schemas.microsoft.com/office/drawing/2012/chart" uri="{02D57815-91ED-43cb-92C2-25804820EDAC}">
              <c15:datalabelsRange>
                <c15:f>'W5'!$R$63</c15:f>
                <c15:dlblRangeCache>
                  <c:ptCount val="1"/>
                  <c:pt idx="0">
                    <c:v>-3.1.%</c:v>
                  </c:pt>
                </c15:dlblRangeCache>
              </c15:datalabelsRange>
            </c:ext>
            <c:ext xmlns:c16="http://schemas.microsoft.com/office/drawing/2014/chart" uri="{C3380CC4-5D6E-409C-BE32-E72D297353CC}">
              <c16:uniqueId val="{0000000A-0739-4B5B-9096-FD747A99CFB7}"/>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'W5'!$D$50</c15:sqref>
                        </c15:formulaRef>
                      </c:ext>
                    </c:extLst>
                    <c:strCache>
                      <c:ptCount val="1"/>
                      <c:pt idx="0">
                        <c:v>Vảy sạch</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C-0739-4B5B-9096-FD747A99CFB7}"/>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17975F93-6E18-4F0C-BC1B-090DCF82ED02}"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A6D63EB6-D5AA-4707-AA04-C1BA2D433AC4}"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7D38C55E-66B3-49A2-8054-C996CA2730B5}"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0C-0739-4B5B-9096-FD747A99CFB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'W5'!$Q$50:$R$50</c15:sqref>
                        </c15:fullRef>
                        <c15:formulaRef>
                          <c15:sqref>'W5'!$Q$50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uri="{02D57815-91ED-43cb-92C2-25804820EDAC}">
                    <c15:datalabelsRange>
                      <c15:f>'W5'!$P$51</c15:f>
                      <c15:dlblRangeCache>
                        <c:ptCount val="1"/>
                        <c:pt idx="0">
                          <c:v>4.7%</c:v>
                        </c:pt>
                      </c15:dlblRangeCache>
                    </c15:datalabelsRange>
                  </c:ext>
                  <c:ext xmlns:c16="http://schemas.microsoft.com/office/drawing/2014/chart" uri="{C3380CC4-5D6E-409C-BE32-E72D297353CC}">
                    <c16:uniqueId val="{0000000D-0739-4B5B-9096-FD747A99CFB7}"/>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0C6840B5-EAB4-40A4-A6C8-A055FAFCA046}" type="CELLRANGE">
                            <a:rPr lang="en-US" b="1" baseline="0">
                              <a:solidFill>
                                <a:srgbClr val="FF0000"/>
                              </a:solidFill>
                            </a:rPr>
                            <a:pPr>
                              <a:defRPr sz="1300" b="1" i="0" u="none" strike="noStrike" kern="1200" baseline="0">
                                <a:solidFill>
                                  <a:srgbClr val="FF0000"/>
                                </a:solidFill>
                                <a:latin typeface="+mn-lt"/>
                                <a:ea typeface="+mn-ea"/>
                                <a:cs typeface="+mn-cs"/>
                              </a:defRPr>
                            </a:pPr>
                            <a:t>[CELLRANGE]</a:t>
                          </a:fld>
                          <a:r>
                            <a:rPr lang="en-US" b="1" baseline="0">
                              <a:solidFill>
                                <a:srgbClr val="FF0000"/>
                              </a:solidFill>
                            </a:rPr>
                            <a:t>, </a:t>
                          </a:r>
                          <a:fld id="{4AC22DED-D7A5-4122-AC90-88D7A7C0A7C4}" type="SERIESNAME">
                            <a:rPr lang="en-US" b="1" baseline="0">
                              <a:solidFill>
                                <a:srgbClr val="FF0000"/>
                              </a:solidFill>
                            </a:rPr>
                            <a:pPr>
                              <a:defRPr sz="1300" b="1" i="0" u="none" strike="noStrike" kern="1200" baseline="0">
                                <a:solidFill>
                                  <a:srgbClr val="FF0000"/>
                                </a:solidFill>
                                <a:latin typeface="+mn-lt"/>
                                <a:ea typeface="+mn-ea"/>
                                <a:cs typeface="+mn-cs"/>
                              </a:defRPr>
                            </a:pPr>
                            <a:t>[SERIES NAME]</a:t>
                          </a:fld>
                          <a:r>
                            <a:rPr lang="en-US" b="1" baseline="0">
                              <a:solidFill>
                                <a:srgbClr val="FF0000"/>
                              </a:solidFill>
                            </a:rPr>
                            <a:t>, </a:t>
                          </a:r>
                          <a:fld id="{3D9C0198-955C-4C79-B542-DC295E7834A2}" type="VALUE">
                            <a:rPr lang="en-US" b="1" baseline="0">
                              <a:solidFill>
                                <a:srgbClr val="FF0000"/>
                              </a:solidFill>
                            </a:rPr>
                            <a:pPr>
                              <a:defRPr sz="1300" b="1" i="0" u="none" strike="noStrike" kern="1200" baseline="0">
                                <a:solidFill>
                                  <a:srgbClr val="FF0000"/>
                                </a:solidFill>
                                <a:latin typeface="+mn-lt"/>
                                <a:ea typeface="+mn-ea"/>
                                <a:cs typeface="+mn-cs"/>
                              </a:defRPr>
                            </a:pPr>
                            <a:t>[VALUE]</a:t>
                          </a:fld>
                          <a:endParaRPr lang="en-US"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0E-0739-4B5B-9096-FD747A99CFB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'W5'!$Q$53:$R$53</c15:sqref>
                        </c15:fullRef>
                        <c15:formulaRef>
                          <c15:sqref>'W5'!$Q$53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5="http://schemas.microsoft.com/office/drawing/2012/chart" uri="{02D57815-91ED-43cb-92C2-25804820EDAC}">
                    <c15:datalabelsRange>
                      <c15:f>'W5'!$P$63</c15:f>
                      <c15:dlblRangeCache>
                        <c:ptCount val="1"/>
                        <c:pt idx="0">
                          <c:v>-4.0.%</c:v>
                        </c:pt>
                      </c15:dlblRangeCache>
                    </c15:datalabelsRange>
                  </c:ext>
                  <c:ext xmlns:c16="http://schemas.microsoft.com/office/drawing/2014/chart" uri="{C3380CC4-5D6E-409C-BE32-E72D297353CC}">
                    <c16:uniqueId val="{0000000F-0739-4B5B-9096-FD747A99CFB7}"/>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'W5'!$Q$54:$R$54</c15:sqref>
                        </c15:fullRef>
                        <c15:formulaRef>
                          <c15:sqref>'W5'!$Q$54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6="http://schemas.microsoft.com/office/drawing/2014/chart" uri="{C3380CC4-5D6E-409C-BE32-E72D297353CC}">
                    <c16:uniqueId val="{00000010-0739-4B5B-9096-FD747A99CFB7}"/>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'W5'!$Q$55:$R$55</c15:sqref>
                        </c15:fullRef>
                        <c15:formulaRef>
                          <c15:sqref>'W5'!$Q$55</c15:sqref>
                        </c15:formulaRef>
                      </c:ext>
                    </c:extLst>
                    <c:numCache>
                      <c:formatCode>0.0%;\-0.0.%;</c:formatCode>
                      <c:ptCount val="1"/>
                      <c:pt idx="0" formatCode="#,##0_);\(#,##0\);;">
                        <c:v>32.74722577596247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6="http://schemas.microsoft.com/office/drawing/2014/chart" uri="{C3380CC4-5D6E-409C-BE32-E72D297353CC}">
                    <c16:uniqueId val="{00000011-0739-4B5B-9096-FD747A99CFB7}"/>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'W5'!$Q$56:$R$56</c15:sqref>
                        </c15:fullRef>
                        <c15:formulaRef>
                          <c15:sqref>'W5'!$Q$56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6="http://schemas.microsoft.com/office/drawing/2014/chart" uri="{C3380CC4-5D6E-409C-BE32-E72D297353CC}">
                    <c16:uniqueId val="{00000012-0739-4B5B-9096-FD747A99CFB7}"/>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'W5'!$Q$57:$R$57</c15:sqref>
                        </c15:fullRef>
                        <c15:formulaRef>
                          <c15:sqref>'W5'!$Q$57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6="http://schemas.microsoft.com/office/drawing/2014/chart" uri="{C3380CC4-5D6E-409C-BE32-E72D297353CC}">
                    <c16:uniqueId val="{00000013-0739-4B5B-9096-FD747A99CFB7}"/>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'W5'!$Q$58:$R$58</c15:sqref>
                        </c15:fullRef>
                        <c15:formulaRef>
                          <c15:sqref>'W5'!$Q$58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6="http://schemas.microsoft.com/office/drawing/2014/chart" uri="{C3380CC4-5D6E-409C-BE32-E72D297353CC}">
                    <c16:uniqueId val="{00000014-0739-4B5B-9096-FD747A99CFB7}"/>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'W5'!$Q$59:$R$59</c15:sqref>
                        </c15:fullRef>
                        <c15:formulaRef>
                          <c15:sqref>'W5'!$Q$59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6="http://schemas.microsoft.com/office/drawing/2014/chart" uri="{C3380CC4-5D6E-409C-BE32-E72D297353CC}">
                    <c16:uniqueId val="{00000015-0739-4B5B-9096-FD747A99CFB7}"/>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'W5'!$Q$60:$R$60</c15:sqref>
                        </c15:fullRef>
                        <c15:formulaRef>
                          <c15:sqref>'W5'!$Q$60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6="http://schemas.microsoft.com/office/drawing/2014/chart" uri="{C3380CC4-5D6E-409C-BE32-E72D297353CC}">
                    <c16:uniqueId val="{00000016-0739-4B5B-9096-FD747A99CFB7}"/>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'W5'!$Q$61:$R$61</c15:sqref>
                        </c15:fullRef>
                        <c15:formulaRef>
                          <c15:sqref>'W5'!$Q$61</c15:sqref>
                        </c15:formulaRef>
                      </c:ext>
                    </c:extLst>
                    <c:numCache>
                      <c:formatCode>0.0%;\-0.0.%;</c:formatCode>
                      <c:ptCount val="1"/>
                      <c:pt idx="0" formatCode="#,##0_);\(#,##0\);;">
                        <c:v>608.35915336128733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6="http://schemas.microsoft.com/office/drawing/2014/chart" uri="{C3380CC4-5D6E-409C-BE32-E72D297353CC}">
                    <c16:uniqueId val="{00000017-0739-4B5B-9096-FD747A99CFB7}"/>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'W5'!$Q$64:$R$64</c15:sqref>
                        </c15:fullRef>
                        <c15:formulaRef>
                          <c15:sqref>'W5'!$Q$64</c15:sqref>
                        </c15:formulaRef>
                      </c:ext>
                    </c:extLst>
                    <c:numCache>
                      <c:formatCode>0.0%;\-0.0.%;</c:formatCode>
                      <c:ptCount val="1"/>
                      <c:pt idx="0" formatCode="#,##0_);\(#,##0\);;">
                        <c:v>585.97521625708509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6="http://schemas.microsoft.com/office/drawing/2014/chart" uri="{C3380CC4-5D6E-409C-BE32-E72D297353CC}">
                    <c16:uniqueId val="{00000018-0739-4B5B-9096-FD747A99CFB7}"/>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'W5'!$Q$65:$R$65</c15:sqref>
                        </c15:fullRef>
                        <c15:formulaRef>
                          <c15:sqref>'W5'!$Q$65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'W5'!$Q$48:$R$48</c15:sqref>
                              </c15:formulaRef>
                            </c:ext>
                          </c:extLst>
                          <c:strCache>
                            <c:ptCount val="1"/>
                            <c:pt idx="0">
                              <c:v>Chi phí
VNĐ / Phôi</c:v>
                            </c:pt>
                          </c:strCache>
                        </c:strRef>
                      </c15:cat>
                    </c15:filteredCategoryTitle>
                  </c:ext>
                  <c:ext xmlns:c16="http://schemas.microsoft.com/office/drawing/2014/chart" uri="{C3380CC4-5D6E-409C-BE32-E72D297353CC}">
                    <c16:uniqueId val="{00000019-0739-4B5B-9096-FD747A99CFB7}"/>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1CF8-4434-A4A4-2A505938F1B1}"/>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3AB4F735-11E8-4E13-8C80-67AED3938D6E}"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7579B136-040D-45E2-A45D-F920C8EF115C}"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9E8C12EB-D1DB-4781-96CB-3615A66DDD11}"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1CF8-4434-A4A4-2A505938F1B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'W5'!$S$49:$T$49</c15:sqref>
                  </c15:fullRef>
                </c:ext>
              </c:extLst>
              <c:f>'W5'!$S$49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5="http://schemas.microsoft.com/office/drawing/2012/chart" uri="{02D57815-91ED-43cb-92C2-25804820EDAC}">
              <c15:datalabelsRange>
                <c15:f>'W5'!$T$49</c15:f>
                <c15:dlblRangeCache>
                  <c:ptCount val="1"/>
                  <c:pt idx="0">
                    <c:v>61.7%</c:v>
                  </c:pt>
                </c15:dlblRangeCache>
              </c15:datalabelsRange>
            </c:ext>
            <c:ext xmlns:c16="http://schemas.microsoft.com/office/drawing/2014/chart" uri="{C3380CC4-5D6E-409C-BE32-E72D297353CC}">
              <c16:uniqueId val="{00000002-1CF8-4434-A4A4-2A505938F1B1}"/>
            </c:ext>
          </c:extLst>
        </c:ser>
        <c:ser>
          <c:idx val="3"/>
          <c:order val="2"/>
          <c:tx>
            <c:strRef>
              <c:f>'W5'!$D$51</c:f>
              <c:strCache>
                <c:ptCount val="1"/>
                <c:pt idx="0">
                  <c:v>Hao hụt về tiền</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3-1CF8-4434-A4A4-2A505938F1B1}"/>
              </c:ext>
            </c:extLst>
          </c:dPt>
          <c:dLbls>
            <c:dLbl>
              <c:idx val="0"/>
              <c:layout>
                <c:manualLayout>
                  <c:x val="-5.286486833007459E-3"/>
                  <c:y val="1.012422772869189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115863C4-9878-4F5F-9AFD-49707A363320}"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8CE3F9B3-458A-4F0E-9F61-2440A5530F26}"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0AF1FC0E-0F32-46A1-996F-FF381D29AC1A}"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3-1CF8-4434-A4A4-2A505938F1B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'W5'!$S$51:$T$51</c15:sqref>
                  </c15:fullRef>
                </c:ext>
              </c:extLst>
              <c:f>'W5'!$S$51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5="http://schemas.microsoft.com/office/drawing/2012/chart" uri="{02D57815-91ED-43cb-92C2-25804820EDAC}">
              <c15:datalabelsRange>
                <c15:f>'W5'!$T$51</c15:f>
                <c15:dlblRangeCache>
                  <c:ptCount val="1"/>
                  <c:pt idx="0">
                    <c:v>4.6%</c:v>
                  </c:pt>
                </c15:dlblRangeCache>
              </c15:datalabelsRange>
            </c:ext>
            <c:ext xmlns:c16="http://schemas.microsoft.com/office/drawing/2014/chart" uri="{C3380CC4-5D6E-409C-BE32-E72D297353CC}">
              <c16:uniqueId val="{00000004-1CF8-4434-A4A4-2A505938F1B1}"/>
            </c:ext>
          </c:extLst>
        </c:ser>
        <c:ser>
          <c:idx val="14"/>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a:lstStyle/>
                  <a:p>
                    <a:fld id="{FAA84F02-E2CF-4D4B-89AF-CEEE8AE50245}" type="CELLRANGE">
                      <a:rPr lang="en-US" baseline="0"/>
                      <a:pPr/>
                      <a:t>[CELLRANGE]</a:t>
                    </a:fld>
                    <a:r>
                      <a:rPr lang="en-US" baseline="0"/>
                      <a:t>, </a:t>
                    </a:r>
                    <a:fld id="{651C2141-0184-4938-ABF2-21E64AA4E9B6}" type="SERIESNAME">
                      <a:rPr lang="en-US" baseline="0"/>
                      <a:pPr/>
                      <a:t>[SERIES NAME]</a:t>
                    </a:fld>
                    <a:r>
                      <a:rPr lang="en-US" baseline="0"/>
                      <a:t>, </a:t>
                    </a:r>
                    <a:fld id="{E1B14875-726C-404C-B3C3-B78BF3F37681}"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099181874023998"/>
                      <c:h val="0.21571343829686987"/>
                    </c:manualLayout>
                  </c15:layout>
                  <c15:dlblFieldTable/>
                  <c15:showDataLabelsRange val="1"/>
                </c:ext>
                <c:ext xmlns:c16="http://schemas.microsoft.com/office/drawing/2014/chart" uri="{C3380CC4-5D6E-409C-BE32-E72D297353CC}">
                  <c16:uniqueId val="{00000005-1CF8-4434-A4A4-2A505938F1B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'W5'!$S$52:$T$52</c15:sqref>
                  </c15:fullRef>
                </c:ext>
              </c:extLst>
              <c:f>'W5'!$S$52</c:f>
              <c:numCache>
                <c:formatCode>0.0%;\-0.0.%;</c:formatCode>
                <c:ptCount val="1"/>
                <c:pt idx="0" formatCode="#,##0_);\(#,##0\);;">
                  <c:v>229.92620690971106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5="http://schemas.microsoft.com/office/drawing/2012/chart" uri="{02D57815-91ED-43cb-92C2-25804820EDAC}">
              <c15:datalabelsRange>
                <c15:f>'W5'!$T$52</c15:f>
                <c15:dlblRangeCache>
                  <c:ptCount val="1"/>
                  <c:pt idx="0">
                    <c:v>37.1%</c:v>
                  </c:pt>
                </c15:dlblRangeCache>
              </c15:datalabelsRange>
            </c:ext>
            <c:ext xmlns:c16="http://schemas.microsoft.com/office/drawing/2014/chart" uri="{C3380CC4-5D6E-409C-BE32-E72D297353CC}">
              <c16:uniqueId val="{00000006-1CF8-4434-A4A4-2A505938F1B1}"/>
            </c:ext>
          </c:extLst>
        </c:ser>
        <c:ser>
          <c:idx val="11"/>
          <c:order val="13"/>
          <c:tx>
            <c:strRef>
              <c:f>'W5'!$D$62</c:f>
              <c:strCache>
                <c:ptCount val="1"/>
                <c:pt idx="0">
                  <c:v>Thuế thu nhập</c:v>
                </c:pt>
              </c:strCache>
            </c:strRef>
          </c:tx>
          <c:spPr>
            <a:solidFill>
              <a:srgbClr val="FFFF00"/>
            </a:solidFill>
          </c:spPr>
          <c:invertIfNegative val="0"/>
          <c:dLbls>
            <c:dLbl>
              <c:idx val="0"/>
              <c:layout>
                <c:manualLayout>
                  <c:x val="5.2866949706047274E-3"/>
                  <c:y val="2.3623198033614529E-2"/>
                </c:manualLayout>
              </c:layout>
              <c:tx>
                <c:rich>
                  <a:bodyPr wrap="square" lIns="38100" tIns="19050" rIns="38100" bIns="19050" anchor="ctr">
                    <a:noAutofit/>
                  </a:bodyPr>
                  <a:lstStyle/>
                  <a:p>
                    <a:pPr>
                      <a:defRPr/>
                    </a:pPr>
                    <a:fld id="{098D9ECE-5F60-455F-AE76-A94BC23EB5D0}" type="CELLRANGE">
                      <a:rPr lang="en-US" baseline="0"/>
                      <a:pPr>
                        <a:defRPr/>
                      </a:pPr>
                      <a:t>[CELLRANGE]</a:t>
                    </a:fld>
                    <a:r>
                      <a:rPr lang="en-US" baseline="0"/>
                      <a:t>, </a:t>
                    </a:r>
                    <a:fld id="{2D872B23-746F-4C16-93F0-502EA562011C}" type="SERIESNAME">
                      <a:rPr lang="en-US" baseline="0"/>
                      <a:pPr>
                        <a:defRPr/>
                      </a:pPr>
                      <a:t>[SERIES NAME]</a:t>
                    </a:fld>
                    <a:r>
                      <a:rPr lang="en-US" baseline="0"/>
                      <a:t>, </a:t>
                    </a:r>
                    <a:fld id="{D52CA2A7-22F3-46FA-B1AD-D69481295AAC}"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5835645395142982"/>
                      <c:h val="0.10400956619942868"/>
                    </c:manualLayout>
                  </c15:layout>
                  <c15:dlblFieldTable/>
                  <c15:showDataLabelsRange val="1"/>
                </c:ext>
                <c:ext xmlns:c16="http://schemas.microsoft.com/office/drawing/2014/chart" uri="{C3380CC4-5D6E-409C-BE32-E72D297353CC}">
                  <c16:uniqueId val="{00000007-1CF8-4434-A4A4-2A505938F1B1}"/>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'W5'!$S$62:$T$62</c15:sqref>
                  </c15:fullRef>
                </c:ext>
              </c:extLst>
              <c:f>'W5'!$S$62</c:f>
              <c:numCache>
                <c:formatCode>0.0%;\-0.0.%;</c:formatCode>
                <c:ptCount val="1"/>
                <c:pt idx="0" formatCode="#,##0_);\(#,##0\);;">
                  <c:v>-4.2629258920719852</c:v>
                </c:pt>
              </c:numCache>
            </c:numRef>
          </c:val>
          <c:extLs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5="http://schemas.microsoft.com/office/drawing/2012/chart" uri="{02D57815-91ED-43cb-92C2-25804820EDAC}">
              <c15:datalabelsRange>
                <c15:f>'W5'!$T$62</c15:f>
                <c15:dlblRangeCache>
                  <c:ptCount val="1"/>
                  <c:pt idx="0">
                    <c:v>-0.7.%</c:v>
                  </c:pt>
                </c15:dlblRangeCache>
              </c15:datalabelsRange>
            </c:ext>
            <c:ext xmlns:c16="http://schemas.microsoft.com/office/drawing/2014/chart" uri="{C3380CC4-5D6E-409C-BE32-E72D297353CC}">
              <c16:uniqueId val="{00000008-1CF8-4434-A4A4-2A505938F1B1}"/>
            </c:ext>
          </c:extLst>
        </c:ser>
        <c:ser>
          <c:idx val="12"/>
          <c:order val="14"/>
          <c:tx>
            <c:strRef>
              <c:f>'W5'!$D$63</c:f>
              <c:strCache>
                <c:ptCount val="1"/>
                <c:pt idx="0">
                  <c:v>Lợi nhuận</c:v>
                </c:pt>
              </c:strCache>
            </c:strRef>
          </c:tx>
          <c:spPr>
            <a:solidFill>
              <a:srgbClr val="92D050"/>
            </a:solidFill>
          </c:spPr>
          <c:invertIfNegative val="0"/>
          <c:dLbls>
            <c:dLbl>
              <c:idx val="0"/>
              <c:layout>
                <c:manualLayout>
                  <c:x val="4.441864463294308E-2"/>
                  <c:y val="-6.4119843220620462E-2"/>
                </c:manualLayout>
              </c:layout>
              <c:tx>
                <c:rich>
                  <a:bodyPr wrap="square" lIns="38100" tIns="19050" rIns="38100" bIns="19050" anchor="ctr">
                    <a:noAutofit/>
                  </a:bodyPr>
                  <a:lstStyle/>
                  <a:p>
                    <a:pPr>
                      <a:defRPr sz="1300" b="1">
                        <a:solidFill>
                          <a:srgbClr val="FF0000"/>
                        </a:solidFill>
                      </a:defRPr>
                    </a:pPr>
                    <a:fld id="{85DD2322-F7F1-473B-888C-BE8A0674FF57}"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66F89353-7973-4F45-82C9-37BFE954AC31}"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69C2A054-445B-4011-BA12-6CC823698684}"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8036517325165458"/>
                      <c:h val="8.2613698266126356E-2"/>
                    </c:manualLayout>
                  </c15:layout>
                  <c15:dlblFieldTable/>
                  <c15:showDataLabelsRange val="1"/>
                </c:ext>
                <c:ext xmlns:c16="http://schemas.microsoft.com/office/drawing/2014/chart" uri="{C3380CC4-5D6E-409C-BE32-E72D297353CC}">
                  <c16:uniqueId val="{00000009-1CF8-4434-A4A4-2A505938F1B1}"/>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'W5'!$S$63:$T$63</c15:sqref>
                  </c15:fullRef>
                </c:ext>
              </c:extLst>
              <c:f>'W5'!$S$63</c:f>
              <c:numCache>
                <c:formatCode>0.0%;\-0.0.%;</c:formatCode>
                <c:ptCount val="1"/>
                <c:pt idx="0" formatCode="#,##0_);\(#,##0\);;">
                  <c:v>-17.051703568287941</c:v>
                </c:pt>
              </c:numCache>
            </c:numRef>
          </c:val>
          <c:extLs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5="http://schemas.microsoft.com/office/drawing/2012/chart" uri="{02D57815-91ED-43cb-92C2-25804820EDAC}">
              <c15:datalabelsRange>
                <c15:f>'W5'!$T$63</c15:f>
                <c15:dlblRangeCache>
                  <c:ptCount val="1"/>
                  <c:pt idx="0">
                    <c:v>-2.8.%</c:v>
                  </c:pt>
                </c15:dlblRangeCache>
              </c15:datalabelsRange>
            </c:ext>
            <c:ext xmlns:c16="http://schemas.microsoft.com/office/drawing/2014/chart" uri="{C3380CC4-5D6E-409C-BE32-E72D297353CC}">
              <c16:uniqueId val="{0000000A-1CF8-4434-A4A4-2A505938F1B1}"/>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'W5'!$D$50</c15:sqref>
                        </c15:formulaRef>
                      </c:ext>
                    </c:extLst>
                    <c:strCache>
                      <c:ptCount val="1"/>
                      <c:pt idx="0">
                        <c:v>Vảy sạch</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C-1CF8-4434-A4A4-2A505938F1B1}"/>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7A901371-526E-491E-AD6F-2B85BFECABF9}"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7CE0616F-8FCD-4182-A719-355649865ABF}"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46A1080E-41A0-41BC-AA6A-6CDA8FD5B2B1}"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0C-1CF8-4434-A4A4-2A505938F1B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'W5'!$S$50:$T$50</c15:sqref>
                        </c15:fullRef>
                        <c15:formulaRef>
                          <c15:sqref>'W5'!$S$50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uri="{02D57815-91ED-43cb-92C2-25804820EDAC}">
                    <c15:datalabelsRange>
                      <c15:f>'W5'!$P$51</c15:f>
                      <c15:dlblRangeCache>
                        <c:ptCount val="1"/>
                        <c:pt idx="0">
                          <c:v>4.7%</c:v>
                        </c:pt>
                      </c15:dlblRangeCache>
                    </c15:datalabelsRange>
                  </c:ext>
                  <c:ext xmlns:c16="http://schemas.microsoft.com/office/drawing/2014/chart" uri="{C3380CC4-5D6E-409C-BE32-E72D297353CC}">
                    <c16:uniqueId val="{0000000D-1CF8-4434-A4A4-2A505938F1B1}"/>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3E85CE41-F240-462F-8758-4C08FA312DD4}" type="CELLRANGE">
                            <a:rPr lang="en-US" b="1" baseline="0">
                              <a:solidFill>
                                <a:srgbClr val="FF0000"/>
                              </a:solidFill>
                            </a:rPr>
                            <a:pPr>
                              <a:defRPr sz="1300" b="1" i="0" u="none" strike="noStrike" kern="1200" baseline="0">
                                <a:solidFill>
                                  <a:srgbClr val="FF0000"/>
                                </a:solidFill>
                                <a:latin typeface="+mn-lt"/>
                                <a:ea typeface="+mn-ea"/>
                                <a:cs typeface="+mn-cs"/>
                              </a:defRPr>
                            </a:pPr>
                            <a:t>[CELLRANGE]</a:t>
                          </a:fld>
                          <a:r>
                            <a:rPr lang="en-US" b="1" baseline="0">
                              <a:solidFill>
                                <a:srgbClr val="FF0000"/>
                              </a:solidFill>
                            </a:rPr>
                            <a:t>, </a:t>
                          </a:r>
                          <a:fld id="{0D6FDBF9-E50B-4511-8012-7903D029ECC8}" type="SERIESNAME">
                            <a:rPr lang="en-US" b="1" baseline="0">
                              <a:solidFill>
                                <a:srgbClr val="FF0000"/>
                              </a:solidFill>
                            </a:rPr>
                            <a:pPr>
                              <a:defRPr sz="1300" b="1" i="0" u="none" strike="noStrike" kern="1200" baseline="0">
                                <a:solidFill>
                                  <a:srgbClr val="FF0000"/>
                                </a:solidFill>
                                <a:latin typeface="+mn-lt"/>
                                <a:ea typeface="+mn-ea"/>
                                <a:cs typeface="+mn-cs"/>
                              </a:defRPr>
                            </a:pPr>
                            <a:t>[SERIES NAME]</a:t>
                          </a:fld>
                          <a:r>
                            <a:rPr lang="en-US" b="1" baseline="0">
                              <a:solidFill>
                                <a:srgbClr val="FF0000"/>
                              </a:solidFill>
                            </a:rPr>
                            <a:t>, </a:t>
                          </a:r>
                          <a:fld id="{74624B13-F6F1-4192-B6CC-82E340AE1508}" type="VALUE">
                            <a:rPr lang="en-US" b="1" baseline="0">
                              <a:solidFill>
                                <a:srgbClr val="FF0000"/>
                              </a:solidFill>
                            </a:rPr>
                            <a:pPr>
                              <a:defRPr sz="1300" b="1" i="0" u="none" strike="noStrike" kern="1200" baseline="0">
                                <a:solidFill>
                                  <a:srgbClr val="FF0000"/>
                                </a:solidFill>
                                <a:latin typeface="+mn-lt"/>
                                <a:ea typeface="+mn-ea"/>
                                <a:cs typeface="+mn-cs"/>
                              </a:defRPr>
                            </a:pPr>
                            <a:t>[VALUE]</a:t>
                          </a:fld>
                          <a:endParaRPr lang="en-US"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0E-1CF8-4434-A4A4-2A505938F1B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'W5'!$S$53:$T$53</c15:sqref>
                        </c15:fullRef>
                        <c15:formulaRef>
                          <c15:sqref>'W5'!$S$53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5="http://schemas.microsoft.com/office/drawing/2012/chart" uri="{02D57815-91ED-43cb-92C2-25804820EDAC}">
                    <c15:datalabelsRange>
                      <c15:f>'W5'!$P$63</c15:f>
                      <c15:dlblRangeCache>
                        <c:ptCount val="1"/>
                        <c:pt idx="0">
                          <c:v>-4.0.%</c:v>
                        </c:pt>
                      </c15:dlblRangeCache>
                    </c15:datalabelsRange>
                  </c:ext>
                  <c:ext xmlns:c16="http://schemas.microsoft.com/office/drawing/2014/chart" uri="{C3380CC4-5D6E-409C-BE32-E72D297353CC}">
                    <c16:uniqueId val="{0000000F-1CF8-4434-A4A4-2A505938F1B1}"/>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'W5'!$S$54:$T$54</c15:sqref>
                        </c15:fullRef>
                        <c15:formulaRef>
                          <c15:sqref>'W5'!$S$54</c15:sqref>
                        </c15:formulaRef>
                      </c:ext>
                    </c:extLst>
                    <c:numCache>
                      <c:formatCode>0.0%;\-0.0.%;</c:formatCode>
                      <c:ptCount val="1"/>
                      <c:pt idx="0" formatCode="#,##0_);\(#,##0\);;">
                        <c:v>75.221841779627511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6="http://schemas.microsoft.com/office/drawing/2014/chart" uri="{C3380CC4-5D6E-409C-BE32-E72D297353CC}">
                    <c16:uniqueId val="{00000010-1CF8-4434-A4A4-2A505938F1B1}"/>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'W5'!$S$55:$T$55</c15:sqref>
                        </c15:fullRef>
                        <c15:formulaRef>
                          <c15:sqref>'W5'!$S$55</c15:sqref>
                        </c15:formulaRef>
                      </c:ext>
                    </c:extLst>
                    <c:numCache>
                      <c:formatCode>0.0%;\-0.0.%;</c:formatCode>
                      <c:ptCount val="1"/>
                      <c:pt idx="0" formatCode="#,##0_);\(#,##0\);;">
                        <c:v>49.080017572979045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6="http://schemas.microsoft.com/office/drawing/2014/chart" uri="{C3380CC4-5D6E-409C-BE32-E72D297353CC}">
                    <c16:uniqueId val="{00000011-1CF8-4434-A4A4-2A505938F1B1}"/>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'W5'!$S$56:$T$56</c15:sqref>
                        </c15:fullRef>
                        <c15:formulaRef>
                          <c15:sqref>'W5'!$S$56</c15:sqref>
                        </c15:formulaRef>
                      </c:ext>
                    </c:extLst>
                    <c:numCache>
                      <c:formatCode>0.0%;\-0.0.%;</c:formatCode>
                      <c:ptCount val="1"/>
                      <c:pt idx="0" formatCode="#,##0_);\(#,##0\);;">
                        <c:v>52.924243679977039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6="http://schemas.microsoft.com/office/drawing/2014/chart" uri="{C3380CC4-5D6E-409C-BE32-E72D297353CC}">
                    <c16:uniqueId val="{00000012-1CF8-4434-A4A4-2A505938F1B1}"/>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'W5'!$S$57:$T$57</c15:sqref>
                        </c15:fullRef>
                        <c15:formulaRef>
                          <c15:sqref>'W5'!$S$57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6="http://schemas.microsoft.com/office/drawing/2014/chart" uri="{C3380CC4-5D6E-409C-BE32-E72D297353CC}">
                    <c16:uniqueId val="{00000013-1CF8-4434-A4A4-2A505938F1B1}"/>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'W5'!$S$58:$T$58</c15:sqref>
                        </c15:fullRef>
                        <c15:formulaRef>
                          <c15:sqref>'W5'!$S$58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6="http://schemas.microsoft.com/office/drawing/2014/chart" uri="{C3380CC4-5D6E-409C-BE32-E72D297353CC}">
                    <c16:uniqueId val="{00000014-1CF8-4434-A4A4-2A505938F1B1}"/>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'W5'!$S$59:$T$59</c15:sqref>
                        </c15:fullRef>
                        <c15:formulaRef>
                          <c15:sqref>'W5'!$S$59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6="http://schemas.microsoft.com/office/drawing/2014/chart" uri="{C3380CC4-5D6E-409C-BE32-E72D297353CC}">
                    <c16:uniqueId val="{00000015-1CF8-4434-A4A4-2A505938F1B1}"/>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'W5'!$S$60:$T$60</c15:sqref>
                        </c15:fullRef>
                        <c15:formulaRef>
                          <c15:sqref>'W5'!$S$60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6="http://schemas.microsoft.com/office/drawing/2014/chart" uri="{C3380CC4-5D6E-409C-BE32-E72D297353CC}">
                    <c16:uniqueId val="{00000016-1CF8-4434-A4A4-2A505938F1B1}"/>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'W5'!$S$61:$T$61</c15:sqref>
                        </c15:fullRef>
                        <c15:formulaRef>
                          <c15:sqref>'W5'!$S$61</c15:sqref>
                        </c15:formulaRef>
                      </c:ext>
                    </c:extLst>
                    <c:numCache>
                      <c:formatCode>0.0%;\-0.0.%;</c:formatCode>
                      <c:ptCount val="1"/>
                      <c:pt idx="0" formatCode="#,##0_);\(#,##0\);;">
                        <c:v>640.55846497422726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6="http://schemas.microsoft.com/office/drawing/2014/chart" uri="{C3380CC4-5D6E-409C-BE32-E72D297353CC}">
                    <c16:uniqueId val="{00000017-1CF8-4434-A4A4-2A505938F1B1}"/>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'W5'!$S$64:$T$64</c15:sqref>
                        </c15:fullRef>
                        <c15:formulaRef>
                          <c15:sqref>'W5'!$S$64</c15:sqref>
                        </c15:formulaRef>
                      </c:ext>
                    </c:extLst>
                    <c:numCache>
                      <c:formatCode>0.0%;\-0.0.%;</c:formatCode>
                      <c:ptCount val="1"/>
                      <c:pt idx="0" formatCode="#,##0_);\(#,##0\);;">
                        <c:v>619.24383551386734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6="http://schemas.microsoft.com/office/drawing/2014/chart" uri="{C3380CC4-5D6E-409C-BE32-E72D297353CC}">
                    <c16:uniqueId val="{00000018-1CF8-4434-A4A4-2A505938F1B1}"/>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'W5'!$S$65:$T$65</c15:sqref>
                        </c15:fullRef>
                        <c15:formulaRef>
                          <c15:sqref>'W5'!$S$65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'W5'!$S$48:$T$48</c15:sqref>
                              </c15:formulaRef>
                            </c:ext>
                          </c:extLst>
                          <c:strCache>
                            <c:ptCount val="1"/>
                            <c:pt idx="0">
                              <c:v>Chi phí
VNĐ / Phôi</c:v>
                            </c:pt>
                          </c:strCache>
                        </c:strRef>
                      </c15:cat>
                    </c15:filteredCategoryTitle>
                  </c:ext>
                  <c:ext xmlns:c16="http://schemas.microsoft.com/office/drawing/2014/chart" uri="{C3380CC4-5D6E-409C-BE32-E72D297353CC}">
                    <c16:uniqueId val="{00000019-1CF8-4434-A4A4-2A505938F1B1}"/>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AB39-4405-BD31-C63D439EE00C}"/>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5F2CAF88-30F6-492C-8951-0A0618924E31}"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69B17DCB-16BC-4B4B-B738-501BE033B904}"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F7056385-BCB5-415A-923A-2270B63A8D3B}"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AB39-4405-BD31-C63D439EE00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'W5'!$U$49:$V$49</c15:sqref>
                  </c15:fullRef>
                </c:ext>
              </c:extLst>
              <c:f>'W5'!$U$49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5="http://schemas.microsoft.com/office/drawing/2012/chart" uri="{02D57815-91ED-43cb-92C2-25804820EDAC}">
              <c15:datalabelsRange>
                <c15:f>'W5'!$V$49</c15:f>
                <c15:dlblRangeCache>
                  <c:ptCount val="1"/>
                  <c:pt idx="0">
                    <c:v>56.2%</c:v>
                  </c:pt>
                </c15:dlblRangeCache>
              </c15:datalabelsRange>
            </c:ext>
            <c:ext xmlns:c16="http://schemas.microsoft.com/office/drawing/2014/chart" uri="{C3380CC4-5D6E-409C-BE32-E72D297353CC}">
              <c16:uniqueId val="{00000002-AB39-4405-BD31-C63D439EE00C}"/>
            </c:ext>
          </c:extLst>
        </c:ser>
        <c:ser>
          <c:idx val="14"/>
          <c:order val="2"/>
          <c:tx>
            <c:strRef>
              <c:f>'W5'!$D$51</c:f>
              <c:strCache>
                <c:ptCount val="1"/>
                <c:pt idx="0">
                  <c:v>Hao hụt về tiền</c:v>
                </c:pt>
              </c:strCache>
            </c:strRef>
          </c:tx>
          <c:spPr>
            <a:solidFill>
              <a:srgbClr val="FFC000"/>
            </a:solidFill>
            <a:ln>
              <a:noFill/>
            </a:ln>
            <a:effectLst/>
          </c:spPr>
          <c:invertIfNegative val="0"/>
          <c:dLbls>
            <c:dLbl>
              <c:idx val="0"/>
              <c:layout>
                <c:manualLayout>
                  <c:x val="2.114677988241891E-2"/>
                  <c:y val="2.024858832126486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2E1F44BF-E959-4279-8167-10C022D63CF6}" type="CELLRANGE">
                      <a:rPr lang="en-US" baseline="0"/>
                      <a:pPr>
                        <a:defRPr sz="1000" b="0" i="0" u="none" strike="noStrike" kern="1200" baseline="0">
                          <a:solidFill>
                            <a:schemeClr val="tx1">
                              <a:lumMod val="75000"/>
                              <a:lumOff val="25000"/>
                            </a:schemeClr>
                          </a:solidFill>
                          <a:latin typeface="+mn-lt"/>
                          <a:ea typeface="+mn-ea"/>
                          <a:cs typeface="+mn-cs"/>
                        </a:defRPr>
                      </a:pPr>
                      <a:t>[CELLRANGE]</a:t>
                    </a:fld>
                    <a:r>
                      <a:rPr lang="en-US" baseline="0"/>
                      <a:t>, </a:t>
                    </a:r>
                    <a:fld id="{DA204A32-3A79-4029-A5DE-24ECE39EA031}" type="SERIESNAME">
                      <a:rPr lang="en-US" baseline="0"/>
                      <a:pPr>
                        <a:defRPr sz="1000" b="0" i="0" u="none" strike="noStrike" kern="1200" baseline="0">
                          <a:solidFill>
                            <a:schemeClr val="tx1">
                              <a:lumMod val="75000"/>
                              <a:lumOff val="25000"/>
                            </a:schemeClr>
                          </a:solidFill>
                          <a:latin typeface="+mn-lt"/>
                          <a:ea typeface="+mn-ea"/>
                          <a:cs typeface="+mn-cs"/>
                        </a:defRPr>
                      </a:pPr>
                      <a:t>[SERIES NAME]</a:t>
                    </a:fld>
                    <a:r>
                      <a:rPr lang="en-US" baseline="0"/>
                      <a:t>, </a:t>
                    </a:r>
                    <a:fld id="{5E5EAA80-2530-4828-BCA7-AFDE6A7BBD1E}" type="VALUE">
                      <a:rPr lang="en-US" baseline="0"/>
                      <a:pPr>
                        <a:defRPr sz="10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0991838092260733"/>
                      <c:h val="0.12459549591443562"/>
                    </c:manualLayout>
                  </c15:layout>
                  <c15:dlblFieldTable/>
                  <c15:showDataLabelsRange val="1"/>
                </c:ext>
                <c:ext xmlns:c16="http://schemas.microsoft.com/office/drawing/2014/chart" uri="{C3380CC4-5D6E-409C-BE32-E72D297353CC}">
                  <c16:uniqueId val="{00000003-AB39-4405-BD31-C63D439EE00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'W5'!$U$51:$V$51</c15:sqref>
                  </c15:fullRef>
                </c:ext>
              </c:extLst>
              <c:f>'W5'!$U$51</c:f>
              <c:numCache>
                <c:formatCode>0.0%;\-0.0.%;</c:formatCode>
                <c:ptCount val="1"/>
                <c:pt idx="0" formatCode="#,##0_);\(#,##0\);;">
                  <c:v>28.744258064516178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5="http://schemas.microsoft.com/office/drawing/2012/chart" uri="{02D57815-91ED-43cb-92C2-25804820EDAC}">
              <c15:datalabelsRange>
                <c15:f>'W5'!$V$51</c15:f>
                <c15:dlblRangeCache>
                  <c:ptCount val="1"/>
                  <c:pt idx="0">
                    <c:v>4.2%</c:v>
                  </c:pt>
                </c15:dlblRangeCache>
              </c15:datalabelsRange>
            </c:ext>
            <c:ext xmlns:c16="http://schemas.microsoft.com/office/drawing/2014/chart" uri="{C3380CC4-5D6E-409C-BE32-E72D297353CC}">
              <c16:uniqueId val="{00000004-AB39-4405-BD31-C63D439EE00C}"/>
            </c:ext>
          </c:extLst>
        </c:ser>
        <c:ser>
          <c:idx val="11"/>
          <c:order val="3"/>
          <c:tx>
            <c:strRef>
              <c:f>'W5'!$D$52</c:f>
              <c:strCache>
                <c:ptCount val="1"/>
                <c:pt idx="0">
                  <c:v>Chi phí biến đổi</c:v>
                </c:pt>
              </c:strCache>
            </c:strRef>
          </c:tx>
          <c:spPr>
            <a:solidFill>
              <a:schemeClr val="bg2">
                <a:lumMod val="90000"/>
              </a:schemeClr>
            </a:solidFill>
          </c:spPr>
          <c:invertIfNegative val="0"/>
          <c:dLbls>
            <c:dLbl>
              <c:idx val="0"/>
              <c:tx>
                <c:rich>
                  <a:bodyPr wrap="square" lIns="38100" tIns="19050" rIns="38100" bIns="19050" anchor="ctr">
                    <a:noAutofit/>
                  </a:bodyPr>
                  <a:lstStyle/>
                  <a:p>
                    <a:pPr>
                      <a:defRPr sz="1300"/>
                    </a:pPr>
                    <a:fld id="{9837C169-05CA-45B7-B805-6C56C7DCE168}" type="CELLRANGE">
                      <a:rPr lang="en-US" sz="1300" baseline="0"/>
                      <a:pPr>
                        <a:defRPr sz="1300"/>
                      </a:pPr>
                      <a:t>[CELLRANGE]</a:t>
                    </a:fld>
                    <a:r>
                      <a:rPr lang="en-US" sz="1300" baseline="0"/>
                      <a:t>, </a:t>
                    </a:r>
                    <a:fld id="{AD023C73-71D1-4F2A-960E-6EEAE3F278F9}" type="SERIESNAME">
                      <a:rPr lang="en-US" sz="1300" baseline="0"/>
                      <a:pPr>
                        <a:defRPr sz="1300"/>
                      </a:pPr>
                      <a:t>[SERIES NAME]</a:t>
                    </a:fld>
                    <a:r>
                      <a:rPr lang="en-US" sz="1300" baseline="0"/>
                      <a:t>, </a:t>
                    </a:r>
                    <a:fld id="{5D85043E-68C8-46B0-B342-2C82628585F9}"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8478992880445348"/>
                      <c:h val="0.15463070484288846"/>
                    </c:manualLayout>
                  </c15:layout>
                  <c15:dlblFieldTable/>
                  <c15:showDataLabelsRange val="1"/>
                </c:ext>
                <c:ext xmlns:c16="http://schemas.microsoft.com/office/drawing/2014/chart" uri="{C3380CC4-5D6E-409C-BE32-E72D297353CC}">
                  <c16:uniqueId val="{00000005-AB39-4405-BD31-C63D439EE00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'W5'!$U$52:$V$52</c15:sqref>
                  </c15:fullRef>
                </c:ext>
              </c:extLst>
              <c:f>'W5'!$U$52</c:f>
              <c:numCache>
                <c:formatCode>0.0%;\-0.0.%;</c:formatCode>
                <c:ptCount val="1"/>
                <c:pt idx="0" formatCode="#,##0_);\(#,##0\);;">
                  <c:v>197.7268952967712</c:v>
                </c:pt>
              </c:numCache>
            </c:numRef>
          </c:val>
          <c:extLs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5="http://schemas.microsoft.com/office/drawing/2012/chart" uri="{02D57815-91ED-43cb-92C2-25804820EDAC}">
              <c15:datalabelsRange>
                <c15:f>'W5'!$V$52</c15:f>
                <c15:dlblRangeCache>
                  <c:ptCount val="1"/>
                  <c:pt idx="0">
                    <c:v>29.1%</c:v>
                  </c:pt>
                </c15:dlblRangeCache>
              </c15:datalabelsRange>
            </c:ext>
            <c:ext xmlns:c16="http://schemas.microsoft.com/office/drawing/2014/chart" uri="{C3380CC4-5D6E-409C-BE32-E72D297353CC}">
              <c16:uniqueId val="{00000006-AB39-4405-BD31-C63D439EE00C}"/>
            </c:ext>
          </c:extLst>
        </c:ser>
        <c:ser>
          <c:idx val="10"/>
          <c:order val="13"/>
          <c:tx>
            <c:strRef>
              <c:f>'W5'!$D$62</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B8E36FE1-E424-4AE3-8A23-3AA33AB817D6}" type="CELLRANGE">
                      <a:rPr lang="en-US" baseline="0"/>
                      <a:pPr>
                        <a:defRPr/>
                      </a:pPr>
                      <a:t>[CELLRANGE]</a:t>
                    </a:fld>
                    <a:r>
                      <a:rPr lang="en-US" baseline="0"/>
                      <a:t>, </a:t>
                    </a:r>
                    <a:fld id="{934EA04A-E786-4987-915F-12879A485434}" type="SERIESNAME">
                      <a:rPr lang="en-US" baseline="0"/>
                      <a:pPr>
                        <a:defRPr/>
                      </a:pPr>
                      <a:t>[SERIES NAME]</a:t>
                    </a:fld>
                    <a:r>
                      <a:rPr lang="en-US" baseline="0"/>
                      <a:t>, </a:t>
                    </a:r>
                    <a:fld id="{521852BC-6056-429E-9286-854F599E040C}"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42452285496513"/>
                      <c:h val="0.10132677871520628"/>
                    </c:manualLayout>
                  </c15:layout>
                  <c15:dlblFieldTable/>
                  <c15:showDataLabelsRange val="1"/>
                </c:ext>
                <c:ext xmlns:c16="http://schemas.microsoft.com/office/drawing/2014/chart" uri="{C3380CC4-5D6E-409C-BE32-E72D297353CC}">
                  <c16:uniqueId val="{00000007-AB39-4405-BD31-C63D439EE00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'W5'!$U$62:$V$62</c15:sqref>
                  </c15:fullRef>
                </c:ext>
              </c:extLst>
              <c:f>'W5'!$U$62</c:f>
              <c:numCache>
                <c:formatCode>0.0%;\-0.0.%;</c:formatCode>
                <c:ptCount val="1"/>
                <c:pt idx="0" formatCode="#,##0_);\(#,##0\);;">
                  <c:v>14.328169327742536</c:v>
                </c:pt>
              </c:numCache>
            </c:numRef>
          </c:val>
          <c:extLs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5="http://schemas.microsoft.com/office/drawing/2012/chart" uri="{02D57815-91ED-43cb-92C2-25804820EDAC}">
              <c15:datalabelsRange>
                <c15:f>'W5'!$V$62</c15:f>
                <c15:dlblRangeCache>
                  <c:ptCount val="1"/>
                  <c:pt idx="0">
                    <c:v>2.1%</c:v>
                  </c:pt>
                </c15:dlblRangeCache>
              </c15:datalabelsRange>
            </c:ext>
            <c:ext xmlns:c16="http://schemas.microsoft.com/office/drawing/2014/chart" uri="{C3380CC4-5D6E-409C-BE32-E72D297353CC}">
              <c16:uniqueId val="{00000008-AB39-4405-BD31-C63D439EE00C}"/>
            </c:ext>
          </c:extLst>
        </c:ser>
        <c:ser>
          <c:idx val="13"/>
          <c:order val="14"/>
          <c:tx>
            <c:strRef>
              <c:f>'W5'!$D$63</c:f>
              <c:strCache>
                <c:ptCount val="1"/>
                <c:pt idx="0">
                  <c:v>Lợi nhuận</c:v>
                </c:pt>
              </c:strCache>
            </c:strRef>
          </c:tx>
          <c:spPr>
            <a:solidFill>
              <a:srgbClr val="92D050"/>
            </a:solidFill>
          </c:spPr>
          <c:invertIfNegative val="0"/>
          <c:dLbls>
            <c:dLbl>
              <c:idx val="0"/>
              <c:layout>
                <c:manualLayout>
                  <c:x val="-1.0966561862448571E-2"/>
                  <c:y val="-7.2556965388959033E-2"/>
                </c:manualLayout>
              </c:layout>
              <c:tx>
                <c:rich>
                  <a:bodyPr wrap="square" lIns="38100" tIns="19050" rIns="38100" bIns="19050" anchor="ctr">
                    <a:noAutofit/>
                  </a:bodyPr>
                  <a:lstStyle/>
                  <a:p>
                    <a:pPr>
                      <a:defRPr sz="1300" b="1">
                        <a:solidFill>
                          <a:srgbClr val="FF0000"/>
                        </a:solidFill>
                      </a:defRPr>
                    </a:pPr>
                    <a:fld id="{55377F83-D989-46CA-86A5-4F923F06BD23}"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C0BA3847-8508-44FD-9B15-04B74BE0DED3}"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561ECA10-AD72-4C82-B6C5-3CA50CFBD6FC}"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1138712469148793"/>
                      <c:h val="9.051059589450608E-2"/>
                    </c:manualLayout>
                  </c15:layout>
                  <c15:dlblFieldTable/>
                  <c15:showDataLabelsRange val="1"/>
                </c:ext>
                <c:ext xmlns:c16="http://schemas.microsoft.com/office/drawing/2014/chart" uri="{C3380CC4-5D6E-409C-BE32-E72D297353CC}">
                  <c16:uniqueId val="{00000009-AB39-4405-BD31-C63D439EE00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'W5'!$U$63:$V$63</c15:sqref>
                  </c15:fullRef>
                </c:ext>
              </c:extLst>
              <c:f>'W5'!$U$63</c:f>
              <c:numCache>
                <c:formatCode>0.0%;\-0.0.%;</c:formatCode>
                <c:ptCount val="1"/>
                <c:pt idx="0" formatCode="#,##0_);\(#,##0\);;">
                  <c:v>57.312677310970145</c:v>
                </c:pt>
              </c:numCache>
            </c:numRef>
          </c:val>
          <c:extLs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5="http://schemas.microsoft.com/office/drawing/2012/chart" uri="{02D57815-91ED-43cb-92C2-25804820EDAC}">
              <c15:datalabelsRange>
                <c15:f>'W5'!$V$63</c15:f>
                <c15:dlblRangeCache>
                  <c:ptCount val="1"/>
                  <c:pt idx="0">
                    <c:v>8.4%</c:v>
                  </c:pt>
                </c15:dlblRangeCache>
              </c15:datalabelsRange>
            </c:ext>
            <c:ext xmlns:c16="http://schemas.microsoft.com/office/drawing/2014/chart" uri="{C3380CC4-5D6E-409C-BE32-E72D297353CC}">
              <c16:uniqueId val="{0000000A-AB39-4405-BD31-C63D439EE00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B-AB39-4405-BD31-C63D439EE00C}"/>
                    </c:ext>
                  </c:extLst>
                </c:dPt>
                <c:dLbls>
                  <c:dLbl>
                    <c:idx val="0"/>
                    <c:layout>
                      <c:manualLayout>
                        <c:x val="-5.286486833007459E-3"/>
                        <c:y val="1.012422772869189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7B9BBF20-3112-4BB2-AFDE-70988716CA5A}"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CC917CDD-05FE-4404-8275-C4ACF920DBE4}"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F9DEF54C-3BB0-4797-A205-858FAE7047EF}"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B-AB39-4405-BD31-C63D439EE00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'W5'!$U$50:$V$50</c15:sqref>
                        </c15:fullRef>
                        <c15:formulaRef>
                          <c15:sqref>'W5'!$U$50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uri="{02D57815-91ED-43cb-92C2-25804820EDAC}">
                    <c15:datalabelsRange>
                      <c15:f>'W5'!$T$51</c15:f>
                      <c15:dlblRangeCache>
                        <c:ptCount val="1"/>
                        <c:pt idx="0">
                          <c:v>4.6%</c:v>
                        </c:pt>
                      </c15:dlblRangeCache>
                    </c15:datalabelsRange>
                  </c:ext>
                  <c:ext xmlns:c16="http://schemas.microsoft.com/office/drawing/2014/chart" uri="{C3380CC4-5D6E-409C-BE32-E72D297353CC}">
                    <c16:uniqueId val="{0000000C-AB39-4405-BD31-C63D439EE00C}"/>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c:spPr>
                <c:invertIfNegative val="0"/>
                <c:dLbls>
                  <c:dLbl>
                    <c:idx val="0"/>
                    <c:layout>
                      <c:manualLayout>
                        <c:x val="1.7985169779919468E-2"/>
                        <c:y val="-6.4119843220620462E-2"/>
                      </c:manualLayout>
                    </c:layout>
                    <c:tx>
                      <c:rich>
                        <a:bodyPr wrap="square" lIns="38100" tIns="19050" rIns="38100" bIns="19050" anchor="ctr">
                          <a:noAutofit/>
                        </a:bodyPr>
                        <a:lstStyle/>
                        <a:p>
                          <a:pPr>
                            <a:defRPr sz="1300" b="1">
                              <a:solidFill>
                                <a:srgbClr val="FF0000"/>
                              </a:solidFill>
                            </a:defRPr>
                          </a:pPr>
                          <a:fld id="{E208B84B-C195-4B13-9902-8943356A4826}"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1F2BB353-CC93-4816-8889-D225C1B01602}"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7089EA84-A411-4FE4-8AC8-0D1691AD5358}"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2749822354560736"/>
                            <c:h val="8.2613698266126356E-2"/>
                          </c:manualLayout>
                        </c15:layout>
                        <c15:dlblFieldTable/>
                        <c15:showDataLabelsRange val="1"/>
                      </c:ext>
                      <c:ext xmlns:c16="http://schemas.microsoft.com/office/drawing/2014/chart" uri="{C3380CC4-5D6E-409C-BE32-E72D297353CC}">
                        <c16:uniqueId val="{0000000D-AB39-4405-BD31-C63D439EE00C}"/>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'W5'!$U$53:$V$53</c15:sqref>
                        </c15:fullRef>
                        <c15:formulaRef>
                          <c15:sqref>'W5'!$U$53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5="http://schemas.microsoft.com/office/drawing/2012/chart" uri="{02D57815-91ED-43cb-92C2-25804820EDAC}">
                    <c15:datalabelsRange>
                      <c15:f>'W5'!$T$63</c15:f>
                      <c15:dlblRangeCache>
                        <c:ptCount val="1"/>
                        <c:pt idx="0">
                          <c:v>-2.8.%</c:v>
                        </c:pt>
                      </c15:dlblRangeCache>
                    </c15:datalabelsRange>
                  </c:ext>
                  <c:ext xmlns:c16="http://schemas.microsoft.com/office/drawing/2014/chart" uri="{C3380CC4-5D6E-409C-BE32-E72D297353CC}">
                    <c16:uniqueId val="{0000000E-AB39-4405-BD31-C63D439EE00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'W5'!$U$54:$V$54</c15:sqref>
                        </c15:fullRef>
                        <c15:formulaRef>
                          <c15:sqref>'W5'!$U$54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6="http://schemas.microsoft.com/office/drawing/2014/chart" uri="{C3380CC4-5D6E-409C-BE32-E72D297353CC}">
                    <c16:uniqueId val="{0000000F-AB39-4405-BD31-C63D439EE00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dPt>
                  <c:idx val="0"/>
                  <c:invertIfNegative val="0"/>
                  <c:bubble3D val="0"/>
                  <c:spPr>
                    <a:solidFill>
                      <a:srgbClr val="FFC000"/>
                    </a:solidFill>
                    <a:ln>
                      <a:noFill/>
                    </a:ln>
                    <a:effectLst/>
                  </c:spPr>
                  <c:extLst xmlns:c15="http://schemas.microsoft.com/office/drawing/2012/chart">
                    <c:ext xmlns:c16="http://schemas.microsoft.com/office/drawing/2014/chart" uri="{C3380CC4-5D6E-409C-BE32-E72D297353CC}">
                      <c16:uniqueId val="{00000011-AB39-4405-BD31-C63D439EE00C}"/>
                    </c:ext>
                  </c:extLst>
                </c:dPt>
                <c:val>
                  <c:numRef>
                    <c:extLst>
                      <c:ext xmlns:c15="http://schemas.microsoft.com/office/drawing/2012/chart" uri="{02D57815-91ED-43cb-92C2-25804820EDAC}">
                        <c15:fullRef>
                          <c15:sqref>'W5'!$U$55:$V$55</c15:sqref>
                        </c15:fullRef>
                        <c15:formulaRef>
                          <c15:sqref>'W5'!$U$55</c15:sqref>
                        </c15:formulaRef>
                      </c:ext>
                    </c:extLst>
                    <c:numCache>
                      <c:formatCode>0.0%;\-0.0.%;</c:formatCode>
                      <c:ptCount val="1"/>
                      <c:pt idx="0" formatCode="#,##0_);\(#,##0\);;">
                        <c:v>32.74722577596247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6="http://schemas.microsoft.com/office/drawing/2014/chart" uri="{C3380CC4-5D6E-409C-BE32-E72D297353CC}">
                    <c16:uniqueId val="{00000012-AB39-4405-BD31-C63D439EE00C}"/>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'W5'!$U$56:$V$56</c15:sqref>
                        </c15:fullRef>
                        <c15:formulaRef>
                          <c15:sqref>'W5'!$U$56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6="http://schemas.microsoft.com/office/drawing/2014/chart" uri="{C3380CC4-5D6E-409C-BE32-E72D297353CC}">
                    <c16:uniqueId val="{00000013-AB39-4405-BD31-C63D439EE00C}"/>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'W5'!$U$57:$V$57</c15:sqref>
                        </c15:fullRef>
                        <c15:formulaRef>
                          <c15:sqref>'W5'!$U$57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6="http://schemas.microsoft.com/office/drawing/2014/chart" uri="{C3380CC4-5D6E-409C-BE32-E72D297353CC}">
                    <c16:uniqueId val="{00000014-AB39-4405-BD31-C63D439EE00C}"/>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'W5'!$U$58:$V$58</c15:sqref>
                        </c15:fullRef>
                        <c15:formulaRef>
                          <c15:sqref>'W5'!$U$58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6="http://schemas.microsoft.com/office/drawing/2014/chart" uri="{C3380CC4-5D6E-409C-BE32-E72D297353CC}">
                    <c16:uniqueId val="{00000015-AB39-4405-BD31-C63D439EE00C}"/>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'W5'!$U$59:$V$59</c15:sqref>
                        </c15:fullRef>
                        <c15:formulaRef>
                          <c15:sqref>'W5'!$U$59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6="http://schemas.microsoft.com/office/drawing/2014/chart" uri="{C3380CC4-5D6E-409C-BE32-E72D297353CC}">
                    <c16:uniqueId val="{00000016-AB39-4405-BD31-C63D439EE00C}"/>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'W5'!$U$60:$V$60</c15:sqref>
                        </c15:fullRef>
                        <c15:formulaRef>
                          <c15:sqref>'W5'!$U$60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6="http://schemas.microsoft.com/office/drawing/2014/chart" uri="{C3380CC4-5D6E-409C-BE32-E72D297353CC}">
                    <c16:uniqueId val="{00000017-AB39-4405-BD31-C63D439EE00C}"/>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'W5'!$U$61:$V$61</c15:sqref>
                        </c15:fullRef>
                        <c15:formulaRef>
                          <c15:sqref>'W5'!$U$61</c15:sqref>
                        </c15:formulaRef>
                      </c:ext>
                    </c:extLst>
                    <c:numCache>
                      <c:formatCode>0.0%;\-0.0.%;</c:formatCode>
                      <c:ptCount val="1"/>
                      <c:pt idx="0" formatCode="#,##0_);\(#,##0\);;">
                        <c:v>608.35915336128733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6="http://schemas.microsoft.com/office/drawing/2014/chart" uri="{C3380CC4-5D6E-409C-BE32-E72D297353CC}">
                    <c16:uniqueId val="{00000018-AB39-4405-BD31-C63D439EE00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'W5'!$U$64:$V$64</c15:sqref>
                        </c15:fullRef>
                        <c15:formulaRef>
                          <c15:sqref>'W5'!$U$64</c15:sqref>
                        </c15:formulaRef>
                      </c:ext>
                    </c:extLst>
                    <c:numCache>
                      <c:formatCode>0.0%;\-0.0.%;</c:formatCode>
                      <c:ptCount val="1"/>
                      <c:pt idx="0" formatCode="#,##0_);\(#,##0\);;">
                        <c:v>680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6="http://schemas.microsoft.com/office/drawing/2014/chart" uri="{C3380CC4-5D6E-409C-BE32-E72D297353CC}">
                    <c16:uniqueId val="{00000019-AB39-4405-BD31-C63D439EE00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'W5'!$U$65:$V$65</c15:sqref>
                        </c15:fullRef>
                        <c15:formulaRef>
                          <c15:sqref>'W5'!$U$65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'W5'!$U$48:$V$48</c15:sqref>
                              </c15:formulaRef>
                            </c:ext>
                          </c:extLst>
                          <c:strCache>
                            <c:ptCount val="1"/>
                            <c:pt idx="0">
                              <c:v>Chi phí
VNĐ / Phôi</c:v>
                            </c:pt>
                          </c:strCache>
                        </c:strRef>
                      </c15:cat>
                    </c15:filteredCategoryTitle>
                  </c:ext>
                  <c:ext xmlns:c16="http://schemas.microsoft.com/office/drawing/2014/chart" uri="{C3380CC4-5D6E-409C-BE32-E72D297353CC}">
                    <c16:uniqueId val="{0000001A-AB39-4405-BD31-C63D439EE00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DE7E-428F-A93F-2761261A0A76}"/>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FB24019B-AE87-4A48-BB7B-66F8AF002BB7}"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3A50FBF2-362F-4CF8-A46C-35ED15CFEB8F}"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7F84FCAD-7F2B-4B36-965D-BDA7B4F23782}"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DE7E-428F-A93F-2761261A0A7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'W5'!$W$49:$X$49</c15:sqref>
                  </c15:fullRef>
                </c:ext>
              </c:extLst>
              <c:f>'W5'!$W$49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5="http://schemas.microsoft.com/office/drawing/2012/chart" uri="{02D57815-91ED-43cb-92C2-25804820EDAC}">
              <c15:datalabelsRange>
                <c15:f>'W5'!$X$49</c15:f>
                <c15:dlblRangeCache>
                  <c:ptCount val="1"/>
                  <c:pt idx="0">
                    <c:v>56.2%</c:v>
                  </c:pt>
                </c15:dlblRangeCache>
              </c15:datalabelsRange>
            </c:ext>
            <c:ext xmlns:c16="http://schemas.microsoft.com/office/drawing/2014/chart" uri="{C3380CC4-5D6E-409C-BE32-E72D297353CC}">
              <c16:uniqueId val="{00000002-DE7E-428F-A93F-2761261A0A76}"/>
            </c:ext>
          </c:extLst>
        </c:ser>
        <c:ser>
          <c:idx val="11"/>
          <c:order val="2"/>
          <c:tx>
            <c:strRef>
              <c:f>'W5'!$D$51</c:f>
              <c:strCache>
                <c:ptCount val="1"/>
                <c:pt idx="0">
                  <c:v>Hao hụt về tiền</c:v>
                </c:pt>
              </c:strCache>
            </c:strRef>
          </c:tx>
          <c:spPr>
            <a:solidFill>
              <a:srgbClr val="FFC000"/>
            </a:solidFill>
          </c:spPr>
          <c:invertIfNegative val="0"/>
          <c:dLbls>
            <c:dLbl>
              <c:idx val="0"/>
              <c:layout>
                <c:manualLayout>
                  <c:x val="-4.8460810740455671E-17"/>
                  <c:y val="3.0372683186075927E-2"/>
                </c:manualLayout>
              </c:layout>
              <c:tx>
                <c:rich>
                  <a:bodyPr wrap="square" lIns="38100" tIns="19050" rIns="38100" bIns="19050" anchor="ctr">
                    <a:noAutofit/>
                  </a:bodyPr>
                  <a:lstStyle/>
                  <a:p>
                    <a:pPr>
                      <a:defRPr sz="1000"/>
                    </a:pPr>
                    <a:fld id="{D6EBF52E-2113-40A7-BB39-38E8A8E80448}" type="CELLRANGE">
                      <a:rPr lang="en-US" sz="1000" baseline="0"/>
                      <a:pPr>
                        <a:defRPr sz="1000"/>
                      </a:pPr>
                      <a:t>[CELLRANGE]</a:t>
                    </a:fld>
                    <a:r>
                      <a:rPr lang="en-US" sz="1000" baseline="0"/>
                      <a:t>, </a:t>
                    </a:r>
                    <a:fld id="{7B8D7909-DBD2-4A0B-8904-0CA7B44CFDA1}" type="SERIESNAME">
                      <a:rPr lang="en-US" sz="1000" baseline="0"/>
                      <a:pPr>
                        <a:defRPr sz="1000"/>
                      </a:pPr>
                      <a:t>[SERIES NAME]</a:t>
                    </a:fld>
                    <a:r>
                      <a:rPr lang="en-US" sz="1000" baseline="0"/>
                      <a:t>, </a:t>
                    </a:r>
                    <a:fld id="{27357375-A54F-42A1-B016-181D625C17D2}" type="VALUE">
                      <a:rPr lang="en-US" sz="1000" baseline="0"/>
                      <a:pPr>
                        <a:defRPr sz="1000"/>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8478992880445348"/>
                      <c:h val="0.15463070484288846"/>
                    </c:manualLayout>
                  </c15:layout>
                  <c15:dlblFieldTable/>
                  <c15:showDataLabelsRange val="1"/>
                </c:ext>
                <c:ext xmlns:c16="http://schemas.microsoft.com/office/drawing/2014/chart" uri="{C3380CC4-5D6E-409C-BE32-E72D297353CC}">
                  <c16:uniqueId val="{00000003-DE7E-428F-A93F-2761261A0A76}"/>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'W5'!$W$51:$X$51</c15:sqref>
                  </c15:fullRef>
                </c:ext>
              </c:extLst>
              <c:f>'W5'!$W$51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5="http://schemas.microsoft.com/office/drawing/2012/chart" uri="{02D57815-91ED-43cb-92C2-25804820EDAC}">
              <c15:datalabelsRange>
                <c15:f>'W5'!$X$51</c15:f>
                <c15:dlblRangeCache>
                  <c:ptCount val="1"/>
                  <c:pt idx="0">
                    <c:v>4.2%</c:v>
                  </c:pt>
                </c15:dlblRangeCache>
              </c15:datalabelsRange>
            </c:ext>
            <c:ext xmlns:c16="http://schemas.microsoft.com/office/drawing/2014/chart" uri="{C3380CC4-5D6E-409C-BE32-E72D297353CC}">
              <c16:uniqueId val="{00000004-DE7E-428F-A93F-2761261A0A76}"/>
            </c:ext>
          </c:extLst>
        </c:ser>
        <c:ser>
          <c:idx val="10"/>
          <c:order val="3"/>
          <c:tx>
            <c:strRef>
              <c:f>'W5'!$D$52</c:f>
              <c:strCache>
                <c:ptCount val="1"/>
                <c:pt idx="0">
                  <c:v>Chi phí biến đổi</c:v>
                </c:pt>
              </c:strCache>
            </c:strRef>
          </c:tx>
          <c:spPr>
            <a:solidFill>
              <a:schemeClr val="bg2">
                <a:lumMod val="90000"/>
              </a:schemeClr>
            </a:solidFill>
          </c:spPr>
          <c:invertIfNegative val="0"/>
          <c:dLbls>
            <c:dLbl>
              <c:idx val="0"/>
              <c:tx>
                <c:rich>
                  <a:bodyPr wrap="square" lIns="38100" tIns="19050" rIns="38100" bIns="19050" anchor="ctr">
                    <a:noAutofit/>
                  </a:bodyPr>
                  <a:lstStyle/>
                  <a:p>
                    <a:pPr>
                      <a:defRPr sz="1300"/>
                    </a:pPr>
                    <a:fld id="{EA809216-05D0-451B-9787-CA926F5F19D2}" type="CELLRANGE">
                      <a:rPr lang="en-US" sz="1300" baseline="0"/>
                      <a:pPr>
                        <a:defRPr sz="1300"/>
                      </a:pPr>
                      <a:t>[CELLRANGE]</a:t>
                    </a:fld>
                    <a:r>
                      <a:rPr lang="en-US" sz="1300" baseline="0"/>
                      <a:t>, </a:t>
                    </a:r>
                    <a:fld id="{D96F4213-878B-41EB-8091-57B470A71C52}" type="SERIESNAME">
                      <a:rPr lang="en-US" sz="1300" baseline="0"/>
                      <a:pPr>
                        <a:defRPr sz="1300"/>
                      </a:pPr>
                      <a:t>[SERIES NAME]</a:t>
                    </a:fld>
                    <a:r>
                      <a:rPr lang="en-US" sz="1300" baseline="0"/>
                      <a:t>, </a:t>
                    </a:r>
                    <a:fld id="{89E53DB9-5C94-4B52-BEC2-55701D8229E9}"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42452285496513"/>
                      <c:h val="0.1485731747824354"/>
                    </c:manualLayout>
                  </c15:layout>
                  <c15:dlblFieldTable/>
                  <c15:showDataLabelsRange val="1"/>
                </c:ext>
                <c:ext xmlns:c16="http://schemas.microsoft.com/office/drawing/2014/chart" uri="{C3380CC4-5D6E-409C-BE32-E72D297353CC}">
                  <c16:uniqueId val="{00000005-DE7E-428F-A93F-2761261A0A76}"/>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'W5'!$W$52:$X$52</c15:sqref>
                  </c15:fullRef>
                </c:ext>
              </c:extLst>
              <c:f>'W5'!$W$52</c:f>
              <c:numCache>
                <c:formatCode>0.0%;\-0.0.%;</c:formatCode>
                <c:ptCount val="1"/>
                <c:pt idx="0" formatCode="#,##0_);\(#,##0\);;">
                  <c:v>229.92620690971106</c:v>
                </c:pt>
              </c:numCache>
            </c:numRef>
          </c:val>
          <c:extLs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5="http://schemas.microsoft.com/office/drawing/2012/chart" uri="{02D57815-91ED-43cb-92C2-25804820EDAC}">
              <c15:datalabelsRange>
                <c15:f>'W5'!$X$52</c15:f>
                <c15:dlblRangeCache>
                  <c:ptCount val="1"/>
                  <c:pt idx="0">
                    <c:v>33.8%</c:v>
                  </c:pt>
                </c15:dlblRangeCache>
              </c15:datalabelsRange>
            </c:ext>
            <c:ext xmlns:c16="http://schemas.microsoft.com/office/drawing/2014/chart" uri="{C3380CC4-5D6E-409C-BE32-E72D297353CC}">
              <c16:uniqueId val="{00000006-DE7E-428F-A93F-2761261A0A76}"/>
            </c:ext>
          </c:extLst>
        </c:ser>
        <c:ser>
          <c:idx val="9"/>
          <c:order val="13"/>
          <c:tx>
            <c:strRef>
              <c:f>'W5'!$D$62</c:f>
              <c:strCache>
                <c:ptCount val="1"/>
                <c:pt idx="0">
                  <c:v>Thuế thu nhập</c:v>
                </c:pt>
              </c:strCache>
            </c:strRef>
          </c:tx>
          <c:spPr>
            <a:solidFill>
              <a:srgbClr val="FFFF00"/>
            </a:solidFill>
          </c:spPr>
          <c:invertIfNegative val="0"/>
          <c:dLbls>
            <c:dLbl>
              <c:idx val="0"/>
              <c:layout>
                <c:manualLayout>
                  <c:x val="-1.586008491181418E-2"/>
                  <c:y val="1.6873712881153257E-2"/>
                </c:manualLayout>
              </c:layout>
              <c:tx>
                <c:rich>
                  <a:bodyPr wrap="square" lIns="38100" tIns="19050" rIns="38100" bIns="19050" anchor="ctr">
                    <a:noAutofit/>
                  </a:bodyPr>
                  <a:lstStyle/>
                  <a:p>
                    <a:pPr>
                      <a:defRPr/>
                    </a:pPr>
                    <a:fld id="{AE173760-E6DD-4EC1-B519-A0171A64DDA2}" type="CELLRANGE">
                      <a:rPr lang="en-US" baseline="0"/>
                      <a:pPr>
                        <a:defRPr/>
                      </a:pPr>
                      <a:t>[CELLRANGE]</a:t>
                    </a:fld>
                    <a:r>
                      <a:rPr lang="en-US" baseline="0"/>
                      <a:t>, </a:t>
                    </a:r>
                    <a:fld id="{F4F08642-3872-47C5-93C8-CB047205135D}" type="SERIESNAME">
                      <a:rPr lang="en-US" baseline="0"/>
                      <a:pPr>
                        <a:defRPr/>
                      </a:pPr>
                      <a:t>[SERIES NAME]</a:t>
                    </a:fld>
                    <a:r>
                      <a:rPr lang="en-US" baseline="0"/>
                      <a:t>, </a:t>
                    </a:r>
                    <a:fld id="{141A1CBE-33D8-402C-9294-654FE503EAE8}"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4249636903961564"/>
                      <c:h val="0.11750853650435129"/>
                    </c:manualLayout>
                  </c15:layout>
                  <c15:dlblFieldTable/>
                  <c15:showDataLabelsRange val="1"/>
                </c:ext>
                <c:ext xmlns:c16="http://schemas.microsoft.com/office/drawing/2014/chart" uri="{C3380CC4-5D6E-409C-BE32-E72D297353CC}">
                  <c16:uniqueId val="{00000007-DE7E-428F-A93F-2761261A0A7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'W5'!$W$62:$X$62</c15:sqref>
                  </c15:fullRef>
                </c:ext>
              </c:extLst>
              <c:f>'W5'!$W$62</c:f>
              <c:numCache>
                <c:formatCode>0.0%;\-0.0.%;</c:formatCode>
                <c:ptCount val="1"/>
                <c:pt idx="0" formatCode="#,##0_);\(#,##0\);;">
                  <c:v>7.8883070051545481</c:v>
                </c:pt>
              </c:numCache>
            </c:numRef>
          </c:val>
          <c:extLs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5="http://schemas.microsoft.com/office/drawing/2012/chart" uri="{02D57815-91ED-43cb-92C2-25804820EDAC}">
              <c15:datalabelsRange>
                <c15:f>'W5'!$X$62</c15:f>
                <c15:dlblRangeCache>
                  <c:ptCount val="1"/>
                  <c:pt idx="0">
                    <c:v>1.2%</c:v>
                  </c:pt>
                </c15:dlblRangeCache>
              </c15:datalabelsRange>
            </c:ext>
            <c:ext xmlns:c16="http://schemas.microsoft.com/office/drawing/2014/chart" uri="{C3380CC4-5D6E-409C-BE32-E72D297353CC}">
              <c16:uniqueId val="{00000008-DE7E-428F-A93F-2761261A0A76}"/>
            </c:ext>
          </c:extLst>
        </c:ser>
        <c:ser>
          <c:idx val="12"/>
          <c:order val="14"/>
          <c:tx>
            <c:strRef>
              <c:f>'W5'!$D$63</c:f>
              <c:strCache>
                <c:ptCount val="1"/>
                <c:pt idx="0">
                  <c:v>Lợi nhuận</c:v>
                </c:pt>
              </c:strCache>
            </c:strRef>
          </c:tx>
          <c:spPr>
            <a:solidFill>
              <a:srgbClr val="92D050"/>
            </a:solidFill>
          </c:spPr>
          <c:invertIfNegative val="0"/>
          <c:dLbls>
            <c:dLbl>
              <c:idx val="0"/>
              <c:layout>
                <c:manualLayout>
                  <c:x val="-1.3609701210153667E-2"/>
                  <c:y val="-7.0869594100843702E-2"/>
                </c:manualLayout>
              </c:layout>
              <c:tx>
                <c:rich>
                  <a:bodyPr wrap="square" lIns="38100" tIns="19050" rIns="38100" bIns="19050" anchor="ctr">
                    <a:noAutofit/>
                  </a:bodyPr>
                  <a:lstStyle/>
                  <a:p>
                    <a:pPr>
                      <a:defRPr sz="1300" b="1">
                        <a:solidFill>
                          <a:srgbClr val="FF0000"/>
                        </a:solidFill>
                      </a:defRPr>
                    </a:pPr>
                    <a:fld id="{4D0528DC-BCE2-4DEA-B4A5-E8DD2237DDCD}"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EF1B1F4C-6C7B-4DB3-B019-EFE4BC9B3611}"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E0E8E853-0665-4D63-8266-05EF3373104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495364983846443"/>
                      <c:h val="8.7135853318275433E-2"/>
                    </c:manualLayout>
                  </c15:layout>
                  <c15:dlblFieldTable/>
                  <c15:showDataLabelsRange val="1"/>
                </c:ext>
                <c:ext xmlns:c16="http://schemas.microsoft.com/office/drawing/2014/chart" uri="{C3380CC4-5D6E-409C-BE32-E72D297353CC}">
                  <c16:uniqueId val="{00000009-DE7E-428F-A93F-2761261A0A7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'W5'!$W$63:$X$63</c15:sqref>
                  </c15:fullRef>
                </c:ext>
              </c:extLst>
              <c:f>'W5'!$W$63</c:f>
              <c:numCache>
                <c:formatCode>0.0%;\-0.0.%;</c:formatCode>
                <c:ptCount val="1"/>
                <c:pt idx="0" formatCode="#,##0_);\(#,##0\);;">
                  <c:v>31.553228020618192</c:v>
                </c:pt>
              </c:numCache>
            </c:numRef>
          </c:val>
          <c:extLs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5="http://schemas.microsoft.com/office/drawing/2012/chart" uri="{02D57815-91ED-43cb-92C2-25804820EDAC}">
              <c15:datalabelsRange>
                <c15:f>'W5'!$X$63</c15:f>
                <c15:dlblRangeCache>
                  <c:ptCount val="1"/>
                  <c:pt idx="0">
                    <c:v>4.6%</c:v>
                  </c:pt>
                </c15:dlblRangeCache>
              </c15:datalabelsRange>
            </c:ext>
            <c:ext xmlns:c16="http://schemas.microsoft.com/office/drawing/2014/chart" uri="{C3380CC4-5D6E-409C-BE32-E72D297353CC}">
              <c16:uniqueId val="{0000000A-DE7E-428F-A93F-2761261A0A7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Lbls>
                  <c:dLbl>
                    <c:idx val="0"/>
                    <c:layout>
                      <c:manualLayout>
                        <c:x val="2.114677988241891E-2"/>
                        <c:y val="2.024858832126486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3B34F1FD-0893-42D2-84A2-30E1E08505B6}" type="CELLRANGE">
                            <a:rPr lang="en-US" baseline="0"/>
                            <a:pPr>
                              <a:defRPr sz="1000" b="0" i="0" u="none" strike="noStrike" kern="1200" baseline="0">
                                <a:solidFill>
                                  <a:schemeClr val="tx1">
                                    <a:lumMod val="75000"/>
                                    <a:lumOff val="25000"/>
                                  </a:schemeClr>
                                </a:solidFill>
                                <a:latin typeface="+mn-lt"/>
                                <a:ea typeface="+mn-ea"/>
                                <a:cs typeface="+mn-cs"/>
                              </a:defRPr>
                            </a:pPr>
                            <a:t>[CELLRANGE]</a:t>
                          </a:fld>
                          <a:r>
                            <a:rPr lang="en-US" baseline="0"/>
                            <a:t>, </a:t>
                          </a:r>
                          <a:fld id="{68F23A8A-6F06-4236-B6A7-3EBBC3C4D507}" type="SERIESNAME">
                            <a:rPr lang="en-US" baseline="0"/>
                            <a:pPr>
                              <a:defRPr sz="1000" b="0" i="0" u="none" strike="noStrike" kern="1200" baseline="0">
                                <a:solidFill>
                                  <a:schemeClr val="tx1">
                                    <a:lumMod val="75000"/>
                                    <a:lumOff val="25000"/>
                                  </a:schemeClr>
                                </a:solidFill>
                                <a:latin typeface="+mn-lt"/>
                                <a:ea typeface="+mn-ea"/>
                                <a:cs typeface="+mn-cs"/>
                              </a:defRPr>
                            </a:pPr>
                            <a:t>[SERIES NAME]</a:t>
                          </a:fld>
                          <a:r>
                            <a:rPr lang="en-US" baseline="0"/>
                            <a:t>, </a:t>
                          </a:r>
                          <a:fld id="{6F2F5511-B973-4FD8-A136-17980B05A256}" type="VALUE">
                            <a:rPr lang="en-US" baseline="0"/>
                            <a:pPr>
                              <a:defRPr sz="10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uri="{CE6537A1-D6FC-4f65-9D91-7224C49458BB}">
                        <c15:layout>
                          <c:manualLayout>
                            <c:w val="0.50991838092260733"/>
                            <c:h val="0.12459549591443562"/>
                          </c:manualLayout>
                        </c15:layout>
                        <c15:dlblFieldTable/>
                        <c15:showDataLabelsRange val="1"/>
                      </c:ext>
                      <c:ext xmlns:c16="http://schemas.microsoft.com/office/drawing/2014/chart" uri="{C3380CC4-5D6E-409C-BE32-E72D297353CC}">
                        <c16:uniqueId val="{0000000B-DE7E-428F-A93F-2761261A0A7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0"/>
                    </c:ext>
                  </c:extLst>
                </c:dLbls>
                <c:val>
                  <c:numRef>
                    <c:extLst>
                      <c:ext uri="{02D57815-91ED-43cb-92C2-25804820EDAC}">
                        <c15:fullRef>
                          <c15:sqref>'W5'!$W$50:$X$50</c15:sqref>
                        </c15:fullRef>
                        <c15:formulaRef>
                          <c15:sqref>'W5'!$W$50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uri="{02D57815-91ED-43cb-92C2-25804820EDAC}">
                    <c15:datalabelsRange>
                      <c15:f>'W5'!$V$51</c15:f>
                      <c15:dlblRangeCache>
                        <c:ptCount val="1"/>
                        <c:pt idx="0">
                          <c:v>4.2%</c:v>
                        </c:pt>
                      </c15:dlblRangeCache>
                    </c15:datalabelsRange>
                  </c:ext>
                  <c:ext xmlns:c16="http://schemas.microsoft.com/office/drawing/2014/chart" uri="{C3380CC4-5D6E-409C-BE32-E72D297353CC}">
                    <c16:uniqueId val="{0000000C-DE7E-428F-A93F-2761261A0A76}"/>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c:spPr>
                <c:invertIfNegative val="0"/>
                <c:dLbls>
                  <c:dLbl>
                    <c:idx val="0"/>
                    <c:layout>
                      <c:manualLayout>
                        <c:x val="-1.0966561862448571E-2"/>
                        <c:y val="-7.2556965388959033E-2"/>
                      </c:manualLayout>
                    </c:layout>
                    <c:tx>
                      <c:rich>
                        <a:bodyPr wrap="square" lIns="38100" tIns="19050" rIns="38100" bIns="19050" anchor="ctr">
                          <a:noAutofit/>
                        </a:bodyPr>
                        <a:lstStyle/>
                        <a:p>
                          <a:pPr>
                            <a:defRPr sz="1300" b="1">
                              <a:solidFill>
                                <a:srgbClr val="FF0000"/>
                              </a:solidFill>
                            </a:defRPr>
                          </a:pPr>
                          <a:fld id="{8A1ACCE2-9724-43CC-89D5-1E44BE0C7495}"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B01530CA-5004-4090-9450-023A5AC1DBFB}"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B9BD5F7D-FE1C-40B4-A94C-F882FC1CFA3D}"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1138712469148793"/>
                            <c:h val="9.051059589450608E-2"/>
                          </c:manualLayout>
                        </c15:layout>
                        <c15:dlblFieldTable/>
                        <c15:showDataLabelsRange val="1"/>
                      </c:ext>
                      <c:ext xmlns:c16="http://schemas.microsoft.com/office/drawing/2014/chart" uri="{C3380CC4-5D6E-409C-BE32-E72D297353CC}">
                        <c16:uniqueId val="{0000000D-DE7E-428F-A93F-2761261A0A76}"/>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'W5'!$W$53:$X$53</c15:sqref>
                        </c15:fullRef>
                        <c15:formulaRef>
                          <c15:sqref>'W5'!$W$53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5="http://schemas.microsoft.com/office/drawing/2012/chart" uri="{02D57815-91ED-43cb-92C2-25804820EDAC}">
                    <c15:datalabelsRange>
                      <c15:f>'W5'!$V$63</c15:f>
                      <c15:dlblRangeCache>
                        <c:ptCount val="1"/>
                        <c:pt idx="0">
                          <c:v>8.4%</c:v>
                        </c:pt>
                      </c15:dlblRangeCache>
                    </c15:datalabelsRange>
                  </c:ext>
                  <c:ext xmlns:c16="http://schemas.microsoft.com/office/drawing/2014/chart" uri="{C3380CC4-5D6E-409C-BE32-E72D297353CC}">
                    <c16:uniqueId val="{0000000E-DE7E-428F-A93F-2761261A0A7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'W5'!$W$54:$X$54</c15:sqref>
                        </c15:fullRef>
                        <c15:formulaRef>
                          <c15:sqref>'W5'!$W$54</c15:sqref>
                        </c15:formulaRef>
                      </c:ext>
                    </c:extLst>
                    <c:numCache>
                      <c:formatCode>0.0%;\-0.0.%;</c:formatCode>
                      <c:ptCount val="1"/>
                      <c:pt idx="0" formatCode="#,##0_);\(#,##0\);;">
                        <c:v>75.221841779627511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6="http://schemas.microsoft.com/office/drawing/2014/chart" uri="{C3380CC4-5D6E-409C-BE32-E72D297353CC}">
                    <c16:uniqueId val="{0000000F-DE7E-428F-A93F-2761261A0A7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'W5'!$W$55:$X$55</c15:sqref>
                        </c15:fullRef>
                        <c15:formulaRef>
                          <c15:sqref>'W5'!$W$55</c15:sqref>
                        </c15:formulaRef>
                      </c:ext>
                    </c:extLst>
                    <c:numCache>
                      <c:formatCode>0.0%;\-0.0.%;</c:formatCode>
                      <c:ptCount val="1"/>
                      <c:pt idx="0" formatCode="#,##0_);\(#,##0\);;">
                        <c:v>49.080017572979045</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6="http://schemas.microsoft.com/office/drawing/2014/chart" uri="{C3380CC4-5D6E-409C-BE32-E72D297353CC}">
                    <c16:uniqueId val="{00000010-DE7E-428F-A93F-2761261A0A76}"/>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'W5'!$W$56:$X$56</c15:sqref>
                        </c15:fullRef>
                        <c15:formulaRef>
                          <c15:sqref>'W5'!$W$56</c15:sqref>
                        </c15:formulaRef>
                      </c:ext>
                    </c:extLst>
                    <c:numCache>
                      <c:formatCode>0.0%;\-0.0.%;</c:formatCode>
                      <c:ptCount val="1"/>
                      <c:pt idx="0" formatCode="#,##0_);\(#,##0\);;">
                        <c:v>52.924243679977039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6="http://schemas.microsoft.com/office/drawing/2014/chart" uri="{C3380CC4-5D6E-409C-BE32-E72D297353CC}">
                    <c16:uniqueId val="{00000011-DE7E-428F-A93F-2761261A0A76}"/>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'W5'!$W$57:$X$57</c15:sqref>
                        </c15:fullRef>
                        <c15:formulaRef>
                          <c15:sqref>'W5'!$W$57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6="http://schemas.microsoft.com/office/drawing/2014/chart" uri="{C3380CC4-5D6E-409C-BE32-E72D297353CC}">
                    <c16:uniqueId val="{00000012-DE7E-428F-A93F-2761261A0A76}"/>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'W5'!$W$58:$X$58</c15:sqref>
                        </c15:fullRef>
                        <c15:formulaRef>
                          <c15:sqref>'W5'!$W$58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6="http://schemas.microsoft.com/office/drawing/2014/chart" uri="{C3380CC4-5D6E-409C-BE32-E72D297353CC}">
                    <c16:uniqueId val="{00000013-DE7E-428F-A93F-2761261A0A76}"/>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'W5'!$W$59:$X$59</c15:sqref>
                        </c15:fullRef>
                        <c15:formulaRef>
                          <c15:sqref>'W5'!$W$59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6="http://schemas.microsoft.com/office/drawing/2014/chart" uri="{C3380CC4-5D6E-409C-BE32-E72D297353CC}">
                    <c16:uniqueId val="{00000014-DE7E-428F-A93F-2761261A0A76}"/>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dPt>
                  <c:idx val="0"/>
                  <c:invertIfNegative val="0"/>
                  <c:bubble3D val="0"/>
                  <c:spPr>
                    <a:solidFill>
                      <a:srgbClr val="FFC000"/>
                    </a:solidFill>
                    <a:ln>
                      <a:noFill/>
                    </a:ln>
                    <a:effectLst/>
                  </c:spPr>
                  <c:extLst xmlns:c15="http://schemas.microsoft.com/office/drawing/2012/chart">
                    <c:ext xmlns:c16="http://schemas.microsoft.com/office/drawing/2014/chart" uri="{C3380CC4-5D6E-409C-BE32-E72D297353CC}">
                      <c16:uniqueId val="{00000016-DE7E-428F-A93F-2761261A0A76}"/>
                    </c:ext>
                  </c:extLst>
                </c:dPt>
                <c:val>
                  <c:numRef>
                    <c:extLst>
                      <c:ext xmlns:c15="http://schemas.microsoft.com/office/drawing/2012/chart" uri="{02D57815-91ED-43cb-92C2-25804820EDAC}">
                        <c15:fullRef>
                          <c15:sqref>'W5'!$W$60:$X$60</c15:sqref>
                        </c15:fullRef>
                        <c15:formulaRef>
                          <c15:sqref>'W5'!$W$60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6="http://schemas.microsoft.com/office/drawing/2014/chart" uri="{C3380CC4-5D6E-409C-BE32-E72D297353CC}">
                    <c16:uniqueId val="{00000017-DE7E-428F-A93F-2761261A0A76}"/>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'W5'!$W$61:$X$61</c15:sqref>
                        </c15:fullRef>
                        <c15:formulaRef>
                          <c15:sqref>'W5'!$W$61</c15:sqref>
                        </c15:formulaRef>
                      </c:ext>
                    </c:extLst>
                    <c:numCache>
                      <c:formatCode>0.0%;\-0.0.%;</c:formatCode>
                      <c:ptCount val="1"/>
                      <c:pt idx="0" formatCode="#,##0_);\(#,##0\);;">
                        <c:v>640.55846497422726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6="http://schemas.microsoft.com/office/drawing/2014/chart" uri="{C3380CC4-5D6E-409C-BE32-E72D297353CC}">
                    <c16:uniqueId val="{00000018-DE7E-428F-A93F-2761261A0A76}"/>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'W5'!$W$64:$X$64</c15:sqref>
                        </c15:fullRef>
                        <c15:formulaRef>
                          <c15:sqref>'W5'!$W$64</c15:sqref>
                        </c15:formulaRef>
                      </c:ext>
                    </c:extLst>
                    <c:numCache>
                      <c:formatCode>0.0%;\-0.0.%;</c:formatCode>
                      <c:ptCount val="1"/>
                      <c:pt idx="0" formatCode="#,##0_);\(#,##0\);;">
                        <c:v>680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6="http://schemas.microsoft.com/office/drawing/2014/chart" uri="{C3380CC4-5D6E-409C-BE32-E72D297353CC}">
                    <c16:uniqueId val="{00000019-DE7E-428F-A93F-2761261A0A7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'W5'!$W$65:$X$65</c15:sqref>
                        </c15:fullRef>
                        <c15:formulaRef>
                          <c15:sqref>'W5'!$W$65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'W5'!$W$48:$X$48</c15:sqref>
                              </c15:formulaRef>
                            </c:ext>
                          </c:extLst>
                          <c:strCache>
                            <c:ptCount val="1"/>
                            <c:pt idx="0">
                              <c:v>Chi phí
VNĐ / Phôi</c:v>
                            </c:pt>
                          </c:strCache>
                        </c:strRef>
                      </c15:cat>
                    </c15:filteredCategoryTitle>
                  </c:ext>
                  <c:ext xmlns:c16="http://schemas.microsoft.com/office/drawing/2014/chart" uri="{C3380CC4-5D6E-409C-BE32-E72D297353CC}">
                    <c16:uniqueId val="{0000001A-DE7E-428F-A93F-2761261A0A7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92E890BA-EAC8-4A49-8F16-FDFF25DE2008}"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236E8471-E269-4A3B-A813-0EB1B9659FCF}"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AF21314C-ED2A-40A0-91C7-BAF2F0E0A3C5}"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58AD-470C-B2CD-02D00227C5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'W5'!$Q$70:$R$70</c15:sqref>
                  </c15:fullRef>
                </c:ext>
              </c:extLst>
              <c:f>'W5'!$Q$70</c:f>
              <c:strCache>
                <c:ptCount val="1"/>
                <c:pt idx="0">
                  <c:v>Chi phí
USD/tấn</c:v>
                </c:pt>
              </c:strCache>
            </c:strRef>
          </c:cat>
          <c:val>
            <c:numRef>
              <c:extLst>
                <c:ext xmlns:c15="http://schemas.microsoft.com/office/drawing/2012/chart" uri="{02D57815-91ED-43cb-92C2-25804820EDAC}">
                  <c15:fullRef>
                    <c15:sqref>'W5'!$Q$71:$R$71</c15:sqref>
                  </c15:fullRef>
                </c:ext>
              </c:extLst>
              <c:f>'W5'!$Q$71</c:f>
              <c:numCache>
                <c:formatCode>0.0%;\-0.0.%;</c:formatCode>
                <c:ptCount val="1"/>
                <c:pt idx="0" formatCode="#,##0_);\(#,##0\);;">
                  <c:v>979.2</c:v>
                </c:pt>
              </c:numCache>
            </c:numRef>
          </c:val>
          <c:extLst>
            <c:ext xmlns:c15="http://schemas.microsoft.com/office/drawing/2012/chart" uri="{02D57815-91ED-43cb-92C2-25804820EDAC}">
              <c15:datalabelsRange>
                <c15:f>'W5'!$R$71</c15:f>
                <c15:dlblRangeCache>
                  <c:ptCount val="1"/>
                  <c:pt idx="0">
                    <c:v>65.2%</c:v>
                  </c:pt>
                </c15:dlblRangeCache>
              </c15:datalabelsRange>
            </c:ext>
            <c:ext xmlns:c16="http://schemas.microsoft.com/office/drawing/2014/chart" uri="{C3380CC4-5D6E-409C-BE32-E72D297353CC}">
              <c16:uniqueId val="{00000001-58AD-470C-B2CD-02D00227C59A}"/>
            </c:ext>
          </c:extLst>
        </c:ser>
        <c:ser>
          <c:idx val="14"/>
          <c:order val="2"/>
          <c:tx>
            <c:strRef>
              <c:f>'W5'!$D$73</c:f>
              <c:strCache>
                <c:ptCount val="1"/>
                <c:pt idx="0">
                  <c:v>Hao hụt về tiền</c:v>
                </c:pt>
              </c:strCache>
            </c:strRef>
          </c:tx>
          <c:spPr>
            <a:solidFill>
              <a:srgbClr val="FFC000"/>
            </a:solidFill>
            <a:ln>
              <a:noFill/>
            </a:ln>
            <a:effectLst/>
          </c:spPr>
          <c:invertIfNegative val="0"/>
          <c:dLbls>
            <c:dLbl>
              <c:idx val="0"/>
              <c:layout>
                <c:manualLayout>
                  <c:x val="-8.373055531220576E-17"/>
                  <c:y val="6.8029479217804325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D633B6B1-66BC-4BB7-8468-1ABEF7510B4E}"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22F295ED-B87D-4094-92CE-C26759A337B3}"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A801BCFF-38A8-477C-A27D-1574423F7C6F}"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1776983097500531"/>
                      <c:h val="0.12008225512748712"/>
                    </c:manualLayout>
                  </c15:layout>
                  <c15:dlblFieldTable/>
                  <c15:showDataLabelsRange val="1"/>
                </c:ext>
                <c:ext xmlns:c16="http://schemas.microsoft.com/office/drawing/2014/chart" uri="{C3380CC4-5D6E-409C-BE32-E72D297353CC}">
                  <c16:uniqueId val="{00000002-58AD-470C-B2CD-02D00227C5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'W5'!$Q$70:$R$70</c15:sqref>
                  </c15:fullRef>
                </c:ext>
              </c:extLst>
              <c:f>'W5'!$Q$70</c:f>
              <c:strCache>
                <c:ptCount val="1"/>
                <c:pt idx="0">
                  <c:v>Chi phí
USD/tấn</c:v>
                </c:pt>
              </c:strCache>
            </c:strRef>
          </c:cat>
          <c:val>
            <c:numRef>
              <c:extLst>
                <c:ext xmlns:c15="http://schemas.microsoft.com/office/drawing/2012/chart" uri="{02D57815-91ED-43cb-92C2-25804820EDAC}">
                  <c15:fullRef>
                    <c15:sqref>'W5'!$Q$73:$R$73</c15:sqref>
                  </c15:fullRef>
                </c:ext>
              </c:extLst>
              <c:f>'W5'!$Q$73</c:f>
              <c:numCache>
                <c:formatCode>0.0%;\-0.0.%;</c:formatCode>
                <c:ptCount val="1"/>
                <c:pt idx="0" formatCode="#,##0_);\(#,##0\);;">
                  <c:v>73.703225806451741</c:v>
                </c:pt>
              </c:numCache>
            </c:numRef>
          </c:val>
          <c:extLst xmlns:c15="http://schemas.microsoft.com/office/drawing/2012/chart">
            <c:ext xmlns:c15="http://schemas.microsoft.com/office/drawing/2012/chart" uri="{02D57815-91ED-43cb-92C2-25804820EDAC}">
              <c15:datalabelsRange>
                <c15:f>'W5'!$R$73</c15:f>
                <c15:dlblRangeCache>
                  <c:ptCount val="1"/>
                  <c:pt idx="0">
                    <c:v>4.9%</c:v>
                  </c:pt>
                </c15:dlblRangeCache>
              </c15:datalabelsRange>
            </c:ext>
            <c:ext xmlns:c16="http://schemas.microsoft.com/office/drawing/2014/chart" uri="{C3380CC4-5D6E-409C-BE32-E72D297353CC}">
              <c16:uniqueId val="{00000003-58AD-470C-B2CD-02D00227C59A}"/>
            </c:ext>
          </c:extLst>
        </c:ser>
        <c:ser>
          <c:idx val="11"/>
          <c:order val="3"/>
          <c:tx>
            <c:strRef>
              <c:f>'W5'!$D$74</c:f>
              <c:strCache>
                <c:ptCount val="1"/>
                <c:pt idx="0">
                  <c:v>Chi phí biến đổi</c:v>
                </c:pt>
              </c:strCache>
            </c:strRef>
          </c:tx>
          <c:spPr>
            <a:solidFill>
              <a:srgbClr val="E8E8E8">
                <a:lumMod val="9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E8472C04-62C6-428F-B7F5-9E647D27FE8E}"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6E385B80-0537-4250-8EAA-0075B6B53D93}"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0A5715B2-DA23-4AFF-87B6-355B1D4D30A6}"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69605601154"/>
                      <c:h val="0.14628567694293321"/>
                    </c:manualLayout>
                  </c15:layout>
                  <c15:dlblFieldTable/>
                  <c15:showDataLabelsRange val="1"/>
                </c:ext>
                <c:ext xmlns:c16="http://schemas.microsoft.com/office/drawing/2014/chart" uri="{C3380CC4-5D6E-409C-BE32-E72D297353CC}">
                  <c16:uniqueId val="{00000004-58AD-470C-B2CD-02D00227C5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'W5'!$Q$70:$R$70</c15:sqref>
                  </c15:fullRef>
                </c:ext>
              </c:extLst>
              <c:f>'W5'!$Q$70</c:f>
              <c:strCache>
                <c:ptCount val="1"/>
                <c:pt idx="0">
                  <c:v>Chi phí
USD/tấn</c:v>
                </c:pt>
              </c:strCache>
            </c:strRef>
          </c:cat>
          <c:val>
            <c:numRef>
              <c:extLst>
                <c:ext xmlns:c15="http://schemas.microsoft.com/office/drawing/2012/chart" uri="{02D57815-91ED-43cb-92C2-25804820EDAC}">
                  <c15:fullRef>
                    <c15:sqref>'W5'!$Q$74:$R$74</c15:sqref>
                  </c15:fullRef>
                </c:ext>
              </c:extLst>
              <c:f>'W5'!$Q$74</c:f>
              <c:numCache>
                <c:formatCode>0.0%;\-0.0.%;</c:formatCode>
                <c:ptCount val="1"/>
                <c:pt idx="0" formatCode="#,##0_);\(#,##0\);;">
                  <c:v>506.99203922249029</c:v>
                </c:pt>
              </c:numCache>
            </c:numRef>
          </c:val>
          <c:extLst>
            <c:ext xmlns:c15="http://schemas.microsoft.com/office/drawing/2012/chart" uri="{02D57815-91ED-43cb-92C2-25804820EDAC}">
              <c15:datalabelsRange>
                <c15:f>'W5'!$R$74</c15:f>
                <c15:dlblRangeCache>
                  <c:ptCount val="1"/>
                  <c:pt idx="0">
                    <c:v>33.7%</c:v>
                  </c:pt>
                </c15:dlblRangeCache>
              </c15:datalabelsRange>
            </c:ext>
            <c:ext xmlns:c16="http://schemas.microsoft.com/office/drawing/2014/chart" uri="{C3380CC4-5D6E-409C-BE32-E72D297353CC}">
              <c16:uniqueId val="{00000005-58AD-470C-B2CD-02D00227C59A}"/>
            </c:ext>
          </c:extLst>
        </c:ser>
        <c:ser>
          <c:idx val="10"/>
          <c:order val="13"/>
          <c:tx>
            <c:strRef>
              <c:f>'W5'!$D$84</c:f>
              <c:strCache>
                <c:ptCount val="1"/>
                <c:pt idx="0">
                  <c:v>Thuế thu nhập</c:v>
                </c:pt>
              </c:strCache>
            </c:strRef>
          </c:tx>
          <c:spPr>
            <a:solidFill>
              <a:srgbClr val="FFFF00"/>
            </a:solidFill>
          </c:spPr>
          <c:invertIfNegative val="0"/>
          <c:dLbls>
            <c:dLbl>
              <c:idx val="0"/>
              <c:tx>
                <c:rich>
                  <a:bodyPr/>
                  <a:lstStyle/>
                  <a:p>
                    <a:fld id="{E91806CF-3EC6-4C05-A1EC-5332B150D83C}" type="CELLRANGE">
                      <a:rPr lang="en-US" baseline="0"/>
                      <a:pPr/>
                      <a:t>[CELLRANGE]</a:t>
                    </a:fld>
                    <a:r>
                      <a:rPr lang="en-US" baseline="0"/>
                      <a:t>, </a:t>
                    </a:r>
                    <a:fld id="{18B93354-43DB-4AEF-8FF3-7B813325B2C6}" type="SERIESNAME">
                      <a:rPr lang="en-US" baseline="0"/>
                      <a:pPr/>
                      <a:t>[SERIES NAME]</a:t>
                    </a:fld>
                    <a:r>
                      <a:rPr lang="en-US" baseline="0"/>
                      <a:t>, </a:t>
                    </a:r>
                    <a:fld id="{26E05413-5138-452B-A7EE-85D1437B0F58}"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9629368438957913"/>
                      <c:h val="0.13474687237947702"/>
                    </c:manualLayout>
                  </c15:layout>
                  <c15:dlblFieldTable/>
                  <c15:showDataLabelsRange val="1"/>
                </c:ext>
                <c:ext xmlns:c16="http://schemas.microsoft.com/office/drawing/2014/chart" uri="{C3380CC4-5D6E-409C-BE32-E72D297353CC}">
                  <c16:uniqueId val="{00000006-58AD-470C-B2CD-02D00227C59A}"/>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'W5'!$Q$70:$R$70</c15:sqref>
                  </c15:fullRef>
                </c:ext>
              </c:extLst>
              <c:f>'W5'!$Q$70</c:f>
              <c:strCache>
                <c:ptCount val="1"/>
                <c:pt idx="0">
                  <c:v>Chi phí
USD/tấn</c:v>
                </c:pt>
              </c:strCache>
            </c:strRef>
          </c:cat>
          <c:val>
            <c:numRef>
              <c:extLst>
                <c:ext xmlns:c15="http://schemas.microsoft.com/office/drawing/2012/chart" uri="{02D57815-91ED-43cb-92C2-25804820EDAC}">
                  <c15:fullRef>
                    <c15:sqref>'W5'!$Q$84:$R$84</c15:sqref>
                  </c15:fullRef>
                </c:ext>
              </c:extLst>
              <c:f>'W5'!$Q$84</c:f>
              <c:numCache>
                <c:formatCode>0.0%;\-0.0.%;</c:formatCode>
                <c:ptCount val="1"/>
                <c:pt idx="0" formatCode="#,##0_);\(#,##0\);;">
                  <c:v>-11.47894210471909</c:v>
                </c:pt>
              </c:numCache>
            </c:numRef>
          </c:val>
          <c:extLst>
            <c:ext xmlns:c15="http://schemas.microsoft.com/office/drawing/2012/chart" uri="{02D57815-91ED-43cb-92C2-25804820EDAC}">
              <c15:datalabelsRange>
                <c15:f>'W5'!$R$84</c15:f>
                <c15:dlblRangeCache>
                  <c:ptCount val="1"/>
                  <c:pt idx="0">
                    <c:v>-0.8.%</c:v>
                  </c:pt>
                </c15:dlblRangeCache>
              </c15:datalabelsRange>
            </c:ext>
            <c:ext xmlns:c16="http://schemas.microsoft.com/office/drawing/2014/chart" uri="{C3380CC4-5D6E-409C-BE32-E72D297353CC}">
              <c16:uniqueId val="{00000007-58AD-470C-B2CD-02D00227C59A}"/>
            </c:ext>
          </c:extLst>
        </c:ser>
        <c:ser>
          <c:idx val="13"/>
          <c:order val="14"/>
          <c:tx>
            <c:strRef>
              <c:f>'W5'!$D$85</c:f>
              <c:strCache>
                <c:ptCount val="1"/>
                <c:pt idx="0">
                  <c:v>Lợi nhuận</c:v>
                </c:pt>
              </c:strCache>
            </c:strRef>
          </c:tx>
          <c:spPr>
            <a:solidFill>
              <a:srgbClr val="92D050"/>
            </a:solidFill>
          </c:spPr>
          <c:invertIfNegative val="0"/>
          <c:dLbls>
            <c:dLbl>
              <c:idx val="0"/>
              <c:layout>
                <c:manualLayout>
                  <c:x val="-3.48256004844801E-2"/>
                  <c:y val="-5.6123349480642647E-2"/>
                </c:manualLayout>
              </c:layout>
              <c:tx>
                <c:rich>
                  <a:bodyPr wrap="square" lIns="38100" tIns="19050" rIns="38100" bIns="19050" anchor="ctr">
                    <a:noAutofit/>
                  </a:bodyPr>
                  <a:lstStyle/>
                  <a:p>
                    <a:pPr>
                      <a:defRPr sz="1300" b="1">
                        <a:solidFill>
                          <a:srgbClr val="FF0000"/>
                        </a:solidFill>
                      </a:defRPr>
                    </a:pPr>
                    <a:fld id="{82D5F932-C930-43EA-9BCB-E79F8B24E2EC}" type="CELLRANGE">
                      <a:rPr lang="en-US" baseline="0">
                        <a:solidFill>
                          <a:srgbClr val="FF0000"/>
                        </a:solidFill>
                      </a:rPr>
                      <a:pPr>
                        <a:defRPr sz="1300" b="1">
                          <a:solidFill>
                            <a:srgbClr val="FF0000"/>
                          </a:solidFill>
                        </a:defRPr>
                      </a:pPr>
                      <a:t>[CELLRANGE]</a:t>
                    </a:fld>
                    <a:r>
                      <a:rPr lang="en-US" baseline="0">
                        <a:solidFill>
                          <a:srgbClr val="FF0000"/>
                        </a:solidFill>
                      </a:rPr>
                      <a:t>, </a:t>
                    </a:r>
                    <a:fld id="{FF9BCF7A-C57D-4E72-9A21-57CE73F7E996}" type="SERIESNAME">
                      <a:rPr lang="en-US" baseline="0">
                        <a:solidFill>
                          <a:srgbClr val="FF0000"/>
                        </a:solidFill>
                      </a:rPr>
                      <a:pPr>
                        <a:defRPr sz="1300" b="1">
                          <a:solidFill>
                            <a:srgbClr val="FF0000"/>
                          </a:solidFill>
                        </a:defRPr>
                      </a:pPr>
                      <a:t>[SERIES NAME]</a:t>
                    </a:fld>
                    <a:r>
                      <a:rPr lang="en-US" baseline="0">
                        <a:solidFill>
                          <a:srgbClr val="FF0000"/>
                        </a:solidFill>
                      </a:rPr>
                      <a:t>, </a:t>
                    </a:r>
                    <a:fld id="{02B763FB-A8CB-4BC1-8328-839731058FE5}" type="VALUE">
                      <a:rPr lang="en-US" baseline="0">
                        <a:solidFill>
                          <a:srgbClr val="FF0000"/>
                        </a:solidFill>
                      </a:rPr>
                      <a:pPr>
                        <a:defRPr sz="1300" b="1">
                          <a:solidFill>
                            <a:srgbClr val="FF0000"/>
                          </a:solidFill>
                        </a:defRPr>
                      </a:pPr>
                      <a:t>[VALUE]</a:t>
                    </a:fld>
                    <a:endParaRPr lang="en-US"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379986356017322"/>
                      <c:h val="0.10707629248779174"/>
                    </c:manualLayout>
                  </c15:layout>
                  <c15:dlblFieldTable/>
                  <c15:showDataLabelsRange val="1"/>
                </c:ext>
                <c:ext xmlns:c16="http://schemas.microsoft.com/office/drawing/2014/chart" uri="{C3380CC4-5D6E-409C-BE32-E72D297353CC}">
                  <c16:uniqueId val="{00000008-58AD-470C-B2CD-02D00227C59A}"/>
                </c:ext>
              </c:extLst>
            </c:dLbl>
            <c:spPr>
              <a:noFill/>
              <a:ln>
                <a:noFill/>
              </a:ln>
              <a:effectLst/>
            </c:spPr>
            <c:txPr>
              <a:bodyPr wrap="square" lIns="38100" tIns="19050" rIns="38100" bIns="19050" anchor="ctr">
                <a:spAutoFit/>
              </a:bodyPr>
              <a:lstStyle/>
              <a:p>
                <a:pPr>
                  <a:defRPr sz="1300" b="1"/>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'W5'!$Q$70:$R$70</c15:sqref>
                  </c15:fullRef>
                </c:ext>
              </c:extLst>
              <c:f>'W5'!$Q$70</c:f>
              <c:strCache>
                <c:ptCount val="1"/>
                <c:pt idx="0">
                  <c:v>Chi phí
USD/tấn</c:v>
                </c:pt>
              </c:strCache>
            </c:strRef>
          </c:cat>
          <c:val>
            <c:numRef>
              <c:extLst>
                <c:ext xmlns:c15="http://schemas.microsoft.com/office/drawing/2012/chart" uri="{02D57815-91ED-43cb-92C2-25804820EDAC}">
                  <c15:fullRef>
                    <c15:sqref>'W5'!$Q$85:$R$85</c15:sqref>
                  </c15:fullRef>
                </c:ext>
              </c:extLst>
              <c:f>'W5'!$Q$85</c:f>
              <c:numCache>
                <c:formatCode>0.0%;\-0.0.%;</c:formatCode>
                <c:ptCount val="1"/>
                <c:pt idx="0" formatCode="#,##0_);\(#,##0\);;">
                  <c:v>-45.915768418876361</c:v>
                </c:pt>
              </c:numCache>
            </c:numRef>
          </c:val>
          <c:extLst>
            <c:ext xmlns:c15="http://schemas.microsoft.com/office/drawing/2012/chart" uri="{02D57815-91ED-43cb-92C2-25804820EDAC}">
              <c15:datalabelsRange>
                <c15:f>'W5'!$R$85</c15:f>
                <c15:dlblRangeCache>
                  <c:ptCount val="1"/>
                  <c:pt idx="0">
                    <c:v>-3.1.%</c:v>
                  </c:pt>
                </c15:dlblRangeCache>
              </c15:datalabelsRange>
            </c:ext>
            <c:ext xmlns:c16="http://schemas.microsoft.com/office/drawing/2014/chart" uri="{C3380CC4-5D6E-409C-BE32-E72D297353CC}">
              <c16:uniqueId val="{00000009-58AD-470C-B2CD-02D00227C59A}"/>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6C6DFFA9-6738-4B72-A381-EE168325AAD3}"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BC265C18-BB0B-456E-B92B-AA9DC5FA0AA2}"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6D2350A6-55A1-4144-9C65-85FAAFD26021}"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A-58AD-470C-B2CD-02D00227C59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'W5'!$Q$70:$R$70</c15:sqref>
                        </c15:fullRef>
                        <c15:formulaRef>
                          <c15:sqref>'W5'!$Q$70</c15:sqref>
                        </c15:formulaRef>
                      </c:ext>
                    </c:extLst>
                    <c:strCache>
                      <c:ptCount val="1"/>
                      <c:pt idx="0">
                        <c:v>Chi phí
USD/tấn</c:v>
                      </c:pt>
                    </c:strCache>
                  </c:strRef>
                </c:cat>
                <c:val>
                  <c:numRef>
                    <c:extLst>
                      <c:ext uri="{02D57815-91ED-43cb-92C2-25804820EDAC}">
                        <c15:fullRef>
                          <c15:sqref>'W5'!$Q$72:$R$72</c15:sqref>
                        </c15:fullRef>
                        <c15:formulaRef>
                          <c15:sqref>'W5'!$Q$72</c15:sqref>
                        </c15:formulaRef>
                      </c:ext>
                    </c:extLst>
                    <c:numCache>
                      <c:formatCode>0.0%;\-0.0.%;</c:formatCode>
                      <c:ptCount val="1"/>
                      <c:pt idx="0" formatCode="#,##0_);\(#,##0\);;">
                        <c:v>979.2</c:v>
                      </c:pt>
                    </c:numCache>
                  </c:numRef>
                </c:val>
                <c:extLst>
                  <c:ext uri="{02D57815-91ED-43cb-92C2-25804820EDAC}">
                    <c15:datalabelsRange>
                      <c15:f>'W5'!$P$73</c15:f>
                      <c15:dlblRangeCache>
                        <c:ptCount val="1"/>
                        <c:pt idx="0">
                          <c:v>4.7%</c:v>
                        </c:pt>
                      </c15:dlblRangeCache>
                    </c15:datalabelsRange>
                  </c:ext>
                  <c:ext xmlns:c16="http://schemas.microsoft.com/office/drawing/2014/chart" uri="{C3380CC4-5D6E-409C-BE32-E72D297353CC}">
                    <c16:uniqueId val="{0000000B-58AD-470C-B2CD-02D00227C59A}"/>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214927BC-39B3-43A1-9D5D-186F7F77CFF4}" type="CELLRANGE">
                            <a:rPr lang="en-US" sz="1300" b="1" baseline="0"/>
                            <a:pPr>
                              <a:defRPr sz="1300" b="1" i="0" u="none" strike="noStrike" kern="1200" baseline="0">
                                <a:solidFill>
                                  <a:srgbClr val="FF0000"/>
                                </a:solidFill>
                                <a:latin typeface="+mn-lt"/>
                                <a:ea typeface="+mn-ea"/>
                                <a:cs typeface="+mn-cs"/>
                              </a:defRPr>
                            </a:pPr>
                            <a:t>[CELLRANGE]</a:t>
                          </a:fld>
                          <a:r>
                            <a:rPr lang="en-US" sz="1300" b="1" baseline="0"/>
                            <a:t>, </a:t>
                          </a:r>
                          <a:fld id="{89D6D544-4C95-4720-9358-FEA074ACF6B1}" type="SERIESNAME">
                            <a:rPr lang="en-US" sz="1300" b="1" baseline="0"/>
                            <a:pPr>
                              <a:defRPr sz="1300" b="1" i="0" u="none" strike="noStrike" kern="1200" baseline="0">
                                <a:solidFill>
                                  <a:srgbClr val="FF0000"/>
                                </a:solidFill>
                                <a:latin typeface="+mn-lt"/>
                                <a:ea typeface="+mn-ea"/>
                                <a:cs typeface="+mn-cs"/>
                              </a:defRPr>
                            </a:pPr>
                            <a:t>[SERIES NAME]</a:t>
                          </a:fld>
                          <a:r>
                            <a:rPr lang="en-US" sz="1300" b="1" baseline="0"/>
                            <a:t>, </a:t>
                          </a:r>
                          <a:fld id="{8C767FC3-B80E-4494-8030-51A70D17B02C}" type="VALUE">
                            <a:rPr lang="en-US" sz="1300" b="1" baseline="0"/>
                            <a:pPr>
                              <a:defRPr sz="1300" b="1" i="0" u="none" strike="noStrike" kern="1200" baseline="0">
                                <a:solidFill>
                                  <a:srgbClr val="FF0000"/>
                                </a:solidFill>
                                <a:latin typeface="+mn-lt"/>
                                <a:ea typeface="+mn-ea"/>
                                <a:cs typeface="+mn-cs"/>
                              </a:defRPr>
                            </a:pPr>
                            <a:t>[VALUE]</a:t>
                          </a:fld>
                          <a:endParaRPr lang="en-US" sz="1300" b="1"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C-58AD-470C-B2CD-02D00227C5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'W5'!$Q$70:$R$70</c15:sqref>
                        </c15:fullRef>
                        <c15:formulaRef>
                          <c15:sqref>'W5'!$Q$70</c15:sqref>
                        </c15:formulaRef>
                      </c:ext>
                    </c:extLst>
                    <c:strCache>
                      <c:ptCount val="1"/>
                      <c:pt idx="0">
                        <c:v>Chi phí
USD/tấn</c:v>
                      </c:pt>
                    </c:strCache>
                  </c:strRef>
                </c:cat>
                <c:val>
                  <c:numRef>
                    <c:extLst>
                      <c:ext xmlns:c15="http://schemas.microsoft.com/office/drawing/2012/chart" uri="{02D57815-91ED-43cb-92C2-25804820EDAC}">
                        <c15:fullRef>
                          <c15:sqref>'W5'!$Q$75:$R$75</c15:sqref>
                        </c15:fullRef>
                        <c15:formulaRef>
                          <c15:sqref>'W5'!$Q$75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'W5'!$P$85</c15:f>
                      <c15:dlblRangeCache>
                        <c:ptCount val="1"/>
                        <c:pt idx="0">
                          <c:v>-4.0.%</c:v>
                        </c:pt>
                      </c15:dlblRangeCache>
                    </c15:datalabelsRange>
                  </c:ext>
                  <c:ext xmlns:c16="http://schemas.microsoft.com/office/drawing/2014/chart" uri="{C3380CC4-5D6E-409C-BE32-E72D297353CC}">
                    <c16:uniqueId val="{0000000D-58AD-470C-B2CD-02D00227C59A}"/>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'W5'!$Q$70:$R$70</c15:sqref>
                        </c15:fullRef>
                        <c15:formulaRef>
                          <c15:sqref>'W5'!$Q$70</c15:sqref>
                        </c15:formulaRef>
                      </c:ext>
                    </c:extLst>
                    <c:strCache>
                      <c:ptCount val="1"/>
                      <c:pt idx="0">
                        <c:v>Chi phí
USD/tấn</c:v>
                      </c:pt>
                    </c:strCache>
                  </c:strRef>
                </c:cat>
                <c:val>
                  <c:numRef>
                    <c:extLst>
                      <c:ext xmlns:c15="http://schemas.microsoft.com/office/drawing/2012/chart" uri="{02D57815-91ED-43cb-92C2-25804820EDAC}">
                        <c15:fullRef>
                          <c15:sqref>'W5'!$Q$76:$R$76</c15:sqref>
                        </c15:fullRef>
                        <c15:formulaRef>
                          <c15:sqref>'W5'!$Q$76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E-58AD-470C-B2CD-02D00227C59A}"/>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invertIfNegative val="0"/>
                <c:cat>
                  <c:strRef>
                    <c:extLst>
                      <c:ext xmlns:c15="http://schemas.microsoft.com/office/drawing/2012/chart" uri="{02D57815-91ED-43cb-92C2-25804820EDAC}">
                        <c15:fullRef>
                          <c15:sqref>'W5'!$Q$70:$R$70</c15:sqref>
                        </c15:fullRef>
                        <c15:formulaRef>
                          <c15:sqref>'W5'!$Q$70</c15:sqref>
                        </c15:formulaRef>
                      </c:ext>
                    </c:extLst>
                    <c:strCache>
                      <c:ptCount val="1"/>
                      <c:pt idx="0">
                        <c:v>Chi phí
USD/tấn</c:v>
                      </c:pt>
                    </c:strCache>
                  </c:strRef>
                </c:cat>
                <c:val>
                  <c:numRef>
                    <c:extLst>
                      <c:ext xmlns:c15="http://schemas.microsoft.com/office/drawing/2012/chart" uri="{02D57815-91ED-43cb-92C2-25804820EDAC}">
                        <c15:fullRef>
                          <c15:sqref>'W5'!$Q$77:$R$77</c15:sqref>
                        </c15:fullRef>
                        <c15:formulaRef>
                          <c15:sqref>'W5'!$Q$77</c15:sqref>
                        </c15:formulaRef>
                      </c:ext>
                    </c:extLst>
                    <c:numCache>
                      <c:formatCode>0.0%;\-0.0.%;</c:formatCode>
                      <c:ptCount val="1"/>
                      <c:pt idx="0" formatCode="#,##0_);\(#,##0\);;">
                        <c:v>83.967245579390948</c:v>
                      </c:pt>
                    </c:numCache>
                  </c:numRef>
                </c:val>
                <c:extLst xmlns:c15="http://schemas.microsoft.com/office/drawing/2012/chart">
                  <c:ext xmlns:c16="http://schemas.microsoft.com/office/drawing/2014/chart" uri="{C3380CC4-5D6E-409C-BE32-E72D297353CC}">
                    <c16:uniqueId val="{0000000F-58AD-470C-B2CD-02D00227C59A}"/>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'W5'!$Q$70:$R$70</c15:sqref>
                        </c15:fullRef>
                        <c15:formulaRef>
                          <c15:sqref>'W5'!$Q$70</c15:sqref>
                        </c15:formulaRef>
                      </c:ext>
                    </c:extLst>
                    <c:strCache>
                      <c:ptCount val="1"/>
                      <c:pt idx="0">
                        <c:v>Chi phí
USD/tấn</c:v>
                      </c:pt>
                    </c:strCache>
                  </c:strRef>
                </c:cat>
                <c:val>
                  <c:numRef>
                    <c:extLst>
                      <c:ext xmlns:c15="http://schemas.microsoft.com/office/drawing/2012/chart" uri="{02D57815-91ED-43cb-92C2-25804820EDAC}">
                        <c15:fullRef>
                          <c15:sqref>'W5'!$Q$78:$R$78</c15:sqref>
                        </c15:fullRef>
                        <c15:formulaRef>
                          <c15:sqref>'W5'!$Q$78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10-58AD-470C-B2CD-02D00227C59A}"/>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'W5'!$Q$70:$R$70</c15:sqref>
                        </c15:fullRef>
                        <c15:formulaRef>
                          <c15:sqref>'W5'!$Q$70</c15:sqref>
                        </c15:formulaRef>
                      </c:ext>
                    </c:extLst>
                    <c:strCache>
                      <c:ptCount val="1"/>
                      <c:pt idx="0">
                        <c:v>Chi phí
USD/tấn</c:v>
                      </c:pt>
                    </c:strCache>
                  </c:strRef>
                </c:cat>
                <c:val>
                  <c:numRef>
                    <c:extLst>
                      <c:ext xmlns:c15="http://schemas.microsoft.com/office/drawing/2012/chart" uri="{02D57815-91ED-43cb-92C2-25804820EDAC}">
                        <c15:fullRef>
                          <c15:sqref>'W5'!$Q$79:$R$79</c15:sqref>
                        </c15:fullRef>
                        <c15:formulaRef>
                          <c15:sqref>'W5'!$Q$79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1-58AD-470C-B2CD-02D00227C59A}"/>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'W5'!$Q$70:$R$70</c15:sqref>
                        </c15:fullRef>
                        <c15:formulaRef>
                          <c15:sqref>'W5'!$Q$70</c15:sqref>
                        </c15:formulaRef>
                      </c:ext>
                    </c:extLst>
                    <c:strCache>
                      <c:ptCount val="1"/>
                      <c:pt idx="0">
                        <c:v>Chi phí
USD/tấn</c:v>
                      </c:pt>
                    </c:strCache>
                  </c:strRef>
                </c:cat>
                <c:val>
                  <c:numRef>
                    <c:extLst>
                      <c:ext xmlns:c15="http://schemas.microsoft.com/office/drawing/2012/chart" uri="{02D57815-91ED-43cb-92C2-25804820EDAC}">
                        <c15:fullRef>
                          <c15:sqref>'W5'!$Q$80:$R$80</c15:sqref>
                        </c15:fullRef>
                        <c15:formulaRef>
                          <c15:sqref>'W5'!$Q$80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2-58AD-470C-B2CD-02D00227C59A}"/>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'W5'!$Q$70:$R$70</c15:sqref>
                        </c15:fullRef>
                        <c15:formulaRef>
                          <c15:sqref>'W5'!$Q$70</c15:sqref>
                        </c15:formulaRef>
                      </c:ext>
                    </c:extLst>
                    <c:strCache>
                      <c:ptCount val="1"/>
                      <c:pt idx="0">
                        <c:v>Chi phí
USD/tấn</c:v>
                      </c:pt>
                    </c:strCache>
                  </c:strRef>
                </c:cat>
                <c:val>
                  <c:numRef>
                    <c:extLst>
                      <c:ext xmlns:c15="http://schemas.microsoft.com/office/drawing/2012/chart" uri="{02D57815-91ED-43cb-92C2-25804820EDAC}">
                        <c15:fullRef>
                          <c15:sqref>'W5'!$Q$81:$R$81</c15:sqref>
                        </c15:fullRef>
                        <c15:formulaRef>
                          <c15:sqref>'W5'!$Q$81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58AD-470C-B2CD-02D00227C59A}"/>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'W5'!$Q$70:$R$70</c15:sqref>
                        </c15:fullRef>
                        <c15:formulaRef>
                          <c15:sqref>'W5'!$Q$70</c15:sqref>
                        </c15:formulaRef>
                      </c:ext>
                    </c:extLst>
                    <c:strCache>
                      <c:ptCount val="1"/>
                      <c:pt idx="0">
                        <c:v>Chi phí
USD/tấn</c:v>
                      </c:pt>
                    </c:strCache>
                  </c:strRef>
                </c:cat>
                <c:val>
                  <c:numRef>
                    <c:extLst>
                      <c:ext xmlns:c15="http://schemas.microsoft.com/office/drawing/2012/chart" uri="{02D57815-91ED-43cb-92C2-25804820EDAC}">
                        <c15:fullRef>
                          <c15:sqref>'W5'!$Q$82:$R$82</c15:sqref>
                        </c15:fullRef>
                        <c15:formulaRef>
                          <c15:sqref>'W5'!$Q$82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58AD-470C-B2CD-02D00227C59A}"/>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'W5'!$Q$70:$R$70</c15:sqref>
                        </c15:fullRef>
                        <c15:formulaRef>
                          <c15:sqref>'W5'!$Q$70</c15:sqref>
                        </c15:formulaRef>
                      </c:ext>
                    </c:extLst>
                    <c:strCache>
                      <c:ptCount val="1"/>
                      <c:pt idx="0">
                        <c:v>Chi phí
USD/tấn</c:v>
                      </c:pt>
                    </c:strCache>
                  </c:strRef>
                </c:cat>
                <c:val>
                  <c:numRef>
                    <c:extLst>
                      <c:ext xmlns:c15="http://schemas.microsoft.com/office/drawing/2012/chart" uri="{02D57815-91ED-43cb-92C2-25804820EDAC}">
                        <c15:fullRef>
                          <c15:sqref>'W5'!$Q$83:$R$83</c15:sqref>
                        </c15:fullRef>
                        <c15:formulaRef>
                          <c15:sqref>'W5'!$Q$83</c15:sqref>
                        </c15:formulaRef>
                      </c:ext>
                    </c:extLst>
                    <c:numCache>
                      <c:formatCode>0.0%;\-0.0.%;</c:formatCode>
                      <c:ptCount val="1"/>
                      <c:pt idx="0" formatCode="#,##0_);\(#,##0\);;">
                        <c:v>1559.895265028942</c:v>
                      </c:pt>
                    </c:numCache>
                  </c:numRef>
                </c:val>
                <c:extLst xmlns:c15="http://schemas.microsoft.com/office/drawing/2012/chart">
                  <c:ext xmlns:c16="http://schemas.microsoft.com/office/drawing/2014/chart" uri="{C3380CC4-5D6E-409C-BE32-E72D297353CC}">
                    <c16:uniqueId val="{00000015-58AD-470C-B2CD-02D00227C59A}"/>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'W5'!$Q$70:$R$70</c15:sqref>
                        </c15:fullRef>
                        <c15:formulaRef>
                          <c15:sqref>'W5'!$Q$70</c15:sqref>
                        </c15:formulaRef>
                      </c:ext>
                    </c:extLst>
                    <c:strCache>
                      <c:ptCount val="1"/>
                      <c:pt idx="0">
                        <c:v>Chi phí
USD/tấn</c:v>
                      </c:pt>
                    </c:strCache>
                  </c:strRef>
                </c:cat>
                <c:val>
                  <c:numRef>
                    <c:extLst>
                      <c:ext xmlns:c15="http://schemas.microsoft.com/office/drawing/2012/chart" uri="{02D57815-91ED-43cb-92C2-25804820EDAC}">
                        <c15:fullRef>
                          <c15:sqref>'W5'!$Q$86:$R$86</c15:sqref>
                        </c15:fullRef>
                        <c15:formulaRef>
                          <c15:sqref>'W5'!$Q$86</c15:sqref>
                        </c15:formulaRef>
                      </c:ext>
                    </c:extLst>
                    <c:numCache>
                      <c:formatCode>0.0%;\-0.0.%;</c:formatCode>
                      <c:ptCount val="1"/>
                      <c:pt idx="0" formatCode="#,##0_);\(#,##0\);;">
                        <c:v>1502.5005545053466</c:v>
                      </c:pt>
                    </c:numCache>
                  </c:numRef>
                </c:val>
                <c:extLst xmlns:c15="http://schemas.microsoft.com/office/drawing/2012/chart">
                  <c:ext xmlns:c16="http://schemas.microsoft.com/office/drawing/2014/chart" uri="{C3380CC4-5D6E-409C-BE32-E72D297353CC}">
                    <c16:uniqueId val="{00000016-58AD-470C-B2CD-02D00227C59A}"/>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'W5'!$Q$70:$R$70</c15:sqref>
                        </c15:fullRef>
                        <c15:formulaRef>
                          <c15:sqref>'W5'!$Q$70</c15:sqref>
                        </c15:formulaRef>
                      </c:ext>
                    </c:extLst>
                    <c:strCache>
                      <c:ptCount val="1"/>
                      <c:pt idx="0">
                        <c:v>Chi phí
USD/tấn</c:v>
                      </c:pt>
                    </c:strCache>
                  </c:strRef>
                </c:cat>
                <c:val>
                  <c:numRef>
                    <c:extLst>
                      <c:ext xmlns:c15="http://schemas.microsoft.com/office/drawing/2012/chart" uri="{02D57815-91ED-43cb-92C2-25804820EDAC}">
                        <c15:fullRef>
                          <c15:sqref>'W5'!$Q$87:$R$87</c15:sqref>
                        </c15:fullRef>
                        <c15:formulaRef>
                          <c15:sqref>'W5'!$Q$87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58AD-470C-B2CD-02D00227C59A}"/>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054846F-5EA3-45FE-9109-81D48B649B3F}"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87131F2C-2BE5-4C6B-A79C-78D9BDA93314}"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442B6BBC-CB69-4F41-851E-168BA05DAF0B}"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9225-4666-A6C5-E2E0AE9D137B}"/>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'W5'!$S$70:$T$70</c15:sqref>
                  </c15:fullRef>
                </c:ext>
              </c:extLst>
              <c:f>'W5'!$S$70</c:f>
              <c:strCache>
                <c:ptCount val="1"/>
                <c:pt idx="0">
                  <c:v>Chi phí
USD/tấn</c:v>
                </c:pt>
              </c:strCache>
            </c:strRef>
          </c:cat>
          <c:val>
            <c:numRef>
              <c:extLst>
                <c:ext xmlns:c15="http://schemas.microsoft.com/office/drawing/2012/chart" uri="{02D57815-91ED-43cb-92C2-25804820EDAC}">
                  <c15:fullRef>
                    <c15:sqref>'W5'!$S$71:$T$71</c15:sqref>
                  </c15:fullRef>
                </c:ext>
              </c:extLst>
              <c:f>'W5'!$S$71</c:f>
              <c:numCache>
                <c:formatCode>0.0%;\-0.0.%;</c:formatCode>
                <c:ptCount val="1"/>
                <c:pt idx="0" formatCode="#,##0_);\(#,##0\);;">
                  <c:v>979.2</c:v>
                </c:pt>
              </c:numCache>
            </c:numRef>
          </c:val>
          <c:extLst>
            <c:ext xmlns:c15="http://schemas.microsoft.com/office/drawing/2012/chart" uri="{02D57815-91ED-43cb-92C2-25804820EDAC}">
              <c15:datalabelsRange>
                <c15:f>'W5'!$T$71</c15:f>
                <c15:dlblRangeCache>
                  <c:ptCount val="1"/>
                  <c:pt idx="0">
                    <c:v>61.7%</c:v>
                  </c:pt>
                </c15:dlblRangeCache>
              </c15:datalabelsRange>
            </c:ext>
            <c:ext xmlns:c16="http://schemas.microsoft.com/office/drawing/2014/chart" uri="{C3380CC4-5D6E-409C-BE32-E72D297353CC}">
              <c16:uniqueId val="{00000001-9225-4666-A6C5-E2E0AE9D137B}"/>
            </c:ext>
          </c:extLst>
        </c:ser>
        <c:ser>
          <c:idx val="11"/>
          <c:order val="2"/>
          <c:tx>
            <c:strRef>
              <c:f>'W5'!$D$73</c:f>
              <c:strCache>
                <c:ptCount val="1"/>
                <c:pt idx="0">
                  <c:v>Hao hụt về tiền</c:v>
                </c:pt>
              </c:strCache>
            </c:strRef>
          </c:tx>
          <c:spPr>
            <a:solidFill>
              <a:srgbClr val="FFC000"/>
            </a:solidFill>
            <a:ln>
              <a:noFill/>
            </a:ln>
            <a:effectLst/>
          </c:spPr>
          <c:invertIfNegative val="0"/>
          <c:dLbls>
            <c:dLbl>
              <c:idx val="0"/>
              <c:layout>
                <c:manualLayout>
                  <c:x val="0"/>
                  <c:y val="6.8029479217804325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26F3B4A5-8694-4A8C-A55F-66D53C113A58}"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D391496D-BEFE-42DF-AAD4-F5EECCB060E2}"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0B83D5B9-2472-47C9-976A-2496C88E4445}"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69605601154"/>
                      <c:h val="7.1454722853625127E-2"/>
                    </c:manualLayout>
                  </c15:layout>
                  <c15:dlblFieldTable/>
                  <c15:showDataLabelsRange val="1"/>
                </c:ext>
                <c:ext xmlns:c16="http://schemas.microsoft.com/office/drawing/2014/chart" uri="{C3380CC4-5D6E-409C-BE32-E72D297353CC}">
                  <c16:uniqueId val="{00000002-9225-4666-A6C5-E2E0AE9D137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'W5'!$S$70:$T$70</c15:sqref>
                  </c15:fullRef>
                </c:ext>
              </c:extLst>
              <c:f>'W5'!$S$70</c:f>
              <c:strCache>
                <c:ptCount val="1"/>
                <c:pt idx="0">
                  <c:v>Chi phí
USD/tấn</c:v>
                </c:pt>
              </c:strCache>
            </c:strRef>
          </c:cat>
          <c:val>
            <c:numRef>
              <c:extLst>
                <c:ext xmlns:c15="http://schemas.microsoft.com/office/drawing/2012/chart" uri="{02D57815-91ED-43cb-92C2-25804820EDAC}">
                  <c15:fullRef>
                    <c15:sqref>'W5'!$S$73:$T$73</c15:sqref>
                  </c15:fullRef>
                </c:ext>
              </c:extLst>
              <c:f>'W5'!$S$73</c:f>
              <c:numCache>
                <c:formatCode>0.0%;\-0.0.%;</c:formatCode>
                <c:ptCount val="1"/>
                <c:pt idx="0" formatCode="#,##0_);\(#,##0\);;">
                  <c:v>73.703225806451741</c:v>
                </c:pt>
              </c:numCache>
            </c:numRef>
          </c:val>
          <c:extLst>
            <c:ext xmlns:c15="http://schemas.microsoft.com/office/drawing/2012/chart" uri="{02D57815-91ED-43cb-92C2-25804820EDAC}">
              <c15:datalabelsRange>
                <c15:f>'W5'!$T$73</c15:f>
                <c15:dlblRangeCache>
                  <c:ptCount val="1"/>
                  <c:pt idx="0">
                    <c:v>4.6%</c:v>
                  </c:pt>
                </c15:dlblRangeCache>
              </c15:datalabelsRange>
            </c:ext>
            <c:ext xmlns:c16="http://schemas.microsoft.com/office/drawing/2014/chart" uri="{C3380CC4-5D6E-409C-BE32-E72D297353CC}">
              <c16:uniqueId val="{00000003-9225-4666-A6C5-E2E0AE9D137B}"/>
            </c:ext>
          </c:extLst>
        </c:ser>
        <c:ser>
          <c:idx val="10"/>
          <c:order val="3"/>
          <c:tx>
            <c:strRef>
              <c:f>'W5'!$D$74</c:f>
              <c:strCache>
                <c:ptCount val="1"/>
                <c:pt idx="0">
                  <c:v>Chi phí biến đổi</c:v>
                </c:pt>
              </c:strCache>
            </c:strRef>
          </c:tx>
          <c:spPr>
            <a:solidFill>
              <a:srgbClr val="E8E8E8">
                <a:lumMod val="90000"/>
              </a:srgbClr>
            </a:solidFill>
          </c:spPr>
          <c:invertIfNegative val="0"/>
          <c:dLbls>
            <c:dLbl>
              <c:idx val="0"/>
              <c:tx>
                <c:rich>
                  <a:bodyPr/>
                  <a:lstStyle/>
                  <a:p>
                    <a:fld id="{58391508-2846-4432-A9D8-DA487DF0C5BB}" type="CELLRANGE">
                      <a:rPr lang="en-US" baseline="0"/>
                      <a:pPr/>
                      <a:t>[CELLRANGE]</a:t>
                    </a:fld>
                    <a:r>
                      <a:rPr lang="en-US" baseline="0"/>
                      <a:t>, </a:t>
                    </a:r>
                    <a:fld id="{0587A89D-1AD9-40E4-B1D4-49C79134513E}" type="SERIESNAME">
                      <a:rPr lang="en-US" baseline="0"/>
                      <a:pPr/>
                      <a:t>[SERIES NAME]</a:t>
                    </a:fld>
                    <a:r>
                      <a:rPr lang="en-US" baseline="0"/>
                      <a:t>, </a:t>
                    </a:r>
                    <a:fld id="{B03CE020-CA9F-4783-8FC8-A8CDED8C365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9629368438957913"/>
                      <c:h val="0.13474687237947702"/>
                    </c:manualLayout>
                  </c15:layout>
                  <c15:dlblFieldTable/>
                  <c15:showDataLabelsRange val="1"/>
                </c:ext>
                <c:ext xmlns:c16="http://schemas.microsoft.com/office/drawing/2014/chart" uri="{C3380CC4-5D6E-409C-BE32-E72D297353CC}">
                  <c16:uniqueId val="{00000004-9225-4666-A6C5-E2E0AE9D137B}"/>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'W5'!$S$70:$T$70</c15:sqref>
                  </c15:fullRef>
                </c:ext>
              </c:extLst>
              <c:f>'W5'!$S$70</c:f>
              <c:strCache>
                <c:ptCount val="1"/>
                <c:pt idx="0">
                  <c:v>Chi phí
USD/tấn</c:v>
                </c:pt>
              </c:strCache>
            </c:strRef>
          </c:cat>
          <c:val>
            <c:numRef>
              <c:extLst>
                <c:ext xmlns:c15="http://schemas.microsoft.com/office/drawing/2012/chart" uri="{02D57815-91ED-43cb-92C2-25804820EDAC}">
                  <c15:fullRef>
                    <c15:sqref>'W5'!$S$74:$T$74</c15:sqref>
                  </c15:fullRef>
                </c:ext>
              </c:extLst>
              <c:f>'W5'!$S$74</c:f>
              <c:numCache>
                <c:formatCode>0.0%;\-0.0.%;</c:formatCode>
                <c:ptCount val="1"/>
                <c:pt idx="0" formatCode="#,##0_);\(#,##0\);;">
                  <c:v>589.55437669156674</c:v>
                </c:pt>
              </c:numCache>
            </c:numRef>
          </c:val>
          <c:extLst>
            <c:ext xmlns:c15="http://schemas.microsoft.com/office/drawing/2012/chart" uri="{02D57815-91ED-43cb-92C2-25804820EDAC}">
              <c15:datalabelsRange>
                <c15:f>'W5'!$T$74</c15:f>
                <c15:dlblRangeCache>
                  <c:ptCount val="1"/>
                  <c:pt idx="0">
                    <c:v>37.1%</c:v>
                  </c:pt>
                </c15:dlblRangeCache>
              </c15:datalabelsRange>
            </c:ext>
            <c:ext xmlns:c16="http://schemas.microsoft.com/office/drawing/2014/chart" uri="{C3380CC4-5D6E-409C-BE32-E72D297353CC}">
              <c16:uniqueId val="{00000005-9225-4666-A6C5-E2E0AE9D137B}"/>
            </c:ext>
          </c:extLst>
        </c:ser>
        <c:ser>
          <c:idx val="9"/>
          <c:order val="13"/>
          <c:tx>
            <c:strRef>
              <c:f>'W5'!$D$84</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E50628A6-D7D8-4EF9-95FC-814447759FF3}" type="CELLRANGE">
                      <a:rPr lang="en-US" baseline="0"/>
                      <a:pPr>
                        <a:defRPr/>
                      </a:pPr>
                      <a:t>[CELLRANGE]</a:t>
                    </a:fld>
                    <a:r>
                      <a:rPr lang="en-US" baseline="0"/>
                      <a:t>, </a:t>
                    </a:r>
                    <a:fld id="{C6AB10F8-C7AD-4508-98C8-E122999C5E1B}" type="SERIESNAME">
                      <a:rPr lang="en-US" baseline="0"/>
                      <a:pPr>
                        <a:defRPr/>
                      </a:pPr>
                      <a:t>[SERIES NAME]</a:t>
                    </a:fld>
                    <a:r>
                      <a:rPr lang="en-US" baseline="0"/>
                      <a:t>, </a:t>
                    </a:r>
                    <a:fld id="{1B6BCB9A-C671-4C69-A0C8-DAAE8C84E8C9}"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8259216251371503"/>
                      <c:h val="0.10753561634700136"/>
                    </c:manualLayout>
                  </c15:layout>
                  <c15:dlblFieldTable/>
                  <c15:showDataLabelsRange val="1"/>
                </c:ext>
                <c:ext xmlns:c16="http://schemas.microsoft.com/office/drawing/2014/chart" uri="{C3380CC4-5D6E-409C-BE32-E72D297353CC}">
                  <c16:uniqueId val="{00000006-9225-4666-A6C5-E2E0AE9D137B}"/>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'W5'!$S$70:$T$70</c15:sqref>
                  </c15:fullRef>
                </c:ext>
              </c:extLst>
              <c:f>'W5'!$S$70</c:f>
              <c:strCache>
                <c:ptCount val="1"/>
                <c:pt idx="0">
                  <c:v>Chi phí
USD/tấn</c:v>
                </c:pt>
              </c:strCache>
            </c:strRef>
          </c:cat>
          <c:val>
            <c:numRef>
              <c:extLst>
                <c:ext xmlns:c15="http://schemas.microsoft.com/office/drawing/2012/chart" uri="{02D57815-91ED-43cb-92C2-25804820EDAC}">
                  <c15:fullRef>
                    <c15:sqref>'W5'!$S$84:$T$84</c15:sqref>
                  </c15:fullRef>
                </c:ext>
              </c:extLst>
              <c:f>'W5'!$S$84</c:f>
              <c:numCache>
                <c:formatCode>0.0%;\-0.0.%;</c:formatCode>
                <c:ptCount val="1"/>
                <c:pt idx="0" formatCode="#,##0_);\(#,##0\);;">
                  <c:v>-10.93057921044092</c:v>
                </c:pt>
              </c:numCache>
            </c:numRef>
          </c:val>
          <c:extLst>
            <c:ext xmlns:c15="http://schemas.microsoft.com/office/drawing/2012/chart" uri="{02D57815-91ED-43cb-92C2-25804820EDAC}">
              <c15:datalabelsRange>
                <c15:f>'W5'!$T$84</c15:f>
                <c15:dlblRangeCache>
                  <c:ptCount val="1"/>
                  <c:pt idx="0">
                    <c:v>-0.7.%</c:v>
                  </c:pt>
                </c15:dlblRangeCache>
              </c15:datalabelsRange>
            </c:ext>
            <c:ext xmlns:c16="http://schemas.microsoft.com/office/drawing/2014/chart" uri="{C3380CC4-5D6E-409C-BE32-E72D297353CC}">
              <c16:uniqueId val="{00000007-9225-4666-A6C5-E2E0AE9D137B}"/>
            </c:ext>
          </c:extLst>
        </c:ser>
        <c:ser>
          <c:idx val="12"/>
          <c:order val="14"/>
          <c:tx>
            <c:strRef>
              <c:f>'W5'!$D$85</c:f>
              <c:strCache>
                <c:ptCount val="1"/>
                <c:pt idx="0">
                  <c:v>Lợi nhuận</c:v>
                </c:pt>
              </c:strCache>
            </c:strRef>
          </c:tx>
          <c:spPr>
            <a:solidFill>
              <a:srgbClr val="92D050"/>
            </a:solidFill>
          </c:spPr>
          <c:invertIfNegative val="0"/>
          <c:dLbls>
            <c:dLbl>
              <c:idx val="0"/>
              <c:layout>
                <c:manualLayout>
                  <c:x val="-1.4273317670683742E-2"/>
                  <c:y val="-3.4014070040594598E-2"/>
                </c:manualLayout>
              </c:layout>
              <c:tx>
                <c:rich>
                  <a:bodyPr wrap="square" lIns="38100" tIns="19050" rIns="38100" bIns="19050" anchor="ctr">
                    <a:noAutofit/>
                  </a:bodyPr>
                  <a:lstStyle/>
                  <a:p>
                    <a:pPr>
                      <a:defRPr sz="1300" b="1">
                        <a:solidFill>
                          <a:srgbClr val="FF0000"/>
                        </a:solidFill>
                      </a:defRPr>
                    </a:pPr>
                    <a:fld id="{C5A2167B-57C5-4A7C-BCE8-62E3F61501A9}" type="CELLRANGE">
                      <a:rPr lang="en-US" baseline="0"/>
                      <a:pPr>
                        <a:defRPr sz="1300" b="1">
                          <a:solidFill>
                            <a:srgbClr val="FF0000"/>
                          </a:solidFill>
                        </a:defRPr>
                      </a:pPr>
                      <a:t>[CELLRANGE]</a:t>
                    </a:fld>
                    <a:r>
                      <a:rPr lang="en-US" baseline="0"/>
                      <a:t>, </a:t>
                    </a:r>
                    <a:fld id="{7345F094-27A3-40F7-A078-89B04485D266}" type="SERIESNAME">
                      <a:rPr lang="en-US" baseline="0"/>
                      <a:pPr>
                        <a:defRPr sz="1300" b="1">
                          <a:solidFill>
                            <a:srgbClr val="FF0000"/>
                          </a:solidFill>
                        </a:defRPr>
                      </a:pPr>
                      <a:t>[SERIES NAME]</a:t>
                    </a:fld>
                    <a:r>
                      <a:rPr lang="en-US" baseline="0"/>
                      <a:t>, </a:t>
                    </a:r>
                    <a:fld id="{1E72FCF2-B44C-429F-A171-96FEAE6744E0}"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4426602098095"/>
                      <c:h val="0.15809739754868365"/>
                    </c:manualLayout>
                  </c15:layout>
                  <c15:dlblFieldTable/>
                  <c15:showDataLabelsRange val="1"/>
                </c:ext>
                <c:ext xmlns:c16="http://schemas.microsoft.com/office/drawing/2014/chart" uri="{C3380CC4-5D6E-409C-BE32-E72D297353CC}">
                  <c16:uniqueId val="{00000008-9225-4666-A6C5-E2E0AE9D137B}"/>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'W5'!$S$70:$T$70</c15:sqref>
                  </c15:fullRef>
                </c:ext>
              </c:extLst>
              <c:f>'W5'!$S$70</c:f>
              <c:strCache>
                <c:ptCount val="1"/>
                <c:pt idx="0">
                  <c:v>Chi phí
USD/tấn</c:v>
                </c:pt>
              </c:strCache>
            </c:strRef>
          </c:cat>
          <c:val>
            <c:numRef>
              <c:extLst>
                <c:ext xmlns:c15="http://schemas.microsoft.com/office/drawing/2012/chart" uri="{02D57815-91ED-43cb-92C2-25804820EDAC}">
                  <c15:fullRef>
                    <c15:sqref>'W5'!$S$85:$T$85</c15:sqref>
                  </c15:fullRef>
                </c:ext>
              </c:extLst>
              <c:f>'W5'!$S$85</c:f>
              <c:numCache>
                <c:formatCode>0.0%;\-0.0.%;</c:formatCode>
                <c:ptCount val="1"/>
                <c:pt idx="0" formatCode="#,##0_);\(#,##0\);;">
                  <c:v>-43.722316841763678</c:v>
                </c:pt>
              </c:numCache>
            </c:numRef>
          </c:val>
          <c:extLst>
            <c:ext xmlns:c15="http://schemas.microsoft.com/office/drawing/2012/chart" uri="{02D57815-91ED-43cb-92C2-25804820EDAC}">
              <c15:datalabelsRange>
                <c15:f>'W5'!$T$85</c15:f>
                <c15:dlblRangeCache>
                  <c:ptCount val="1"/>
                  <c:pt idx="0">
                    <c:v>-2.8.%</c:v>
                  </c:pt>
                </c15:dlblRangeCache>
              </c15:datalabelsRange>
            </c:ext>
            <c:ext xmlns:c16="http://schemas.microsoft.com/office/drawing/2014/chart" uri="{C3380CC4-5D6E-409C-BE32-E72D297353CC}">
              <c16:uniqueId val="{00000009-9225-4666-A6C5-E2E0AE9D137B}"/>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8.373055531220576E-17"/>
                        <c:y val="6.8029479217804325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84886CF3-536E-4330-8D3D-4F9AE8B833B8}"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CDD7D05C-1118-4F90-8224-B7F2EC8C2F1F}"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F7F5994D-CB4E-4A7B-8E3F-3FD21884094A}"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41776983097500531"/>
                            <c:h val="0.12008225512748712"/>
                          </c:manualLayout>
                        </c15:layout>
                        <c15:dlblFieldTable/>
                        <c15:showDataLabelsRange val="1"/>
                      </c:ext>
                      <c:ext xmlns:c16="http://schemas.microsoft.com/office/drawing/2014/chart" uri="{C3380CC4-5D6E-409C-BE32-E72D297353CC}">
                        <c16:uniqueId val="{0000000A-9225-4666-A6C5-E2E0AE9D137B}"/>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0"/>
                    </c:ext>
                  </c:extLst>
                </c:dLbls>
                <c:cat>
                  <c:strRef>
                    <c:extLst>
                      <c:ext uri="{02D57815-91ED-43cb-92C2-25804820EDAC}">
                        <c15:fullRef>
                          <c15:sqref>'W5'!$S$70:$T$70</c15:sqref>
                        </c15:fullRef>
                        <c15:formulaRef>
                          <c15:sqref>'W5'!$S$70</c15:sqref>
                        </c15:formulaRef>
                      </c:ext>
                    </c:extLst>
                    <c:strCache>
                      <c:ptCount val="1"/>
                      <c:pt idx="0">
                        <c:v>Chi phí
USD/tấn</c:v>
                      </c:pt>
                    </c:strCache>
                  </c:strRef>
                </c:cat>
                <c:val>
                  <c:numRef>
                    <c:extLst>
                      <c:ext uri="{02D57815-91ED-43cb-92C2-25804820EDAC}">
                        <c15:fullRef>
                          <c15:sqref>'W5'!$S$72:$T$72</c15:sqref>
                        </c15:fullRef>
                        <c15:formulaRef>
                          <c15:sqref>'W5'!$S$72</c15:sqref>
                        </c15:formulaRef>
                      </c:ext>
                    </c:extLst>
                    <c:numCache>
                      <c:formatCode>0.0%;\-0.0.%;</c:formatCode>
                      <c:ptCount val="1"/>
                      <c:pt idx="0" formatCode="#,##0_);\(#,##0\);;">
                        <c:v>979.2</c:v>
                      </c:pt>
                    </c:numCache>
                  </c:numRef>
                </c:val>
                <c:extLst>
                  <c:ext uri="{02D57815-91ED-43cb-92C2-25804820EDAC}">
                    <c15:datalabelsRange>
                      <c15:f>'W5'!$R$73</c15:f>
                      <c15:dlblRangeCache>
                        <c:ptCount val="1"/>
                        <c:pt idx="0">
                          <c:v>4.9%</c:v>
                        </c:pt>
                      </c15:dlblRangeCache>
                    </c15:datalabelsRange>
                  </c:ext>
                  <c:ext xmlns:c16="http://schemas.microsoft.com/office/drawing/2014/chart" uri="{C3380CC4-5D6E-409C-BE32-E72D297353CC}">
                    <c16:uniqueId val="{0000000B-9225-4666-A6C5-E2E0AE9D137B}"/>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3.48256004844801E-2"/>
                        <c:y val="-5.6123349480642647E-2"/>
                      </c:manualLayout>
                    </c:layout>
                    <c:tx>
                      <c:rich>
                        <a:bodyPr wrap="square" lIns="38100" tIns="19050" rIns="38100" bIns="19050" anchor="ctr">
                          <a:noAutofit/>
                        </a:bodyPr>
                        <a:lstStyle/>
                        <a:p>
                          <a:pPr>
                            <a:defRPr sz="1300" b="1">
                              <a:solidFill>
                                <a:srgbClr val="FF0000"/>
                              </a:solidFill>
                            </a:defRPr>
                          </a:pPr>
                          <a:fld id="{DD44BC04-A950-454E-A2C0-C4D432648682}" type="CELLRANGE">
                            <a:rPr lang="en-US" baseline="0">
                              <a:solidFill>
                                <a:srgbClr val="FF0000"/>
                              </a:solidFill>
                            </a:rPr>
                            <a:pPr>
                              <a:defRPr sz="1300" b="1">
                                <a:solidFill>
                                  <a:srgbClr val="FF0000"/>
                                </a:solidFill>
                              </a:defRPr>
                            </a:pPr>
                            <a:t>[CELLRANGE]</a:t>
                          </a:fld>
                          <a:r>
                            <a:rPr lang="en-US" baseline="0">
                              <a:solidFill>
                                <a:srgbClr val="FF0000"/>
                              </a:solidFill>
                            </a:rPr>
                            <a:t>, </a:t>
                          </a:r>
                          <a:fld id="{1333BA8B-DD96-4EE6-A73D-409A40E5C3BE}" type="SERIESNAME">
                            <a:rPr lang="en-US" baseline="0">
                              <a:solidFill>
                                <a:srgbClr val="FF0000"/>
                              </a:solidFill>
                            </a:rPr>
                            <a:pPr>
                              <a:defRPr sz="1300" b="1">
                                <a:solidFill>
                                  <a:srgbClr val="FF0000"/>
                                </a:solidFill>
                              </a:defRPr>
                            </a:pPr>
                            <a:t>[SERIES NAME]</a:t>
                          </a:fld>
                          <a:r>
                            <a:rPr lang="en-US" baseline="0">
                              <a:solidFill>
                                <a:srgbClr val="FF0000"/>
                              </a:solidFill>
                            </a:rPr>
                            <a:t>, </a:t>
                          </a:r>
                          <a:fld id="{CE48B7B2-4579-4665-B098-BA0B8C9F776C}" type="VALUE">
                            <a:rPr lang="en-US" baseline="0">
                              <a:solidFill>
                                <a:srgbClr val="FF0000"/>
                              </a:solidFill>
                            </a:rPr>
                            <a:pPr>
                              <a:defRPr sz="1300" b="1">
                                <a:solidFill>
                                  <a:srgbClr val="FF0000"/>
                                </a:solidFill>
                              </a:defRPr>
                            </a:pPr>
                            <a:t>[VALUE]</a:t>
                          </a:fld>
                          <a:endParaRPr lang="en-US"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9379986356017322"/>
                            <c:h val="0.10707629248779174"/>
                          </c:manualLayout>
                        </c15:layout>
                        <c15:dlblFieldTable/>
                        <c15:showDataLabelsRange val="1"/>
                      </c:ext>
                      <c:ext xmlns:c16="http://schemas.microsoft.com/office/drawing/2014/chart" uri="{C3380CC4-5D6E-409C-BE32-E72D297353CC}">
                        <c16:uniqueId val="{0000000C-9225-4666-A6C5-E2E0AE9D137B}"/>
                      </c:ext>
                    </c:extLst>
                  </c:dLbl>
                  <c:spPr>
                    <a:noFill/>
                    <a:ln>
                      <a:noFill/>
                    </a:ln>
                    <a:effectLst/>
                  </c:spPr>
                  <c:txPr>
                    <a:bodyPr wrap="square" lIns="38100" tIns="19050" rIns="38100" bIns="19050" anchor="ctr">
                      <a:spAutoFit/>
                    </a:bodyPr>
                    <a:lstStyle/>
                    <a:p>
                      <a:pPr>
                        <a:defRPr sz="1300" b="1"/>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'W5'!$S$70:$T$70</c15:sqref>
                        </c15:fullRef>
                        <c15:formulaRef>
                          <c15:sqref>'W5'!$S$70</c15:sqref>
                        </c15:formulaRef>
                      </c:ext>
                    </c:extLst>
                    <c:strCache>
                      <c:ptCount val="1"/>
                      <c:pt idx="0">
                        <c:v>Chi phí
USD/tấn</c:v>
                      </c:pt>
                    </c:strCache>
                  </c:strRef>
                </c:cat>
                <c:val>
                  <c:numRef>
                    <c:extLst>
                      <c:ext xmlns:c15="http://schemas.microsoft.com/office/drawing/2012/chart" uri="{02D57815-91ED-43cb-92C2-25804820EDAC}">
                        <c15:fullRef>
                          <c15:sqref>'W5'!$S$75:$T$75</c15:sqref>
                        </c15:fullRef>
                        <c15:formulaRef>
                          <c15:sqref>'W5'!$S$75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'W5'!$R$85</c15:f>
                      <c15:dlblRangeCache>
                        <c:ptCount val="1"/>
                        <c:pt idx="0">
                          <c:v>-3.1.%</c:v>
                        </c:pt>
                      </c15:dlblRangeCache>
                    </c15:datalabelsRange>
                  </c:ext>
                  <c:ext xmlns:c16="http://schemas.microsoft.com/office/drawing/2014/chart" uri="{C3380CC4-5D6E-409C-BE32-E72D297353CC}">
                    <c16:uniqueId val="{0000000D-9225-4666-A6C5-E2E0AE9D137B}"/>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'W5'!$S$70:$T$70</c15:sqref>
                        </c15:fullRef>
                        <c15:formulaRef>
                          <c15:sqref>'W5'!$S$70</c15:sqref>
                        </c15:formulaRef>
                      </c:ext>
                    </c:extLst>
                    <c:strCache>
                      <c:ptCount val="1"/>
                      <c:pt idx="0">
                        <c:v>Chi phí
USD/tấn</c:v>
                      </c:pt>
                    </c:strCache>
                  </c:strRef>
                </c:cat>
                <c:val>
                  <c:numRef>
                    <c:extLst>
                      <c:ext xmlns:c15="http://schemas.microsoft.com/office/drawing/2012/chart" uri="{02D57815-91ED-43cb-92C2-25804820EDAC}">
                        <c15:fullRef>
                          <c15:sqref>'W5'!$S$76:$T$76</c15:sqref>
                        </c15:fullRef>
                        <c15:formulaRef>
                          <c15:sqref>'W5'!$S$76</c15:sqref>
                        </c15:formulaRef>
                      </c:ext>
                    </c:extLst>
                    <c:numCache>
                      <c:formatCode>0.0%;\-0.0.%;</c:formatCode>
                      <c:ptCount val="1"/>
                      <c:pt idx="0" formatCode="#,##0_);\(#,##0\);;">
                        <c:v>192.87651738366029</c:v>
                      </c:pt>
                    </c:numCache>
                  </c:numRef>
                </c:val>
                <c:extLst xmlns:c15="http://schemas.microsoft.com/office/drawing/2012/chart">
                  <c:ext xmlns:c16="http://schemas.microsoft.com/office/drawing/2014/chart" uri="{C3380CC4-5D6E-409C-BE32-E72D297353CC}">
                    <c16:uniqueId val="{0000000E-9225-4666-A6C5-E2E0AE9D137B}"/>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invertIfNegative val="0"/>
                <c:cat>
                  <c:strRef>
                    <c:extLst>
                      <c:ext xmlns:c15="http://schemas.microsoft.com/office/drawing/2012/chart" uri="{02D57815-91ED-43cb-92C2-25804820EDAC}">
                        <c15:fullRef>
                          <c15:sqref>'W5'!$S$70:$T$70</c15:sqref>
                        </c15:fullRef>
                        <c15:formulaRef>
                          <c15:sqref>'W5'!$S$70</c15:sqref>
                        </c15:formulaRef>
                      </c:ext>
                    </c:extLst>
                    <c:strCache>
                      <c:ptCount val="1"/>
                      <c:pt idx="0">
                        <c:v>Chi phí
USD/tấn</c:v>
                      </c:pt>
                    </c:strCache>
                  </c:strRef>
                </c:cat>
                <c:val>
                  <c:numRef>
                    <c:extLst>
                      <c:ext xmlns:c15="http://schemas.microsoft.com/office/drawing/2012/chart" uri="{02D57815-91ED-43cb-92C2-25804820EDAC}">
                        <c15:fullRef>
                          <c15:sqref>'W5'!$S$77:$T$77</c15:sqref>
                        </c15:fullRef>
                        <c15:formulaRef>
                          <c15:sqref>'W5'!$S$77</c15:sqref>
                        </c15:formulaRef>
                      </c:ext>
                    </c:extLst>
                    <c:numCache>
                      <c:formatCode>0.0%;\-0.0.%;</c:formatCode>
                      <c:ptCount val="1"/>
                      <c:pt idx="0" formatCode="#,##0_);\(#,##0\);;">
                        <c:v>125.84619890507449</c:v>
                      </c:pt>
                    </c:numCache>
                  </c:numRef>
                </c:val>
                <c:extLst xmlns:c15="http://schemas.microsoft.com/office/drawing/2012/chart">
                  <c:ext xmlns:c16="http://schemas.microsoft.com/office/drawing/2014/chart" uri="{C3380CC4-5D6E-409C-BE32-E72D297353CC}">
                    <c16:uniqueId val="{0000000F-9225-4666-A6C5-E2E0AE9D137B}"/>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'W5'!$S$70:$T$70</c15:sqref>
                        </c15:fullRef>
                        <c15:formulaRef>
                          <c15:sqref>'W5'!$S$70</c15:sqref>
                        </c15:formulaRef>
                      </c:ext>
                    </c:extLst>
                    <c:strCache>
                      <c:ptCount val="1"/>
                      <c:pt idx="0">
                        <c:v>Chi phí
USD/tấn</c:v>
                      </c:pt>
                    </c:strCache>
                  </c:strRef>
                </c:cat>
                <c:val>
                  <c:numRef>
                    <c:extLst>
                      <c:ext xmlns:c15="http://schemas.microsoft.com/office/drawing/2012/chart" uri="{02D57815-91ED-43cb-92C2-25804820EDAC}">
                        <c15:fullRef>
                          <c15:sqref>'W5'!$S$78:$T$78</c15:sqref>
                        </c15:fullRef>
                        <c15:formulaRef>
                          <c15:sqref>'W5'!$S$78</c15:sqref>
                        </c15:formulaRef>
                      </c:ext>
                    </c:extLst>
                    <c:numCache>
                      <c:formatCode>0.0%;\-0.0.%;</c:formatCode>
                      <c:ptCount val="1"/>
                      <c:pt idx="0" formatCode="#,##0_);\(#,##0\);;">
                        <c:v>135.70318892301805</c:v>
                      </c:pt>
                    </c:numCache>
                  </c:numRef>
                </c:val>
                <c:extLst xmlns:c15="http://schemas.microsoft.com/office/drawing/2012/chart">
                  <c:ext xmlns:c16="http://schemas.microsoft.com/office/drawing/2014/chart" uri="{C3380CC4-5D6E-409C-BE32-E72D297353CC}">
                    <c16:uniqueId val="{00000010-9225-4666-A6C5-E2E0AE9D137B}"/>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'W5'!$S$70:$T$70</c15:sqref>
                        </c15:fullRef>
                        <c15:formulaRef>
                          <c15:sqref>'W5'!$S$70</c15:sqref>
                        </c15:formulaRef>
                      </c:ext>
                    </c:extLst>
                    <c:strCache>
                      <c:ptCount val="1"/>
                      <c:pt idx="0">
                        <c:v>Chi phí
USD/tấn</c:v>
                      </c:pt>
                    </c:strCache>
                  </c:strRef>
                </c:cat>
                <c:val>
                  <c:numRef>
                    <c:extLst>
                      <c:ext xmlns:c15="http://schemas.microsoft.com/office/drawing/2012/chart" uri="{02D57815-91ED-43cb-92C2-25804820EDAC}">
                        <c15:fullRef>
                          <c15:sqref>'W5'!$S$79:$T$79</c15:sqref>
                        </c15:fullRef>
                        <c15:formulaRef>
                          <c15:sqref>'W5'!$S$79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1-9225-4666-A6C5-E2E0AE9D137B}"/>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'W5'!$S$70:$T$70</c15:sqref>
                        </c15:fullRef>
                        <c15:formulaRef>
                          <c15:sqref>'W5'!$S$70</c15:sqref>
                        </c15:formulaRef>
                      </c:ext>
                    </c:extLst>
                    <c:strCache>
                      <c:ptCount val="1"/>
                      <c:pt idx="0">
                        <c:v>Chi phí
USD/tấn</c:v>
                      </c:pt>
                    </c:strCache>
                  </c:strRef>
                </c:cat>
                <c:val>
                  <c:numRef>
                    <c:extLst>
                      <c:ext xmlns:c15="http://schemas.microsoft.com/office/drawing/2012/chart" uri="{02D57815-91ED-43cb-92C2-25804820EDAC}">
                        <c15:fullRef>
                          <c15:sqref>'W5'!$S$80:$T$80</c15:sqref>
                        </c15:fullRef>
                        <c15:formulaRef>
                          <c15:sqref>'W5'!$S$80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2-9225-4666-A6C5-E2E0AE9D137B}"/>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'W5'!$S$70:$T$70</c15:sqref>
                        </c15:fullRef>
                        <c15:formulaRef>
                          <c15:sqref>'W5'!$S$70</c15:sqref>
                        </c15:formulaRef>
                      </c:ext>
                    </c:extLst>
                    <c:strCache>
                      <c:ptCount val="1"/>
                      <c:pt idx="0">
                        <c:v>Chi phí
USD/tấn</c:v>
                      </c:pt>
                    </c:strCache>
                  </c:strRef>
                </c:cat>
                <c:val>
                  <c:numRef>
                    <c:extLst>
                      <c:ext xmlns:c15="http://schemas.microsoft.com/office/drawing/2012/chart" uri="{02D57815-91ED-43cb-92C2-25804820EDAC}">
                        <c15:fullRef>
                          <c15:sqref>'W5'!$S$81:$T$81</c15:sqref>
                        </c15:fullRef>
                        <c15:formulaRef>
                          <c15:sqref>'W5'!$S$81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9225-4666-A6C5-E2E0AE9D137B}"/>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'W5'!$S$70:$T$70</c15:sqref>
                        </c15:fullRef>
                        <c15:formulaRef>
                          <c15:sqref>'W5'!$S$70</c15:sqref>
                        </c15:formulaRef>
                      </c:ext>
                    </c:extLst>
                    <c:strCache>
                      <c:ptCount val="1"/>
                      <c:pt idx="0">
                        <c:v>Chi phí
USD/tấn</c:v>
                      </c:pt>
                    </c:strCache>
                  </c:strRef>
                </c:cat>
                <c:val>
                  <c:numRef>
                    <c:extLst>
                      <c:ext xmlns:c15="http://schemas.microsoft.com/office/drawing/2012/chart" uri="{02D57815-91ED-43cb-92C2-25804820EDAC}">
                        <c15:fullRef>
                          <c15:sqref>'W5'!$S$82:$T$82</c15:sqref>
                        </c15:fullRef>
                        <c15:formulaRef>
                          <c15:sqref>'W5'!$S$82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9225-4666-A6C5-E2E0AE9D137B}"/>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'W5'!$S$70:$T$70</c15:sqref>
                        </c15:fullRef>
                        <c15:formulaRef>
                          <c15:sqref>'W5'!$S$70</c15:sqref>
                        </c15:formulaRef>
                      </c:ext>
                    </c:extLst>
                    <c:strCache>
                      <c:ptCount val="1"/>
                      <c:pt idx="0">
                        <c:v>Chi phí
USD/tấn</c:v>
                      </c:pt>
                    </c:strCache>
                  </c:strRef>
                </c:cat>
                <c:val>
                  <c:numRef>
                    <c:extLst>
                      <c:ext xmlns:c15="http://schemas.microsoft.com/office/drawing/2012/chart" uri="{02D57815-91ED-43cb-92C2-25804820EDAC}">
                        <c15:fullRef>
                          <c15:sqref>'W5'!$S$83:$T$83</c15:sqref>
                        </c15:fullRef>
                        <c15:formulaRef>
                          <c15:sqref>'W5'!$S$83</c15:sqref>
                        </c15:formulaRef>
                      </c:ext>
                    </c:extLst>
                    <c:numCache>
                      <c:formatCode>0.0%;\-0.0.%;</c:formatCode>
                      <c:ptCount val="1"/>
                      <c:pt idx="0" formatCode="#,##0_);\(#,##0\);;">
                        <c:v>1642.4576024980183</c:v>
                      </c:pt>
                    </c:numCache>
                  </c:numRef>
                </c:val>
                <c:extLst xmlns:c15="http://schemas.microsoft.com/office/drawing/2012/chart">
                  <c:ext xmlns:c16="http://schemas.microsoft.com/office/drawing/2014/chart" uri="{C3380CC4-5D6E-409C-BE32-E72D297353CC}">
                    <c16:uniqueId val="{00000015-9225-4666-A6C5-E2E0AE9D137B}"/>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'W5'!$S$70:$T$70</c15:sqref>
                        </c15:fullRef>
                        <c15:formulaRef>
                          <c15:sqref>'W5'!$S$70</c15:sqref>
                        </c15:formulaRef>
                      </c:ext>
                    </c:extLst>
                    <c:strCache>
                      <c:ptCount val="1"/>
                      <c:pt idx="0">
                        <c:v>Chi phí
USD/tấn</c:v>
                      </c:pt>
                    </c:strCache>
                  </c:strRef>
                </c:cat>
                <c:val>
                  <c:numRef>
                    <c:extLst>
                      <c:ext xmlns:c15="http://schemas.microsoft.com/office/drawing/2012/chart" uri="{02D57815-91ED-43cb-92C2-25804820EDAC}">
                        <c15:fullRef>
                          <c15:sqref>'W5'!$S$86:$T$86</c15:sqref>
                        </c15:fullRef>
                        <c15:formulaRef>
                          <c15:sqref>'W5'!$S$86</c15:sqref>
                        </c15:formulaRef>
                      </c:ext>
                    </c:extLst>
                    <c:numCache>
                      <c:formatCode>0.0%;\-0.0.%;</c:formatCode>
                      <c:ptCount val="1"/>
                      <c:pt idx="0" formatCode="#,##0_);\(#,##0\);;">
                        <c:v>1587.8047064458137</c:v>
                      </c:pt>
                    </c:numCache>
                  </c:numRef>
                </c:val>
                <c:extLst xmlns:c15="http://schemas.microsoft.com/office/drawing/2012/chart">
                  <c:ext xmlns:c16="http://schemas.microsoft.com/office/drawing/2014/chart" uri="{C3380CC4-5D6E-409C-BE32-E72D297353CC}">
                    <c16:uniqueId val="{00000016-9225-4666-A6C5-E2E0AE9D137B}"/>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'W5'!$S$70:$T$70</c15:sqref>
                        </c15:fullRef>
                        <c15:formulaRef>
                          <c15:sqref>'W5'!$S$70</c15:sqref>
                        </c15:formulaRef>
                      </c:ext>
                    </c:extLst>
                    <c:strCache>
                      <c:ptCount val="1"/>
                      <c:pt idx="0">
                        <c:v>Chi phí
USD/tấn</c:v>
                      </c:pt>
                    </c:strCache>
                  </c:strRef>
                </c:cat>
                <c:val>
                  <c:numRef>
                    <c:extLst>
                      <c:ext xmlns:c15="http://schemas.microsoft.com/office/drawing/2012/chart" uri="{02D57815-91ED-43cb-92C2-25804820EDAC}">
                        <c15:fullRef>
                          <c15:sqref>'W5'!$S$87:$T$87</c15:sqref>
                        </c15:fullRef>
                        <c15:formulaRef>
                          <c15:sqref>'W5'!$S$87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9225-4666-A6C5-E2E0AE9D137B}"/>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E84EDA78-78E2-418A-82F8-5F5FE1025FDA}"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ACB28C94-BCA2-497C-BBBC-B87E11EA628C}"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634ED855-2E5D-4FF3-81DA-4F6BB9D61208}"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F213-465C-9000-95254B427698}"/>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'W5'!$U$70:$V$70</c15:sqref>
                  </c15:fullRef>
                </c:ext>
              </c:extLst>
              <c:f>'W5'!$U$70</c:f>
              <c:strCache>
                <c:ptCount val="1"/>
                <c:pt idx="0">
                  <c:v>Chi phí
USD/tấn</c:v>
                </c:pt>
              </c:strCache>
            </c:strRef>
          </c:cat>
          <c:val>
            <c:numRef>
              <c:extLst>
                <c:ext xmlns:c15="http://schemas.microsoft.com/office/drawing/2012/chart" uri="{02D57815-91ED-43cb-92C2-25804820EDAC}">
                  <c15:fullRef>
                    <c15:sqref>'W5'!$U$71:$V$71</c15:sqref>
                  </c15:fullRef>
                </c:ext>
              </c:extLst>
              <c:f>'W5'!$U$71</c:f>
              <c:numCache>
                <c:formatCode>0.0%;\-0.0.%;</c:formatCode>
                <c:ptCount val="1"/>
                <c:pt idx="0" formatCode="#,##0_);\(#,##0\);;">
                  <c:v>979.2</c:v>
                </c:pt>
              </c:numCache>
            </c:numRef>
          </c:val>
          <c:extLst>
            <c:ext xmlns:c15="http://schemas.microsoft.com/office/drawing/2012/chart" uri="{02D57815-91ED-43cb-92C2-25804820EDAC}">
              <c15:datalabelsRange>
                <c15:f>'W5'!$V$71</c15:f>
                <c15:dlblRangeCache>
                  <c:ptCount val="1"/>
                  <c:pt idx="0">
                    <c:v>56.2%</c:v>
                  </c:pt>
                </c15:dlblRangeCache>
              </c15:datalabelsRange>
            </c:ext>
            <c:ext xmlns:c16="http://schemas.microsoft.com/office/drawing/2014/chart" uri="{C3380CC4-5D6E-409C-BE32-E72D297353CC}">
              <c16:uniqueId val="{00000001-F213-465C-9000-95254B427698}"/>
            </c:ext>
          </c:extLst>
        </c:ser>
        <c:ser>
          <c:idx val="10"/>
          <c:order val="2"/>
          <c:tx>
            <c:strRef>
              <c:f>'W5'!$D$73</c:f>
              <c:strCache>
                <c:ptCount val="1"/>
                <c:pt idx="0">
                  <c:v>Hao hụt về tiền</c:v>
                </c:pt>
              </c:strCache>
            </c:strRef>
          </c:tx>
          <c:spPr>
            <a:solidFill>
              <a:srgbClr val="FFC000"/>
            </a:solidFill>
          </c:spPr>
          <c:invertIfNegative val="0"/>
          <c:dLbls>
            <c:dLbl>
              <c:idx val="0"/>
              <c:layout>
                <c:manualLayout>
                  <c:x val="1.798099983709214E-7"/>
                  <c:y val="2.3809982942077788E-2"/>
                </c:manualLayout>
              </c:layout>
              <c:tx>
                <c:rich>
                  <a:bodyPr/>
                  <a:lstStyle/>
                  <a:p>
                    <a:fld id="{B93C2CED-6FF5-4B46-8217-507DA59D180A}" type="CELLRANGE">
                      <a:rPr lang="en-US" baseline="0"/>
                      <a:pPr/>
                      <a:t>[CELLRANGE]</a:t>
                    </a:fld>
                    <a:r>
                      <a:rPr lang="en-US" baseline="0"/>
                      <a:t>, </a:t>
                    </a:r>
                    <a:fld id="{525781CE-B962-4095-973F-65385A3A83E8}" type="SERIESNAME">
                      <a:rPr lang="en-US" baseline="0"/>
                      <a:pPr/>
                      <a:t>[SERIES NAME]</a:t>
                    </a:fld>
                    <a:r>
                      <a:rPr lang="en-US" baseline="0"/>
                      <a:t>, </a:t>
                    </a:r>
                    <a:fld id="{F5BDF68E-F7FA-44A1-B63E-023D78D7D85C}"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9629368438957913"/>
                      <c:h val="0.13474687237947702"/>
                    </c:manualLayout>
                  </c15:layout>
                  <c15:dlblFieldTable/>
                  <c15:showDataLabelsRange val="1"/>
                </c:ext>
                <c:ext xmlns:c16="http://schemas.microsoft.com/office/drawing/2014/chart" uri="{C3380CC4-5D6E-409C-BE32-E72D297353CC}">
                  <c16:uniqueId val="{00000002-F213-465C-9000-95254B427698}"/>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'W5'!$U$70:$V$70</c15:sqref>
                  </c15:fullRef>
                </c:ext>
              </c:extLst>
              <c:f>'W5'!$U$70</c:f>
              <c:strCache>
                <c:ptCount val="1"/>
                <c:pt idx="0">
                  <c:v>Chi phí
USD/tấn</c:v>
                </c:pt>
              </c:strCache>
            </c:strRef>
          </c:cat>
          <c:val>
            <c:numRef>
              <c:extLst>
                <c:ext xmlns:c15="http://schemas.microsoft.com/office/drawing/2012/chart" uri="{02D57815-91ED-43cb-92C2-25804820EDAC}">
                  <c15:fullRef>
                    <c15:sqref>'W5'!$U$73:$V$73</c15:sqref>
                  </c15:fullRef>
                </c:ext>
              </c:extLst>
              <c:f>'W5'!$U$73</c:f>
              <c:numCache>
                <c:formatCode>0.0%;\-0.0.%;</c:formatCode>
                <c:ptCount val="1"/>
                <c:pt idx="0" formatCode="#,##0_);\(#,##0\);;">
                  <c:v>73.703225806451741</c:v>
                </c:pt>
              </c:numCache>
            </c:numRef>
          </c:val>
          <c:extLst>
            <c:ext xmlns:c15="http://schemas.microsoft.com/office/drawing/2012/chart" uri="{02D57815-91ED-43cb-92C2-25804820EDAC}">
              <c15:datalabelsRange>
                <c15:f>'W5'!$V$73</c15:f>
                <c15:dlblRangeCache>
                  <c:ptCount val="1"/>
                  <c:pt idx="0">
                    <c:v>4.2%</c:v>
                  </c:pt>
                </c15:dlblRangeCache>
              </c15:datalabelsRange>
            </c:ext>
            <c:ext xmlns:c16="http://schemas.microsoft.com/office/drawing/2014/chart" uri="{C3380CC4-5D6E-409C-BE32-E72D297353CC}">
              <c16:uniqueId val="{00000003-F213-465C-9000-95254B427698}"/>
            </c:ext>
          </c:extLst>
        </c:ser>
        <c:ser>
          <c:idx val="9"/>
          <c:order val="3"/>
          <c:tx>
            <c:strRef>
              <c:f>'W5'!$D$74</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82C050E1-A605-43BE-BEB0-317EDD63E9DF}" type="CELLRANGE">
                      <a:rPr lang="en-US" sz="1300" baseline="0"/>
                      <a:pPr>
                        <a:defRPr sz="1300"/>
                      </a:pPr>
                      <a:t>[CELLRANGE]</a:t>
                    </a:fld>
                    <a:r>
                      <a:rPr lang="en-US" sz="1300" baseline="0"/>
                      <a:t>, </a:t>
                    </a:r>
                    <a:fld id="{5BA1E449-A303-4678-A3BD-D19844B4A92F}" type="SERIESNAME">
                      <a:rPr lang="en-US" sz="1300" baseline="0"/>
                      <a:pPr>
                        <a:defRPr sz="1300"/>
                      </a:pPr>
                      <a:t>[SERIES NAME]</a:t>
                    </a:fld>
                    <a:r>
                      <a:rPr lang="en-US" sz="1300" baseline="0"/>
                      <a:t>, </a:t>
                    </a:r>
                    <a:fld id="{3F0E83A4-1EA7-484F-8494-13C05B7ECC19}"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8259216251371503"/>
                      <c:h val="0.14154968638759591"/>
                    </c:manualLayout>
                  </c15:layout>
                  <c15:dlblFieldTable/>
                  <c15:showDataLabelsRange val="1"/>
                </c:ext>
                <c:ext xmlns:c16="http://schemas.microsoft.com/office/drawing/2014/chart" uri="{C3380CC4-5D6E-409C-BE32-E72D297353CC}">
                  <c16:uniqueId val="{00000004-F213-465C-9000-95254B427698}"/>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'W5'!$U$70:$V$70</c15:sqref>
                  </c15:fullRef>
                </c:ext>
              </c:extLst>
              <c:f>'W5'!$U$70</c:f>
              <c:strCache>
                <c:ptCount val="1"/>
                <c:pt idx="0">
                  <c:v>Chi phí
USD/tấn</c:v>
                </c:pt>
              </c:strCache>
            </c:strRef>
          </c:cat>
          <c:val>
            <c:numRef>
              <c:extLst>
                <c:ext xmlns:c15="http://schemas.microsoft.com/office/drawing/2012/chart" uri="{02D57815-91ED-43cb-92C2-25804820EDAC}">
                  <c15:fullRef>
                    <c15:sqref>'W5'!$U$74:$V$74</c15:sqref>
                  </c15:fullRef>
                </c:ext>
              </c:extLst>
              <c:f>'W5'!$U$74</c:f>
              <c:numCache>
                <c:formatCode>0.0%;\-0.0.%;</c:formatCode>
                <c:ptCount val="1"/>
                <c:pt idx="0" formatCode="#,##0_);\(#,##0\);;">
                  <c:v>506.99203922249029</c:v>
                </c:pt>
              </c:numCache>
            </c:numRef>
          </c:val>
          <c:extLst>
            <c:ext xmlns:c15="http://schemas.microsoft.com/office/drawing/2012/chart" uri="{02D57815-91ED-43cb-92C2-25804820EDAC}">
              <c15:datalabelsRange>
                <c15:f>'W5'!$V$74</c15:f>
                <c15:dlblRangeCache>
                  <c:ptCount val="1"/>
                  <c:pt idx="0">
                    <c:v>29.1%</c:v>
                  </c:pt>
                </c15:dlblRangeCache>
              </c15:datalabelsRange>
            </c:ext>
            <c:ext xmlns:c16="http://schemas.microsoft.com/office/drawing/2014/chart" uri="{C3380CC4-5D6E-409C-BE32-E72D297353CC}">
              <c16:uniqueId val="{00000005-F213-465C-9000-95254B427698}"/>
            </c:ext>
          </c:extLst>
        </c:ser>
        <c:ser>
          <c:idx val="13"/>
          <c:order val="13"/>
          <c:tx>
            <c:strRef>
              <c:f>'W5'!$D$84</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F01CFF4F-3CD8-4BB0-88E7-FE8F266B25B9}" type="CELLRANGE">
                      <a:rPr lang="en-US" baseline="0"/>
                      <a:pPr>
                        <a:defRPr/>
                      </a:pPr>
                      <a:t>[CELLRANGE]</a:t>
                    </a:fld>
                    <a:r>
                      <a:rPr lang="en-US" baseline="0"/>
                      <a:t>, </a:t>
                    </a:r>
                    <a:fld id="{B005658A-5401-4AAC-8C4D-3C954AAF5404}" type="SERIESNAME">
                      <a:rPr lang="en-US" baseline="0"/>
                      <a:pPr>
                        <a:defRPr/>
                      </a:pPr>
                      <a:t>[SERIES NAME]</a:t>
                    </a:fld>
                    <a:r>
                      <a:rPr lang="en-US" baseline="0"/>
                      <a:t>, </a:t>
                    </a:r>
                    <a:fld id="{5270CCBA-DA15-49B0-993F-26A55BFAD859}"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345781459647215"/>
                      <c:h val="0.12454265136729865"/>
                    </c:manualLayout>
                  </c15:layout>
                  <c15:dlblFieldTable/>
                  <c15:showDataLabelsRange val="1"/>
                </c:ext>
                <c:ext xmlns:c16="http://schemas.microsoft.com/office/drawing/2014/chart" uri="{C3380CC4-5D6E-409C-BE32-E72D297353CC}">
                  <c16:uniqueId val="{00000006-F213-465C-9000-95254B427698}"/>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'W5'!$U$70:$V$70</c15:sqref>
                  </c15:fullRef>
                </c:ext>
              </c:extLst>
              <c:f>'W5'!$U$70</c:f>
              <c:strCache>
                <c:ptCount val="1"/>
                <c:pt idx="0">
                  <c:v>Chi phí
USD/tấn</c:v>
                </c:pt>
              </c:strCache>
            </c:strRef>
          </c:cat>
          <c:val>
            <c:numRef>
              <c:extLst>
                <c:ext xmlns:c15="http://schemas.microsoft.com/office/drawing/2012/chart" uri="{02D57815-91ED-43cb-92C2-25804820EDAC}">
                  <c15:fullRef>
                    <c15:sqref>'W5'!$U$84:$V$84</c15:sqref>
                  </c15:fullRef>
                </c:ext>
              </c:extLst>
              <c:f>'W5'!$U$84</c:f>
              <c:numCache>
                <c:formatCode>0.0%;\-0.0.%;</c:formatCode>
                <c:ptCount val="1"/>
                <c:pt idx="0" formatCode="#,##0_);\(#,##0\);;">
                  <c:v>36.738895712160321</c:v>
                </c:pt>
              </c:numCache>
            </c:numRef>
          </c:val>
          <c:extLst>
            <c:ext xmlns:c15="http://schemas.microsoft.com/office/drawing/2012/chart" uri="{02D57815-91ED-43cb-92C2-25804820EDAC}">
              <c15:datalabelsRange>
                <c15:f>'W5'!$V$84</c15:f>
                <c15:dlblRangeCache>
                  <c:ptCount val="1"/>
                  <c:pt idx="0">
                    <c:v>2.1%</c:v>
                  </c:pt>
                </c15:dlblRangeCache>
              </c15:datalabelsRange>
            </c:ext>
            <c:ext xmlns:c16="http://schemas.microsoft.com/office/drawing/2014/chart" uri="{C3380CC4-5D6E-409C-BE32-E72D297353CC}">
              <c16:uniqueId val="{00000007-F213-465C-9000-95254B427698}"/>
            </c:ext>
          </c:extLst>
        </c:ser>
        <c:ser>
          <c:idx val="14"/>
          <c:order val="14"/>
          <c:tx>
            <c:strRef>
              <c:f>'W5'!$D$85</c:f>
              <c:strCache>
                <c:ptCount val="1"/>
                <c:pt idx="0">
                  <c:v>Lợi nhuận</c:v>
                </c:pt>
              </c:strCache>
            </c:strRef>
          </c:tx>
          <c:spPr>
            <a:solidFill>
              <a:srgbClr val="92D050"/>
            </a:solidFill>
          </c:spPr>
          <c:invertIfNegative val="0"/>
          <c:dLbls>
            <c:dLbl>
              <c:idx val="0"/>
              <c:layout>
                <c:manualLayout>
                  <c:x val="-2.112425841861422E-2"/>
                  <c:y val="-7.3130116673616782E-2"/>
                </c:manualLayout>
              </c:layout>
              <c:tx>
                <c:rich>
                  <a:bodyPr wrap="square" lIns="38100" tIns="19050" rIns="38100" bIns="19050" anchor="ctr">
                    <a:noAutofit/>
                  </a:bodyPr>
                  <a:lstStyle/>
                  <a:p>
                    <a:pPr>
                      <a:defRPr sz="1300" b="1">
                        <a:solidFill>
                          <a:srgbClr val="FF0000"/>
                        </a:solidFill>
                      </a:defRPr>
                    </a:pPr>
                    <a:fld id="{D3F2C27B-EDE0-47F8-A0CB-557C92B750DF}"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2B46E55E-3996-4945-87FA-09D8F6682E5F}"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7339C13B-4D21-4F29-AE2D-2580D9E42C93}"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0293421147741599"/>
                      <c:h val="7.3062222447197164E-2"/>
                    </c:manualLayout>
                  </c15:layout>
                  <c15:dlblFieldTable/>
                  <c15:showDataLabelsRange val="1"/>
                </c:ext>
                <c:ext xmlns:c16="http://schemas.microsoft.com/office/drawing/2014/chart" uri="{C3380CC4-5D6E-409C-BE32-E72D297353CC}">
                  <c16:uniqueId val="{00000008-F213-465C-9000-95254B427698}"/>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'W5'!$U$70:$V$70</c15:sqref>
                  </c15:fullRef>
                </c:ext>
              </c:extLst>
              <c:f>'W5'!$U$70</c:f>
              <c:strCache>
                <c:ptCount val="1"/>
                <c:pt idx="0">
                  <c:v>Chi phí
USD/tấn</c:v>
                </c:pt>
              </c:strCache>
            </c:strRef>
          </c:cat>
          <c:val>
            <c:numRef>
              <c:extLst>
                <c:ext xmlns:c15="http://schemas.microsoft.com/office/drawing/2012/chart" uri="{02D57815-91ED-43cb-92C2-25804820EDAC}">
                  <c15:fullRef>
                    <c15:sqref>'W5'!$U$85:$V$85</c15:sqref>
                  </c15:fullRef>
                </c:ext>
              </c:extLst>
              <c:f>'W5'!$U$85</c:f>
              <c:numCache>
                <c:formatCode>0.0%;\-0.0.%;</c:formatCode>
                <c:ptCount val="1"/>
                <c:pt idx="0" formatCode="#,##0_);\(#,##0\);;">
                  <c:v>146.95558284864128</c:v>
                </c:pt>
              </c:numCache>
            </c:numRef>
          </c:val>
          <c:extLst>
            <c:ext xmlns:c15="http://schemas.microsoft.com/office/drawing/2012/chart" uri="{02D57815-91ED-43cb-92C2-25804820EDAC}">
              <c15:datalabelsRange>
                <c15:f>'W5'!$V$85</c15:f>
                <c15:dlblRangeCache>
                  <c:ptCount val="1"/>
                  <c:pt idx="0">
                    <c:v>8.4%</c:v>
                  </c:pt>
                </c15:dlblRangeCache>
              </c15:datalabelsRange>
            </c:ext>
            <c:ext xmlns:c16="http://schemas.microsoft.com/office/drawing/2014/chart" uri="{C3380CC4-5D6E-409C-BE32-E72D297353CC}">
              <c16:uniqueId val="{00000009-F213-465C-9000-95254B427698}"/>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0"/>
                        <c:y val="6.8029479217804325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571E4746-9D94-4F5E-B4F2-3ABC2FA28308}"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C422D8CA-96D4-4A13-A2B0-0FA90AA5C5BC}"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2F03BB6A-B745-4CB2-BB82-8BDA34C2709A}"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69605601154"/>
                            <c:h val="7.1454722853625127E-2"/>
                          </c:manualLayout>
                        </c15:layout>
                        <c15:dlblFieldTable/>
                        <c15:showDataLabelsRange val="1"/>
                      </c:ext>
                      <c:ext xmlns:c16="http://schemas.microsoft.com/office/drawing/2014/chart" uri="{C3380CC4-5D6E-409C-BE32-E72D297353CC}">
                        <c16:uniqueId val="{0000000A-F213-465C-9000-95254B42769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0"/>
                    </c:ext>
                  </c:extLst>
                </c:dLbls>
                <c:cat>
                  <c:strRef>
                    <c:extLst>
                      <c:ext uri="{02D57815-91ED-43cb-92C2-25804820EDAC}">
                        <c15:fullRef>
                          <c15:sqref>'W5'!$U$70:$V$70</c15:sqref>
                        </c15:fullRef>
                        <c15:formulaRef>
                          <c15:sqref>'W5'!$U$70</c15:sqref>
                        </c15:formulaRef>
                      </c:ext>
                    </c:extLst>
                    <c:strCache>
                      <c:ptCount val="1"/>
                      <c:pt idx="0">
                        <c:v>Chi phí
USD/tấn</c:v>
                      </c:pt>
                    </c:strCache>
                  </c:strRef>
                </c:cat>
                <c:val>
                  <c:numRef>
                    <c:extLst>
                      <c:ext uri="{02D57815-91ED-43cb-92C2-25804820EDAC}">
                        <c15:fullRef>
                          <c15:sqref>'W5'!$U$72:$V$72</c15:sqref>
                        </c15:fullRef>
                        <c15:formulaRef>
                          <c15:sqref>'W5'!$U$72</c15:sqref>
                        </c15:formulaRef>
                      </c:ext>
                    </c:extLst>
                    <c:numCache>
                      <c:formatCode>0.0%;\-0.0.%;</c:formatCode>
                      <c:ptCount val="1"/>
                      <c:pt idx="0" formatCode="#,##0_);\(#,##0\);;">
                        <c:v>979.2</c:v>
                      </c:pt>
                    </c:numCache>
                  </c:numRef>
                </c:val>
                <c:extLst>
                  <c:ext uri="{02D57815-91ED-43cb-92C2-25804820EDAC}">
                    <c15:datalabelsRange>
                      <c15:f>'W5'!$T$73</c15:f>
                      <c15:dlblRangeCache>
                        <c:ptCount val="1"/>
                        <c:pt idx="0">
                          <c:v>4.6%</c:v>
                        </c:pt>
                      </c15:dlblRangeCache>
                    </c15:datalabelsRange>
                  </c:ext>
                  <c:ext xmlns:c16="http://schemas.microsoft.com/office/drawing/2014/chart" uri="{C3380CC4-5D6E-409C-BE32-E72D297353CC}">
                    <c16:uniqueId val="{0000000B-F213-465C-9000-95254B427698}"/>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1.4273317670683742E-2"/>
                        <c:y val="-3.4014070040594598E-2"/>
                      </c:manualLayout>
                    </c:layout>
                    <c:tx>
                      <c:rich>
                        <a:bodyPr wrap="square" lIns="38100" tIns="19050" rIns="38100" bIns="19050" anchor="ctr">
                          <a:noAutofit/>
                        </a:bodyPr>
                        <a:lstStyle/>
                        <a:p>
                          <a:pPr>
                            <a:defRPr sz="1300" b="1">
                              <a:solidFill>
                                <a:srgbClr val="FF0000"/>
                              </a:solidFill>
                            </a:defRPr>
                          </a:pPr>
                          <a:fld id="{B59FDAC2-B910-4AD7-B650-34515C55D6B0}" type="CELLRANGE">
                            <a:rPr lang="en-US" baseline="0"/>
                            <a:pPr>
                              <a:defRPr sz="1300" b="1">
                                <a:solidFill>
                                  <a:srgbClr val="FF0000"/>
                                </a:solidFill>
                              </a:defRPr>
                            </a:pPr>
                            <a:t>[CELLRANGE]</a:t>
                          </a:fld>
                          <a:r>
                            <a:rPr lang="en-US" baseline="0"/>
                            <a:t>, </a:t>
                          </a:r>
                          <a:fld id="{0BFE163A-3456-4D3C-9729-506E7B51CE08}" type="SERIESNAME">
                            <a:rPr lang="en-US" baseline="0"/>
                            <a:pPr>
                              <a:defRPr sz="1300" b="1">
                                <a:solidFill>
                                  <a:srgbClr val="FF0000"/>
                                </a:solidFill>
                              </a:defRPr>
                            </a:pPr>
                            <a:t>[SERIES NAME]</a:t>
                          </a:fld>
                          <a:r>
                            <a:rPr lang="en-US" baseline="0"/>
                            <a:t>, </a:t>
                          </a:r>
                          <a:fld id="{94114BEC-2EC2-4167-9BCE-89FE8C2D312B}"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34426602098095"/>
                            <c:h val="0.15809739754868365"/>
                          </c:manualLayout>
                        </c15:layout>
                        <c15:dlblFieldTable/>
                        <c15:showDataLabelsRange val="1"/>
                      </c:ext>
                      <c:ext xmlns:c16="http://schemas.microsoft.com/office/drawing/2014/chart" uri="{C3380CC4-5D6E-409C-BE32-E72D297353CC}">
                        <c16:uniqueId val="{0000000C-F213-465C-9000-95254B427698}"/>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'W5'!$U$70:$V$70</c15:sqref>
                        </c15:fullRef>
                        <c15:formulaRef>
                          <c15:sqref>'W5'!$U$70</c15:sqref>
                        </c15:formulaRef>
                      </c:ext>
                    </c:extLst>
                    <c:strCache>
                      <c:ptCount val="1"/>
                      <c:pt idx="0">
                        <c:v>Chi phí
USD/tấn</c:v>
                      </c:pt>
                    </c:strCache>
                  </c:strRef>
                </c:cat>
                <c:val>
                  <c:numRef>
                    <c:extLst>
                      <c:ext xmlns:c15="http://schemas.microsoft.com/office/drawing/2012/chart" uri="{02D57815-91ED-43cb-92C2-25804820EDAC}">
                        <c15:fullRef>
                          <c15:sqref>'W5'!$U$75:$V$75</c15:sqref>
                        </c15:fullRef>
                        <c15:formulaRef>
                          <c15:sqref>'W5'!$U$75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'W5'!$T$85</c15:f>
                      <c15:dlblRangeCache>
                        <c:ptCount val="1"/>
                        <c:pt idx="0">
                          <c:v>-2.8.%</c:v>
                        </c:pt>
                      </c15:dlblRangeCache>
                    </c15:datalabelsRange>
                  </c:ext>
                  <c:ext xmlns:c16="http://schemas.microsoft.com/office/drawing/2014/chart" uri="{C3380CC4-5D6E-409C-BE32-E72D297353CC}">
                    <c16:uniqueId val="{0000000D-F213-465C-9000-95254B427698}"/>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'W5'!$U$70:$V$70</c15:sqref>
                        </c15:fullRef>
                        <c15:formulaRef>
                          <c15:sqref>'W5'!$U$70</c15:sqref>
                        </c15:formulaRef>
                      </c:ext>
                    </c:extLst>
                    <c:strCache>
                      <c:ptCount val="1"/>
                      <c:pt idx="0">
                        <c:v>Chi phí
USD/tấn</c:v>
                      </c:pt>
                    </c:strCache>
                  </c:strRef>
                </c:cat>
                <c:val>
                  <c:numRef>
                    <c:extLst>
                      <c:ext xmlns:c15="http://schemas.microsoft.com/office/drawing/2012/chart" uri="{02D57815-91ED-43cb-92C2-25804820EDAC}">
                        <c15:fullRef>
                          <c15:sqref>'W5'!$U$76:$V$76</c15:sqref>
                        </c15:fullRef>
                        <c15:formulaRef>
                          <c15:sqref>'W5'!$U$76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E-F213-465C-9000-95254B427698}"/>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invertIfNegative val="0"/>
                <c:cat>
                  <c:strRef>
                    <c:extLst>
                      <c:ext xmlns:c15="http://schemas.microsoft.com/office/drawing/2012/chart" uri="{02D57815-91ED-43cb-92C2-25804820EDAC}">
                        <c15:fullRef>
                          <c15:sqref>'W5'!$U$70:$V$70</c15:sqref>
                        </c15:fullRef>
                        <c15:formulaRef>
                          <c15:sqref>'W5'!$U$70</c15:sqref>
                        </c15:formulaRef>
                      </c:ext>
                    </c:extLst>
                    <c:strCache>
                      <c:ptCount val="1"/>
                      <c:pt idx="0">
                        <c:v>Chi phí
USD/tấn</c:v>
                      </c:pt>
                    </c:strCache>
                  </c:strRef>
                </c:cat>
                <c:val>
                  <c:numRef>
                    <c:extLst>
                      <c:ext xmlns:c15="http://schemas.microsoft.com/office/drawing/2012/chart" uri="{02D57815-91ED-43cb-92C2-25804820EDAC}">
                        <c15:fullRef>
                          <c15:sqref>'W5'!$U$77:$V$77</c15:sqref>
                        </c15:fullRef>
                        <c15:formulaRef>
                          <c15:sqref>'W5'!$U$77</c15:sqref>
                        </c15:formulaRef>
                      </c:ext>
                    </c:extLst>
                    <c:numCache>
                      <c:formatCode>0.0%;\-0.0.%;</c:formatCode>
                      <c:ptCount val="1"/>
                      <c:pt idx="0" formatCode="#,##0_);\(#,##0\);;">
                        <c:v>83.967245579390948</c:v>
                      </c:pt>
                    </c:numCache>
                  </c:numRef>
                </c:val>
                <c:extLst xmlns:c15="http://schemas.microsoft.com/office/drawing/2012/chart">
                  <c:ext xmlns:c16="http://schemas.microsoft.com/office/drawing/2014/chart" uri="{C3380CC4-5D6E-409C-BE32-E72D297353CC}">
                    <c16:uniqueId val="{0000000F-F213-465C-9000-95254B427698}"/>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'W5'!$U$70:$V$70</c15:sqref>
                        </c15:fullRef>
                        <c15:formulaRef>
                          <c15:sqref>'W5'!$U$70</c15:sqref>
                        </c15:formulaRef>
                      </c:ext>
                    </c:extLst>
                    <c:strCache>
                      <c:ptCount val="1"/>
                      <c:pt idx="0">
                        <c:v>Chi phí
USD/tấn</c:v>
                      </c:pt>
                    </c:strCache>
                  </c:strRef>
                </c:cat>
                <c:val>
                  <c:numRef>
                    <c:extLst>
                      <c:ext xmlns:c15="http://schemas.microsoft.com/office/drawing/2012/chart" uri="{02D57815-91ED-43cb-92C2-25804820EDAC}">
                        <c15:fullRef>
                          <c15:sqref>'W5'!$U$78:$V$78</c15:sqref>
                        </c15:fullRef>
                        <c15:formulaRef>
                          <c15:sqref>'W5'!$U$78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10-F213-465C-9000-95254B427698}"/>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'W5'!$U$70:$V$70</c15:sqref>
                        </c15:fullRef>
                        <c15:formulaRef>
                          <c15:sqref>'W5'!$U$70</c15:sqref>
                        </c15:formulaRef>
                      </c:ext>
                    </c:extLst>
                    <c:strCache>
                      <c:ptCount val="1"/>
                      <c:pt idx="0">
                        <c:v>Chi phí
USD/tấn</c:v>
                      </c:pt>
                    </c:strCache>
                  </c:strRef>
                </c:cat>
                <c:val>
                  <c:numRef>
                    <c:extLst>
                      <c:ext xmlns:c15="http://schemas.microsoft.com/office/drawing/2012/chart" uri="{02D57815-91ED-43cb-92C2-25804820EDAC}">
                        <c15:fullRef>
                          <c15:sqref>'W5'!$U$79:$V$79</c15:sqref>
                        </c15:fullRef>
                        <c15:formulaRef>
                          <c15:sqref>'W5'!$U$79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1-F213-465C-9000-95254B427698}"/>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'W5'!$U$70:$V$70</c15:sqref>
                        </c15:fullRef>
                        <c15:formulaRef>
                          <c15:sqref>'W5'!$U$70</c15:sqref>
                        </c15:formulaRef>
                      </c:ext>
                    </c:extLst>
                    <c:strCache>
                      <c:ptCount val="1"/>
                      <c:pt idx="0">
                        <c:v>Chi phí
USD/tấn</c:v>
                      </c:pt>
                    </c:strCache>
                  </c:strRef>
                </c:cat>
                <c:val>
                  <c:numRef>
                    <c:extLst>
                      <c:ext xmlns:c15="http://schemas.microsoft.com/office/drawing/2012/chart" uri="{02D57815-91ED-43cb-92C2-25804820EDAC}">
                        <c15:fullRef>
                          <c15:sqref>'W5'!$U$80:$V$80</c15:sqref>
                        </c15:fullRef>
                        <c15:formulaRef>
                          <c15:sqref>'W5'!$U$80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2-F213-465C-9000-95254B427698}"/>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'W5'!$U$70:$V$70</c15:sqref>
                        </c15:fullRef>
                        <c15:formulaRef>
                          <c15:sqref>'W5'!$U$70</c15:sqref>
                        </c15:formulaRef>
                      </c:ext>
                    </c:extLst>
                    <c:strCache>
                      <c:ptCount val="1"/>
                      <c:pt idx="0">
                        <c:v>Chi phí
USD/tấn</c:v>
                      </c:pt>
                    </c:strCache>
                  </c:strRef>
                </c:cat>
                <c:val>
                  <c:numRef>
                    <c:extLst>
                      <c:ext xmlns:c15="http://schemas.microsoft.com/office/drawing/2012/chart" uri="{02D57815-91ED-43cb-92C2-25804820EDAC}">
                        <c15:fullRef>
                          <c15:sqref>'W5'!$U$81:$V$81</c15:sqref>
                        </c15:fullRef>
                        <c15:formulaRef>
                          <c15:sqref>'W5'!$U$81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F213-465C-9000-95254B427698}"/>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'W5'!$U$70:$V$70</c15:sqref>
                        </c15:fullRef>
                        <c15:formulaRef>
                          <c15:sqref>'W5'!$U$70</c15:sqref>
                        </c15:formulaRef>
                      </c:ext>
                    </c:extLst>
                    <c:strCache>
                      <c:ptCount val="1"/>
                      <c:pt idx="0">
                        <c:v>Chi phí
USD/tấn</c:v>
                      </c:pt>
                    </c:strCache>
                  </c:strRef>
                </c:cat>
                <c:val>
                  <c:numRef>
                    <c:extLst>
                      <c:ext xmlns:c15="http://schemas.microsoft.com/office/drawing/2012/chart" uri="{02D57815-91ED-43cb-92C2-25804820EDAC}">
                        <c15:fullRef>
                          <c15:sqref>'W5'!$U$82:$V$82</c15:sqref>
                        </c15:fullRef>
                        <c15:formulaRef>
                          <c15:sqref>'W5'!$U$82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F213-465C-9000-95254B427698}"/>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'W5'!$U$70:$V$70</c15:sqref>
                        </c15:fullRef>
                        <c15:formulaRef>
                          <c15:sqref>'W5'!$U$70</c15:sqref>
                        </c15:formulaRef>
                      </c:ext>
                    </c:extLst>
                    <c:strCache>
                      <c:ptCount val="1"/>
                      <c:pt idx="0">
                        <c:v>Chi phí
USD/tấn</c:v>
                      </c:pt>
                    </c:strCache>
                  </c:strRef>
                </c:cat>
                <c:val>
                  <c:numRef>
                    <c:extLst>
                      <c:ext xmlns:c15="http://schemas.microsoft.com/office/drawing/2012/chart" uri="{02D57815-91ED-43cb-92C2-25804820EDAC}">
                        <c15:fullRef>
                          <c15:sqref>'W5'!$U$83:$V$83</c15:sqref>
                        </c15:fullRef>
                        <c15:formulaRef>
                          <c15:sqref>'W5'!$U$83</c15:sqref>
                        </c15:formulaRef>
                      </c:ext>
                    </c:extLst>
                    <c:numCache>
                      <c:formatCode>0.0%;\-0.0.%;</c:formatCode>
                      <c:ptCount val="1"/>
                      <c:pt idx="0" formatCode="#,##0_);\(#,##0\);;">
                        <c:v>1559.895265028942</c:v>
                      </c:pt>
                    </c:numCache>
                  </c:numRef>
                </c:val>
                <c:extLst xmlns:c15="http://schemas.microsoft.com/office/drawing/2012/chart">
                  <c:ext xmlns:c16="http://schemas.microsoft.com/office/drawing/2014/chart" uri="{C3380CC4-5D6E-409C-BE32-E72D297353CC}">
                    <c16:uniqueId val="{00000015-F213-465C-9000-95254B427698}"/>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'W5'!$U$70:$V$70</c15:sqref>
                        </c15:fullRef>
                        <c15:formulaRef>
                          <c15:sqref>'W5'!$U$70</c15:sqref>
                        </c15:formulaRef>
                      </c:ext>
                    </c:extLst>
                    <c:strCache>
                      <c:ptCount val="1"/>
                      <c:pt idx="0">
                        <c:v>Chi phí
USD/tấn</c:v>
                      </c:pt>
                    </c:strCache>
                  </c:strRef>
                </c:cat>
                <c:val>
                  <c:numRef>
                    <c:extLst>
                      <c:ext xmlns:c15="http://schemas.microsoft.com/office/drawing/2012/chart" uri="{02D57815-91ED-43cb-92C2-25804820EDAC}">
                        <c15:fullRef>
                          <c15:sqref>'W5'!$U$86:$V$86</c15:sqref>
                        </c15:fullRef>
                        <c15:formulaRef>
                          <c15:sqref>'W5'!$U$86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6-F213-465C-9000-95254B427698}"/>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'W5'!$U$70:$V$70</c15:sqref>
                        </c15:fullRef>
                        <c15:formulaRef>
                          <c15:sqref>'W5'!$U$70</c15:sqref>
                        </c15:formulaRef>
                      </c:ext>
                    </c:extLst>
                    <c:strCache>
                      <c:ptCount val="1"/>
                      <c:pt idx="0">
                        <c:v>Chi phí
USD/tấn</c:v>
                      </c:pt>
                    </c:strCache>
                  </c:strRef>
                </c:cat>
                <c:val>
                  <c:numRef>
                    <c:extLst>
                      <c:ext xmlns:c15="http://schemas.microsoft.com/office/drawing/2012/chart" uri="{02D57815-91ED-43cb-92C2-25804820EDAC}">
                        <c15:fullRef>
                          <c15:sqref>'W5'!$U$87:$V$87</c15:sqref>
                        </c15:fullRef>
                        <c15:formulaRef>
                          <c15:sqref>'W5'!$U$87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F213-465C-9000-95254B427698}"/>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F27E30D1-84C1-4B5E-9E7B-7F05EF6080C5}"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7C6DBE0A-1B92-4470-979E-753F3CCFADAF}"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C397D06E-34C1-42AF-8865-5E23F97D6102}"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5C34-4E1F-B30A-F5FCFFC9319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'W5'!$W$70:$X$70</c15:sqref>
                  </c15:fullRef>
                </c:ext>
              </c:extLst>
              <c:f>'W5'!$W$70</c:f>
              <c:strCache>
                <c:ptCount val="1"/>
                <c:pt idx="0">
                  <c:v>Chi phí
USD/tấn</c:v>
                </c:pt>
              </c:strCache>
            </c:strRef>
          </c:cat>
          <c:val>
            <c:numRef>
              <c:extLst>
                <c:ext xmlns:c15="http://schemas.microsoft.com/office/drawing/2012/chart" uri="{02D57815-91ED-43cb-92C2-25804820EDAC}">
                  <c15:fullRef>
                    <c15:sqref>'W5'!$W$71:$X$71</c15:sqref>
                  </c15:fullRef>
                </c:ext>
              </c:extLst>
              <c:f>'W5'!$W$71</c:f>
              <c:numCache>
                <c:formatCode>0.0%;\-0.0.%;</c:formatCode>
                <c:ptCount val="1"/>
                <c:pt idx="0" formatCode="#,##0_);\(#,##0\);;">
                  <c:v>979.2</c:v>
                </c:pt>
              </c:numCache>
            </c:numRef>
          </c:val>
          <c:extLst>
            <c:ext xmlns:c15="http://schemas.microsoft.com/office/drawing/2012/chart" uri="{02D57815-91ED-43cb-92C2-25804820EDAC}">
              <c15:datalabelsRange>
                <c15:f>'W5'!$X$71</c15:f>
                <c15:dlblRangeCache>
                  <c:ptCount val="1"/>
                  <c:pt idx="0">
                    <c:v>56.2%</c:v>
                  </c:pt>
                </c15:dlblRangeCache>
              </c15:datalabelsRange>
            </c:ext>
            <c:ext xmlns:c16="http://schemas.microsoft.com/office/drawing/2014/chart" uri="{C3380CC4-5D6E-409C-BE32-E72D297353CC}">
              <c16:uniqueId val="{00000001-5C34-4E1F-B30A-F5FCFFC93196}"/>
            </c:ext>
          </c:extLst>
        </c:ser>
        <c:ser>
          <c:idx val="10"/>
          <c:order val="2"/>
          <c:tx>
            <c:strRef>
              <c:f>'W5'!$D$73</c:f>
              <c:strCache>
                <c:ptCount val="1"/>
                <c:pt idx="0">
                  <c:v>Hao hụt về tiền</c:v>
                </c:pt>
              </c:strCache>
            </c:strRef>
          </c:tx>
          <c:spPr>
            <a:solidFill>
              <a:srgbClr val="FFC000"/>
            </a:solidFill>
          </c:spPr>
          <c:invertIfNegative val="0"/>
          <c:dLbls>
            <c:dLbl>
              <c:idx val="0"/>
              <c:layout>
                <c:manualLayout>
                  <c:x val="-1.3701342065865924E-2"/>
                  <c:y val="1.0204354925839959E-2"/>
                </c:manualLayout>
              </c:layout>
              <c:tx>
                <c:rich>
                  <a:bodyPr wrap="square" lIns="38100" tIns="19050" rIns="38100" bIns="19050" anchor="ctr">
                    <a:noAutofit/>
                  </a:bodyPr>
                  <a:lstStyle/>
                  <a:p>
                    <a:pPr>
                      <a:defRPr sz="1000"/>
                    </a:pPr>
                    <a:fld id="{58FC2FFE-F31A-46D4-A4FF-8FF0AA918483}" type="CELLRANGE">
                      <a:rPr lang="en-US" baseline="0"/>
                      <a:pPr>
                        <a:defRPr sz="1000"/>
                      </a:pPr>
                      <a:t>[CELLRANGE]</a:t>
                    </a:fld>
                    <a:r>
                      <a:rPr lang="en-US" baseline="0"/>
                      <a:t>, </a:t>
                    </a:r>
                    <a:fld id="{BF6A904F-23DF-46B1-ABA5-FA54FE2D38FA}" type="SERIESNAME">
                      <a:rPr lang="en-US" baseline="0"/>
                      <a:pPr>
                        <a:defRPr sz="1000"/>
                      </a:pPr>
                      <a:t>[SERIES NAME]</a:t>
                    </a:fld>
                    <a:r>
                      <a:rPr lang="en-US" baseline="0"/>
                      <a:t>, </a:t>
                    </a:r>
                    <a:fld id="{A4922F23-5C1C-424C-94AA-A47889EBA0C9}" type="VALUE">
                      <a:rPr lang="en-US" baseline="0"/>
                      <a:pPr>
                        <a:defRPr sz="1000"/>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9629368438957913"/>
                      <c:h val="0.10073280233888245"/>
                    </c:manualLayout>
                  </c15:layout>
                  <c15:dlblFieldTable/>
                  <c15:showDataLabelsRange val="1"/>
                </c:ext>
                <c:ext xmlns:c16="http://schemas.microsoft.com/office/drawing/2014/chart" uri="{C3380CC4-5D6E-409C-BE32-E72D297353CC}">
                  <c16:uniqueId val="{00000002-5C34-4E1F-B30A-F5FCFFC93196}"/>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'W5'!$W$70:$X$70</c15:sqref>
                  </c15:fullRef>
                </c:ext>
              </c:extLst>
              <c:f>'W5'!$W$70</c:f>
              <c:strCache>
                <c:ptCount val="1"/>
                <c:pt idx="0">
                  <c:v>Chi phí
USD/tấn</c:v>
                </c:pt>
              </c:strCache>
            </c:strRef>
          </c:cat>
          <c:val>
            <c:numRef>
              <c:extLst>
                <c:ext xmlns:c15="http://schemas.microsoft.com/office/drawing/2012/chart" uri="{02D57815-91ED-43cb-92C2-25804820EDAC}">
                  <c15:fullRef>
                    <c15:sqref>'W5'!$W$73:$X$73</c15:sqref>
                  </c15:fullRef>
                </c:ext>
              </c:extLst>
              <c:f>'W5'!$W$73</c:f>
              <c:numCache>
                <c:formatCode>0.0%;\-0.0.%;</c:formatCode>
                <c:ptCount val="1"/>
                <c:pt idx="0" formatCode="#,##0_);\(#,##0\);;">
                  <c:v>73.703225806451741</c:v>
                </c:pt>
              </c:numCache>
            </c:numRef>
          </c:val>
          <c:extLst>
            <c:ext xmlns:c15="http://schemas.microsoft.com/office/drawing/2012/chart" uri="{02D57815-91ED-43cb-92C2-25804820EDAC}">
              <c15:datalabelsRange>
                <c15:f>'W5'!$X$73</c15:f>
                <c15:dlblRangeCache>
                  <c:ptCount val="1"/>
                  <c:pt idx="0">
                    <c:v>4.2%</c:v>
                  </c:pt>
                </c15:dlblRangeCache>
              </c15:datalabelsRange>
            </c:ext>
            <c:ext xmlns:c16="http://schemas.microsoft.com/office/drawing/2014/chart" uri="{C3380CC4-5D6E-409C-BE32-E72D297353CC}">
              <c16:uniqueId val="{00000003-5C34-4E1F-B30A-F5FCFFC93196}"/>
            </c:ext>
          </c:extLst>
        </c:ser>
        <c:ser>
          <c:idx val="9"/>
          <c:order val="3"/>
          <c:tx>
            <c:strRef>
              <c:f>'W5'!$D$74</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1212A920-8DFE-4EE9-B346-33734FE641C3}" type="CELLRANGE">
                      <a:rPr lang="en-US" sz="1300" baseline="0"/>
                      <a:pPr>
                        <a:defRPr sz="1300"/>
                      </a:pPr>
                      <a:t>[CELLRANGE]</a:t>
                    </a:fld>
                    <a:r>
                      <a:rPr lang="en-US" sz="1300" baseline="0"/>
                      <a:t>, </a:t>
                    </a:r>
                    <a:fld id="{D9D0800C-A393-44E6-8145-ED003ABA82EC}" type="SERIESNAME">
                      <a:rPr lang="en-US" sz="1300" baseline="0"/>
                      <a:pPr>
                        <a:defRPr sz="1300"/>
                      </a:pPr>
                      <a:t>[SERIES NAME]</a:t>
                    </a:fld>
                    <a:r>
                      <a:rPr lang="en-US" sz="1300" baseline="0"/>
                      <a:t>, </a:t>
                    </a:r>
                    <a:fld id="{B1CB5D3A-5EF3-4C0A-9C34-AC88A7235B9C}"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8259216251371503"/>
                      <c:h val="0.14835250039571485"/>
                    </c:manualLayout>
                  </c15:layout>
                  <c15:dlblFieldTable/>
                  <c15:showDataLabelsRange val="1"/>
                </c:ext>
                <c:ext xmlns:c16="http://schemas.microsoft.com/office/drawing/2014/chart" uri="{C3380CC4-5D6E-409C-BE32-E72D297353CC}">
                  <c16:uniqueId val="{00000004-5C34-4E1F-B30A-F5FCFFC93196}"/>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'W5'!$W$70:$X$70</c15:sqref>
                  </c15:fullRef>
                </c:ext>
              </c:extLst>
              <c:f>'W5'!$W$70</c:f>
              <c:strCache>
                <c:ptCount val="1"/>
                <c:pt idx="0">
                  <c:v>Chi phí
USD/tấn</c:v>
                </c:pt>
              </c:strCache>
            </c:strRef>
          </c:cat>
          <c:val>
            <c:numRef>
              <c:extLst>
                <c:ext xmlns:c15="http://schemas.microsoft.com/office/drawing/2012/chart" uri="{02D57815-91ED-43cb-92C2-25804820EDAC}">
                  <c15:fullRef>
                    <c15:sqref>'W5'!$W$74:$X$74</c15:sqref>
                  </c15:fullRef>
                </c:ext>
              </c:extLst>
              <c:f>'W5'!$W$74</c:f>
              <c:numCache>
                <c:formatCode>0.0%;\-0.0.%;</c:formatCode>
                <c:ptCount val="1"/>
                <c:pt idx="0" formatCode="#,##0_);\(#,##0\);;">
                  <c:v>589.55437669156674</c:v>
                </c:pt>
              </c:numCache>
            </c:numRef>
          </c:val>
          <c:extLst>
            <c:ext xmlns:c15="http://schemas.microsoft.com/office/drawing/2012/chart" uri="{02D57815-91ED-43cb-92C2-25804820EDAC}">
              <c15:datalabelsRange>
                <c15:f>'W5'!$X$74</c15:f>
                <c15:dlblRangeCache>
                  <c:ptCount val="1"/>
                  <c:pt idx="0">
                    <c:v>33.8%</c:v>
                  </c:pt>
                </c15:dlblRangeCache>
              </c15:datalabelsRange>
            </c:ext>
            <c:ext xmlns:c16="http://schemas.microsoft.com/office/drawing/2014/chart" uri="{C3380CC4-5D6E-409C-BE32-E72D297353CC}">
              <c16:uniqueId val="{00000005-5C34-4E1F-B30A-F5FCFFC93196}"/>
            </c:ext>
          </c:extLst>
        </c:ser>
        <c:ser>
          <c:idx val="13"/>
          <c:order val="13"/>
          <c:tx>
            <c:strRef>
              <c:f>'W5'!$D$84</c:f>
              <c:strCache>
                <c:ptCount val="1"/>
                <c:pt idx="0">
                  <c:v>Thuế thu nhập</c:v>
                </c:pt>
              </c:strCache>
            </c:strRef>
          </c:tx>
          <c:spPr>
            <a:solidFill>
              <a:srgbClr val="FFFF00"/>
            </a:solidFill>
          </c:spPr>
          <c:invertIfNegative val="0"/>
          <c:dLbls>
            <c:dLbl>
              <c:idx val="0"/>
              <c:layout>
                <c:manualLayout>
                  <c:x val="0"/>
                  <c:y val="2.3809849028416211E-2"/>
                </c:manualLayout>
              </c:layout>
              <c:tx>
                <c:rich>
                  <a:bodyPr wrap="square" lIns="38100" tIns="19050" rIns="38100" bIns="19050" anchor="ctr">
                    <a:noAutofit/>
                  </a:bodyPr>
                  <a:lstStyle/>
                  <a:p>
                    <a:pPr>
                      <a:defRPr/>
                    </a:pPr>
                    <a:fld id="{456DCC40-F18B-44A0-9EDC-95B3E3FB7269}" type="CELLRANGE">
                      <a:rPr lang="en-US" baseline="0"/>
                      <a:pPr>
                        <a:defRPr/>
                      </a:pPr>
                      <a:t>[CELLRANGE]</a:t>
                    </a:fld>
                    <a:r>
                      <a:rPr lang="en-US" baseline="0"/>
                      <a:t>, </a:t>
                    </a:r>
                    <a:fld id="{D8D6D39A-0AD8-4750-8437-D191EBF9E434}" type="SERIESNAME">
                      <a:rPr lang="en-US" baseline="0"/>
                      <a:pPr>
                        <a:defRPr/>
                      </a:pPr>
                      <a:t>[SERIES NAME]</a:t>
                    </a:fld>
                    <a:r>
                      <a:rPr lang="en-US" baseline="0"/>
                      <a:t>, </a:t>
                    </a:r>
                    <a:fld id="{877591CB-DE87-405F-A129-150BCF66D8FA}"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8715933647233641"/>
                      <c:h val="0.10753561634700136"/>
                    </c:manualLayout>
                  </c15:layout>
                  <c15:dlblFieldTable/>
                  <c15:showDataLabelsRange val="1"/>
                </c:ext>
                <c:ext xmlns:c16="http://schemas.microsoft.com/office/drawing/2014/chart" uri="{C3380CC4-5D6E-409C-BE32-E72D297353CC}">
                  <c16:uniqueId val="{00000006-5C34-4E1F-B30A-F5FCFFC9319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'W5'!$W$70:$X$70</c15:sqref>
                  </c15:fullRef>
                </c:ext>
              </c:extLst>
              <c:f>'W5'!$W$70</c:f>
              <c:strCache>
                <c:ptCount val="1"/>
                <c:pt idx="0">
                  <c:v>Chi phí
USD/tấn</c:v>
                </c:pt>
              </c:strCache>
            </c:strRef>
          </c:cat>
          <c:val>
            <c:numRef>
              <c:extLst>
                <c:ext xmlns:c15="http://schemas.microsoft.com/office/drawing/2012/chart" uri="{02D57815-91ED-43cb-92C2-25804820EDAC}">
                  <c15:fullRef>
                    <c15:sqref>'W5'!$W$84:$X$84</c15:sqref>
                  </c15:fullRef>
                </c:ext>
              </c:extLst>
              <c:f>'W5'!$W$84</c:f>
              <c:numCache>
                <c:formatCode>0.0%;\-0.0.%;</c:formatCode>
                <c:ptCount val="1"/>
                <c:pt idx="0" formatCode="#,##0_);\(#,##0\);;">
                  <c:v>20.226428218345063</c:v>
                </c:pt>
              </c:numCache>
            </c:numRef>
          </c:val>
          <c:extLst>
            <c:ext xmlns:c15="http://schemas.microsoft.com/office/drawing/2012/chart" uri="{02D57815-91ED-43cb-92C2-25804820EDAC}">
              <c15:datalabelsRange>
                <c15:f>'W5'!$X$84</c15:f>
                <c15:dlblRangeCache>
                  <c:ptCount val="1"/>
                  <c:pt idx="0">
                    <c:v>1.2%</c:v>
                  </c:pt>
                </c15:dlblRangeCache>
              </c15:datalabelsRange>
            </c:ext>
            <c:ext xmlns:c16="http://schemas.microsoft.com/office/drawing/2014/chart" uri="{C3380CC4-5D6E-409C-BE32-E72D297353CC}">
              <c16:uniqueId val="{00000007-5C34-4E1F-B30A-F5FCFFC93196}"/>
            </c:ext>
          </c:extLst>
        </c:ser>
        <c:ser>
          <c:idx val="14"/>
          <c:order val="14"/>
          <c:tx>
            <c:strRef>
              <c:f>'W5'!$D$85</c:f>
              <c:strCache>
                <c:ptCount val="1"/>
                <c:pt idx="0">
                  <c:v>Lợi nhuận</c:v>
                </c:pt>
              </c:strCache>
            </c:strRef>
          </c:tx>
          <c:spPr>
            <a:solidFill>
              <a:srgbClr val="92D050"/>
            </a:solidFill>
          </c:spPr>
          <c:invertIfNegative val="0"/>
          <c:dLbls>
            <c:dLbl>
              <c:idx val="0"/>
              <c:layout>
                <c:manualLayout>
                  <c:x val="2.2132992509475119E-2"/>
                  <c:y val="-6.292602957509999E-2"/>
                </c:manualLayout>
              </c:layout>
              <c:tx>
                <c:rich>
                  <a:bodyPr wrap="square" lIns="38100" tIns="19050" rIns="38100" bIns="19050" anchor="ctr">
                    <a:noAutofit/>
                  </a:bodyPr>
                  <a:lstStyle/>
                  <a:p>
                    <a:pPr>
                      <a:defRPr sz="1300" b="1">
                        <a:solidFill>
                          <a:srgbClr val="FF0000"/>
                        </a:solidFill>
                      </a:defRPr>
                    </a:pPr>
                    <a:fld id="{BDB18350-3F83-4508-8730-770727BEF936}" type="CELLRANGE">
                      <a:rPr lang="en-US" sz="1300" baseline="0"/>
                      <a:pPr>
                        <a:defRPr sz="1300" b="1">
                          <a:solidFill>
                            <a:srgbClr val="FF0000"/>
                          </a:solidFill>
                        </a:defRPr>
                      </a:pPr>
                      <a:t>[CELLRANGE]</a:t>
                    </a:fld>
                    <a:r>
                      <a:rPr lang="en-US" sz="1300" baseline="0"/>
                      <a:t>, </a:t>
                    </a:r>
                    <a:fld id="{6C947454-7C04-4EED-AA05-7204DADF2154}" type="SERIESNAME">
                      <a:rPr lang="en-US" sz="1300" baseline="0"/>
                      <a:pPr>
                        <a:defRPr sz="1300" b="1">
                          <a:solidFill>
                            <a:srgbClr val="FF0000"/>
                          </a:solidFill>
                        </a:defRPr>
                      </a:pPr>
                      <a:t>[SERIES NAME]</a:t>
                    </a:fld>
                    <a:r>
                      <a:rPr lang="en-US" sz="1300" baseline="0"/>
                      <a:t>, </a:t>
                    </a:r>
                    <a:fld id="{89CB9636-A4A3-42C4-B15D-60479AFD4779}" type="VALUE">
                      <a:rPr lang="en-US" sz="1300" baseline="0"/>
                      <a:pPr>
                        <a:defRPr sz="1300" b="1">
                          <a:solidFill>
                            <a:srgbClr val="FF0000"/>
                          </a:solidFill>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712265163646878"/>
                      <c:h val="8.3725767318585151E-2"/>
                    </c:manualLayout>
                  </c15:layout>
                  <c15:dlblFieldTable/>
                  <c15:showDataLabelsRange val="1"/>
                </c:ext>
                <c:ext xmlns:c16="http://schemas.microsoft.com/office/drawing/2014/chart" uri="{C3380CC4-5D6E-409C-BE32-E72D297353CC}">
                  <c16:uniqueId val="{00000008-5C34-4E1F-B30A-F5FCFFC93196}"/>
                </c:ext>
              </c:extLst>
            </c:dLbl>
            <c:spPr>
              <a:noFill/>
              <a:ln>
                <a:noFill/>
              </a:ln>
              <a:effectLst/>
            </c:spPr>
            <c:txPr>
              <a:bodyPr wrap="square" lIns="38100" tIns="19050" rIns="38100" bIns="19050" anchor="ctr">
                <a:spAutoFit/>
              </a:bodyPr>
              <a:lstStyle/>
              <a:p>
                <a:pPr>
                  <a:defRPr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'W5'!$W$70:$X$70</c15:sqref>
                  </c15:fullRef>
                </c:ext>
              </c:extLst>
              <c:f>'W5'!$W$70</c:f>
              <c:strCache>
                <c:ptCount val="1"/>
                <c:pt idx="0">
                  <c:v>Chi phí
USD/tấn</c:v>
                </c:pt>
              </c:strCache>
            </c:strRef>
          </c:cat>
          <c:val>
            <c:numRef>
              <c:extLst>
                <c:ext xmlns:c15="http://schemas.microsoft.com/office/drawing/2012/chart" uri="{02D57815-91ED-43cb-92C2-25804820EDAC}">
                  <c15:fullRef>
                    <c15:sqref>'W5'!$W$85:$X$85</c15:sqref>
                  </c15:fullRef>
                </c:ext>
              </c:extLst>
              <c:f>'W5'!$W$85</c:f>
              <c:numCache>
                <c:formatCode>0.0%;\-0.0.%;</c:formatCode>
                <c:ptCount val="1"/>
                <c:pt idx="0" formatCode="#,##0_);\(#,##0\);;">
                  <c:v>80.905712873380253</c:v>
                </c:pt>
              </c:numCache>
            </c:numRef>
          </c:val>
          <c:extLst>
            <c:ext xmlns:c15="http://schemas.microsoft.com/office/drawing/2012/chart" uri="{02D57815-91ED-43cb-92C2-25804820EDAC}">
              <c15:datalabelsRange>
                <c15:f>'W5'!$X$85</c15:f>
                <c15:dlblRangeCache>
                  <c:ptCount val="1"/>
                  <c:pt idx="0">
                    <c:v>4.6%</c:v>
                  </c:pt>
                </c15:dlblRangeCache>
              </c15:datalabelsRange>
            </c:ext>
            <c:ext xmlns:c16="http://schemas.microsoft.com/office/drawing/2014/chart" uri="{C3380CC4-5D6E-409C-BE32-E72D297353CC}">
              <c16:uniqueId val="{00000009-5C34-4E1F-B30A-F5FCFFC9319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0"/>
                        <c:y val="6.8029479217804325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71210DFC-B40D-47E0-8C32-3E67C18288F5}"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94F3C6C9-F173-4DB0-87FA-EA5453E0E69A}"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7A135F43-439F-47B3-B22B-BB233080C0B1}"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69605601154"/>
                            <c:h val="7.1454722853625127E-2"/>
                          </c:manualLayout>
                        </c15:layout>
                        <c15:dlblFieldTable/>
                        <c15:showDataLabelsRange val="1"/>
                      </c:ext>
                      <c:ext xmlns:c16="http://schemas.microsoft.com/office/drawing/2014/chart" uri="{C3380CC4-5D6E-409C-BE32-E72D297353CC}">
                        <c16:uniqueId val="{0000000A-5C34-4E1F-B30A-F5FCFFC9319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0"/>
                    </c:ext>
                  </c:extLst>
                </c:dLbls>
                <c:cat>
                  <c:strRef>
                    <c:extLst>
                      <c:ext uri="{02D57815-91ED-43cb-92C2-25804820EDAC}">
                        <c15:fullRef>
                          <c15:sqref>'W5'!$W$70:$X$70</c15:sqref>
                        </c15:fullRef>
                        <c15:formulaRef>
                          <c15:sqref>'W5'!$W$70</c15:sqref>
                        </c15:formulaRef>
                      </c:ext>
                    </c:extLst>
                    <c:strCache>
                      <c:ptCount val="1"/>
                      <c:pt idx="0">
                        <c:v>Chi phí
USD/tấn</c:v>
                      </c:pt>
                    </c:strCache>
                  </c:strRef>
                </c:cat>
                <c:val>
                  <c:numRef>
                    <c:extLst>
                      <c:ext uri="{02D57815-91ED-43cb-92C2-25804820EDAC}">
                        <c15:fullRef>
                          <c15:sqref>'W5'!$W$72:$X$72</c15:sqref>
                        </c15:fullRef>
                        <c15:formulaRef>
                          <c15:sqref>'W5'!$W$72</c15:sqref>
                        </c15:formulaRef>
                      </c:ext>
                    </c:extLst>
                    <c:numCache>
                      <c:formatCode>0.0%;\-0.0.%;</c:formatCode>
                      <c:ptCount val="1"/>
                      <c:pt idx="0" formatCode="#,##0_);\(#,##0\);;">
                        <c:v>979.2</c:v>
                      </c:pt>
                    </c:numCache>
                  </c:numRef>
                </c:val>
                <c:extLst>
                  <c:ext uri="{02D57815-91ED-43cb-92C2-25804820EDAC}">
                    <c15:datalabelsRange>
                      <c15:f>'W5'!$T$73</c15:f>
                      <c15:dlblRangeCache>
                        <c:ptCount val="1"/>
                        <c:pt idx="0">
                          <c:v>4.6%</c:v>
                        </c:pt>
                      </c15:dlblRangeCache>
                    </c15:datalabelsRange>
                  </c:ext>
                  <c:ext xmlns:c16="http://schemas.microsoft.com/office/drawing/2014/chart" uri="{C3380CC4-5D6E-409C-BE32-E72D297353CC}">
                    <c16:uniqueId val="{0000000B-5C34-4E1F-B30A-F5FCFFC93196}"/>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1.4273317670683742E-2"/>
                        <c:y val="-3.4014070040594598E-2"/>
                      </c:manualLayout>
                    </c:layout>
                    <c:tx>
                      <c:rich>
                        <a:bodyPr wrap="square" lIns="38100" tIns="19050" rIns="38100" bIns="19050" anchor="ctr">
                          <a:noAutofit/>
                        </a:bodyPr>
                        <a:lstStyle/>
                        <a:p>
                          <a:pPr>
                            <a:defRPr sz="1300" b="1">
                              <a:solidFill>
                                <a:srgbClr val="FF0000"/>
                              </a:solidFill>
                            </a:defRPr>
                          </a:pPr>
                          <a:fld id="{7C8F981E-CBF6-4D21-9183-3B6556F34BF7}" type="CELLRANGE">
                            <a:rPr lang="en-US" baseline="0"/>
                            <a:pPr>
                              <a:defRPr sz="1300" b="1">
                                <a:solidFill>
                                  <a:srgbClr val="FF0000"/>
                                </a:solidFill>
                              </a:defRPr>
                            </a:pPr>
                            <a:t>[CELLRANGE]</a:t>
                          </a:fld>
                          <a:r>
                            <a:rPr lang="en-US" baseline="0"/>
                            <a:t>, </a:t>
                          </a:r>
                          <a:fld id="{35C7A9D8-D7A8-423E-B498-7E906BD20EFC}" type="SERIESNAME">
                            <a:rPr lang="en-US" baseline="0"/>
                            <a:pPr>
                              <a:defRPr sz="1300" b="1">
                                <a:solidFill>
                                  <a:srgbClr val="FF0000"/>
                                </a:solidFill>
                              </a:defRPr>
                            </a:pPr>
                            <a:t>[SERIES NAME]</a:t>
                          </a:fld>
                          <a:r>
                            <a:rPr lang="en-US" baseline="0"/>
                            <a:t>, </a:t>
                          </a:r>
                          <a:fld id="{86298A71-2A32-414E-B6B2-666E02241AFE}"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34426602098095"/>
                            <c:h val="0.15809739754868365"/>
                          </c:manualLayout>
                        </c15:layout>
                        <c15:dlblFieldTable/>
                        <c15:showDataLabelsRange val="1"/>
                      </c:ext>
                      <c:ext xmlns:c16="http://schemas.microsoft.com/office/drawing/2014/chart" uri="{C3380CC4-5D6E-409C-BE32-E72D297353CC}">
                        <c16:uniqueId val="{0000000C-5C34-4E1F-B30A-F5FCFFC93196}"/>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'W5'!$W$70:$X$70</c15:sqref>
                        </c15:fullRef>
                        <c15:formulaRef>
                          <c15:sqref>'W5'!$W$70</c15:sqref>
                        </c15:formulaRef>
                      </c:ext>
                    </c:extLst>
                    <c:strCache>
                      <c:ptCount val="1"/>
                      <c:pt idx="0">
                        <c:v>Chi phí
USD/tấn</c:v>
                      </c:pt>
                    </c:strCache>
                  </c:strRef>
                </c:cat>
                <c:val>
                  <c:numRef>
                    <c:extLst>
                      <c:ext xmlns:c15="http://schemas.microsoft.com/office/drawing/2012/chart" uri="{02D57815-91ED-43cb-92C2-25804820EDAC}">
                        <c15:fullRef>
                          <c15:sqref>'W5'!$W$75:$X$75</c15:sqref>
                        </c15:fullRef>
                        <c15:formulaRef>
                          <c15:sqref>'W5'!$W$75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'W5'!$T$85</c15:f>
                      <c15:dlblRangeCache>
                        <c:ptCount val="1"/>
                        <c:pt idx="0">
                          <c:v>-2.8.%</c:v>
                        </c:pt>
                      </c15:dlblRangeCache>
                    </c15:datalabelsRange>
                  </c:ext>
                  <c:ext xmlns:c16="http://schemas.microsoft.com/office/drawing/2014/chart" uri="{C3380CC4-5D6E-409C-BE32-E72D297353CC}">
                    <c16:uniqueId val="{0000000D-5C34-4E1F-B30A-F5FCFFC9319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'W5'!$W$70:$X$70</c15:sqref>
                        </c15:fullRef>
                        <c15:formulaRef>
                          <c15:sqref>'W5'!$W$70</c15:sqref>
                        </c15:formulaRef>
                      </c:ext>
                    </c:extLst>
                    <c:strCache>
                      <c:ptCount val="1"/>
                      <c:pt idx="0">
                        <c:v>Chi phí
USD/tấn</c:v>
                      </c:pt>
                    </c:strCache>
                  </c:strRef>
                </c:cat>
                <c:val>
                  <c:numRef>
                    <c:extLst>
                      <c:ext xmlns:c15="http://schemas.microsoft.com/office/drawing/2012/chart" uri="{02D57815-91ED-43cb-92C2-25804820EDAC}">
                        <c15:fullRef>
                          <c15:sqref>'W5'!$W$76:$X$76</c15:sqref>
                        </c15:fullRef>
                        <c15:formulaRef>
                          <c15:sqref>'W5'!$W$76</c15:sqref>
                        </c15:formulaRef>
                      </c:ext>
                    </c:extLst>
                    <c:numCache>
                      <c:formatCode>0.0%;\-0.0.%;</c:formatCode>
                      <c:ptCount val="1"/>
                      <c:pt idx="0" formatCode="#,##0_);\(#,##0\);;">
                        <c:v>192.87651738366029</c:v>
                      </c:pt>
                    </c:numCache>
                  </c:numRef>
                </c:val>
                <c:extLst xmlns:c15="http://schemas.microsoft.com/office/drawing/2012/chart">
                  <c:ext xmlns:c16="http://schemas.microsoft.com/office/drawing/2014/chart" uri="{C3380CC4-5D6E-409C-BE32-E72D297353CC}">
                    <c16:uniqueId val="{0000000E-5C34-4E1F-B30A-F5FCFFC9319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quản lý</c:v>
                      </c:pt>
                    </c:strCache>
                  </c:strRef>
                </c:tx>
                <c:invertIfNegative val="0"/>
                <c:cat>
                  <c:strRef>
                    <c:extLst>
                      <c:ext xmlns:c15="http://schemas.microsoft.com/office/drawing/2012/chart" uri="{02D57815-91ED-43cb-92C2-25804820EDAC}">
                        <c15:fullRef>
                          <c15:sqref>'W5'!$W$70:$X$70</c15:sqref>
                        </c15:fullRef>
                        <c15:formulaRef>
                          <c15:sqref>'W5'!$W$70</c15:sqref>
                        </c15:formulaRef>
                      </c:ext>
                    </c:extLst>
                    <c:strCache>
                      <c:ptCount val="1"/>
                      <c:pt idx="0">
                        <c:v>Chi phí
USD/tấn</c:v>
                      </c:pt>
                    </c:strCache>
                  </c:strRef>
                </c:cat>
                <c:val>
                  <c:numRef>
                    <c:extLst>
                      <c:ext xmlns:c15="http://schemas.microsoft.com/office/drawing/2012/chart" uri="{02D57815-91ED-43cb-92C2-25804820EDAC}">
                        <c15:fullRef>
                          <c15:sqref>'W5'!$W$77:$X$77</c15:sqref>
                        </c15:fullRef>
                        <c15:formulaRef>
                          <c15:sqref>'W5'!$W$77</c15:sqref>
                        </c15:formulaRef>
                      </c:ext>
                    </c:extLst>
                    <c:numCache>
                      <c:formatCode>0.0%;\-0.0.%;</c:formatCode>
                      <c:ptCount val="1"/>
                      <c:pt idx="0" formatCode="#,##0_);\(#,##0\);;">
                        <c:v>125.84619890507449</c:v>
                      </c:pt>
                    </c:numCache>
                  </c:numRef>
                </c:val>
                <c:extLst xmlns:c15="http://schemas.microsoft.com/office/drawing/2012/chart">
                  <c:ext xmlns:c16="http://schemas.microsoft.com/office/drawing/2014/chart" uri="{C3380CC4-5D6E-409C-BE32-E72D297353CC}">
                    <c16:uniqueId val="{0000000F-5C34-4E1F-B30A-F5FCFFC93196}"/>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'W5'!$W$70:$X$70</c15:sqref>
                        </c15:fullRef>
                        <c15:formulaRef>
                          <c15:sqref>'W5'!$W$70</c15:sqref>
                        </c15:formulaRef>
                      </c:ext>
                    </c:extLst>
                    <c:strCache>
                      <c:ptCount val="1"/>
                      <c:pt idx="0">
                        <c:v>Chi phí
USD/tấn</c:v>
                      </c:pt>
                    </c:strCache>
                  </c:strRef>
                </c:cat>
                <c:val>
                  <c:numRef>
                    <c:extLst>
                      <c:ext xmlns:c15="http://schemas.microsoft.com/office/drawing/2012/chart" uri="{02D57815-91ED-43cb-92C2-25804820EDAC}">
                        <c15:fullRef>
                          <c15:sqref>'W5'!$W$78:$X$78</c15:sqref>
                        </c15:fullRef>
                        <c15:formulaRef>
                          <c15:sqref>'W5'!$W$78</c15:sqref>
                        </c15:formulaRef>
                      </c:ext>
                    </c:extLst>
                    <c:numCache>
                      <c:formatCode>0.0%;\-0.0.%;</c:formatCode>
                      <c:ptCount val="1"/>
                      <c:pt idx="0" formatCode="#,##0_);\(#,##0\);;">
                        <c:v>135.70318892301805</c:v>
                      </c:pt>
                    </c:numCache>
                  </c:numRef>
                </c:val>
                <c:extLst xmlns:c15="http://schemas.microsoft.com/office/drawing/2012/chart">
                  <c:ext xmlns:c16="http://schemas.microsoft.com/office/drawing/2014/chart" uri="{C3380CC4-5D6E-409C-BE32-E72D297353CC}">
                    <c16:uniqueId val="{00000010-5C34-4E1F-B30A-F5FCFFC93196}"/>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Điện</c:v>
                      </c:pt>
                    </c:strCache>
                  </c:strRef>
                </c:tx>
                <c:invertIfNegative val="0"/>
                <c:cat>
                  <c:strRef>
                    <c:extLst>
                      <c:ext xmlns:c15="http://schemas.microsoft.com/office/drawing/2012/chart" uri="{02D57815-91ED-43cb-92C2-25804820EDAC}">
                        <c15:fullRef>
                          <c15:sqref>'W5'!$W$70:$X$70</c15:sqref>
                        </c15:fullRef>
                        <c15:formulaRef>
                          <c15:sqref>'W5'!$W$70</c15:sqref>
                        </c15:formulaRef>
                      </c:ext>
                    </c:extLst>
                    <c:strCache>
                      <c:ptCount val="1"/>
                      <c:pt idx="0">
                        <c:v>Chi phí
USD/tấn</c:v>
                      </c:pt>
                    </c:strCache>
                  </c:strRef>
                </c:cat>
                <c:val>
                  <c:numRef>
                    <c:extLst>
                      <c:ext xmlns:c15="http://schemas.microsoft.com/office/drawing/2012/chart" uri="{02D57815-91ED-43cb-92C2-25804820EDAC}">
                        <c15:fullRef>
                          <c15:sqref>'W5'!$W$79:$X$79</c15:sqref>
                        </c15:fullRef>
                        <c15:formulaRef>
                          <c15:sqref>'W5'!$W$79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1-5C34-4E1F-B30A-F5FCFFC93196}"/>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'W5'!$W$70:$X$70</c15:sqref>
                        </c15:fullRef>
                        <c15:formulaRef>
                          <c15:sqref>'W5'!$W$70</c15:sqref>
                        </c15:formulaRef>
                      </c:ext>
                    </c:extLst>
                    <c:strCache>
                      <c:ptCount val="1"/>
                      <c:pt idx="0">
                        <c:v>Chi phí
USD/tấn</c:v>
                      </c:pt>
                    </c:strCache>
                  </c:strRef>
                </c:cat>
                <c:val>
                  <c:numRef>
                    <c:extLst>
                      <c:ext xmlns:c15="http://schemas.microsoft.com/office/drawing/2012/chart" uri="{02D57815-91ED-43cb-92C2-25804820EDAC}">
                        <c15:fullRef>
                          <c15:sqref>'W5'!$W$80:$X$80</c15:sqref>
                        </c15:fullRef>
                        <c15:formulaRef>
                          <c15:sqref>'W5'!$W$80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2-5C34-4E1F-B30A-F5FCFFC93196}"/>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'W5'!$W$70:$X$70</c15:sqref>
                        </c15:fullRef>
                        <c15:formulaRef>
                          <c15:sqref>'W5'!$W$70</c15:sqref>
                        </c15:formulaRef>
                      </c:ext>
                    </c:extLst>
                    <c:strCache>
                      <c:ptCount val="1"/>
                      <c:pt idx="0">
                        <c:v>Chi phí
USD/tấn</c:v>
                      </c:pt>
                    </c:strCache>
                  </c:strRef>
                </c:cat>
                <c:val>
                  <c:numRef>
                    <c:extLst>
                      <c:ext xmlns:c15="http://schemas.microsoft.com/office/drawing/2012/chart" uri="{02D57815-91ED-43cb-92C2-25804820EDAC}">
                        <c15:fullRef>
                          <c15:sqref>'W5'!$W$81:$X$81</c15:sqref>
                        </c15:fullRef>
                        <c15:formulaRef>
                          <c15:sqref>'W5'!$W$81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5C34-4E1F-B30A-F5FCFFC93196}"/>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'W5'!$W$70:$X$70</c15:sqref>
                        </c15:fullRef>
                        <c15:formulaRef>
                          <c15:sqref>'W5'!$W$70</c15:sqref>
                        </c15:formulaRef>
                      </c:ext>
                    </c:extLst>
                    <c:strCache>
                      <c:ptCount val="1"/>
                      <c:pt idx="0">
                        <c:v>Chi phí
USD/tấn</c:v>
                      </c:pt>
                    </c:strCache>
                  </c:strRef>
                </c:cat>
                <c:val>
                  <c:numRef>
                    <c:extLst>
                      <c:ext xmlns:c15="http://schemas.microsoft.com/office/drawing/2012/chart" uri="{02D57815-91ED-43cb-92C2-25804820EDAC}">
                        <c15:fullRef>
                          <c15:sqref>'W5'!$W$82:$X$82</c15:sqref>
                        </c15:fullRef>
                        <c15:formulaRef>
                          <c15:sqref>'W5'!$W$82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5C34-4E1F-B30A-F5FCFFC93196}"/>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'W5'!$W$70:$X$70</c15:sqref>
                        </c15:fullRef>
                        <c15:formulaRef>
                          <c15:sqref>'W5'!$W$70</c15:sqref>
                        </c15:formulaRef>
                      </c:ext>
                    </c:extLst>
                    <c:strCache>
                      <c:ptCount val="1"/>
                      <c:pt idx="0">
                        <c:v>Chi phí
USD/tấn</c:v>
                      </c:pt>
                    </c:strCache>
                  </c:strRef>
                </c:cat>
                <c:val>
                  <c:numRef>
                    <c:extLst>
                      <c:ext xmlns:c15="http://schemas.microsoft.com/office/drawing/2012/chart" uri="{02D57815-91ED-43cb-92C2-25804820EDAC}">
                        <c15:fullRef>
                          <c15:sqref>'W5'!$W$83:$X$83</c15:sqref>
                        </c15:fullRef>
                        <c15:formulaRef>
                          <c15:sqref>'W5'!$W$83</c15:sqref>
                        </c15:formulaRef>
                      </c:ext>
                    </c:extLst>
                    <c:numCache>
                      <c:formatCode>0.0%;\-0.0.%;</c:formatCode>
                      <c:ptCount val="1"/>
                      <c:pt idx="0" formatCode="#,##0_);\(#,##0\);;">
                        <c:v>1642.4576024980183</c:v>
                      </c:pt>
                    </c:numCache>
                  </c:numRef>
                </c:val>
                <c:extLst xmlns:c15="http://schemas.microsoft.com/office/drawing/2012/chart">
                  <c:ext xmlns:c16="http://schemas.microsoft.com/office/drawing/2014/chart" uri="{C3380CC4-5D6E-409C-BE32-E72D297353CC}">
                    <c16:uniqueId val="{00000015-5C34-4E1F-B30A-F5FCFFC93196}"/>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'W5'!$W$70:$X$70</c15:sqref>
                        </c15:fullRef>
                        <c15:formulaRef>
                          <c15:sqref>'W5'!$W$70</c15:sqref>
                        </c15:formulaRef>
                      </c:ext>
                    </c:extLst>
                    <c:strCache>
                      <c:ptCount val="1"/>
                      <c:pt idx="0">
                        <c:v>Chi phí
USD/tấn</c:v>
                      </c:pt>
                    </c:strCache>
                  </c:strRef>
                </c:cat>
                <c:val>
                  <c:numRef>
                    <c:extLst>
                      <c:ext xmlns:c15="http://schemas.microsoft.com/office/drawing/2012/chart" uri="{02D57815-91ED-43cb-92C2-25804820EDAC}">
                        <c15:fullRef>
                          <c15:sqref>'W5'!$W$86:$X$86</c15:sqref>
                        </c15:fullRef>
                        <c15:formulaRef>
                          <c15:sqref>'W5'!$W$86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6-5C34-4E1F-B30A-F5FCFFC9319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'W5'!$W$70:$X$70</c15:sqref>
                        </c15:fullRef>
                        <c15:formulaRef>
                          <c15:sqref>'W5'!$W$70</c15:sqref>
                        </c15:formulaRef>
                      </c:ext>
                    </c:extLst>
                    <c:strCache>
                      <c:ptCount val="1"/>
                      <c:pt idx="0">
                        <c:v>Chi phí
USD/tấn</c:v>
                      </c:pt>
                    </c:strCache>
                  </c:strRef>
                </c:cat>
                <c:val>
                  <c:numRef>
                    <c:extLst>
                      <c:ext xmlns:c15="http://schemas.microsoft.com/office/drawing/2012/chart" uri="{02D57815-91ED-43cb-92C2-25804820EDAC}">
                        <c15:fullRef>
                          <c15:sqref>'W5'!$W$87:$X$87</c15:sqref>
                        </c15:fullRef>
                        <c15:formulaRef>
                          <c15:sqref>'W5'!$W$87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5C34-4E1F-B30A-F5FCFFC9319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image" Target="../media/image4.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18" Type="http://schemas.openxmlformats.org/officeDocument/2006/relationships/chart" Target="../charts/chart32.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17" Type="http://schemas.openxmlformats.org/officeDocument/2006/relationships/chart" Target="../charts/chart31.xml"/><Relationship Id="rId2" Type="http://schemas.openxmlformats.org/officeDocument/2006/relationships/chart" Target="../charts/chart16.xml"/><Relationship Id="rId16" Type="http://schemas.openxmlformats.org/officeDocument/2006/relationships/chart" Target="../charts/chart30.xml"/><Relationship Id="rId20" Type="http://schemas.openxmlformats.org/officeDocument/2006/relationships/chart" Target="../charts/chart34.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19" Type="http://schemas.openxmlformats.org/officeDocument/2006/relationships/chart" Target="../charts/chart33.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15.xml.rels><?xml version="1.0" encoding="UTF-8" standalone="yes"?>
<Relationships xmlns="http://schemas.openxmlformats.org/package/2006/relationships"><Relationship Id="rId1"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41910</xdr:rowOff>
    </xdr:from>
    <xdr:to>
      <xdr:col>11</xdr:col>
      <xdr:colOff>457200</xdr:colOff>
      <xdr:row>10</xdr:row>
      <xdr:rowOff>41910</xdr:rowOff>
    </xdr:to>
    <xdr:cxnSp macro="">
      <xdr:nvCxnSpPr>
        <xdr:cNvPr id="3" name="Straight Arrow Connector 2">
          <a:extLst>
            <a:ext uri="{FF2B5EF4-FFF2-40B4-BE49-F238E27FC236}">
              <a16:creationId xmlns:a16="http://schemas.microsoft.com/office/drawing/2014/main" id="{75F3DB05-CA35-2D80-4316-F562AB5F2521}"/>
            </a:ext>
          </a:extLst>
        </xdr:cNvPr>
        <xdr:cNvCxnSpPr/>
      </xdr:nvCxnSpPr>
      <xdr:spPr>
        <a:xfrm>
          <a:off x="685800" y="1946910"/>
          <a:ext cx="73152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598170</xdr:colOff>
      <xdr:row>10</xdr:row>
      <xdr:rowOff>41910</xdr:rowOff>
    </xdr:from>
    <xdr:to>
      <xdr:col>2</xdr:col>
      <xdr:colOff>598170</xdr:colOff>
      <xdr:row>12</xdr:row>
      <xdr:rowOff>5715</xdr:rowOff>
    </xdr:to>
    <xdr:cxnSp macro="">
      <xdr:nvCxnSpPr>
        <xdr:cNvPr id="5" name="Straight Arrow Connector 4">
          <a:extLst>
            <a:ext uri="{FF2B5EF4-FFF2-40B4-BE49-F238E27FC236}">
              <a16:creationId xmlns:a16="http://schemas.microsoft.com/office/drawing/2014/main" id="{BCAB97E1-9E22-17A1-E216-5BF10C559DAF}"/>
            </a:ext>
          </a:extLst>
        </xdr:cNvPr>
        <xdr:cNvCxnSpPr/>
      </xdr:nvCxnSpPr>
      <xdr:spPr>
        <a:xfrm>
          <a:off x="1283970" y="803910"/>
          <a:ext cx="0" cy="34480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428626</xdr:colOff>
      <xdr:row>12</xdr:row>
      <xdr:rowOff>41911</xdr:rowOff>
    </xdr:from>
    <xdr:to>
      <xdr:col>4</xdr:col>
      <xdr:colOff>78106</xdr:colOff>
      <xdr:row>15</xdr:row>
      <xdr:rowOff>38101</xdr:rowOff>
    </xdr:to>
    <xdr:sp macro="" textlink="">
      <xdr:nvSpPr>
        <xdr:cNvPr id="7" name="Rectangle: Rounded Corners 6">
          <a:extLst>
            <a:ext uri="{FF2B5EF4-FFF2-40B4-BE49-F238E27FC236}">
              <a16:creationId xmlns:a16="http://schemas.microsoft.com/office/drawing/2014/main" id="{A1BA00B4-44B8-2DDE-2B26-8FBEF715F2FA}"/>
            </a:ext>
          </a:extLst>
        </xdr:cNvPr>
        <xdr:cNvSpPr/>
      </xdr:nvSpPr>
      <xdr:spPr>
        <a:xfrm>
          <a:off x="1114426" y="1184911"/>
          <a:ext cx="1706880" cy="5676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Cuối</a:t>
          </a:r>
          <a:r>
            <a:rPr lang="en-US" sz="1100" b="1" baseline="0"/>
            <a:t> năm 2024</a:t>
          </a:r>
          <a:r>
            <a:rPr lang="en-US" sz="1100" baseline="0"/>
            <a:t>: Chốt phương án đầu tư</a:t>
          </a:r>
          <a:endParaRPr lang="en-US" sz="1100"/>
        </a:p>
      </xdr:txBody>
    </xdr:sp>
    <xdr:clientData/>
  </xdr:twoCellAnchor>
  <xdr:oneCellAnchor>
    <xdr:from>
      <xdr:col>2</xdr:col>
      <xdr:colOff>384810</xdr:colOff>
      <xdr:row>8</xdr:row>
      <xdr:rowOff>99060</xdr:rowOff>
    </xdr:from>
    <xdr:ext cx="470642" cy="264560"/>
    <xdr:sp macro="" textlink="">
      <xdr:nvSpPr>
        <xdr:cNvPr id="9" name="TextBox 8">
          <a:extLst>
            <a:ext uri="{FF2B5EF4-FFF2-40B4-BE49-F238E27FC236}">
              <a16:creationId xmlns:a16="http://schemas.microsoft.com/office/drawing/2014/main" id="{23A2F533-09D8-37C0-9B3C-8F42365F3B7E}"/>
            </a:ext>
          </a:extLst>
        </xdr:cNvPr>
        <xdr:cNvSpPr txBox="1"/>
      </xdr:nvSpPr>
      <xdr:spPr>
        <a:xfrm>
          <a:off x="1756410" y="48006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2025</a:t>
          </a:r>
        </a:p>
      </xdr:txBody>
    </xdr:sp>
    <xdr:clientData/>
  </xdr:oneCellAnchor>
  <xdr:oneCellAnchor>
    <xdr:from>
      <xdr:col>5</xdr:col>
      <xdr:colOff>365760</xdr:colOff>
      <xdr:row>8</xdr:row>
      <xdr:rowOff>102870</xdr:rowOff>
    </xdr:from>
    <xdr:ext cx="470642" cy="264560"/>
    <xdr:sp macro="" textlink="">
      <xdr:nvSpPr>
        <xdr:cNvPr id="11" name="TextBox 10">
          <a:extLst>
            <a:ext uri="{FF2B5EF4-FFF2-40B4-BE49-F238E27FC236}">
              <a16:creationId xmlns:a16="http://schemas.microsoft.com/office/drawing/2014/main" id="{CEEE69E3-A553-9EA7-10AE-F06163A1EA67}"/>
            </a:ext>
          </a:extLst>
        </xdr:cNvPr>
        <xdr:cNvSpPr txBox="1"/>
      </xdr:nvSpPr>
      <xdr:spPr>
        <a:xfrm>
          <a:off x="3794760" y="48387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2026</a:t>
          </a:r>
        </a:p>
      </xdr:txBody>
    </xdr:sp>
    <xdr:clientData/>
  </xdr:oneCellAnchor>
  <xdr:oneCellAnchor>
    <xdr:from>
      <xdr:col>8</xdr:col>
      <xdr:colOff>346710</xdr:colOff>
      <xdr:row>8</xdr:row>
      <xdr:rowOff>99060</xdr:rowOff>
    </xdr:from>
    <xdr:ext cx="470642" cy="264560"/>
    <xdr:sp macro="" textlink="">
      <xdr:nvSpPr>
        <xdr:cNvPr id="12" name="TextBox 11">
          <a:extLst>
            <a:ext uri="{FF2B5EF4-FFF2-40B4-BE49-F238E27FC236}">
              <a16:creationId xmlns:a16="http://schemas.microsoft.com/office/drawing/2014/main" id="{E9CE01EC-0802-465F-BD08-10E754757D99}"/>
            </a:ext>
          </a:extLst>
        </xdr:cNvPr>
        <xdr:cNvSpPr txBox="1"/>
      </xdr:nvSpPr>
      <xdr:spPr>
        <a:xfrm>
          <a:off x="5833110" y="48006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2027</a:t>
          </a:r>
        </a:p>
      </xdr:txBody>
    </xdr:sp>
    <xdr:clientData/>
  </xdr:oneCellAnchor>
  <xdr:twoCellAnchor>
    <xdr:from>
      <xdr:col>2</xdr:col>
      <xdr:colOff>642939</xdr:colOff>
      <xdr:row>6</xdr:row>
      <xdr:rowOff>79057</xdr:rowOff>
    </xdr:from>
    <xdr:to>
      <xdr:col>5</xdr:col>
      <xdr:colOff>632460</xdr:colOff>
      <xdr:row>8</xdr:row>
      <xdr:rowOff>42862</xdr:rowOff>
    </xdr:to>
    <xdr:sp macro="" textlink="">
      <xdr:nvSpPr>
        <xdr:cNvPr id="13" name="Right Brace 12">
          <a:extLst>
            <a:ext uri="{FF2B5EF4-FFF2-40B4-BE49-F238E27FC236}">
              <a16:creationId xmlns:a16="http://schemas.microsoft.com/office/drawing/2014/main" id="{D8BEB7B7-33AF-D7EE-AD7C-5E5164ED134E}"/>
            </a:ext>
          </a:extLst>
        </xdr:cNvPr>
        <xdr:cNvSpPr/>
      </xdr:nvSpPr>
      <xdr:spPr>
        <a:xfrm rot="16200000">
          <a:off x="2865597" y="370999"/>
          <a:ext cx="344805" cy="2046921"/>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201931</xdr:colOff>
      <xdr:row>3</xdr:row>
      <xdr:rowOff>47626</xdr:rowOff>
    </xdr:from>
    <xdr:to>
      <xdr:col>5</xdr:col>
      <xdr:colOff>541021</xdr:colOff>
      <xdr:row>6</xdr:row>
      <xdr:rowOff>45721</xdr:rowOff>
    </xdr:to>
    <xdr:sp macro="" textlink="">
      <xdr:nvSpPr>
        <xdr:cNvPr id="14" name="Rectangle: Rounded Corners 13">
          <a:extLst>
            <a:ext uri="{FF2B5EF4-FFF2-40B4-BE49-F238E27FC236}">
              <a16:creationId xmlns:a16="http://schemas.microsoft.com/office/drawing/2014/main" id="{C0F2CCF1-DCC4-DE2C-2644-7EB3400F0916}"/>
            </a:ext>
          </a:extLst>
        </xdr:cNvPr>
        <xdr:cNvSpPr/>
      </xdr:nvSpPr>
      <xdr:spPr>
        <a:xfrm>
          <a:off x="2259331" y="619126"/>
          <a:ext cx="1710690" cy="5695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Từ</a:t>
          </a:r>
          <a:r>
            <a:rPr lang="en-US" sz="1100" b="1" baseline="0"/>
            <a:t> năm 2025-2026: </a:t>
          </a:r>
          <a:r>
            <a:rPr lang="en-US" sz="1100" b="0" baseline="0"/>
            <a:t>Đầu tư, lắp đặt máy móc</a:t>
          </a:r>
          <a:endParaRPr lang="en-US" sz="1100" b="0"/>
        </a:p>
      </xdr:txBody>
    </xdr:sp>
    <xdr:clientData/>
  </xdr:twoCellAnchor>
  <xdr:twoCellAnchor>
    <xdr:from>
      <xdr:col>8</xdr:col>
      <xdr:colOff>628649</xdr:colOff>
      <xdr:row>12</xdr:row>
      <xdr:rowOff>49530</xdr:rowOff>
    </xdr:from>
    <xdr:to>
      <xdr:col>11</xdr:col>
      <xdr:colOff>436244</xdr:colOff>
      <xdr:row>15</xdr:row>
      <xdr:rowOff>13335</xdr:rowOff>
    </xdr:to>
    <xdr:sp macro="" textlink="">
      <xdr:nvSpPr>
        <xdr:cNvPr id="17" name="Arrow: Right 16">
          <a:extLst>
            <a:ext uri="{FF2B5EF4-FFF2-40B4-BE49-F238E27FC236}">
              <a16:creationId xmlns:a16="http://schemas.microsoft.com/office/drawing/2014/main" id="{6B75F094-BEC3-7835-49A4-8DC2BC05CB3A}"/>
            </a:ext>
          </a:extLst>
        </xdr:cNvPr>
        <xdr:cNvSpPr/>
      </xdr:nvSpPr>
      <xdr:spPr>
        <a:xfrm>
          <a:off x="6115049" y="2335530"/>
          <a:ext cx="1864995" cy="53530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t>Chạy</a:t>
          </a:r>
          <a:r>
            <a:rPr lang="en-US" sz="1100" b="1" baseline="0"/>
            <a:t> chính thức</a:t>
          </a:r>
          <a:endParaRPr lang="en-US" sz="1100" b="1"/>
        </a:p>
      </xdr:txBody>
    </xdr:sp>
    <xdr:clientData/>
  </xdr:twoCellAnchor>
  <xdr:twoCellAnchor>
    <xdr:from>
      <xdr:col>8</xdr:col>
      <xdr:colOff>617220</xdr:colOff>
      <xdr:row>10</xdr:row>
      <xdr:rowOff>93345</xdr:rowOff>
    </xdr:from>
    <xdr:to>
      <xdr:col>8</xdr:col>
      <xdr:colOff>617220</xdr:colOff>
      <xdr:row>12</xdr:row>
      <xdr:rowOff>175260</xdr:rowOff>
    </xdr:to>
    <xdr:cxnSp macro="">
      <xdr:nvCxnSpPr>
        <xdr:cNvPr id="19" name="Straight Connector 18">
          <a:extLst>
            <a:ext uri="{FF2B5EF4-FFF2-40B4-BE49-F238E27FC236}">
              <a16:creationId xmlns:a16="http://schemas.microsoft.com/office/drawing/2014/main" id="{D5D591A8-123F-BCCB-1538-18B7E9EFB41F}"/>
            </a:ext>
          </a:extLst>
        </xdr:cNvPr>
        <xdr:cNvCxnSpPr/>
      </xdr:nvCxnSpPr>
      <xdr:spPr>
        <a:xfrm>
          <a:off x="6103620" y="1998345"/>
          <a:ext cx="0" cy="4629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622935</xdr:colOff>
      <xdr:row>10</xdr:row>
      <xdr:rowOff>120015</xdr:rowOff>
    </xdr:from>
    <xdr:to>
      <xdr:col>5</xdr:col>
      <xdr:colOff>622935</xdr:colOff>
      <xdr:row>13</xdr:row>
      <xdr:rowOff>11430</xdr:rowOff>
    </xdr:to>
    <xdr:cxnSp macro="">
      <xdr:nvCxnSpPr>
        <xdr:cNvPr id="20" name="Straight Connector 19">
          <a:extLst>
            <a:ext uri="{FF2B5EF4-FFF2-40B4-BE49-F238E27FC236}">
              <a16:creationId xmlns:a16="http://schemas.microsoft.com/office/drawing/2014/main" id="{D1A07AFB-1710-5057-C6E9-4C47DA597D0C}"/>
            </a:ext>
          </a:extLst>
        </xdr:cNvPr>
        <xdr:cNvCxnSpPr/>
      </xdr:nvCxnSpPr>
      <xdr:spPr>
        <a:xfrm>
          <a:off x="4051935" y="2025015"/>
          <a:ext cx="0" cy="4629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135256</xdr:colOff>
      <xdr:row>10</xdr:row>
      <xdr:rowOff>104776</xdr:rowOff>
    </xdr:from>
    <xdr:to>
      <xdr:col>8</xdr:col>
      <xdr:colOff>474346</xdr:colOff>
      <xdr:row>13</xdr:row>
      <xdr:rowOff>102871</xdr:rowOff>
    </xdr:to>
    <xdr:sp macro="" textlink="">
      <xdr:nvSpPr>
        <xdr:cNvPr id="21" name="Rectangle: Rounded Corners 20">
          <a:extLst>
            <a:ext uri="{FF2B5EF4-FFF2-40B4-BE49-F238E27FC236}">
              <a16:creationId xmlns:a16="http://schemas.microsoft.com/office/drawing/2014/main" id="{0F75AB25-4B89-6D3F-EEFD-AC6FB9874768}"/>
            </a:ext>
          </a:extLst>
        </xdr:cNvPr>
        <xdr:cNvSpPr/>
      </xdr:nvSpPr>
      <xdr:spPr>
        <a:xfrm>
          <a:off x="4250056" y="2009776"/>
          <a:ext cx="1710690" cy="5695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Từ</a:t>
          </a:r>
          <a:r>
            <a:rPr lang="en-US" sz="1100" b="1" baseline="0"/>
            <a:t> năm 2026-2027: </a:t>
          </a:r>
          <a:r>
            <a:rPr lang="en-US" sz="1100" b="0" baseline="0"/>
            <a:t>Chạy pilot</a:t>
          </a:r>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140804</xdr:colOff>
      <xdr:row>3</xdr:row>
      <xdr:rowOff>24847</xdr:rowOff>
    </xdr:from>
    <xdr:to>
      <xdr:col>15</xdr:col>
      <xdr:colOff>518854</xdr:colOff>
      <xdr:row>6</xdr:row>
      <xdr:rowOff>28547</xdr:rowOff>
    </xdr:to>
    <mc:AlternateContent xmlns:mc="http://schemas.openxmlformats.org/markup-compatibility/2006" xmlns:a14="http://schemas.microsoft.com/office/drawing/2010/main">
      <mc:Choice Requires="a14">
        <xdr:graphicFrame macro="">
          <xdr:nvGraphicFramePr>
            <xdr:cNvPr id="2" name="Currency 11">
              <a:extLst>
                <a:ext uri="{FF2B5EF4-FFF2-40B4-BE49-F238E27FC236}">
                  <a16:creationId xmlns:a16="http://schemas.microsoft.com/office/drawing/2014/main" id="{5B7A6A43-D0E1-46FE-9856-20B5D36C3DB1}"/>
                </a:ext>
              </a:extLst>
            </xdr:cNvPr>
            <xdr:cNvGraphicFramePr/>
          </xdr:nvGraphicFramePr>
          <xdr:xfrm>
            <a:off x="0" y="0"/>
            <a:ext cx="0" cy="0"/>
          </xdr:xfrm>
          <a:graphic>
            <a:graphicData uri="http://schemas.microsoft.com/office/drawing/2010/slicer">
              <sle:slicer xmlns:sle="http://schemas.microsoft.com/office/drawing/2010/slicer" name="Currency 11"/>
            </a:graphicData>
          </a:graphic>
        </xdr:graphicFrame>
      </mc:Choice>
      <mc:Fallback xmlns="">
        <xdr:sp macro="" textlink="">
          <xdr:nvSpPr>
            <xdr:cNvPr id="0" name=""/>
            <xdr:cNvSpPr>
              <a:spLocks noTextEdit="1"/>
            </xdr:cNvSpPr>
          </xdr:nvSpPr>
          <xdr:spPr>
            <a:xfrm>
              <a:off x="13780604" y="710647"/>
              <a:ext cx="2435450" cy="641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674079</xdr:colOff>
      <xdr:row>2</xdr:row>
      <xdr:rowOff>341747</xdr:rowOff>
    </xdr:from>
    <xdr:to>
      <xdr:col>10</xdr:col>
      <xdr:colOff>414186</xdr:colOff>
      <xdr:row>17</xdr:row>
      <xdr:rowOff>164460</xdr:rowOff>
    </xdr:to>
    <xdr:grpSp>
      <xdr:nvGrpSpPr>
        <xdr:cNvPr id="27" name="Group 26">
          <a:extLst>
            <a:ext uri="{FF2B5EF4-FFF2-40B4-BE49-F238E27FC236}">
              <a16:creationId xmlns:a16="http://schemas.microsoft.com/office/drawing/2014/main" id="{718E7AD1-3106-6472-2699-58B644D8F6F0}"/>
            </a:ext>
          </a:extLst>
        </xdr:cNvPr>
        <xdr:cNvGrpSpPr/>
      </xdr:nvGrpSpPr>
      <xdr:grpSpPr>
        <a:xfrm>
          <a:off x="7713054" y="732272"/>
          <a:ext cx="2483307" cy="3680338"/>
          <a:chOff x="7728090" y="7915275"/>
          <a:chExt cx="2679118" cy="4317935"/>
        </a:xfrm>
      </xdr:grpSpPr>
      <xdr:graphicFrame macro="">
        <xdr:nvGraphicFramePr>
          <xdr:cNvPr id="29" name="Chart 28">
            <a:extLst>
              <a:ext uri="{FF2B5EF4-FFF2-40B4-BE49-F238E27FC236}">
                <a16:creationId xmlns:a16="http://schemas.microsoft.com/office/drawing/2014/main" id="{FD59C447-35DA-0645-DB9B-68B41EAF9247}"/>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30" name="Group 29">
            <a:extLst>
              <a:ext uri="{FF2B5EF4-FFF2-40B4-BE49-F238E27FC236}">
                <a16:creationId xmlns:a16="http://schemas.microsoft.com/office/drawing/2014/main" id="{1C970C75-4669-6512-4531-6F04DD9B11EF}"/>
              </a:ext>
            </a:extLst>
          </xdr:cNvPr>
          <xdr:cNvGrpSpPr/>
        </xdr:nvGrpSpPr>
        <xdr:grpSpPr>
          <a:xfrm>
            <a:off x="8748842" y="7968177"/>
            <a:ext cx="1601103" cy="427981"/>
            <a:chOff x="3662491" y="4636333"/>
            <a:chExt cx="1601103" cy="427981"/>
          </a:xfrm>
        </xdr:grpSpPr>
        <xdr:sp macro="" textlink="'W5'!$E$86">
          <xdr:nvSpPr>
            <xdr:cNvPr id="35" name="TextBox 34">
              <a:extLst>
                <a:ext uri="{FF2B5EF4-FFF2-40B4-BE49-F238E27FC236}">
                  <a16:creationId xmlns:a16="http://schemas.microsoft.com/office/drawing/2014/main" id="{F32A425B-8FEF-5D5C-1133-63C1FB72B07A}"/>
                </a:ext>
              </a:extLst>
            </xdr:cNvPr>
            <xdr:cNvSpPr txBox="1"/>
          </xdr:nvSpPr>
          <xdr:spPr>
            <a:xfrm>
              <a:off x="3662491" y="4636333"/>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776A1757-A0B3-430D-A2B5-88F3D2B4C2A2}" type="TxLink">
                <a:rPr lang="en-US" sz="1700" b="1" i="0" u="none" strike="noStrike">
                  <a:solidFill>
                    <a:srgbClr val="0033CC"/>
                  </a:solidFill>
                  <a:latin typeface="+mj-lt"/>
                  <a:cs typeface="Arial"/>
                </a:rPr>
                <a:pPr/>
                <a:t>1,744 </a:t>
              </a:fld>
              <a:endParaRPr lang="en-US" sz="1700">
                <a:solidFill>
                  <a:srgbClr val="0033CC"/>
                </a:solidFill>
                <a:latin typeface="+mj-lt"/>
                <a:cs typeface="Arial" panose="020B0604020202020204" pitchFamily="34" charset="0"/>
              </a:endParaRPr>
            </a:p>
          </xdr:txBody>
        </xdr:sp>
        <xdr:sp macro="" textlink="">
          <xdr:nvSpPr>
            <xdr:cNvPr id="36" name="TextBox 35">
              <a:extLst>
                <a:ext uri="{FF2B5EF4-FFF2-40B4-BE49-F238E27FC236}">
                  <a16:creationId xmlns:a16="http://schemas.microsoft.com/office/drawing/2014/main" id="{5075E5FA-0FF0-525D-EBE9-C9F87883273A}"/>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31" name="Group 30">
            <a:extLst>
              <a:ext uri="{FF2B5EF4-FFF2-40B4-BE49-F238E27FC236}">
                <a16:creationId xmlns:a16="http://schemas.microsoft.com/office/drawing/2014/main" id="{D428B9A0-29C7-0D2F-FFC6-A34C816A7B32}"/>
              </a:ext>
            </a:extLst>
          </xdr:cNvPr>
          <xdr:cNvGrpSpPr/>
        </xdr:nvGrpSpPr>
        <xdr:grpSpPr>
          <a:xfrm>
            <a:off x="7728090" y="9982200"/>
            <a:ext cx="1034614" cy="759409"/>
            <a:chOff x="5556390" y="5781675"/>
            <a:chExt cx="1034614" cy="759409"/>
          </a:xfrm>
        </xdr:grpSpPr>
        <xdr:sp macro="" textlink="'W5'!$E$83">
          <xdr:nvSpPr>
            <xdr:cNvPr id="32" name="TextBox 31">
              <a:extLst>
                <a:ext uri="{FF2B5EF4-FFF2-40B4-BE49-F238E27FC236}">
                  <a16:creationId xmlns:a16="http://schemas.microsoft.com/office/drawing/2014/main" id="{152EA06A-BF7B-B089-0AB7-4C66567D3204}"/>
                </a:ext>
              </a:extLst>
            </xdr:cNvPr>
            <xdr:cNvSpPr txBox="1"/>
          </xdr:nvSpPr>
          <xdr:spPr>
            <a:xfrm>
              <a:off x="5581649" y="5962651"/>
              <a:ext cx="738291" cy="378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954EA23-AE38-4CED-B8C0-7AC97473F1DB}" type="TxLink">
                <a:rPr lang="en-US" sz="1500" b="1" i="0" u="none" strike="noStrike">
                  <a:solidFill>
                    <a:srgbClr val="0033CC"/>
                  </a:solidFill>
                  <a:latin typeface="+mj-lt"/>
                  <a:cs typeface="Arial"/>
                </a:rPr>
                <a:pPr/>
                <a:t>1,560 </a:t>
              </a:fld>
              <a:endParaRPr lang="en-US" sz="1500">
                <a:latin typeface="+mj-lt"/>
              </a:endParaRPr>
            </a:p>
          </xdr:txBody>
        </xdr:sp>
        <xdr:sp macro="" textlink="">
          <xdr:nvSpPr>
            <xdr:cNvPr id="33" name="TextBox 32">
              <a:extLst>
                <a:ext uri="{FF2B5EF4-FFF2-40B4-BE49-F238E27FC236}">
                  <a16:creationId xmlns:a16="http://schemas.microsoft.com/office/drawing/2014/main" id="{0627E80D-4C4B-5DF4-18A4-5F6CC605B928}"/>
                </a:ext>
              </a:extLst>
            </xdr:cNvPr>
            <xdr:cNvSpPr txBox="1"/>
          </xdr:nvSpPr>
          <xdr:spPr>
            <a:xfrm>
              <a:off x="5556390" y="6245234"/>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34" name="TextBox 33">
              <a:extLst>
                <a:ext uri="{FF2B5EF4-FFF2-40B4-BE49-F238E27FC236}">
                  <a16:creationId xmlns:a16="http://schemas.microsoft.com/office/drawing/2014/main" id="{7667E5E1-684C-6BAF-31F5-6765AB3ADC57}"/>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clientData/>
  </xdr:twoCellAnchor>
  <mc:AlternateContent xmlns:mc="http://schemas.openxmlformats.org/markup-compatibility/2006">
    <mc:Choice xmlns:a14="http://schemas.microsoft.com/office/drawing/2010/main" Requires="a14">
      <xdr:twoCellAnchor editAs="oneCell">
        <xdr:from>
          <xdr:col>13</xdr:col>
          <xdr:colOff>47625</xdr:colOff>
          <xdr:row>5</xdr:row>
          <xdr:rowOff>28575</xdr:rowOff>
        </xdr:from>
        <xdr:to>
          <xdr:col>22</xdr:col>
          <xdr:colOff>208817</xdr:colOff>
          <xdr:row>25</xdr:row>
          <xdr:rowOff>79863</xdr:rowOff>
        </xdr:to>
        <xdr:pic>
          <xdr:nvPicPr>
            <xdr:cNvPr id="2" name="Picture 1">
              <a:extLst>
                <a:ext uri="{FF2B5EF4-FFF2-40B4-BE49-F238E27FC236}">
                  <a16:creationId xmlns:a16="http://schemas.microsoft.com/office/drawing/2014/main" id="{0A7BC849-C0BE-AD49-FC09-42F72E060225}"/>
                </a:ext>
              </a:extLst>
            </xdr:cNvPr>
            <xdr:cNvPicPr>
              <a:picLocks noChangeAspect="1" noChangeArrowheads="1"/>
              <a:extLst>
                <a:ext uri="{84589F7E-364E-4C9E-8A38-B11213B215E9}">
                  <a14:cameraTool cellRange="$A$3:$E$20" spid="_x0000_s9289"/>
                </a:ext>
              </a:extLst>
            </xdr:cNvPicPr>
          </xdr:nvPicPr>
          <xdr:blipFill>
            <a:blip xmlns:r="http://schemas.openxmlformats.org/officeDocument/2006/relationships" r:embed="rId2"/>
            <a:srcRect/>
            <a:stretch>
              <a:fillRect/>
            </a:stretch>
          </xdr:blipFill>
          <xdr:spPr bwMode="auto">
            <a:xfrm>
              <a:off x="11917240" y="1428017"/>
              <a:ext cx="6359769" cy="4637942"/>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5</xdr:col>
      <xdr:colOff>493135</xdr:colOff>
      <xdr:row>3</xdr:row>
      <xdr:rowOff>49696</xdr:rowOff>
    </xdr:from>
    <xdr:to>
      <xdr:col>9</xdr:col>
      <xdr:colOff>204689</xdr:colOff>
      <xdr:row>18</xdr:row>
      <xdr:rowOff>218534</xdr:rowOff>
    </xdr:to>
    <xdr:grpSp>
      <xdr:nvGrpSpPr>
        <xdr:cNvPr id="23" name="Group 24">
          <a:extLst>
            <a:ext uri="{FF2B5EF4-FFF2-40B4-BE49-F238E27FC236}">
              <a16:creationId xmlns:a16="http://schemas.microsoft.com/office/drawing/2014/main" id="{2648F9C5-E6E3-4B68-86DA-DB64ED69467E}"/>
            </a:ext>
          </a:extLst>
        </xdr:cNvPr>
        <xdr:cNvGrpSpPr/>
      </xdr:nvGrpSpPr>
      <xdr:grpSpPr>
        <a:xfrm>
          <a:off x="6852904" y="965561"/>
          <a:ext cx="2466477" cy="3795665"/>
          <a:chOff x="7697825" y="3800475"/>
          <a:chExt cx="2755769" cy="3935649"/>
        </a:xfrm>
      </xdr:grpSpPr>
      <xdr:graphicFrame macro="">
        <xdr:nvGraphicFramePr>
          <xdr:cNvPr id="24" name="Chart 3">
            <a:extLst>
              <a:ext uri="{FF2B5EF4-FFF2-40B4-BE49-F238E27FC236}">
                <a16:creationId xmlns:a16="http://schemas.microsoft.com/office/drawing/2014/main" id="{B2C81C84-DC1C-70C1-7FBB-AC416E9AEFF1}"/>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25" name="Group 19">
            <a:extLst>
              <a:ext uri="{FF2B5EF4-FFF2-40B4-BE49-F238E27FC236}">
                <a16:creationId xmlns:a16="http://schemas.microsoft.com/office/drawing/2014/main" id="{A9AE6A99-629C-9068-EC1B-898AB2F1C6DE}"/>
              </a:ext>
            </a:extLst>
          </xdr:cNvPr>
          <xdr:cNvGrpSpPr/>
        </xdr:nvGrpSpPr>
        <xdr:grpSpPr>
          <a:xfrm>
            <a:off x="8765049" y="3826277"/>
            <a:ext cx="1632592" cy="350694"/>
            <a:chOff x="3831099" y="4683527"/>
            <a:chExt cx="1632592" cy="350694"/>
          </a:xfrm>
        </xdr:grpSpPr>
        <xdr:sp macro="" textlink="'W5'!$E$64">
          <xdr:nvSpPr>
            <xdr:cNvPr id="30" name="TextBox 20">
              <a:extLst>
                <a:ext uri="{FF2B5EF4-FFF2-40B4-BE49-F238E27FC236}">
                  <a16:creationId xmlns:a16="http://schemas.microsoft.com/office/drawing/2014/main" id="{B965EE56-0DE4-1401-6D91-50EEBF1096BE}"/>
                </a:ext>
              </a:extLst>
            </xdr:cNvPr>
            <xdr:cNvSpPr txBox="1"/>
          </xdr:nvSpPr>
          <xdr:spPr>
            <a:xfrm>
              <a:off x="3831099" y="4683527"/>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656A820C-A501-47DE-B563-D9EF7580AC96}"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31" name="TextBox 21">
              <a:extLst>
                <a:ext uri="{FF2B5EF4-FFF2-40B4-BE49-F238E27FC236}">
                  <a16:creationId xmlns:a16="http://schemas.microsoft.com/office/drawing/2014/main" id="{5F2096FD-091D-4C01-FE1C-2028E7FA9A93}"/>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26" name="Group 26">
            <a:extLst>
              <a:ext uri="{FF2B5EF4-FFF2-40B4-BE49-F238E27FC236}">
                <a16:creationId xmlns:a16="http://schemas.microsoft.com/office/drawing/2014/main" id="{E8B965FB-32EF-C4CC-D577-9699D849A809}"/>
              </a:ext>
            </a:extLst>
          </xdr:cNvPr>
          <xdr:cNvGrpSpPr/>
        </xdr:nvGrpSpPr>
        <xdr:grpSpPr>
          <a:xfrm>
            <a:off x="7697825" y="5550324"/>
            <a:ext cx="1075761" cy="746276"/>
            <a:chOff x="5516600" y="5769399"/>
            <a:chExt cx="1075761" cy="746276"/>
          </a:xfrm>
        </xdr:grpSpPr>
        <xdr:sp macro="" textlink="'W5'!$E$61">
          <xdr:nvSpPr>
            <xdr:cNvPr id="27" name="TextBox 28">
              <a:extLst>
                <a:ext uri="{FF2B5EF4-FFF2-40B4-BE49-F238E27FC236}">
                  <a16:creationId xmlns:a16="http://schemas.microsoft.com/office/drawing/2014/main" id="{5A6CF31C-C5C6-D3F8-F05A-241E3A07FF50}"/>
                </a:ext>
              </a:extLst>
            </xdr:cNvPr>
            <xdr:cNvSpPr txBox="1"/>
          </xdr:nvSpPr>
          <xdr:spPr>
            <a:xfrm>
              <a:off x="5686426" y="5962650"/>
              <a:ext cx="595980" cy="3392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3ED3FC8-6A31-4F36-8149-D5C143790256}" type="TxLink">
                <a:rPr lang="en-US" sz="1500" b="1" i="0" u="none" strike="noStrike">
                  <a:solidFill>
                    <a:srgbClr val="0033CC"/>
                  </a:solidFill>
                  <a:latin typeface="+mj-lt"/>
                  <a:cs typeface="Arial"/>
                </a:rPr>
                <a:pPr/>
                <a:t>608 </a:t>
              </a:fld>
              <a:endParaRPr lang="en-US" sz="1500">
                <a:latin typeface="+mj-lt"/>
              </a:endParaRPr>
            </a:p>
          </xdr:txBody>
        </xdr:sp>
        <xdr:sp macro="" textlink="">
          <xdr:nvSpPr>
            <xdr:cNvPr id="28" name="TextBox 29">
              <a:extLst>
                <a:ext uri="{FF2B5EF4-FFF2-40B4-BE49-F238E27FC236}">
                  <a16:creationId xmlns:a16="http://schemas.microsoft.com/office/drawing/2014/main" id="{6ACCE613-FBC4-C37B-C153-465EA8CB0CF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29" name="TextBox 30">
              <a:extLst>
                <a:ext uri="{FF2B5EF4-FFF2-40B4-BE49-F238E27FC236}">
                  <a16:creationId xmlns:a16="http://schemas.microsoft.com/office/drawing/2014/main" id="{82ECA83A-BED1-2C40-D8E4-46B33161E31C}"/>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117231</xdr:rowOff>
    </xdr:from>
    <xdr:to>
      <xdr:col>2</xdr:col>
      <xdr:colOff>520212</xdr:colOff>
      <xdr:row>1</xdr:row>
      <xdr:rowOff>138591</xdr:rowOff>
    </xdr:to>
    <xdr:pic>
      <xdr:nvPicPr>
        <xdr:cNvPr id="2" name="Picture 1">
          <a:extLst>
            <a:ext uri="{FF2B5EF4-FFF2-40B4-BE49-F238E27FC236}">
              <a16:creationId xmlns:a16="http://schemas.microsoft.com/office/drawing/2014/main" id="{4104A42D-1431-43C4-941D-48E3C1A59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17231"/>
          <a:ext cx="967887" cy="211860"/>
        </a:xfrm>
        <a:prstGeom prst="rect">
          <a:avLst/>
        </a:prstGeom>
      </xdr:spPr>
    </xdr:pic>
    <xdr:clientData/>
  </xdr:twoCellAnchor>
  <xdr:twoCellAnchor editAs="oneCell">
    <xdr:from>
      <xdr:col>22</xdr:col>
      <xdr:colOff>399159</xdr:colOff>
      <xdr:row>0</xdr:row>
      <xdr:rowOff>53200</xdr:rowOff>
    </xdr:from>
    <xdr:to>
      <xdr:col>27</xdr:col>
      <xdr:colOff>522293</xdr:colOff>
      <xdr:row>3</xdr:row>
      <xdr:rowOff>77004</xdr:rowOff>
    </xdr:to>
    <mc:AlternateContent xmlns:mc="http://schemas.openxmlformats.org/markup-compatibility/2006">
      <mc:Choice xmlns:a14="http://schemas.microsoft.com/office/drawing/2010/main" Requires="a14">
        <xdr:graphicFrame macro="">
          <xdr:nvGraphicFramePr>
            <xdr:cNvPr id="115" name="Currency 10">
              <a:extLst>
                <a:ext uri="{FF2B5EF4-FFF2-40B4-BE49-F238E27FC236}">
                  <a16:creationId xmlns:a16="http://schemas.microsoft.com/office/drawing/2014/main" id="{DD15A9C1-2C67-49CB-A272-2B58DC2521C7}"/>
                </a:ext>
              </a:extLst>
            </xdr:cNvPr>
            <xdr:cNvGraphicFramePr/>
          </xdr:nvGraphicFramePr>
          <xdr:xfrm>
            <a:off x="0" y="0"/>
            <a:ext cx="0" cy="0"/>
          </xdr:xfrm>
          <a:graphic>
            <a:graphicData uri="http://schemas.microsoft.com/office/drawing/2010/slicer">
              <sle:slicer xmlns:sle="http://schemas.microsoft.com/office/drawing/2010/slicer" name="Currency 10"/>
            </a:graphicData>
          </a:graphic>
        </xdr:graphicFrame>
      </mc:Choice>
      <mc:Fallback>
        <xdr:sp macro="" textlink="">
          <xdr:nvSpPr>
            <xdr:cNvPr id="0" name=""/>
            <xdr:cNvSpPr>
              <a:spLocks noTextEdit="1"/>
            </xdr:cNvSpPr>
          </xdr:nvSpPr>
          <xdr:spPr>
            <a:xfrm>
              <a:off x="11564116" y="53200"/>
              <a:ext cx="3560416" cy="653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76200</xdr:colOff>
      <xdr:row>32</xdr:row>
      <xdr:rowOff>18931</xdr:rowOff>
    </xdr:from>
    <xdr:to>
      <xdr:col>18</xdr:col>
      <xdr:colOff>615042</xdr:colOff>
      <xdr:row>78</xdr:row>
      <xdr:rowOff>141395</xdr:rowOff>
    </xdr:to>
    <xdr:grpSp>
      <xdr:nvGrpSpPr>
        <xdr:cNvPr id="141" name="Group 140">
          <a:extLst>
            <a:ext uri="{FF2B5EF4-FFF2-40B4-BE49-F238E27FC236}">
              <a16:creationId xmlns:a16="http://schemas.microsoft.com/office/drawing/2014/main" id="{02F7C10E-F9B1-8596-ED04-51FC8A190802}"/>
            </a:ext>
          </a:extLst>
        </xdr:cNvPr>
        <xdr:cNvGrpSpPr/>
      </xdr:nvGrpSpPr>
      <xdr:grpSpPr>
        <a:xfrm>
          <a:off x="3629439" y="6164627"/>
          <a:ext cx="6709386" cy="8885464"/>
          <a:chOff x="4748893" y="6667500"/>
          <a:chExt cx="6721928" cy="8885464"/>
        </a:xfrm>
      </xdr:grpSpPr>
      <xdr:grpSp>
        <xdr:nvGrpSpPr>
          <xdr:cNvPr id="118" name="Group 117">
            <a:extLst>
              <a:ext uri="{FF2B5EF4-FFF2-40B4-BE49-F238E27FC236}">
                <a16:creationId xmlns:a16="http://schemas.microsoft.com/office/drawing/2014/main" id="{1B95DC3D-53D4-216B-78AE-DD8EC1E0337F}"/>
              </a:ext>
            </a:extLst>
          </xdr:cNvPr>
          <xdr:cNvGrpSpPr/>
        </xdr:nvGrpSpPr>
        <xdr:grpSpPr>
          <a:xfrm>
            <a:off x="4831772" y="6824601"/>
            <a:ext cx="6337312" cy="8673172"/>
            <a:chOff x="8179129" y="7872351"/>
            <a:chExt cx="6337312" cy="8673172"/>
          </a:xfrm>
        </xdr:grpSpPr>
        <xdr:grpSp>
          <xdr:nvGrpSpPr>
            <xdr:cNvPr id="25" name="Group 24">
              <a:extLst>
                <a:ext uri="{FF2B5EF4-FFF2-40B4-BE49-F238E27FC236}">
                  <a16:creationId xmlns:a16="http://schemas.microsoft.com/office/drawing/2014/main" id="{9C286CF3-2748-1039-99ED-5B770CA39780}"/>
                </a:ext>
              </a:extLst>
            </xdr:cNvPr>
            <xdr:cNvGrpSpPr/>
          </xdr:nvGrpSpPr>
          <xdr:grpSpPr>
            <a:xfrm>
              <a:off x="8197243" y="8291982"/>
              <a:ext cx="5492163" cy="8253541"/>
              <a:chOff x="7951077" y="5782083"/>
              <a:chExt cx="5495874" cy="8253541"/>
            </a:xfrm>
          </xdr:grpSpPr>
          <xdr:grpSp>
            <xdr:nvGrpSpPr>
              <xdr:cNvPr id="116" name="Group 115">
                <a:extLst>
                  <a:ext uri="{FF2B5EF4-FFF2-40B4-BE49-F238E27FC236}">
                    <a16:creationId xmlns:a16="http://schemas.microsoft.com/office/drawing/2014/main" id="{746B5CAD-D111-44D3-8557-05194A228E4D}"/>
                  </a:ext>
                </a:extLst>
              </xdr:cNvPr>
              <xdr:cNvGrpSpPr/>
            </xdr:nvGrpSpPr>
            <xdr:grpSpPr>
              <a:xfrm>
                <a:off x="7951077" y="9933521"/>
                <a:ext cx="2612689" cy="4102103"/>
                <a:chOff x="16172571" y="7403937"/>
                <a:chExt cx="2477761" cy="4135400"/>
              </a:xfrm>
            </xdr:grpSpPr>
            <xdr:grpSp>
              <xdr:nvGrpSpPr>
                <xdr:cNvPr id="119" name="Group 24">
                  <a:extLst>
                    <a:ext uri="{FF2B5EF4-FFF2-40B4-BE49-F238E27FC236}">
                      <a16:creationId xmlns:a16="http://schemas.microsoft.com/office/drawing/2014/main" id="{208E5D88-992E-1C16-23BE-7693BA3F7A80}"/>
                    </a:ext>
                  </a:extLst>
                </xdr:cNvPr>
                <xdr:cNvGrpSpPr/>
              </xdr:nvGrpSpPr>
              <xdr:grpSpPr>
                <a:xfrm>
                  <a:off x="16172571" y="7734260"/>
                  <a:ext cx="2327982" cy="3805077"/>
                  <a:chOff x="7697825" y="3800475"/>
                  <a:chExt cx="2755769" cy="3935649"/>
                </a:xfrm>
              </xdr:grpSpPr>
              <xdr:graphicFrame macro="">
                <xdr:nvGraphicFramePr>
                  <xdr:cNvPr id="121" name="Chart 3">
                    <a:extLst>
                      <a:ext uri="{FF2B5EF4-FFF2-40B4-BE49-F238E27FC236}">
                        <a16:creationId xmlns:a16="http://schemas.microsoft.com/office/drawing/2014/main" id="{62D003C3-4868-DDAF-43E2-6B6C755F0EFE}"/>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122" name="Group 19">
                    <a:extLst>
                      <a:ext uri="{FF2B5EF4-FFF2-40B4-BE49-F238E27FC236}">
                        <a16:creationId xmlns:a16="http://schemas.microsoft.com/office/drawing/2014/main" id="{E29DAB8E-08A2-9D74-2292-2D7D02DD89E4}"/>
                      </a:ext>
                    </a:extLst>
                  </xdr:cNvPr>
                  <xdr:cNvGrpSpPr/>
                </xdr:nvGrpSpPr>
                <xdr:grpSpPr>
                  <a:xfrm>
                    <a:off x="8814167" y="3818680"/>
                    <a:ext cx="1583474" cy="358291"/>
                    <a:chOff x="3880217" y="4675930"/>
                    <a:chExt cx="1583474" cy="358291"/>
                  </a:xfrm>
                </xdr:grpSpPr>
                <xdr:sp macro="" textlink="'W5'!$E$64">
                  <xdr:nvSpPr>
                    <xdr:cNvPr id="127" name="TextBox 20">
                      <a:extLst>
                        <a:ext uri="{FF2B5EF4-FFF2-40B4-BE49-F238E27FC236}">
                          <a16:creationId xmlns:a16="http://schemas.microsoft.com/office/drawing/2014/main" id="{2E263DE9-C061-B25A-CE30-ED064CCF2BED}"/>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21C616F-06CD-494C-862B-8810E4897AF1}" type="TxLink">
                        <a:rPr lang="en-US" sz="1300" b="1" i="0" u="none" strike="noStrike">
                          <a:solidFill>
                            <a:srgbClr val="0033CC"/>
                          </a:solidFill>
                          <a:latin typeface="Arial"/>
                          <a:cs typeface="Arial"/>
                        </a:rPr>
                        <a:pPr/>
                        <a:t>680 </a:t>
                      </a:fld>
                      <a:endParaRPr lang="en-US" sz="1700">
                        <a:solidFill>
                          <a:srgbClr val="0033CC"/>
                        </a:solidFill>
                        <a:latin typeface="+mn-lt"/>
                        <a:cs typeface="Arial" panose="020B0604020202020204" pitchFamily="34" charset="0"/>
                      </a:endParaRPr>
                    </a:p>
                  </xdr:txBody>
                </xdr:sp>
                <xdr:sp macro="" textlink="">
                  <xdr:nvSpPr>
                    <xdr:cNvPr id="128" name="TextBox 21">
                      <a:extLst>
                        <a:ext uri="{FF2B5EF4-FFF2-40B4-BE49-F238E27FC236}">
                          <a16:creationId xmlns:a16="http://schemas.microsoft.com/office/drawing/2014/main" id="{2BBB7D87-1455-990C-6583-81DD9F3AE526}"/>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23" name="Group 26">
                    <a:extLst>
                      <a:ext uri="{FF2B5EF4-FFF2-40B4-BE49-F238E27FC236}">
                        <a16:creationId xmlns:a16="http://schemas.microsoft.com/office/drawing/2014/main" id="{FD5965A1-BD64-2D95-10F6-6214784F3CD0}"/>
                      </a:ext>
                    </a:extLst>
                  </xdr:cNvPr>
                  <xdr:cNvGrpSpPr/>
                </xdr:nvGrpSpPr>
                <xdr:grpSpPr>
                  <a:xfrm>
                    <a:off x="7697825" y="5550324"/>
                    <a:ext cx="1075761" cy="746276"/>
                    <a:chOff x="5516600" y="5769399"/>
                    <a:chExt cx="1075761" cy="746276"/>
                  </a:xfrm>
                </xdr:grpSpPr>
                <xdr:sp macro="" textlink="'W5'!$E$61">
                  <xdr:nvSpPr>
                    <xdr:cNvPr id="124" name="TextBox 28">
                      <a:extLst>
                        <a:ext uri="{FF2B5EF4-FFF2-40B4-BE49-F238E27FC236}">
                          <a16:creationId xmlns:a16="http://schemas.microsoft.com/office/drawing/2014/main" id="{DC097CC9-5194-BF94-64B2-AE1344ABCA74}"/>
                        </a:ext>
                      </a:extLst>
                    </xdr:cNvPr>
                    <xdr:cNvSpPr txBox="1"/>
                  </xdr:nvSpPr>
                  <xdr:spPr>
                    <a:xfrm>
                      <a:off x="5686426" y="5962650"/>
                      <a:ext cx="571544" cy="3084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0451647-2B26-4929-9FC4-82F641A03C3A}" type="TxLink">
                        <a:rPr lang="en-US" sz="1300" b="1" i="0" u="none" strike="noStrike">
                          <a:solidFill>
                            <a:srgbClr val="0033CC"/>
                          </a:solidFill>
                          <a:latin typeface="Arial"/>
                          <a:cs typeface="Arial"/>
                        </a:rPr>
                        <a:pPr/>
                        <a:t>608 </a:t>
                      </a:fld>
                      <a:endParaRPr lang="en-US" sz="1500">
                        <a:latin typeface="+mn-lt"/>
                      </a:endParaRPr>
                    </a:p>
                  </xdr:txBody>
                </xdr:sp>
                <xdr:sp macro="" textlink="">
                  <xdr:nvSpPr>
                    <xdr:cNvPr id="125" name="TextBox 29">
                      <a:extLst>
                        <a:ext uri="{FF2B5EF4-FFF2-40B4-BE49-F238E27FC236}">
                          <a16:creationId xmlns:a16="http://schemas.microsoft.com/office/drawing/2014/main" id="{A7D32051-A8DC-664B-E962-9BA8CA2A92A5}"/>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26" name="TextBox 30">
                      <a:extLst>
                        <a:ext uri="{FF2B5EF4-FFF2-40B4-BE49-F238E27FC236}">
                          <a16:creationId xmlns:a16="http://schemas.microsoft.com/office/drawing/2014/main" id="{C3FC9EDD-9D25-1E5A-F496-0D0DCBB03595}"/>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20" name="TextBox 69">
                  <a:extLst>
                    <a:ext uri="{FF2B5EF4-FFF2-40B4-BE49-F238E27FC236}">
                      <a16:creationId xmlns:a16="http://schemas.microsoft.com/office/drawing/2014/main" id="{8037F953-7FD2-1F30-AE16-234484875F1B}"/>
                    </a:ext>
                  </a:extLst>
                </xdr:cNvPr>
                <xdr:cNvSpPr txBox="1"/>
              </xdr:nvSpPr>
              <xdr:spPr>
                <a:xfrm>
                  <a:off x="16261704" y="7403937"/>
                  <a:ext cx="2388628" cy="329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KHÔNG</a:t>
                  </a:r>
                  <a:r>
                    <a:rPr lang="en-US" sz="1500" b="1" u="sng" baseline="0">
                      <a:solidFill>
                        <a:srgbClr val="FF0000"/>
                      </a:solidFill>
                    </a:rPr>
                    <a:t> TÍNH ĐẦU TƯ XƯỞNG</a:t>
                  </a:r>
                  <a:endParaRPr lang="en-US" sz="1500" b="1" u="sng">
                    <a:solidFill>
                      <a:srgbClr val="FF0000"/>
                    </a:solidFill>
                  </a:endParaRPr>
                </a:p>
              </xdr:txBody>
            </xdr:sp>
          </xdr:grpSp>
          <xdr:grpSp>
            <xdr:nvGrpSpPr>
              <xdr:cNvPr id="129" name="Group 128">
                <a:extLst>
                  <a:ext uri="{FF2B5EF4-FFF2-40B4-BE49-F238E27FC236}">
                    <a16:creationId xmlns:a16="http://schemas.microsoft.com/office/drawing/2014/main" id="{AD359E89-5EF0-49F9-AAD6-6F8E19A58E79}"/>
                  </a:ext>
                </a:extLst>
              </xdr:cNvPr>
              <xdr:cNvGrpSpPr/>
            </xdr:nvGrpSpPr>
            <xdr:grpSpPr>
              <a:xfrm>
                <a:off x="8015230" y="5783520"/>
                <a:ext cx="2555895" cy="4077036"/>
                <a:chOff x="9284677" y="11615942"/>
                <a:chExt cx="2324812" cy="4102026"/>
              </a:xfrm>
            </xdr:grpSpPr>
            <xdr:grpSp>
              <xdr:nvGrpSpPr>
                <xdr:cNvPr id="130" name="Group 129">
                  <a:extLst>
                    <a:ext uri="{FF2B5EF4-FFF2-40B4-BE49-F238E27FC236}">
                      <a16:creationId xmlns:a16="http://schemas.microsoft.com/office/drawing/2014/main" id="{2EC3B3CC-AA93-EB25-B40D-56674E647A68}"/>
                    </a:ext>
                  </a:extLst>
                </xdr:cNvPr>
                <xdr:cNvGrpSpPr/>
              </xdr:nvGrpSpPr>
              <xdr:grpSpPr>
                <a:xfrm>
                  <a:off x="9284677" y="11959783"/>
                  <a:ext cx="2252365" cy="3758185"/>
                  <a:chOff x="7743823" y="7915275"/>
                  <a:chExt cx="2663385" cy="4317935"/>
                </a:xfrm>
              </xdr:grpSpPr>
              <xdr:graphicFrame macro="">
                <xdr:nvGraphicFramePr>
                  <xdr:cNvPr id="132" name="Chart 131">
                    <a:extLst>
                      <a:ext uri="{FF2B5EF4-FFF2-40B4-BE49-F238E27FC236}">
                        <a16:creationId xmlns:a16="http://schemas.microsoft.com/office/drawing/2014/main" id="{1F71EB23-DF51-EF63-078F-707038469FE4}"/>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133" name="Group 132">
                    <a:extLst>
                      <a:ext uri="{FF2B5EF4-FFF2-40B4-BE49-F238E27FC236}">
                        <a16:creationId xmlns:a16="http://schemas.microsoft.com/office/drawing/2014/main" id="{1AE87DD8-3572-D7AE-8320-14D98BA89629}"/>
                      </a:ext>
                    </a:extLst>
                  </xdr:cNvPr>
                  <xdr:cNvGrpSpPr/>
                </xdr:nvGrpSpPr>
                <xdr:grpSpPr>
                  <a:xfrm>
                    <a:off x="8748842" y="8010525"/>
                    <a:ext cx="1601103" cy="385633"/>
                    <a:chOff x="3662491" y="4678681"/>
                    <a:chExt cx="1601103" cy="385633"/>
                  </a:xfrm>
                </xdr:grpSpPr>
                <xdr:sp macro="" textlink="'W5'!$E$86">
                  <xdr:nvSpPr>
                    <xdr:cNvPr id="138" name="TextBox 137">
                      <a:extLst>
                        <a:ext uri="{FF2B5EF4-FFF2-40B4-BE49-F238E27FC236}">
                          <a16:creationId xmlns:a16="http://schemas.microsoft.com/office/drawing/2014/main" id="{E41361C9-11BB-FDD6-C1B9-65D51C24D438}"/>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1AB9180B-1B72-4064-BD74-2FE42DF24708}" type="TxLink">
                        <a:rPr lang="en-US" sz="1300" b="1" i="0" u="none" strike="noStrike">
                          <a:solidFill>
                            <a:srgbClr val="0033CC"/>
                          </a:solidFill>
                          <a:latin typeface="Arial"/>
                          <a:cs typeface="Arial"/>
                        </a:rPr>
                        <a:pPr/>
                        <a:t>1,744 </a:t>
                      </a:fld>
                      <a:endParaRPr lang="en-US" sz="1700">
                        <a:solidFill>
                          <a:srgbClr val="0033CC"/>
                        </a:solidFill>
                        <a:latin typeface="+mn-lt"/>
                        <a:cs typeface="Arial" panose="020B0604020202020204" pitchFamily="34" charset="0"/>
                      </a:endParaRPr>
                    </a:p>
                  </xdr:txBody>
                </xdr:sp>
                <xdr:sp macro="" textlink="">
                  <xdr:nvSpPr>
                    <xdr:cNvPr id="139" name="TextBox 138">
                      <a:extLst>
                        <a:ext uri="{FF2B5EF4-FFF2-40B4-BE49-F238E27FC236}">
                          <a16:creationId xmlns:a16="http://schemas.microsoft.com/office/drawing/2014/main" id="{0C146CF7-B894-F44C-B430-522966DBFAC8}"/>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34" name="Group 133">
                    <a:extLst>
                      <a:ext uri="{FF2B5EF4-FFF2-40B4-BE49-F238E27FC236}">
                        <a16:creationId xmlns:a16="http://schemas.microsoft.com/office/drawing/2014/main" id="{1FF3C73B-DD25-EA75-A326-309B7CE2C2A8}"/>
                      </a:ext>
                    </a:extLst>
                  </xdr:cNvPr>
                  <xdr:cNvGrpSpPr/>
                </xdr:nvGrpSpPr>
                <xdr:grpSpPr>
                  <a:xfrm>
                    <a:off x="7743823" y="9982200"/>
                    <a:ext cx="1018881" cy="734000"/>
                    <a:chOff x="5572123" y="5781675"/>
                    <a:chExt cx="1018881" cy="734000"/>
                  </a:xfrm>
                </xdr:grpSpPr>
                <xdr:sp macro="" textlink="'W5'!$E$83">
                  <xdr:nvSpPr>
                    <xdr:cNvPr id="135" name="TextBox 134">
                      <a:extLst>
                        <a:ext uri="{FF2B5EF4-FFF2-40B4-BE49-F238E27FC236}">
                          <a16:creationId xmlns:a16="http://schemas.microsoft.com/office/drawing/2014/main" id="{8FE44621-CEB3-04C3-0AB0-0D32C3C4CB69}"/>
                        </a:ext>
                      </a:extLst>
                    </xdr:cNvPr>
                    <xdr:cNvSpPr txBox="1"/>
                  </xdr:nvSpPr>
                  <xdr:spPr>
                    <a:xfrm>
                      <a:off x="5581649" y="5962651"/>
                      <a:ext cx="716936" cy="341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B18C056-4732-4FDB-94E2-5D1972DBCA33}" type="TxLink">
                        <a:rPr lang="en-US" sz="1300" b="1" i="0" u="none" strike="noStrike">
                          <a:solidFill>
                            <a:srgbClr val="0033CC"/>
                          </a:solidFill>
                          <a:latin typeface="Arial"/>
                          <a:cs typeface="Arial"/>
                        </a:rPr>
                        <a:pPr/>
                        <a:t>1,560 </a:t>
                      </a:fld>
                      <a:endParaRPr lang="en-US" sz="1500">
                        <a:latin typeface="Aptos Narrow (Body)"/>
                      </a:endParaRPr>
                    </a:p>
                  </xdr:txBody>
                </xdr:sp>
                <xdr:sp macro="" textlink="">
                  <xdr:nvSpPr>
                    <xdr:cNvPr id="136" name="TextBox 135">
                      <a:extLst>
                        <a:ext uri="{FF2B5EF4-FFF2-40B4-BE49-F238E27FC236}">
                          <a16:creationId xmlns:a16="http://schemas.microsoft.com/office/drawing/2014/main" id="{FADDEEFC-8232-306A-6D8E-61D69C526D1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37" name="TextBox 136">
                      <a:extLst>
                        <a:ext uri="{FF2B5EF4-FFF2-40B4-BE49-F238E27FC236}">
                          <a16:creationId xmlns:a16="http://schemas.microsoft.com/office/drawing/2014/main" id="{F40B42DC-4ABA-3E37-2CFE-30234748027E}"/>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31" name="TextBox 130">
                  <a:extLst>
                    <a:ext uri="{FF2B5EF4-FFF2-40B4-BE49-F238E27FC236}">
                      <a16:creationId xmlns:a16="http://schemas.microsoft.com/office/drawing/2014/main" id="{A4032297-35D7-3715-81D7-D97C3C9D05CD}"/>
                    </a:ext>
                  </a:extLst>
                </xdr:cNvPr>
                <xdr:cNvSpPr txBox="1"/>
              </xdr:nvSpPr>
              <xdr:spPr>
                <a:xfrm>
                  <a:off x="9317731" y="11615942"/>
                  <a:ext cx="2291758"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KHÔNG</a:t>
                  </a:r>
                  <a:r>
                    <a:rPr lang="en-US" sz="1500" b="1" u="sng" baseline="0">
                      <a:solidFill>
                        <a:srgbClr val="FF0000"/>
                      </a:solidFill>
                    </a:rPr>
                    <a:t> TÍNH ĐẦU TƯ XƯỞNG</a:t>
                  </a:r>
                  <a:endParaRPr lang="en-US" sz="1500" b="1" u="sng">
                    <a:solidFill>
                      <a:srgbClr val="FF0000"/>
                    </a:solidFill>
                  </a:endParaRPr>
                </a:p>
              </xdr:txBody>
            </xdr:sp>
          </xdr:grpSp>
          <xdr:grpSp>
            <xdr:nvGrpSpPr>
              <xdr:cNvPr id="3" name="Group 2">
                <a:extLst>
                  <a:ext uri="{FF2B5EF4-FFF2-40B4-BE49-F238E27FC236}">
                    <a16:creationId xmlns:a16="http://schemas.microsoft.com/office/drawing/2014/main" id="{DCF5581D-508F-4CA8-8429-CD7688B83607}"/>
                  </a:ext>
                </a:extLst>
              </xdr:cNvPr>
              <xdr:cNvGrpSpPr/>
            </xdr:nvGrpSpPr>
            <xdr:grpSpPr>
              <a:xfrm>
                <a:off x="10624705" y="9944002"/>
                <a:ext cx="2495872" cy="4091622"/>
                <a:chOff x="16172571" y="7403937"/>
                <a:chExt cx="2327981" cy="4135400"/>
              </a:xfrm>
            </xdr:grpSpPr>
            <xdr:grpSp>
              <xdr:nvGrpSpPr>
                <xdr:cNvPr id="4" name="Group 24">
                  <a:extLst>
                    <a:ext uri="{FF2B5EF4-FFF2-40B4-BE49-F238E27FC236}">
                      <a16:creationId xmlns:a16="http://schemas.microsoft.com/office/drawing/2014/main" id="{62B41B6D-314E-73E2-4902-A7D078F69D19}"/>
                    </a:ext>
                  </a:extLst>
                </xdr:cNvPr>
                <xdr:cNvGrpSpPr/>
              </xdr:nvGrpSpPr>
              <xdr:grpSpPr>
                <a:xfrm>
                  <a:off x="16172571" y="7734260"/>
                  <a:ext cx="2327981" cy="3805077"/>
                  <a:chOff x="7697825" y="3800475"/>
                  <a:chExt cx="2755768" cy="3935649"/>
                </a:xfrm>
              </xdr:grpSpPr>
              <xdr:graphicFrame macro="">
                <xdr:nvGraphicFramePr>
                  <xdr:cNvPr id="6" name="Chart 3">
                    <a:extLst>
                      <a:ext uri="{FF2B5EF4-FFF2-40B4-BE49-F238E27FC236}">
                        <a16:creationId xmlns:a16="http://schemas.microsoft.com/office/drawing/2014/main" id="{3B33E0E5-4BB5-A9CC-E47B-B316B1C582B3}"/>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7" name="Group 19">
                    <a:extLst>
                      <a:ext uri="{FF2B5EF4-FFF2-40B4-BE49-F238E27FC236}">
                        <a16:creationId xmlns:a16="http://schemas.microsoft.com/office/drawing/2014/main" id="{6675B3D8-0103-6BD8-97C8-847C556B6032}"/>
                      </a:ext>
                    </a:extLst>
                  </xdr:cNvPr>
                  <xdr:cNvGrpSpPr/>
                </xdr:nvGrpSpPr>
                <xdr:grpSpPr>
                  <a:xfrm>
                    <a:off x="8814167" y="3818680"/>
                    <a:ext cx="1583474" cy="358291"/>
                    <a:chOff x="3880217" y="4675930"/>
                    <a:chExt cx="1583474" cy="358291"/>
                  </a:xfrm>
                </xdr:grpSpPr>
                <xdr:sp macro="" textlink="'W5'!$K$64">
                  <xdr:nvSpPr>
                    <xdr:cNvPr id="12" name="TextBox 20">
                      <a:extLst>
                        <a:ext uri="{FF2B5EF4-FFF2-40B4-BE49-F238E27FC236}">
                          <a16:creationId xmlns:a16="http://schemas.microsoft.com/office/drawing/2014/main" id="{E6115DA0-1AED-E464-AF2F-ACE7CE1DD033}"/>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FFE2BD57-C1C7-41E6-9ED9-C3E7F00A76C9}" type="TxLink">
                        <a:rPr lang="en-US" sz="1300" b="1" i="0" u="none" strike="noStrike">
                          <a:solidFill>
                            <a:srgbClr val="0033CC"/>
                          </a:solidFill>
                          <a:latin typeface="Arial"/>
                          <a:cs typeface="Arial"/>
                        </a:rPr>
                        <a:pPr/>
                        <a:t>650 </a:t>
                      </a:fld>
                      <a:endParaRPr lang="en-US" sz="1700">
                        <a:solidFill>
                          <a:srgbClr val="0033CC"/>
                        </a:solidFill>
                        <a:latin typeface="+mj-lt"/>
                        <a:cs typeface="Arial" panose="020B0604020202020204" pitchFamily="34" charset="0"/>
                      </a:endParaRPr>
                    </a:p>
                  </xdr:txBody>
                </xdr:sp>
                <xdr:sp macro="" textlink="">
                  <xdr:nvSpPr>
                    <xdr:cNvPr id="13" name="TextBox 21">
                      <a:extLst>
                        <a:ext uri="{FF2B5EF4-FFF2-40B4-BE49-F238E27FC236}">
                          <a16:creationId xmlns:a16="http://schemas.microsoft.com/office/drawing/2014/main" id="{3F8BD852-BE8B-1CE7-CC6C-CB9A6A799434}"/>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8" name="Group 26">
                    <a:extLst>
                      <a:ext uri="{FF2B5EF4-FFF2-40B4-BE49-F238E27FC236}">
                        <a16:creationId xmlns:a16="http://schemas.microsoft.com/office/drawing/2014/main" id="{F9D3BFE0-A527-49FE-BC93-36B1FDC3B51B}"/>
                      </a:ext>
                    </a:extLst>
                  </xdr:cNvPr>
                  <xdr:cNvGrpSpPr/>
                </xdr:nvGrpSpPr>
                <xdr:grpSpPr>
                  <a:xfrm>
                    <a:off x="7697825" y="5550324"/>
                    <a:ext cx="1075761" cy="746276"/>
                    <a:chOff x="5516600" y="5769399"/>
                    <a:chExt cx="1075761" cy="746276"/>
                  </a:xfrm>
                </xdr:grpSpPr>
                <xdr:sp macro="" textlink="'W5'!$K$61">
                  <xdr:nvSpPr>
                    <xdr:cNvPr id="9" name="TextBox 28">
                      <a:extLst>
                        <a:ext uri="{FF2B5EF4-FFF2-40B4-BE49-F238E27FC236}">
                          <a16:creationId xmlns:a16="http://schemas.microsoft.com/office/drawing/2014/main" id="{8E1390FD-A154-22DA-4B76-D53CD691AC4B}"/>
                        </a:ext>
                      </a:extLst>
                    </xdr:cNvPr>
                    <xdr:cNvSpPr txBox="1"/>
                  </xdr:nvSpPr>
                  <xdr:spPr>
                    <a:xfrm>
                      <a:off x="5686426" y="5962650"/>
                      <a:ext cx="563693" cy="30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89DA817-2F50-4DF8-A402-F2A86D39919C}" type="TxLink">
                        <a:rPr lang="en-US" sz="1300" b="1" i="0" u="none" strike="noStrike">
                          <a:solidFill>
                            <a:srgbClr val="0033CC"/>
                          </a:solidFill>
                          <a:latin typeface="Arial"/>
                          <a:cs typeface="Arial"/>
                        </a:rPr>
                        <a:pPr/>
                        <a:t>641 </a:t>
                      </a:fld>
                      <a:endParaRPr lang="en-US" sz="1700">
                        <a:latin typeface="+mj-lt"/>
                      </a:endParaRPr>
                    </a:p>
                  </xdr:txBody>
                </xdr:sp>
                <xdr:sp macro="" textlink="">
                  <xdr:nvSpPr>
                    <xdr:cNvPr id="10" name="TextBox 29">
                      <a:extLst>
                        <a:ext uri="{FF2B5EF4-FFF2-40B4-BE49-F238E27FC236}">
                          <a16:creationId xmlns:a16="http://schemas.microsoft.com/office/drawing/2014/main" id="{5DD2FE58-A78C-7052-5702-F41223911860}"/>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1" name="TextBox 30">
                      <a:extLst>
                        <a:ext uri="{FF2B5EF4-FFF2-40B4-BE49-F238E27FC236}">
                          <a16:creationId xmlns:a16="http://schemas.microsoft.com/office/drawing/2014/main" id="{30086218-0C55-41B5-423F-2EA25596204D}"/>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5" name="TextBox 69">
                  <a:extLst>
                    <a:ext uri="{FF2B5EF4-FFF2-40B4-BE49-F238E27FC236}">
                      <a16:creationId xmlns:a16="http://schemas.microsoft.com/office/drawing/2014/main" id="{47A9C81C-F8E6-3E94-545D-1E50033EEB85}"/>
                    </a:ext>
                  </a:extLst>
                </xdr:cNvPr>
                <xdr:cNvSpPr txBox="1"/>
              </xdr:nvSpPr>
              <xdr:spPr>
                <a:xfrm>
                  <a:off x="16261704" y="7403937"/>
                  <a:ext cx="1754880"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TÍNH</a:t>
                  </a:r>
                  <a:r>
                    <a:rPr lang="en-US" sz="1500" b="1" u="sng" baseline="0">
                      <a:solidFill>
                        <a:srgbClr val="FF0000"/>
                      </a:solidFill>
                    </a:rPr>
                    <a:t> ĐẦU TƯ XƯỞNG</a:t>
                  </a:r>
                  <a:endParaRPr lang="en-US" sz="1500" b="1" u="sng">
                    <a:solidFill>
                      <a:srgbClr val="FF0000"/>
                    </a:solidFill>
                  </a:endParaRPr>
                </a:p>
              </xdr:txBody>
            </xdr:sp>
          </xdr:grpSp>
          <xdr:grpSp>
            <xdr:nvGrpSpPr>
              <xdr:cNvPr id="14" name="Group 298">
                <a:extLst>
                  <a:ext uri="{FF2B5EF4-FFF2-40B4-BE49-F238E27FC236}">
                    <a16:creationId xmlns:a16="http://schemas.microsoft.com/office/drawing/2014/main" id="{05F65D65-9AFF-4F8A-995B-26274D3CE4EC}"/>
                  </a:ext>
                </a:extLst>
              </xdr:cNvPr>
              <xdr:cNvGrpSpPr/>
            </xdr:nvGrpSpPr>
            <xdr:grpSpPr>
              <a:xfrm>
                <a:off x="10597249" y="5782083"/>
                <a:ext cx="2849702" cy="4065828"/>
                <a:chOff x="9284677" y="11615942"/>
                <a:chExt cx="2297541" cy="4102024"/>
              </a:xfrm>
            </xdr:grpSpPr>
            <xdr:grpSp>
              <xdr:nvGrpSpPr>
                <xdr:cNvPr id="15" name="Group 299">
                  <a:extLst>
                    <a:ext uri="{FF2B5EF4-FFF2-40B4-BE49-F238E27FC236}">
                      <a16:creationId xmlns:a16="http://schemas.microsoft.com/office/drawing/2014/main" id="{423A5C9D-383C-D601-8923-5B9B8DABC7A0}"/>
                    </a:ext>
                  </a:extLst>
                </xdr:cNvPr>
                <xdr:cNvGrpSpPr/>
              </xdr:nvGrpSpPr>
              <xdr:grpSpPr>
                <a:xfrm>
                  <a:off x="9284677" y="11959782"/>
                  <a:ext cx="2297541" cy="3758184"/>
                  <a:chOff x="7743823" y="7915275"/>
                  <a:chExt cx="2716805" cy="4317935"/>
                </a:xfrm>
              </xdr:grpSpPr>
              <xdr:graphicFrame macro="">
                <xdr:nvGraphicFramePr>
                  <xdr:cNvPr id="17" name="Chart 301">
                    <a:extLst>
                      <a:ext uri="{FF2B5EF4-FFF2-40B4-BE49-F238E27FC236}">
                        <a16:creationId xmlns:a16="http://schemas.microsoft.com/office/drawing/2014/main" id="{45FD8D44-9BC4-F663-71BA-99C346C248F8}"/>
                      </a:ext>
                    </a:extLst>
                  </xdr:cNvPr>
                  <xdr:cNvGraphicFramePr/>
                </xdr:nvGraphicFramePr>
                <xdr:xfrm>
                  <a:off x="7811531" y="7915275"/>
                  <a:ext cx="2649097" cy="4317935"/>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18" name="Group 302">
                    <a:extLst>
                      <a:ext uri="{FF2B5EF4-FFF2-40B4-BE49-F238E27FC236}">
                        <a16:creationId xmlns:a16="http://schemas.microsoft.com/office/drawing/2014/main" id="{0CDF001F-6BD4-1FAF-1745-B470E9AA596A}"/>
                      </a:ext>
                    </a:extLst>
                  </xdr:cNvPr>
                  <xdr:cNvGrpSpPr/>
                </xdr:nvGrpSpPr>
                <xdr:grpSpPr>
                  <a:xfrm>
                    <a:off x="8738158" y="7971556"/>
                    <a:ext cx="1611787" cy="424602"/>
                    <a:chOff x="3651807" y="4639712"/>
                    <a:chExt cx="1611787" cy="424602"/>
                  </a:xfrm>
                </xdr:grpSpPr>
                <xdr:sp macro="" textlink="'W5'!$K$86">
                  <xdr:nvSpPr>
                    <xdr:cNvPr id="23" name="TextBox 307">
                      <a:extLst>
                        <a:ext uri="{FF2B5EF4-FFF2-40B4-BE49-F238E27FC236}">
                          <a16:creationId xmlns:a16="http://schemas.microsoft.com/office/drawing/2014/main" id="{578667D1-C8B5-872B-465E-99C05EBB50B0}"/>
                        </a:ext>
                      </a:extLst>
                    </xdr:cNvPr>
                    <xdr:cNvSpPr txBox="1"/>
                  </xdr:nvSpPr>
                  <xdr:spPr>
                    <a:xfrm>
                      <a:off x="3651807" y="4639712"/>
                      <a:ext cx="831742" cy="35339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FC990869-6869-4B78-BF8B-5B7ECA425BB9}" type="TxLink">
                        <a:rPr lang="en-US" sz="1300" b="1" i="0" u="none" strike="noStrike">
                          <a:solidFill>
                            <a:srgbClr val="0033CC"/>
                          </a:solidFill>
                          <a:latin typeface="Arial"/>
                          <a:cs typeface="Arial"/>
                        </a:rPr>
                        <a:pPr/>
                        <a:t>1,667 </a:t>
                      </a:fld>
                      <a:endParaRPr lang="en-US" sz="1700">
                        <a:solidFill>
                          <a:srgbClr val="0033CC"/>
                        </a:solidFill>
                        <a:latin typeface="+mj-lt"/>
                        <a:cs typeface="Arial" panose="020B0604020202020204" pitchFamily="34" charset="0"/>
                      </a:endParaRPr>
                    </a:p>
                  </xdr:txBody>
                </xdr:sp>
                <xdr:sp macro="" textlink="">
                  <xdr:nvSpPr>
                    <xdr:cNvPr id="24" name="TextBox 308">
                      <a:extLst>
                        <a:ext uri="{FF2B5EF4-FFF2-40B4-BE49-F238E27FC236}">
                          <a16:creationId xmlns:a16="http://schemas.microsoft.com/office/drawing/2014/main" id="{CAA6A3CA-B2E8-3380-AF02-0F4C66AAB084}"/>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9" name="Group 303">
                    <a:extLst>
                      <a:ext uri="{FF2B5EF4-FFF2-40B4-BE49-F238E27FC236}">
                        <a16:creationId xmlns:a16="http://schemas.microsoft.com/office/drawing/2014/main" id="{7BFFFB3B-CEF0-8CCE-B981-49F0696A1E60}"/>
                      </a:ext>
                    </a:extLst>
                  </xdr:cNvPr>
                  <xdr:cNvGrpSpPr/>
                </xdr:nvGrpSpPr>
                <xdr:grpSpPr>
                  <a:xfrm>
                    <a:off x="7743823" y="9982200"/>
                    <a:ext cx="1018881" cy="734000"/>
                    <a:chOff x="5572123" y="5781675"/>
                    <a:chExt cx="1018881" cy="734000"/>
                  </a:xfrm>
                </xdr:grpSpPr>
                <xdr:sp macro="" textlink="'W5'!$K$83">
                  <xdr:nvSpPr>
                    <xdr:cNvPr id="20" name="TextBox 304">
                      <a:extLst>
                        <a:ext uri="{FF2B5EF4-FFF2-40B4-BE49-F238E27FC236}">
                          <a16:creationId xmlns:a16="http://schemas.microsoft.com/office/drawing/2014/main" id="{1EDE5308-7532-AD00-D242-D52882349EE2}"/>
                        </a:ext>
                      </a:extLst>
                    </xdr:cNvPr>
                    <xdr:cNvSpPr txBox="1"/>
                  </xdr:nvSpPr>
                  <xdr:spPr>
                    <a:xfrm>
                      <a:off x="5581649" y="5962651"/>
                      <a:ext cx="635307" cy="342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26A24B3-400A-4891-AD6B-42D4DE2E0AB9}" type="TxLink">
                        <a:rPr lang="en-US" sz="1300" b="1" i="0" u="none" strike="noStrike">
                          <a:solidFill>
                            <a:srgbClr val="0033CC"/>
                          </a:solidFill>
                          <a:latin typeface="Arial"/>
                          <a:cs typeface="Arial"/>
                        </a:rPr>
                        <a:pPr/>
                        <a:t>1,642 </a:t>
                      </a:fld>
                      <a:endParaRPr lang="en-US" sz="1700">
                        <a:latin typeface="+mj-lt"/>
                      </a:endParaRPr>
                    </a:p>
                  </xdr:txBody>
                </xdr:sp>
                <xdr:sp macro="" textlink="">
                  <xdr:nvSpPr>
                    <xdr:cNvPr id="21" name="TextBox 305">
                      <a:extLst>
                        <a:ext uri="{FF2B5EF4-FFF2-40B4-BE49-F238E27FC236}">
                          <a16:creationId xmlns:a16="http://schemas.microsoft.com/office/drawing/2014/main" id="{EC9FC116-BD8F-E5C3-4120-D5BB205967A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22" name="TextBox 306">
                      <a:extLst>
                        <a:ext uri="{FF2B5EF4-FFF2-40B4-BE49-F238E27FC236}">
                          <a16:creationId xmlns:a16="http://schemas.microsoft.com/office/drawing/2014/main" id="{F7503AAB-73FD-2BCD-B9BD-96C419731EC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6" name="TextBox 300">
                  <a:extLst>
                    <a:ext uri="{FF2B5EF4-FFF2-40B4-BE49-F238E27FC236}">
                      <a16:creationId xmlns:a16="http://schemas.microsoft.com/office/drawing/2014/main" id="{7C36A8EF-D2F4-7ECE-67EC-91D89191CB91}"/>
                    </a:ext>
                  </a:extLst>
                </xdr:cNvPr>
                <xdr:cNvSpPr txBox="1"/>
              </xdr:nvSpPr>
              <xdr:spPr>
                <a:xfrm>
                  <a:off x="9317731" y="11615942"/>
                  <a:ext cx="1512789" cy="330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TÍNH</a:t>
                  </a:r>
                  <a:r>
                    <a:rPr lang="en-US" sz="1500" b="1" u="sng" baseline="0">
                      <a:solidFill>
                        <a:srgbClr val="FF0000"/>
                      </a:solidFill>
                    </a:rPr>
                    <a:t> ĐẦU TƯ XƯỞNG</a:t>
                  </a:r>
                  <a:endParaRPr lang="en-US" sz="1500" b="1" u="sng">
                    <a:solidFill>
                      <a:srgbClr val="FF0000"/>
                    </a:solidFill>
                  </a:endParaRPr>
                </a:p>
              </xdr:txBody>
            </xdr:sp>
          </xdr:grpSp>
        </xdr:grpSp>
        <xdr:sp macro="" textlink="">
          <xdr:nvSpPr>
            <xdr:cNvPr id="117" name="TextBox 116">
              <a:extLst>
                <a:ext uri="{FF2B5EF4-FFF2-40B4-BE49-F238E27FC236}">
                  <a16:creationId xmlns:a16="http://schemas.microsoft.com/office/drawing/2014/main" id="{A3BFE68A-2B8D-7F41-25A1-8678B16F31AF}"/>
                </a:ext>
              </a:extLst>
            </xdr:cNvPr>
            <xdr:cNvSpPr txBox="1"/>
          </xdr:nvSpPr>
          <xdr:spPr>
            <a:xfrm>
              <a:off x="8179129" y="7872351"/>
              <a:ext cx="633731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rgbClr val="FF0000"/>
                  </a:solidFill>
                </a:rPr>
                <a:t>ĐƠN</a:t>
              </a:r>
              <a:r>
                <a:rPr lang="en-US" sz="1800" b="1" baseline="0">
                  <a:solidFill>
                    <a:srgbClr val="FF0000"/>
                  </a:solidFill>
                </a:rPr>
                <a:t> GIÁ DTR KẾ TOÁN ĐỀ XUẤT: 1,744 USD/TẤN ~ 680 VND/PHÔI</a:t>
              </a:r>
              <a:endParaRPr lang="en-US" sz="1800" b="1">
                <a:solidFill>
                  <a:srgbClr val="FF0000"/>
                </a:solidFill>
              </a:endParaRPr>
            </a:p>
          </xdr:txBody>
        </xdr:sp>
      </xdr:grpSp>
      <xdr:sp macro="" textlink="">
        <xdr:nvSpPr>
          <xdr:cNvPr id="140" name="Rectangle 139">
            <a:extLst>
              <a:ext uri="{FF2B5EF4-FFF2-40B4-BE49-F238E27FC236}">
                <a16:creationId xmlns:a16="http://schemas.microsoft.com/office/drawing/2014/main" id="{4D7CB5EC-BE43-17FA-519D-05C2E4AD6536}"/>
              </a:ext>
            </a:extLst>
          </xdr:cNvPr>
          <xdr:cNvSpPr/>
        </xdr:nvSpPr>
        <xdr:spPr>
          <a:xfrm>
            <a:off x="4748893" y="6667500"/>
            <a:ext cx="6721928" cy="8885464"/>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18</xdr:col>
      <xdr:colOff>1113556</xdr:colOff>
      <xdr:row>32</xdr:row>
      <xdr:rowOff>43670</xdr:rowOff>
    </xdr:from>
    <xdr:to>
      <xdr:col>31</xdr:col>
      <xdr:colOff>411556</xdr:colOff>
      <xdr:row>78</xdr:row>
      <xdr:rowOff>166134</xdr:rowOff>
    </xdr:to>
    <xdr:grpSp>
      <xdr:nvGrpSpPr>
        <xdr:cNvPr id="145" name="Group 144">
          <a:extLst>
            <a:ext uri="{FF2B5EF4-FFF2-40B4-BE49-F238E27FC236}">
              <a16:creationId xmlns:a16="http://schemas.microsoft.com/office/drawing/2014/main" id="{321B08D2-7824-7CA8-07CD-467142B63340}"/>
            </a:ext>
          </a:extLst>
        </xdr:cNvPr>
        <xdr:cNvGrpSpPr/>
      </xdr:nvGrpSpPr>
      <xdr:grpSpPr>
        <a:xfrm>
          <a:off x="10837339" y="6189366"/>
          <a:ext cx="6926282" cy="8885464"/>
          <a:chOff x="13993088" y="7810499"/>
          <a:chExt cx="6920710" cy="8885464"/>
        </a:xfrm>
      </xdr:grpSpPr>
      <xdr:grpSp>
        <xdr:nvGrpSpPr>
          <xdr:cNvPr id="26" name="Group 25">
            <a:extLst>
              <a:ext uri="{FF2B5EF4-FFF2-40B4-BE49-F238E27FC236}">
                <a16:creationId xmlns:a16="http://schemas.microsoft.com/office/drawing/2014/main" id="{D2128C5F-67D1-4711-8734-D27249021A99}"/>
              </a:ext>
            </a:extLst>
          </xdr:cNvPr>
          <xdr:cNvGrpSpPr/>
        </xdr:nvGrpSpPr>
        <xdr:grpSpPr>
          <a:xfrm>
            <a:off x="14268950" y="12465381"/>
            <a:ext cx="2622327" cy="4091623"/>
            <a:chOff x="16172571" y="7403937"/>
            <a:chExt cx="2453171" cy="4135400"/>
          </a:xfrm>
        </xdr:grpSpPr>
        <xdr:grpSp>
          <xdr:nvGrpSpPr>
            <xdr:cNvPr id="27" name="Group 24">
              <a:extLst>
                <a:ext uri="{FF2B5EF4-FFF2-40B4-BE49-F238E27FC236}">
                  <a16:creationId xmlns:a16="http://schemas.microsoft.com/office/drawing/2014/main" id="{AE1B5A58-833F-239B-ADDA-2C9CDDE9F607}"/>
                </a:ext>
              </a:extLst>
            </xdr:cNvPr>
            <xdr:cNvGrpSpPr/>
          </xdr:nvGrpSpPr>
          <xdr:grpSpPr>
            <a:xfrm>
              <a:off x="16172571" y="7734260"/>
              <a:ext cx="2327981" cy="3805077"/>
              <a:chOff x="7697825" y="3800475"/>
              <a:chExt cx="2755768" cy="3935649"/>
            </a:xfrm>
          </xdr:grpSpPr>
          <xdr:graphicFrame macro="">
            <xdr:nvGraphicFramePr>
              <xdr:cNvPr id="29" name="Chart 3">
                <a:extLst>
                  <a:ext uri="{FF2B5EF4-FFF2-40B4-BE49-F238E27FC236}">
                    <a16:creationId xmlns:a16="http://schemas.microsoft.com/office/drawing/2014/main" id="{DEF24ACC-A2CD-78DE-25CA-C626CC293C9D}"/>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30" name="Group 19">
                <a:extLst>
                  <a:ext uri="{FF2B5EF4-FFF2-40B4-BE49-F238E27FC236}">
                    <a16:creationId xmlns:a16="http://schemas.microsoft.com/office/drawing/2014/main" id="{89BF58F1-9E50-639F-A80E-5E261D7A1E5D}"/>
                  </a:ext>
                </a:extLst>
              </xdr:cNvPr>
              <xdr:cNvGrpSpPr/>
            </xdr:nvGrpSpPr>
            <xdr:grpSpPr>
              <a:xfrm>
                <a:off x="8814167" y="3818680"/>
                <a:ext cx="1583474" cy="358291"/>
                <a:chOff x="3880217" y="4675930"/>
                <a:chExt cx="1583474" cy="358291"/>
              </a:xfrm>
            </xdr:grpSpPr>
            <xdr:sp macro="" textlink="'W5'!$I$64">
              <xdr:nvSpPr>
                <xdr:cNvPr id="35" name="TextBox 20">
                  <a:extLst>
                    <a:ext uri="{FF2B5EF4-FFF2-40B4-BE49-F238E27FC236}">
                      <a16:creationId xmlns:a16="http://schemas.microsoft.com/office/drawing/2014/main" id="{A05F0654-937D-B1EF-0179-AB8A1F244634}"/>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0B91123-3037-4849-ADE4-9EB13A417AEF}" type="TxLink">
                    <a:rPr lang="en-US" sz="1700" b="1" i="0" u="none" strike="noStrike">
                      <a:solidFill>
                        <a:srgbClr val="0033CC"/>
                      </a:solidFill>
                      <a:latin typeface="+mj-lt"/>
                      <a:cs typeface="Arial"/>
                    </a:rPr>
                    <a:pPr/>
                    <a:t>650 </a:t>
                  </a:fld>
                  <a:endParaRPr lang="en-US" sz="1700">
                    <a:solidFill>
                      <a:srgbClr val="0033CC"/>
                    </a:solidFill>
                    <a:latin typeface="+mj-lt"/>
                    <a:cs typeface="Arial" panose="020B0604020202020204" pitchFamily="34" charset="0"/>
                  </a:endParaRPr>
                </a:p>
              </xdr:txBody>
            </xdr:sp>
            <xdr:sp macro="" textlink="">
              <xdr:nvSpPr>
                <xdr:cNvPr id="36" name="TextBox 21">
                  <a:extLst>
                    <a:ext uri="{FF2B5EF4-FFF2-40B4-BE49-F238E27FC236}">
                      <a16:creationId xmlns:a16="http://schemas.microsoft.com/office/drawing/2014/main" id="{B108A5AD-26DA-7571-E0C4-C8E42369C7BB}"/>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31" name="Group 26">
                <a:extLst>
                  <a:ext uri="{FF2B5EF4-FFF2-40B4-BE49-F238E27FC236}">
                    <a16:creationId xmlns:a16="http://schemas.microsoft.com/office/drawing/2014/main" id="{39697846-3AF7-B07F-DF7B-5A9B6DC9A300}"/>
                  </a:ext>
                </a:extLst>
              </xdr:cNvPr>
              <xdr:cNvGrpSpPr/>
            </xdr:nvGrpSpPr>
            <xdr:grpSpPr>
              <a:xfrm>
                <a:off x="7697825" y="5550324"/>
                <a:ext cx="1075761" cy="746276"/>
                <a:chOff x="5516600" y="5769399"/>
                <a:chExt cx="1075761" cy="746276"/>
              </a:xfrm>
            </xdr:grpSpPr>
            <xdr:sp macro="" textlink="'W5'!$I$61">
              <xdr:nvSpPr>
                <xdr:cNvPr id="32" name="TextBox 28">
                  <a:extLst>
                    <a:ext uri="{FF2B5EF4-FFF2-40B4-BE49-F238E27FC236}">
                      <a16:creationId xmlns:a16="http://schemas.microsoft.com/office/drawing/2014/main" id="{005F8C46-659F-2545-8DF1-B846427AE18A}"/>
                    </a:ext>
                  </a:extLst>
                </xdr:cNvPr>
                <xdr:cNvSpPr txBox="1"/>
              </xdr:nvSpPr>
              <xdr:spPr>
                <a:xfrm>
                  <a:off x="5686426" y="5962650"/>
                  <a:ext cx="590600"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09906CF-709A-4218-9ECE-4800550B50F2}" type="TxLink">
                    <a:rPr lang="en-US" sz="1500" b="1" i="0" u="none" strike="noStrike">
                      <a:solidFill>
                        <a:srgbClr val="0033CC"/>
                      </a:solidFill>
                      <a:latin typeface="+mj-lt"/>
                      <a:cs typeface="Arial"/>
                    </a:rPr>
                    <a:pPr/>
                    <a:t>608 </a:t>
                  </a:fld>
                  <a:endParaRPr lang="en-US" sz="1500">
                    <a:latin typeface="+mj-lt"/>
                  </a:endParaRPr>
                </a:p>
              </xdr:txBody>
            </xdr:sp>
            <xdr:sp macro="" textlink="">
              <xdr:nvSpPr>
                <xdr:cNvPr id="33" name="TextBox 29">
                  <a:extLst>
                    <a:ext uri="{FF2B5EF4-FFF2-40B4-BE49-F238E27FC236}">
                      <a16:creationId xmlns:a16="http://schemas.microsoft.com/office/drawing/2014/main" id="{12DC3DFB-5F14-7D2C-115D-CEF3C4B9754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34" name="TextBox 30">
                  <a:extLst>
                    <a:ext uri="{FF2B5EF4-FFF2-40B4-BE49-F238E27FC236}">
                      <a16:creationId xmlns:a16="http://schemas.microsoft.com/office/drawing/2014/main" id="{222F85EE-8F4A-4B44-A27E-0DD88CA40F9B}"/>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8" name="TextBox 69">
              <a:extLst>
                <a:ext uri="{FF2B5EF4-FFF2-40B4-BE49-F238E27FC236}">
                  <a16:creationId xmlns:a16="http://schemas.microsoft.com/office/drawing/2014/main" id="{889A6266-E686-4D93-4563-CF3278FAEA39}"/>
                </a:ext>
              </a:extLst>
            </xdr:cNvPr>
            <xdr:cNvSpPr txBox="1"/>
          </xdr:nvSpPr>
          <xdr:spPr>
            <a:xfrm>
              <a:off x="16261704" y="7403937"/>
              <a:ext cx="2364038"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KHÔNG</a:t>
              </a:r>
              <a:r>
                <a:rPr lang="en-US" sz="1500" b="1" u="sng" baseline="0"/>
                <a:t> TÍNH ĐẦU TƯ XƯỞNG</a:t>
              </a:r>
              <a:endParaRPr lang="en-US" sz="1500" b="1" u="sng"/>
            </a:p>
          </xdr:txBody>
        </xdr:sp>
      </xdr:grpSp>
      <xdr:grpSp>
        <xdr:nvGrpSpPr>
          <xdr:cNvPr id="37" name="Group 298">
            <a:extLst>
              <a:ext uri="{FF2B5EF4-FFF2-40B4-BE49-F238E27FC236}">
                <a16:creationId xmlns:a16="http://schemas.microsoft.com/office/drawing/2014/main" id="{6D82B61A-BC44-4682-85EF-B0461B5C648D}"/>
              </a:ext>
            </a:extLst>
          </xdr:cNvPr>
          <xdr:cNvGrpSpPr/>
        </xdr:nvGrpSpPr>
        <xdr:grpSpPr>
          <a:xfrm>
            <a:off x="14339201" y="8266815"/>
            <a:ext cx="2793469" cy="4065829"/>
            <a:chOff x="9284677" y="11615941"/>
            <a:chExt cx="2252365" cy="4102025"/>
          </a:xfrm>
        </xdr:grpSpPr>
        <xdr:grpSp>
          <xdr:nvGrpSpPr>
            <xdr:cNvPr id="38" name="Group 299">
              <a:extLst>
                <a:ext uri="{FF2B5EF4-FFF2-40B4-BE49-F238E27FC236}">
                  <a16:creationId xmlns:a16="http://schemas.microsoft.com/office/drawing/2014/main" id="{CCE4D02F-6428-DEFB-7C16-7FCC688BC406}"/>
                </a:ext>
              </a:extLst>
            </xdr:cNvPr>
            <xdr:cNvGrpSpPr/>
          </xdr:nvGrpSpPr>
          <xdr:grpSpPr>
            <a:xfrm>
              <a:off x="9284677" y="11959782"/>
              <a:ext cx="2252365" cy="3758184"/>
              <a:chOff x="7743823" y="7915275"/>
              <a:chExt cx="2663385" cy="4317935"/>
            </a:xfrm>
          </xdr:grpSpPr>
          <xdr:graphicFrame macro="">
            <xdr:nvGraphicFramePr>
              <xdr:cNvPr id="40" name="Chart 301">
                <a:extLst>
                  <a:ext uri="{FF2B5EF4-FFF2-40B4-BE49-F238E27FC236}">
                    <a16:creationId xmlns:a16="http://schemas.microsoft.com/office/drawing/2014/main" id="{4F912B8E-C5DF-6BE0-7293-0CCC3B19C798}"/>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41" name="Group 302">
                <a:extLst>
                  <a:ext uri="{FF2B5EF4-FFF2-40B4-BE49-F238E27FC236}">
                    <a16:creationId xmlns:a16="http://schemas.microsoft.com/office/drawing/2014/main" id="{0B7DEF10-015C-C2A1-B431-50C773D0E17A}"/>
                  </a:ext>
                </a:extLst>
              </xdr:cNvPr>
              <xdr:cNvGrpSpPr/>
            </xdr:nvGrpSpPr>
            <xdr:grpSpPr>
              <a:xfrm>
                <a:off x="8748842" y="8010525"/>
                <a:ext cx="1601103" cy="385633"/>
                <a:chOff x="3662491" y="4678681"/>
                <a:chExt cx="1601103" cy="385633"/>
              </a:xfrm>
            </xdr:grpSpPr>
            <xdr:sp macro="" textlink="'W5'!$I$86">
              <xdr:nvSpPr>
                <xdr:cNvPr id="46" name="TextBox 307">
                  <a:extLst>
                    <a:ext uri="{FF2B5EF4-FFF2-40B4-BE49-F238E27FC236}">
                      <a16:creationId xmlns:a16="http://schemas.microsoft.com/office/drawing/2014/main" id="{F3EF4E28-2D9C-47EA-9D76-B130162BF2B1}"/>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275FDB3D-CA21-4044-8A52-E2D49D41A9C0}" type="TxLink">
                    <a:rPr lang="en-US" sz="1700" b="1" i="0" u="none" strike="noStrike">
                      <a:solidFill>
                        <a:srgbClr val="0033CC"/>
                      </a:solidFill>
                      <a:latin typeface="+mj-lt"/>
                      <a:cs typeface="Arial"/>
                    </a:rPr>
                    <a:pPr/>
                    <a:t>1,667 </a:t>
                  </a:fld>
                  <a:endParaRPr lang="en-US" sz="1700">
                    <a:solidFill>
                      <a:srgbClr val="0033CC"/>
                    </a:solidFill>
                    <a:latin typeface="+mj-lt"/>
                    <a:cs typeface="Arial" panose="020B0604020202020204" pitchFamily="34" charset="0"/>
                  </a:endParaRPr>
                </a:p>
              </xdr:txBody>
            </xdr:sp>
            <xdr:sp macro="" textlink="">
              <xdr:nvSpPr>
                <xdr:cNvPr id="47" name="TextBox 308">
                  <a:extLst>
                    <a:ext uri="{FF2B5EF4-FFF2-40B4-BE49-F238E27FC236}">
                      <a16:creationId xmlns:a16="http://schemas.microsoft.com/office/drawing/2014/main" id="{014B315D-A8C4-0906-26F2-D61566E22CA1}"/>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2" name="Group 303">
                <a:extLst>
                  <a:ext uri="{FF2B5EF4-FFF2-40B4-BE49-F238E27FC236}">
                    <a16:creationId xmlns:a16="http://schemas.microsoft.com/office/drawing/2014/main" id="{5AF972B8-A8E1-2F30-F8E1-6D54D1E55A7E}"/>
                  </a:ext>
                </a:extLst>
              </xdr:cNvPr>
              <xdr:cNvGrpSpPr/>
            </xdr:nvGrpSpPr>
            <xdr:grpSpPr>
              <a:xfrm>
                <a:off x="7743823" y="9982200"/>
                <a:ext cx="1018881" cy="734000"/>
                <a:chOff x="5572123" y="5781675"/>
                <a:chExt cx="1018881" cy="734000"/>
              </a:xfrm>
            </xdr:grpSpPr>
            <xdr:sp macro="" textlink="'W5'!$I$83">
              <xdr:nvSpPr>
                <xdr:cNvPr id="43" name="TextBox 304">
                  <a:extLst>
                    <a:ext uri="{FF2B5EF4-FFF2-40B4-BE49-F238E27FC236}">
                      <a16:creationId xmlns:a16="http://schemas.microsoft.com/office/drawing/2014/main" id="{99FFDE0A-5143-640E-DD2E-C609A14A6BBB}"/>
                    </a:ext>
                  </a:extLst>
                </xdr:cNvPr>
                <xdr:cNvSpPr txBox="1"/>
              </xdr:nvSpPr>
              <xdr:spPr>
                <a:xfrm>
                  <a:off x="5581649" y="5962651"/>
                  <a:ext cx="655543"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834483-D43A-4A1D-B397-9D5192996961}" type="TxLink">
                    <a:rPr lang="en-US" sz="1500" b="1" i="0" u="none" strike="noStrike">
                      <a:solidFill>
                        <a:srgbClr val="0033CC"/>
                      </a:solidFill>
                      <a:latin typeface="+mj-lt"/>
                      <a:cs typeface="Arial"/>
                    </a:rPr>
                    <a:pPr/>
                    <a:t>1,560 </a:t>
                  </a:fld>
                  <a:endParaRPr lang="en-US" sz="1500">
                    <a:latin typeface="+mj-lt"/>
                  </a:endParaRPr>
                </a:p>
              </xdr:txBody>
            </xdr:sp>
            <xdr:sp macro="" textlink="">
              <xdr:nvSpPr>
                <xdr:cNvPr id="44" name="TextBox 305">
                  <a:extLst>
                    <a:ext uri="{FF2B5EF4-FFF2-40B4-BE49-F238E27FC236}">
                      <a16:creationId xmlns:a16="http://schemas.microsoft.com/office/drawing/2014/main" id="{32CFDBB9-22FD-3FA3-59ED-CB9BF26A1D7C}"/>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5" name="TextBox 306">
                  <a:extLst>
                    <a:ext uri="{FF2B5EF4-FFF2-40B4-BE49-F238E27FC236}">
                      <a16:creationId xmlns:a16="http://schemas.microsoft.com/office/drawing/2014/main" id="{583768ED-C40F-947F-FF55-00357E8ADCBB}"/>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9" name="TextBox 300">
              <a:extLst>
                <a:ext uri="{FF2B5EF4-FFF2-40B4-BE49-F238E27FC236}">
                  <a16:creationId xmlns:a16="http://schemas.microsoft.com/office/drawing/2014/main" id="{3C19F73F-A6B8-D880-B0D9-1D38E138650E}"/>
                </a:ext>
              </a:extLst>
            </xdr:cNvPr>
            <xdr:cNvSpPr txBox="1"/>
          </xdr:nvSpPr>
          <xdr:spPr>
            <a:xfrm>
              <a:off x="9317731" y="11615941"/>
              <a:ext cx="2032622" cy="330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KHÔNG</a:t>
              </a:r>
              <a:r>
                <a:rPr lang="en-US" sz="1500" b="1" u="sng" baseline="0"/>
                <a:t> TÍNH ĐẦU TƯ XƯỞNG</a:t>
              </a:r>
              <a:endParaRPr lang="en-US" sz="1500" b="1" u="sng"/>
            </a:p>
          </xdr:txBody>
        </xdr:sp>
      </xdr:grpSp>
      <xdr:grpSp>
        <xdr:nvGrpSpPr>
          <xdr:cNvPr id="48" name="Group 47">
            <a:extLst>
              <a:ext uri="{FF2B5EF4-FFF2-40B4-BE49-F238E27FC236}">
                <a16:creationId xmlns:a16="http://schemas.microsoft.com/office/drawing/2014/main" id="{08015F01-E055-49CC-826D-E139775CEE64}"/>
              </a:ext>
            </a:extLst>
          </xdr:cNvPr>
          <xdr:cNvGrpSpPr/>
        </xdr:nvGrpSpPr>
        <xdr:grpSpPr>
          <a:xfrm>
            <a:off x="17190880" y="12465381"/>
            <a:ext cx="2476576" cy="4091623"/>
            <a:chOff x="16172571" y="7403937"/>
            <a:chExt cx="2327981" cy="4135400"/>
          </a:xfrm>
        </xdr:grpSpPr>
        <xdr:grpSp>
          <xdr:nvGrpSpPr>
            <xdr:cNvPr id="49" name="Group 24">
              <a:extLst>
                <a:ext uri="{FF2B5EF4-FFF2-40B4-BE49-F238E27FC236}">
                  <a16:creationId xmlns:a16="http://schemas.microsoft.com/office/drawing/2014/main" id="{EE0FBCBC-31D2-BFF5-2037-06E1B84FE022}"/>
                </a:ext>
              </a:extLst>
            </xdr:cNvPr>
            <xdr:cNvGrpSpPr/>
          </xdr:nvGrpSpPr>
          <xdr:grpSpPr>
            <a:xfrm>
              <a:off x="16172571" y="7734260"/>
              <a:ext cx="2327981" cy="3805077"/>
              <a:chOff x="7697825" y="3800475"/>
              <a:chExt cx="2755768" cy="3935649"/>
            </a:xfrm>
          </xdr:grpSpPr>
          <xdr:graphicFrame macro="">
            <xdr:nvGraphicFramePr>
              <xdr:cNvPr id="51" name="Chart 3">
                <a:extLst>
                  <a:ext uri="{FF2B5EF4-FFF2-40B4-BE49-F238E27FC236}">
                    <a16:creationId xmlns:a16="http://schemas.microsoft.com/office/drawing/2014/main" id="{0DD2DC8C-EBD2-5213-A981-E49D3C164F44}"/>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52" name="Group 19">
                <a:extLst>
                  <a:ext uri="{FF2B5EF4-FFF2-40B4-BE49-F238E27FC236}">
                    <a16:creationId xmlns:a16="http://schemas.microsoft.com/office/drawing/2014/main" id="{FE9EABB2-C3A7-1A29-8E16-CA39A266C920}"/>
                  </a:ext>
                </a:extLst>
              </xdr:cNvPr>
              <xdr:cNvGrpSpPr/>
            </xdr:nvGrpSpPr>
            <xdr:grpSpPr>
              <a:xfrm>
                <a:off x="8814167" y="3818680"/>
                <a:ext cx="1583474" cy="358291"/>
                <a:chOff x="3880217" y="4675930"/>
                <a:chExt cx="1583474" cy="358291"/>
              </a:xfrm>
            </xdr:grpSpPr>
            <xdr:sp macro="" textlink="'W5'!$K$64">
              <xdr:nvSpPr>
                <xdr:cNvPr id="57" name="TextBox 20">
                  <a:extLst>
                    <a:ext uri="{FF2B5EF4-FFF2-40B4-BE49-F238E27FC236}">
                      <a16:creationId xmlns:a16="http://schemas.microsoft.com/office/drawing/2014/main" id="{946A2870-4BAA-D80B-8CED-194C781061F7}"/>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C87929A-F7E5-48BC-B496-097C79242463}" type="TxLink">
                    <a:rPr lang="en-US" sz="1700" b="1" i="0" u="none" strike="noStrike">
                      <a:solidFill>
                        <a:srgbClr val="0033CC"/>
                      </a:solidFill>
                      <a:latin typeface="+mj-lt"/>
                      <a:cs typeface="Arial"/>
                    </a:rPr>
                    <a:pPr/>
                    <a:t>650 </a:t>
                  </a:fld>
                  <a:endParaRPr lang="en-US" sz="1700">
                    <a:solidFill>
                      <a:srgbClr val="0033CC"/>
                    </a:solidFill>
                    <a:latin typeface="+mj-lt"/>
                    <a:cs typeface="Arial" panose="020B0604020202020204" pitchFamily="34" charset="0"/>
                  </a:endParaRPr>
                </a:p>
              </xdr:txBody>
            </xdr:sp>
            <xdr:sp macro="" textlink="">
              <xdr:nvSpPr>
                <xdr:cNvPr id="58" name="TextBox 21">
                  <a:extLst>
                    <a:ext uri="{FF2B5EF4-FFF2-40B4-BE49-F238E27FC236}">
                      <a16:creationId xmlns:a16="http://schemas.microsoft.com/office/drawing/2014/main" id="{2723AD90-39E6-A051-2CBB-8BAA73B8B78A}"/>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53" name="Group 26">
                <a:extLst>
                  <a:ext uri="{FF2B5EF4-FFF2-40B4-BE49-F238E27FC236}">
                    <a16:creationId xmlns:a16="http://schemas.microsoft.com/office/drawing/2014/main" id="{88F26802-E517-6F42-C74F-A87C062C4B48}"/>
                  </a:ext>
                </a:extLst>
              </xdr:cNvPr>
              <xdr:cNvGrpSpPr/>
            </xdr:nvGrpSpPr>
            <xdr:grpSpPr>
              <a:xfrm>
                <a:off x="7697825" y="5550324"/>
                <a:ext cx="1075761" cy="746276"/>
                <a:chOff x="5516600" y="5769399"/>
                <a:chExt cx="1075761" cy="746276"/>
              </a:xfrm>
            </xdr:grpSpPr>
            <xdr:sp macro="" textlink="'W5'!$K$61">
              <xdr:nvSpPr>
                <xdr:cNvPr id="54" name="TextBox 28">
                  <a:extLst>
                    <a:ext uri="{FF2B5EF4-FFF2-40B4-BE49-F238E27FC236}">
                      <a16:creationId xmlns:a16="http://schemas.microsoft.com/office/drawing/2014/main" id="{69330C6E-29B8-E046-E93D-A5BF7D60402F}"/>
                    </a:ext>
                  </a:extLst>
                </xdr:cNvPr>
                <xdr:cNvSpPr txBox="1"/>
              </xdr:nvSpPr>
              <xdr:spPr>
                <a:xfrm>
                  <a:off x="5686426" y="5962650"/>
                  <a:ext cx="598331"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C02A8E2-A135-4371-867E-FEC30A155070}" type="TxLink">
                    <a:rPr lang="en-US" sz="1500" b="1" i="0" u="none" strike="noStrike">
                      <a:solidFill>
                        <a:srgbClr val="0033CC"/>
                      </a:solidFill>
                      <a:latin typeface="+mj-lt"/>
                      <a:cs typeface="Arial"/>
                    </a:rPr>
                    <a:pPr/>
                    <a:t>641 </a:t>
                  </a:fld>
                  <a:endParaRPr lang="en-US" sz="1500">
                    <a:latin typeface="+mj-lt"/>
                  </a:endParaRPr>
                </a:p>
              </xdr:txBody>
            </xdr:sp>
            <xdr:sp macro="" textlink="">
              <xdr:nvSpPr>
                <xdr:cNvPr id="55" name="TextBox 29">
                  <a:extLst>
                    <a:ext uri="{FF2B5EF4-FFF2-40B4-BE49-F238E27FC236}">
                      <a16:creationId xmlns:a16="http://schemas.microsoft.com/office/drawing/2014/main" id="{4407F81F-3791-26E2-2EC6-E30B546E4B0C}"/>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56" name="TextBox 30">
                  <a:extLst>
                    <a:ext uri="{FF2B5EF4-FFF2-40B4-BE49-F238E27FC236}">
                      <a16:creationId xmlns:a16="http://schemas.microsoft.com/office/drawing/2014/main" id="{77AF135A-A185-0212-C0A4-4B47C1610341}"/>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50" name="TextBox 69">
              <a:extLst>
                <a:ext uri="{FF2B5EF4-FFF2-40B4-BE49-F238E27FC236}">
                  <a16:creationId xmlns:a16="http://schemas.microsoft.com/office/drawing/2014/main" id="{9095516C-08CF-CB18-F515-A44EA4C6F32E}"/>
                </a:ext>
              </a:extLst>
            </xdr:cNvPr>
            <xdr:cNvSpPr txBox="1"/>
          </xdr:nvSpPr>
          <xdr:spPr>
            <a:xfrm>
              <a:off x="16261704" y="7403937"/>
              <a:ext cx="1777854"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TÍNH</a:t>
              </a:r>
              <a:r>
                <a:rPr lang="en-US" sz="1500" b="1" u="sng" baseline="0"/>
                <a:t> ĐẦU TƯ XƯỞNG</a:t>
              </a:r>
              <a:endParaRPr lang="en-US" sz="1500" b="1" u="sng"/>
            </a:p>
          </xdr:txBody>
        </xdr:sp>
      </xdr:grpSp>
      <xdr:grpSp>
        <xdr:nvGrpSpPr>
          <xdr:cNvPr id="59" name="Group 298">
            <a:extLst>
              <a:ext uri="{FF2B5EF4-FFF2-40B4-BE49-F238E27FC236}">
                <a16:creationId xmlns:a16="http://schemas.microsoft.com/office/drawing/2014/main" id="{2A98C0B2-EDF4-407A-B54B-09E0E081C1F3}"/>
              </a:ext>
            </a:extLst>
          </xdr:cNvPr>
          <xdr:cNvGrpSpPr/>
        </xdr:nvGrpSpPr>
        <xdr:grpSpPr>
          <a:xfrm>
            <a:off x="17373957" y="8266815"/>
            <a:ext cx="2849498" cy="4065828"/>
            <a:chOff x="9284677" y="11615942"/>
            <a:chExt cx="2297541" cy="4102024"/>
          </a:xfrm>
        </xdr:grpSpPr>
        <xdr:grpSp>
          <xdr:nvGrpSpPr>
            <xdr:cNvPr id="60" name="Group 299">
              <a:extLst>
                <a:ext uri="{FF2B5EF4-FFF2-40B4-BE49-F238E27FC236}">
                  <a16:creationId xmlns:a16="http://schemas.microsoft.com/office/drawing/2014/main" id="{25CA1C70-246B-C41C-F84D-C7344DC9F046}"/>
                </a:ext>
              </a:extLst>
            </xdr:cNvPr>
            <xdr:cNvGrpSpPr/>
          </xdr:nvGrpSpPr>
          <xdr:grpSpPr>
            <a:xfrm>
              <a:off x="9284677" y="11959782"/>
              <a:ext cx="2297541" cy="3758184"/>
              <a:chOff x="7743823" y="7915275"/>
              <a:chExt cx="2716805" cy="4317935"/>
            </a:xfrm>
          </xdr:grpSpPr>
          <xdr:graphicFrame macro="">
            <xdr:nvGraphicFramePr>
              <xdr:cNvPr id="62" name="Chart 301">
                <a:extLst>
                  <a:ext uri="{FF2B5EF4-FFF2-40B4-BE49-F238E27FC236}">
                    <a16:creationId xmlns:a16="http://schemas.microsoft.com/office/drawing/2014/main" id="{65ED5992-8172-33E0-4456-AE95CA8664C8}"/>
                  </a:ext>
                </a:extLst>
              </xdr:cNvPr>
              <xdr:cNvGraphicFramePr/>
            </xdr:nvGraphicFramePr>
            <xdr:xfrm>
              <a:off x="7811531" y="7915275"/>
              <a:ext cx="2649097" cy="4317935"/>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63" name="Group 302">
                <a:extLst>
                  <a:ext uri="{FF2B5EF4-FFF2-40B4-BE49-F238E27FC236}">
                    <a16:creationId xmlns:a16="http://schemas.microsoft.com/office/drawing/2014/main" id="{0DE62DC8-62E2-6241-9CB6-52C591CFC12C}"/>
                  </a:ext>
                </a:extLst>
              </xdr:cNvPr>
              <xdr:cNvGrpSpPr/>
            </xdr:nvGrpSpPr>
            <xdr:grpSpPr>
              <a:xfrm>
                <a:off x="8738158" y="7971556"/>
                <a:ext cx="1611787" cy="424602"/>
                <a:chOff x="3651807" y="4639712"/>
                <a:chExt cx="1611787" cy="424602"/>
              </a:xfrm>
            </xdr:grpSpPr>
            <xdr:sp macro="" textlink="'W5'!$K$86">
              <xdr:nvSpPr>
                <xdr:cNvPr id="68" name="TextBox 307">
                  <a:extLst>
                    <a:ext uri="{FF2B5EF4-FFF2-40B4-BE49-F238E27FC236}">
                      <a16:creationId xmlns:a16="http://schemas.microsoft.com/office/drawing/2014/main" id="{2419D6C4-C328-B92D-4ABB-A25B3777E2FC}"/>
                    </a:ext>
                  </a:extLst>
                </xdr:cNvPr>
                <xdr:cNvSpPr txBox="1"/>
              </xdr:nvSpPr>
              <xdr:spPr>
                <a:xfrm>
                  <a:off x="3651807" y="4639712"/>
                  <a:ext cx="831742" cy="35339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FAEF5F8-C893-421C-A6E6-89FC9C999E2D}" type="TxLink">
                    <a:rPr lang="en-US" sz="1700" b="1" i="0" u="none" strike="noStrike">
                      <a:solidFill>
                        <a:srgbClr val="0033CC"/>
                      </a:solidFill>
                      <a:latin typeface="+mj-lt"/>
                      <a:cs typeface="Arial"/>
                    </a:rPr>
                    <a:pPr/>
                    <a:t>1,667 </a:t>
                  </a:fld>
                  <a:endParaRPr lang="en-US" sz="1700">
                    <a:solidFill>
                      <a:srgbClr val="0033CC"/>
                    </a:solidFill>
                    <a:latin typeface="+mj-lt"/>
                    <a:cs typeface="Arial" panose="020B0604020202020204" pitchFamily="34" charset="0"/>
                  </a:endParaRPr>
                </a:p>
              </xdr:txBody>
            </xdr:sp>
            <xdr:sp macro="" textlink="">
              <xdr:nvSpPr>
                <xdr:cNvPr id="69" name="TextBox 308">
                  <a:extLst>
                    <a:ext uri="{FF2B5EF4-FFF2-40B4-BE49-F238E27FC236}">
                      <a16:creationId xmlns:a16="http://schemas.microsoft.com/office/drawing/2014/main" id="{1499A455-E452-0614-2F30-8B68636FC5C0}"/>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64" name="Group 303">
                <a:extLst>
                  <a:ext uri="{FF2B5EF4-FFF2-40B4-BE49-F238E27FC236}">
                    <a16:creationId xmlns:a16="http://schemas.microsoft.com/office/drawing/2014/main" id="{744EF2C4-973F-337E-75EE-30F6955498DF}"/>
                  </a:ext>
                </a:extLst>
              </xdr:cNvPr>
              <xdr:cNvGrpSpPr/>
            </xdr:nvGrpSpPr>
            <xdr:grpSpPr>
              <a:xfrm>
                <a:off x="7743823" y="9982200"/>
                <a:ext cx="1018881" cy="734000"/>
                <a:chOff x="5572123" y="5781675"/>
                <a:chExt cx="1018881" cy="734000"/>
              </a:xfrm>
            </xdr:grpSpPr>
            <xdr:sp macro="" textlink="'W5'!$K$83">
              <xdr:nvSpPr>
                <xdr:cNvPr id="65" name="TextBox 304">
                  <a:extLst>
                    <a:ext uri="{FF2B5EF4-FFF2-40B4-BE49-F238E27FC236}">
                      <a16:creationId xmlns:a16="http://schemas.microsoft.com/office/drawing/2014/main" id="{E9BF1A72-F27E-DF70-3319-AEAA17071B13}"/>
                    </a:ext>
                  </a:extLst>
                </xdr:cNvPr>
                <xdr:cNvSpPr txBox="1"/>
              </xdr:nvSpPr>
              <xdr:spPr>
                <a:xfrm>
                  <a:off x="5581649" y="5962651"/>
                  <a:ext cx="663027"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222B348-2989-435D-BF56-9C8DAFBE6FC1}" type="TxLink">
                    <a:rPr lang="en-US" sz="1500" b="1" i="0" u="none" strike="noStrike">
                      <a:solidFill>
                        <a:srgbClr val="0033CC"/>
                      </a:solidFill>
                      <a:latin typeface="+mj-lt"/>
                      <a:cs typeface="Arial"/>
                    </a:rPr>
                    <a:pPr/>
                    <a:t>1,642 </a:t>
                  </a:fld>
                  <a:endParaRPr lang="en-US" sz="1500">
                    <a:latin typeface="+mj-lt"/>
                  </a:endParaRPr>
                </a:p>
              </xdr:txBody>
            </xdr:sp>
            <xdr:sp macro="" textlink="">
              <xdr:nvSpPr>
                <xdr:cNvPr id="66" name="TextBox 305">
                  <a:extLst>
                    <a:ext uri="{FF2B5EF4-FFF2-40B4-BE49-F238E27FC236}">
                      <a16:creationId xmlns:a16="http://schemas.microsoft.com/office/drawing/2014/main" id="{E786567E-A7EA-3D20-9577-5CCF8BD674E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67" name="TextBox 306">
                  <a:extLst>
                    <a:ext uri="{FF2B5EF4-FFF2-40B4-BE49-F238E27FC236}">
                      <a16:creationId xmlns:a16="http://schemas.microsoft.com/office/drawing/2014/main" id="{5F2B5836-0A26-9363-2BC3-9470D4C77137}"/>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61" name="TextBox 300">
              <a:extLst>
                <a:ext uri="{FF2B5EF4-FFF2-40B4-BE49-F238E27FC236}">
                  <a16:creationId xmlns:a16="http://schemas.microsoft.com/office/drawing/2014/main" id="{06BB25B4-0C93-15B3-B7DF-C9CA5BF4EBA8}"/>
                </a:ext>
              </a:extLst>
            </xdr:cNvPr>
            <xdr:cNvSpPr txBox="1"/>
          </xdr:nvSpPr>
          <xdr:spPr>
            <a:xfrm>
              <a:off x="9317731" y="11615942"/>
              <a:ext cx="1530059" cy="330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TÍNH</a:t>
              </a:r>
              <a:r>
                <a:rPr lang="en-US" sz="1500" b="1" u="sng" baseline="0"/>
                <a:t> ĐẦU TƯ XƯỞNG</a:t>
              </a:r>
              <a:endParaRPr lang="en-US" sz="1500" b="1" u="sng"/>
            </a:p>
          </xdr:txBody>
        </xdr:sp>
      </xdr:grpSp>
      <xdr:sp macro="" textlink="">
        <xdr:nvSpPr>
          <xdr:cNvPr id="142" name="TextBox 141">
            <a:extLst>
              <a:ext uri="{FF2B5EF4-FFF2-40B4-BE49-F238E27FC236}">
                <a16:creationId xmlns:a16="http://schemas.microsoft.com/office/drawing/2014/main" id="{8E678DBE-B960-4D0B-BD5B-1DF80EC758E0}"/>
              </a:ext>
            </a:extLst>
          </xdr:cNvPr>
          <xdr:cNvSpPr txBox="1"/>
        </xdr:nvSpPr>
        <xdr:spPr>
          <a:xfrm>
            <a:off x="14312241" y="7862455"/>
            <a:ext cx="6601557"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tx2"/>
                </a:solidFill>
              </a:rPr>
              <a:t>ĐƠN</a:t>
            </a:r>
            <a:r>
              <a:rPr lang="en-US" sz="1800" b="1" baseline="0">
                <a:solidFill>
                  <a:schemeClr val="tx2"/>
                </a:solidFill>
              </a:rPr>
              <a:t> GIÁ TRUNG BÌNH: 1,667 USD/TẤN ~ 650 VND/PHÔI</a:t>
            </a:r>
            <a:endParaRPr lang="en-US" sz="1800" b="1">
              <a:solidFill>
                <a:schemeClr val="tx2"/>
              </a:solidFill>
            </a:endParaRPr>
          </a:p>
        </xdr:txBody>
      </xdr:sp>
      <xdr:sp macro="" textlink="">
        <xdr:nvSpPr>
          <xdr:cNvPr id="144" name="Rectangle 143">
            <a:extLst>
              <a:ext uri="{FF2B5EF4-FFF2-40B4-BE49-F238E27FC236}">
                <a16:creationId xmlns:a16="http://schemas.microsoft.com/office/drawing/2014/main" id="{DBA7131C-ECDC-4258-BA97-5ED35B6E8CC2}"/>
              </a:ext>
            </a:extLst>
          </xdr:cNvPr>
          <xdr:cNvSpPr/>
        </xdr:nvSpPr>
        <xdr:spPr>
          <a:xfrm>
            <a:off x="13993088" y="7810499"/>
            <a:ext cx="6745431" cy="8885464"/>
          </a:xfrm>
          <a:prstGeom prst="rect">
            <a:avLst/>
          </a:prstGeom>
          <a:noFill/>
          <a:ln w="38100">
            <a:solidFill>
              <a:srgbClr val="FF33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31</xdr:col>
      <xdr:colOff>545970</xdr:colOff>
      <xdr:row>32</xdr:row>
      <xdr:rowOff>24534</xdr:rowOff>
    </xdr:from>
    <xdr:to>
      <xdr:col>41</xdr:col>
      <xdr:colOff>474385</xdr:colOff>
      <xdr:row>78</xdr:row>
      <xdr:rowOff>146998</xdr:rowOff>
    </xdr:to>
    <xdr:grpSp>
      <xdr:nvGrpSpPr>
        <xdr:cNvPr id="148" name="Group 147">
          <a:extLst>
            <a:ext uri="{FF2B5EF4-FFF2-40B4-BE49-F238E27FC236}">
              <a16:creationId xmlns:a16="http://schemas.microsoft.com/office/drawing/2014/main" id="{C9708426-4BAE-0583-4610-D2D0CACABB11}"/>
            </a:ext>
          </a:extLst>
        </xdr:cNvPr>
        <xdr:cNvGrpSpPr/>
      </xdr:nvGrpSpPr>
      <xdr:grpSpPr>
        <a:xfrm>
          <a:off x="17898035" y="6170230"/>
          <a:ext cx="6802980" cy="8885464"/>
          <a:chOff x="21008628" y="7802496"/>
          <a:chExt cx="6736069" cy="8885464"/>
        </a:xfrm>
      </xdr:grpSpPr>
      <xdr:grpSp>
        <xdr:nvGrpSpPr>
          <xdr:cNvPr id="70" name="Group 69">
            <a:extLst>
              <a:ext uri="{FF2B5EF4-FFF2-40B4-BE49-F238E27FC236}">
                <a16:creationId xmlns:a16="http://schemas.microsoft.com/office/drawing/2014/main" id="{D1039074-B9DC-4920-8B5C-825D274FAF1E}"/>
              </a:ext>
            </a:extLst>
          </xdr:cNvPr>
          <xdr:cNvGrpSpPr/>
        </xdr:nvGrpSpPr>
        <xdr:grpSpPr>
          <a:xfrm>
            <a:off x="24265363" y="8278094"/>
            <a:ext cx="2459063" cy="4089944"/>
            <a:chOff x="16172573" y="7403937"/>
            <a:chExt cx="2340233" cy="4135402"/>
          </a:xfrm>
        </xdr:grpSpPr>
        <xdr:grpSp>
          <xdr:nvGrpSpPr>
            <xdr:cNvPr id="71" name="Group 24">
              <a:extLst>
                <a:ext uri="{FF2B5EF4-FFF2-40B4-BE49-F238E27FC236}">
                  <a16:creationId xmlns:a16="http://schemas.microsoft.com/office/drawing/2014/main" id="{22FC7268-C80A-EEA6-C65A-84E176CC2A34}"/>
                </a:ext>
              </a:extLst>
            </xdr:cNvPr>
            <xdr:cNvGrpSpPr/>
          </xdr:nvGrpSpPr>
          <xdr:grpSpPr>
            <a:xfrm>
              <a:off x="16172573" y="7734262"/>
              <a:ext cx="2327980" cy="3805077"/>
              <a:chOff x="7697825" y="3800477"/>
              <a:chExt cx="2755766" cy="3935649"/>
            </a:xfrm>
          </xdr:grpSpPr>
          <xdr:graphicFrame macro="">
            <xdr:nvGraphicFramePr>
              <xdr:cNvPr id="73" name="Chart 3">
                <a:extLst>
                  <a:ext uri="{FF2B5EF4-FFF2-40B4-BE49-F238E27FC236}">
                    <a16:creationId xmlns:a16="http://schemas.microsoft.com/office/drawing/2014/main" id="{FA42DB76-C4D4-88CF-8DAB-A30BD9FD2470}"/>
                  </a:ext>
                </a:extLst>
              </xdr:cNvPr>
              <xdr:cNvGraphicFramePr>
                <a:graphicFrameLocks/>
              </xdr:cNvGraphicFramePr>
            </xdr:nvGraphicFramePr>
            <xdr:xfrm>
              <a:off x="7800972" y="3800477"/>
              <a:ext cx="2652619" cy="3935649"/>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74" name="Group 19">
                <a:extLst>
                  <a:ext uri="{FF2B5EF4-FFF2-40B4-BE49-F238E27FC236}">
                    <a16:creationId xmlns:a16="http://schemas.microsoft.com/office/drawing/2014/main" id="{7D9E7D61-16AB-88E8-5F6E-704B4D6C2F17}"/>
                  </a:ext>
                </a:extLst>
              </xdr:cNvPr>
              <xdr:cNvGrpSpPr/>
            </xdr:nvGrpSpPr>
            <xdr:grpSpPr>
              <a:xfrm>
                <a:off x="8814167" y="3818680"/>
                <a:ext cx="1583474" cy="358291"/>
                <a:chOff x="3880217" y="4675930"/>
                <a:chExt cx="1583474" cy="358291"/>
              </a:xfrm>
            </xdr:grpSpPr>
            <xdr:sp macro="" textlink="'W5'!$O$64">
              <xdr:nvSpPr>
                <xdr:cNvPr id="79" name="TextBox 20">
                  <a:extLst>
                    <a:ext uri="{FF2B5EF4-FFF2-40B4-BE49-F238E27FC236}">
                      <a16:creationId xmlns:a16="http://schemas.microsoft.com/office/drawing/2014/main" id="{D9E9459E-768B-9C10-13A3-7841F896104C}"/>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6CEE4EDA-762B-4E14-940A-3A0154DD5816}" type="TxLink">
                    <a:rPr lang="en-US" sz="1700" b="1" i="0" u="none" strike="noStrike">
                      <a:solidFill>
                        <a:srgbClr val="0033CC"/>
                      </a:solidFill>
                      <a:latin typeface="+mj-lt"/>
                      <a:cs typeface="Arial"/>
                    </a:rPr>
                    <a:pPr/>
                    <a:t>610 </a:t>
                  </a:fld>
                  <a:endParaRPr lang="en-US" sz="1700">
                    <a:solidFill>
                      <a:srgbClr val="0033CC"/>
                    </a:solidFill>
                    <a:latin typeface="+mj-lt"/>
                    <a:cs typeface="Arial" panose="020B0604020202020204" pitchFamily="34" charset="0"/>
                  </a:endParaRPr>
                </a:p>
              </xdr:txBody>
            </xdr:sp>
            <xdr:sp macro="" textlink="">
              <xdr:nvSpPr>
                <xdr:cNvPr id="80" name="TextBox 21">
                  <a:extLst>
                    <a:ext uri="{FF2B5EF4-FFF2-40B4-BE49-F238E27FC236}">
                      <a16:creationId xmlns:a16="http://schemas.microsoft.com/office/drawing/2014/main" id="{3BC41A31-E680-0324-1D9E-1B7177C6C312}"/>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75" name="Group 26">
                <a:extLst>
                  <a:ext uri="{FF2B5EF4-FFF2-40B4-BE49-F238E27FC236}">
                    <a16:creationId xmlns:a16="http://schemas.microsoft.com/office/drawing/2014/main" id="{AE9B1444-7D9A-28AF-40F8-DD8B1308AD79}"/>
                  </a:ext>
                </a:extLst>
              </xdr:cNvPr>
              <xdr:cNvGrpSpPr/>
            </xdr:nvGrpSpPr>
            <xdr:grpSpPr>
              <a:xfrm>
                <a:off x="7697825" y="5550324"/>
                <a:ext cx="1075761" cy="746276"/>
                <a:chOff x="5516600" y="5769399"/>
                <a:chExt cx="1075761" cy="746276"/>
              </a:xfrm>
            </xdr:grpSpPr>
            <xdr:sp macro="" textlink="'W5'!$O$61">
              <xdr:nvSpPr>
                <xdr:cNvPr id="76" name="TextBox 28">
                  <a:extLst>
                    <a:ext uri="{FF2B5EF4-FFF2-40B4-BE49-F238E27FC236}">
                      <a16:creationId xmlns:a16="http://schemas.microsoft.com/office/drawing/2014/main" id="{FCACD134-0256-3267-011D-28B1CBD97AC7}"/>
                    </a:ext>
                  </a:extLst>
                </xdr:cNvPr>
                <xdr:cNvSpPr txBox="1"/>
              </xdr:nvSpPr>
              <xdr:spPr>
                <a:xfrm>
                  <a:off x="5686426" y="5962650"/>
                  <a:ext cx="600923"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93E5637-1910-4F0F-9894-204B2636E961}" type="TxLink">
                    <a:rPr lang="en-US" sz="1500" b="1" i="0" u="none" strike="noStrike">
                      <a:solidFill>
                        <a:srgbClr val="0033CC"/>
                      </a:solidFill>
                      <a:latin typeface="+mj-lt"/>
                      <a:cs typeface="Arial"/>
                    </a:rPr>
                    <a:pPr/>
                    <a:t>641 </a:t>
                  </a:fld>
                  <a:endParaRPr lang="en-US" sz="1500">
                    <a:latin typeface="+mj-lt"/>
                  </a:endParaRPr>
                </a:p>
              </xdr:txBody>
            </xdr:sp>
            <xdr:sp macro="" textlink="">
              <xdr:nvSpPr>
                <xdr:cNvPr id="77" name="TextBox 29">
                  <a:extLst>
                    <a:ext uri="{FF2B5EF4-FFF2-40B4-BE49-F238E27FC236}">
                      <a16:creationId xmlns:a16="http://schemas.microsoft.com/office/drawing/2014/main" id="{20D71787-8157-51A6-D0B6-7BFBB024E51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78" name="TextBox 30">
                  <a:extLst>
                    <a:ext uri="{FF2B5EF4-FFF2-40B4-BE49-F238E27FC236}">
                      <a16:creationId xmlns:a16="http://schemas.microsoft.com/office/drawing/2014/main" id="{5875BB8F-2950-6543-41F9-B900E981FE8E}"/>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72" name="TextBox 69">
              <a:extLst>
                <a:ext uri="{FF2B5EF4-FFF2-40B4-BE49-F238E27FC236}">
                  <a16:creationId xmlns:a16="http://schemas.microsoft.com/office/drawing/2014/main" id="{30BC580F-8B77-85E0-2E7C-EB258F444EA0}"/>
                </a:ext>
              </a:extLst>
            </xdr:cNvPr>
            <xdr:cNvSpPr txBox="1"/>
          </xdr:nvSpPr>
          <xdr:spPr>
            <a:xfrm>
              <a:off x="16261703" y="7403937"/>
              <a:ext cx="2251103" cy="330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TÍNH</a:t>
              </a:r>
              <a:r>
                <a:rPr lang="en-US" sz="1500" b="1" u="sng" baseline="0"/>
                <a:t> ĐẦU TƯ XƯỞNG</a:t>
              </a:r>
              <a:endParaRPr lang="en-US" sz="1500" b="1" u="sng"/>
            </a:p>
          </xdr:txBody>
        </xdr:sp>
      </xdr:grpSp>
      <xdr:grpSp>
        <xdr:nvGrpSpPr>
          <xdr:cNvPr id="81" name="Group 80">
            <a:extLst>
              <a:ext uri="{FF2B5EF4-FFF2-40B4-BE49-F238E27FC236}">
                <a16:creationId xmlns:a16="http://schemas.microsoft.com/office/drawing/2014/main" id="{FCC43918-5B17-4180-B8A5-FDF05A121715}"/>
              </a:ext>
            </a:extLst>
          </xdr:cNvPr>
          <xdr:cNvGrpSpPr/>
        </xdr:nvGrpSpPr>
        <xdr:grpSpPr>
          <a:xfrm>
            <a:off x="24368973" y="12490647"/>
            <a:ext cx="2746230" cy="4075353"/>
            <a:chOff x="9284677" y="11615942"/>
            <a:chExt cx="2252365" cy="4102024"/>
          </a:xfrm>
        </xdr:grpSpPr>
        <xdr:grpSp>
          <xdr:nvGrpSpPr>
            <xdr:cNvPr id="82" name="Group 81">
              <a:extLst>
                <a:ext uri="{FF2B5EF4-FFF2-40B4-BE49-F238E27FC236}">
                  <a16:creationId xmlns:a16="http://schemas.microsoft.com/office/drawing/2014/main" id="{01232D55-157F-37BE-FC09-E7F7212321EE}"/>
                </a:ext>
              </a:extLst>
            </xdr:cNvPr>
            <xdr:cNvGrpSpPr/>
          </xdr:nvGrpSpPr>
          <xdr:grpSpPr>
            <a:xfrm>
              <a:off x="9284677" y="11959782"/>
              <a:ext cx="2252365" cy="3758184"/>
              <a:chOff x="7743823" y="7915275"/>
              <a:chExt cx="2663385" cy="4317935"/>
            </a:xfrm>
          </xdr:grpSpPr>
          <xdr:graphicFrame macro="">
            <xdr:nvGraphicFramePr>
              <xdr:cNvPr id="84" name="Chart 83">
                <a:extLst>
                  <a:ext uri="{FF2B5EF4-FFF2-40B4-BE49-F238E27FC236}">
                    <a16:creationId xmlns:a16="http://schemas.microsoft.com/office/drawing/2014/main" id="{8EFBED9A-2A2D-B96C-A4DE-7856643155C1}"/>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85" name="Group 84">
                <a:extLst>
                  <a:ext uri="{FF2B5EF4-FFF2-40B4-BE49-F238E27FC236}">
                    <a16:creationId xmlns:a16="http://schemas.microsoft.com/office/drawing/2014/main" id="{1B61420D-1D7B-30F2-08E2-58C125E35C0D}"/>
                  </a:ext>
                </a:extLst>
              </xdr:cNvPr>
              <xdr:cNvGrpSpPr/>
            </xdr:nvGrpSpPr>
            <xdr:grpSpPr>
              <a:xfrm>
                <a:off x="8748842" y="8010525"/>
                <a:ext cx="1601103" cy="385633"/>
                <a:chOff x="3662491" y="4678681"/>
                <a:chExt cx="1601103" cy="385633"/>
              </a:xfrm>
            </xdr:grpSpPr>
            <xdr:sp macro="" textlink="'W5'!$O$86">
              <xdr:nvSpPr>
                <xdr:cNvPr id="90" name="TextBox 89">
                  <a:extLst>
                    <a:ext uri="{FF2B5EF4-FFF2-40B4-BE49-F238E27FC236}">
                      <a16:creationId xmlns:a16="http://schemas.microsoft.com/office/drawing/2014/main" id="{4432919D-9FE6-07F6-BFE5-15D46B323C85}"/>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363A1EC-2FCF-4915-BB7D-7CC199FE47A9}" type="TxLink">
                    <a:rPr lang="en-US" sz="1700" b="1" i="0" u="none" strike="noStrike">
                      <a:solidFill>
                        <a:srgbClr val="0033CC"/>
                      </a:solidFill>
                      <a:latin typeface="+mj-lt"/>
                      <a:cs typeface="Arial"/>
                    </a:rPr>
                    <a:pPr/>
                    <a:t>1,564 </a:t>
                  </a:fld>
                  <a:endParaRPr lang="en-US" sz="1700">
                    <a:solidFill>
                      <a:srgbClr val="0033CC"/>
                    </a:solidFill>
                    <a:latin typeface="+mj-lt"/>
                    <a:cs typeface="Arial" panose="020B0604020202020204" pitchFamily="34" charset="0"/>
                  </a:endParaRPr>
                </a:p>
              </xdr:txBody>
            </xdr:sp>
            <xdr:sp macro="" textlink="">
              <xdr:nvSpPr>
                <xdr:cNvPr id="91" name="TextBox 90">
                  <a:extLst>
                    <a:ext uri="{FF2B5EF4-FFF2-40B4-BE49-F238E27FC236}">
                      <a16:creationId xmlns:a16="http://schemas.microsoft.com/office/drawing/2014/main" id="{7B7812CC-7898-F193-4494-715B56175DD6}"/>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86" name="Group 85">
                <a:extLst>
                  <a:ext uri="{FF2B5EF4-FFF2-40B4-BE49-F238E27FC236}">
                    <a16:creationId xmlns:a16="http://schemas.microsoft.com/office/drawing/2014/main" id="{6C65660E-45A0-543F-E7A2-0FA3F7E9B416}"/>
                  </a:ext>
                </a:extLst>
              </xdr:cNvPr>
              <xdr:cNvGrpSpPr/>
            </xdr:nvGrpSpPr>
            <xdr:grpSpPr>
              <a:xfrm>
                <a:off x="7743823" y="9982200"/>
                <a:ext cx="1018881" cy="734000"/>
                <a:chOff x="5572123" y="5781675"/>
                <a:chExt cx="1018881" cy="734000"/>
              </a:xfrm>
            </xdr:grpSpPr>
            <xdr:sp macro="" textlink="'W5'!$O$83">
              <xdr:nvSpPr>
                <xdr:cNvPr id="87" name="TextBox 86">
                  <a:extLst>
                    <a:ext uri="{FF2B5EF4-FFF2-40B4-BE49-F238E27FC236}">
                      <a16:creationId xmlns:a16="http://schemas.microsoft.com/office/drawing/2014/main" id="{F12E598D-FA97-2690-F946-AE544857FFAB}"/>
                    </a:ext>
                  </a:extLst>
                </xdr:cNvPr>
                <xdr:cNvSpPr txBox="1"/>
              </xdr:nvSpPr>
              <xdr:spPr>
                <a:xfrm>
                  <a:off x="5581649" y="5962651"/>
                  <a:ext cx="666820"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3ADF73F-21BD-4CCF-B2B4-2F10CC3ED847}" type="TxLink">
                    <a:rPr lang="en-US" sz="1500" b="1" i="0" u="none" strike="noStrike">
                      <a:solidFill>
                        <a:srgbClr val="0033CC"/>
                      </a:solidFill>
                      <a:latin typeface="+mj-lt"/>
                      <a:cs typeface="Arial"/>
                    </a:rPr>
                    <a:pPr/>
                    <a:t>1,642 </a:t>
                  </a:fld>
                  <a:endParaRPr lang="en-US" sz="1500">
                    <a:latin typeface="+mj-lt"/>
                  </a:endParaRPr>
                </a:p>
              </xdr:txBody>
            </xdr:sp>
            <xdr:sp macro="" textlink="">
              <xdr:nvSpPr>
                <xdr:cNvPr id="88" name="TextBox 87">
                  <a:extLst>
                    <a:ext uri="{FF2B5EF4-FFF2-40B4-BE49-F238E27FC236}">
                      <a16:creationId xmlns:a16="http://schemas.microsoft.com/office/drawing/2014/main" id="{BEA93ADD-861B-06EA-B032-1266B3816721}"/>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89" name="TextBox 88">
                  <a:extLst>
                    <a:ext uri="{FF2B5EF4-FFF2-40B4-BE49-F238E27FC236}">
                      <a16:creationId xmlns:a16="http://schemas.microsoft.com/office/drawing/2014/main" id="{FD687295-9CA3-B55A-2EC3-25FE737BB958}"/>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83" name="TextBox 82">
              <a:extLst>
                <a:ext uri="{FF2B5EF4-FFF2-40B4-BE49-F238E27FC236}">
                  <a16:creationId xmlns:a16="http://schemas.microsoft.com/office/drawing/2014/main" id="{846E3B43-5371-BC2F-6E58-8D03CC4797B9}"/>
                </a:ext>
              </a:extLst>
            </xdr:cNvPr>
            <xdr:cNvSpPr txBox="1"/>
          </xdr:nvSpPr>
          <xdr:spPr>
            <a:xfrm>
              <a:off x="9317731" y="11615942"/>
              <a:ext cx="1538811" cy="32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TÍNH</a:t>
              </a:r>
              <a:r>
                <a:rPr lang="en-US" sz="1500" b="1" u="sng" baseline="0"/>
                <a:t> ĐẦU TƯ XƯỞNG</a:t>
              </a:r>
              <a:endParaRPr lang="en-US" sz="1500" b="1" u="sng"/>
            </a:p>
          </xdr:txBody>
        </xdr:sp>
      </xdr:grpSp>
      <xdr:grpSp>
        <xdr:nvGrpSpPr>
          <xdr:cNvPr id="92" name="Group 91">
            <a:extLst>
              <a:ext uri="{FF2B5EF4-FFF2-40B4-BE49-F238E27FC236}">
                <a16:creationId xmlns:a16="http://schemas.microsoft.com/office/drawing/2014/main" id="{DEB27EA3-1DEF-446D-88B8-6621765F3C5E}"/>
              </a:ext>
            </a:extLst>
          </xdr:cNvPr>
          <xdr:cNvGrpSpPr/>
        </xdr:nvGrpSpPr>
        <xdr:grpSpPr>
          <a:xfrm>
            <a:off x="21225115" y="8278094"/>
            <a:ext cx="2612836" cy="4091623"/>
            <a:chOff x="16172571" y="7403937"/>
            <a:chExt cx="2474064" cy="4135400"/>
          </a:xfrm>
        </xdr:grpSpPr>
        <xdr:grpSp>
          <xdr:nvGrpSpPr>
            <xdr:cNvPr id="93" name="Group 24">
              <a:extLst>
                <a:ext uri="{FF2B5EF4-FFF2-40B4-BE49-F238E27FC236}">
                  <a16:creationId xmlns:a16="http://schemas.microsoft.com/office/drawing/2014/main" id="{7409714E-4407-818B-A484-BCDD9BF4223D}"/>
                </a:ext>
              </a:extLst>
            </xdr:cNvPr>
            <xdr:cNvGrpSpPr/>
          </xdr:nvGrpSpPr>
          <xdr:grpSpPr>
            <a:xfrm>
              <a:off x="16172571" y="7734260"/>
              <a:ext cx="2327982" cy="3805077"/>
              <a:chOff x="7697825" y="3800475"/>
              <a:chExt cx="2755769" cy="3935649"/>
            </a:xfrm>
          </xdr:grpSpPr>
          <xdr:graphicFrame macro="">
            <xdr:nvGraphicFramePr>
              <xdr:cNvPr id="95" name="Chart 3">
                <a:extLst>
                  <a:ext uri="{FF2B5EF4-FFF2-40B4-BE49-F238E27FC236}">
                    <a16:creationId xmlns:a16="http://schemas.microsoft.com/office/drawing/2014/main" id="{E6DE6AA6-1E6F-0474-6417-DF71CD00EDA5}"/>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96" name="Group 19">
                <a:extLst>
                  <a:ext uri="{FF2B5EF4-FFF2-40B4-BE49-F238E27FC236}">
                    <a16:creationId xmlns:a16="http://schemas.microsoft.com/office/drawing/2014/main" id="{F099D8E8-BF4F-2052-7288-A2A9BC8C9C48}"/>
                  </a:ext>
                </a:extLst>
              </xdr:cNvPr>
              <xdr:cNvGrpSpPr/>
            </xdr:nvGrpSpPr>
            <xdr:grpSpPr>
              <a:xfrm>
                <a:off x="8814167" y="3818680"/>
                <a:ext cx="1583474" cy="358291"/>
                <a:chOff x="3880217" y="4675930"/>
                <a:chExt cx="1583474" cy="358291"/>
              </a:xfrm>
            </xdr:grpSpPr>
            <xdr:sp macro="" textlink="'W5'!$M$64">
              <xdr:nvSpPr>
                <xdr:cNvPr id="101" name="TextBox 20">
                  <a:extLst>
                    <a:ext uri="{FF2B5EF4-FFF2-40B4-BE49-F238E27FC236}">
                      <a16:creationId xmlns:a16="http://schemas.microsoft.com/office/drawing/2014/main" id="{3549374B-74B8-D58A-67F1-693FBCE8C5C2}"/>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5AAB736-F420-455D-906C-BBB331F6CFCF}" type="TxLink">
                    <a:rPr lang="en-US" sz="1700" b="1" i="0" u="none" strike="noStrike">
                      <a:solidFill>
                        <a:srgbClr val="0033CC"/>
                      </a:solidFill>
                      <a:latin typeface="+mj-lt"/>
                      <a:cs typeface="Arial"/>
                    </a:rPr>
                    <a:pPr/>
                    <a:t>610 </a:t>
                  </a:fld>
                  <a:endParaRPr lang="en-US" sz="1700">
                    <a:solidFill>
                      <a:srgbClr val="0033CC"/>
                    </a:solidFill>
                    <a:latin typeface="+mj-lt"/>
                    <a:cs typeface="Arial" panose="020B0604020202020204" pitchFamily="34" charset="0"/>
                  </a:endParaRPr>
                </a:p>
              </xdr:txBody>
            </xdr:sp>
            <xdr:sp macro="" textlink="">
              <xdr:nvSpPr>
                <xdr:cNvPr id="102" name="TextBox 21">
                  <a:extLst>
                    <a:ext uri="{FF2B5EF4-FFF2-40B4-BE49-F238E27FC236}">
                      <a16:creationId xmlns:a16="http://schemas.microsoft.com/office/drawing/2014/main" id="{D8EA38CF-3B88-82D8-1EEE-0C13C86617B7}"/>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97" name="Group 26">
                <a:extLst>
                  <a:ext uri="{FF2B5EF4-FFF2-40B4-BE49-F238E27FC236}">
                    <a16:creationId xmlns:a16="http://schemas.microsoft.com/office/drawing/2014/main" id="{5020A817-B86B-238E-176F-B9810977F029}"/>
                  </a:ext>
                </a:extLst>
              </xdr:cNvPr>
              <xdr:cNvGrpSpPr/>
            </xdr:nvGrpSpPr>
            <xdr:grpSpPr>
              <a:xfrm>
                <a:off x="7697825" y="5550324"/>
                <a:ext cx="1075761" cy="746276"/>
                <a:chOff x="5516600" y="5769399"/>
                <a:chExt cx="1075761" cy="746276"/>
              </a:xfrm>
            </xdr:grpSpPr>
            <xdr:sp macro="" textlink="'W5'!$M$61">
              <xdr:nvSpPr>
                <xdr:cNvPr id="98" name="TextBox 28">
                  <a:extLst>
                    <a:ext uri="{FF2B5EF4-FFF2-40B4-BE49-F238E27FC236}">
                      <a16:creationId xmlns:a16="http://schemas.microsoft.com/office/drawing/2014/main" id="{EC4C85D9-88C4-806F-4C11-ACA382083A9B}"/>
                    </a:ext>
                  </a:extLst>
                </xdr:cNvPr>
                <xdr:cNvSpPr txBox="1"/>
              </xdr:nvSpPr>
              <xdr:spPr>
                <a:xfrm>
                  <a:off x="5686426" y="5962650"/>
                  <a:ext cx="597900"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7111B5A-F998-47AB-B114-FE4DE8789637}" type="TxLink">
                    <a:rPr lang="en-US" sz="1500" b="1" i="0" u="none" strike="noStrike">
                      <a:solidFill>
                        <a:srgbClr val="0033CC"/>
                      </a:solidFill>
                      <a:latin typeface="+mj-lt"/>
                      <a:cs typeface="Arial"/>
                    </a:rPr>
                    <a:pPr/>
                    <a:t>608 </a:t>
                  </a:fld>
                  <a:endParaRPr lang="en-US" sz="1500">
                    <a:latin typeface="+mj-lt"/>
                  </a:endParaRPr>
                </a:p>
              </xdr:txBody>
            </xdr:sp>
            <xdr:sp macro="" textlink="">
              <xdr:nvSpPr>
                <xdr:cNvPr id="99" name="TextBox 29">
                  <a:extLst>
                    <a:ext uri="{FF2B5EF4-FFF2-40B4-BE49-F238E27FC236}">
                      <a16:creationId xmlns:a16="http://schemas.microsoft.com/office/drawing/2014/main" id="{686C2637-C135-01D0-7FD4-DBC661003FD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00" name="TextBox 30">
                  <a:extLst>
                    <a:ext uri="{FF2B5EF4-FFF2-40B4-BE49-F238E27FC236}">
                      <a16:creationId xmlns:a16="http://schemas.microsoft.com/office/drawing/2014/main" id="{3A5CE9C9-B5FC-C204-329F-40997FBF16E8}"/>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94" name="TextBox 69">
              <a:extLst>
                <a:ext uri="{FF2B5EF4-FFF2-40B4-BE49-F238E27FC236}">
                  <a16:creationId xmlns:a16="http://schemas.microsoft.com/office/drawing/2014/main" id="{3C68DE98-70E8-F499-A499-00F7E8D6286F}"/>
                </a:ext>
              </a:extLst>
            </xdr:cNvPr>
            <xdr:cNvSpPr txBox="1"/>
          </xdr:nvSpPr>
          <xdr:spPr>
            <a:xfrm>
              <a:off x="16261704" y="7403937"/>
              <a:ext cx="2384931"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KHÔNG</a:t>
              </a:r>
              <a:r>
                <a:rPr lang="en-US" sz="1500" b="1" u="sng" baseline="0"/>
                <a:t> TÍNH ĐẦU TƯ XƯỞNG</a:t>
              </a:r>
              <a:endParaRPr lang="en-US" sz="1500" b="1" u="sng"/>
            </a:p>
          </xdr:txBody>
        </xdr:sp>
      </xdr:grpSp>
      <xdr:grpSp>
        <xdr:nvGrpSpPr>
          <xdr:cNvPr id="103" name="Group 102">
            <a:extLst>
              <a:ext uri="{FF2B5EF4-FFF2-40B4-BE49-F238E27FC236}">
                <a16:creationId xmlns:a16="http://schemas.microsoft.com/office/drawing/2014/main" id="{366443B4-12F2-48AD-B510-AAAE335A7DB7}"/>
              </a:ext>
            </a:extLst>
          </xdr:cNvPr>
          <xdr:cNvGrpSpPr/>
        </xdr:nvGrpSpPr>
        <xdr:grpSpPr>
          <a:xfrm>
            <a:off x="21257051" y="12494569"/>
            <a:ext cx="2776486" cy="4071431"/>
            <a:chOff x="9284676" y="11615942"/>
            <a:chExt cx="2279482" cy="4102024"/>
          </a:xfrm>
        </xdr:grpSpPr>
        <xdr:grpSp>
          <xdr:nvGrpSpPr>
            <xdr:cNvPr id="104" name="Group 103">
              <a:extLst>
                <a:ext uri="{FF2B5EF4-FFF2-40B4-BE49-F238E27FC236}">
                  <a16:creationId xmlns:a16="http://schemas.microsoft.com/office/drawing/2014/main" id="{F80B3A06-7F31-2B7D-A096-305C4152CDE9}"/>
                </a:ext>
              </a:extLst>
            </xdr:cNvPr>
            <xdr:cNvGrpSpPr/>
          </xdr:nvGrpSpPr>
          <xdr:grpSpPr>
            <a:xfrm>
              <a:off x="9284676" y="11959782"/>
              <a:ext cx="2279482" cy="3758184"/>
              <a:chOff x="7743823" y="7915275"/>
              <a:chExt cx="2695451" cy="4317935"/>
            </a:xfrm>
          </xdr:grpSpPr>
          <xdr:graphicFrame macro="">
            <xdr:nvGraphicFramePr>
              <xdr:cNvPr id="106" name="Chart 105">
                <a:extLst>
                  <a:ext uri="{FF2B5EF4-FFF2-40B4-BE49-F238E27FC236}">
                    <a16:creationId xmlns:a16="http://schemas.microsoft.com/office/drawing/2014/main" id="{FE8C23A2-7F06-EF71-8ABE-FC95BA95DF1F}"/>
                  </a:ext>
                </a:extLst>
              </xdr:cNvPr>
              <xdr:cNvGraphicFramePr/>
            </xdr:nvGraphicFramePr>
            <xdr:xfrm>
              <a:off x="7790177" y="7915275"/>
              <a:ext cx="2649097" cy="4317935"/>
            </xdr:xfrm>
            <a:graphic>
              <a:graphicData uri="http://schemas.openxmlformats.org/drawingml/2006/chart">
                <c:chart xmlns:c="http://schemas.openxmlformats.org/drawingml/2006/chart" xmlns:r="http://schemas.openxmlformats.org/officeDocument/2006/relationships" r:id="rId13"/>
              </a:graphicData>
            </a:graphic>
          </xdr:graphicFrame>
          <xdr:grpSp>
            <xdr:nvGrpSpPr>
              <xdr:cNvPr id="107" name="Group 106">
                <a:extLst>
                  <a:ext uri="{FF2B5EF4-FFF2-40B4-BE49-F238E27FC236}">
                    <a16:creationId xmlns:a16="http://schemas.microsoft.com/office/drawing/2014/main" id="{AE71575D-6234-087A-AC59-FD7C2A5515AC}"/>
                  </a:ext>
                </a:extLst>
              </xdr:cNvPr>
              <xdr:cNvGrpSpPr/>
            </xdr:nvGrpSpPr>
            <xdr:grpSpPr>
              <a:xfrm>
                <a:off x="8748842" y="8010525"/>
                <a:ext cx="1601103" cy="385633"/>
                <a:chOff x="3662491" y="4678681"/>
                <a:chExt cx="1601103" cy="385633"/>
              </a:xfrm>
            </xdr:grpSpPr>
            <xdr:sp macro="" textlink="'W5'!$M$86">
              <xdr:nvSpPr>
                <xdr:cNvPr id="112" name="TextBox 111">
                  <a:extLst>
                    <a:ext uri="{FF2B5EF4-FFF2-40B4-BE49-F238E27FC236}">
                      <a16:creationId xmlns:a16="http://schemas.microsoft.com/office/drawing/2014/main" id="{E60EAAE2-B606-2AEB-6116-3B9EDEA96AEA}"/>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833E93C4-541D-444E-84F8-0032FB376E8E}" type="TxLink">
                    <a:rPr lang="en-US" sz="1700" b="1" i="0" u="none" strike="noStrike">
                      <a:solidFill>
                        <a:srgbClr val="0033CC"/>
                      </a:solidFill>
                      <a:latin typeface="+mj-lt"/>
                      <a:cs typeface="Arial"/>
                    </a:rPr>
                    <a:pPr/>
                    <a:t>1,564 </a:t>
                  </a:fld>
                  <a:endParaRPr lang="en-US" sz="1700">
                    <a:solidFill>
                      <a:srgbClr val="0033CC"/>
                    </a:solidFill>
                    <a:latin typeface="+mj-lt"/>
                    <a:cs typeface="Arial" panose="020B0604020202020204" pitchFamily="34" charset="0"/>
                  </a:endParaRPr>
                </a:p>
              </xdr:txBody>
            </xdr:sp>
            <xdr:sp macro="" textlink="">
              <xdr:nvSpPr>
                <xdr:cNvPr id="113" name="TextBox 112">
                  <a:extLst>
                    <a:ext uri="{FF2B5EF4-FFF2-40B4-BE49-F238E27FC236}">
                      <a16:creationId xmlns:a16="http://schemas.microsoft.com/office/drawing/2014/main" id="{D72813D7-47EB-CEDD-5B3B-9D5B43C96248}"/>
                    </a:ext>
                  </a:extLst>
                </xdr:cNvPr>
                <xdr:cNvSpPr txBox="1"/>
              </xdr:nvSpPr>
              <xdr:spPr>
                <a:xfrm>
                  <a:off x="4369473" y="4724401"/>
                  <a:ext cx="894121" cy="339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08" name="Group 107">
                <a:extLst>
                  <a:ext uri="{FF2B5EF4-FFF2-40B4-BE49-F238E27FC236}">
                    <a16:creationId xmlns:a16="http://schemas.microsoft.com/office/drawing/2014/main" id="{B0820CE0-206B-3299-8DC6-7D66B7CDDF67}"/>
                  </a:ext>
                </a:extLst>
              </xdr:cNvPr>
              <xdr:cNvGrpSpPr/>
            </xdr:nvGrpSpPr>
            <xdr:grpSpPr>
              <a:xfrm>
                <a:off x="7743823" y="9982200"/>
                <a:ext cx="1018881" cy="734000"/>
                <a:chOff x="5572123" y="5781675"/>
                <a:chExt cx="1018881" cy="734000"/>
              </a:xfrm>
            </xdr:grpSpPr>
            <xdr:sp macro="" textlink="'W5'!$M$83">
              <xdr:nvSpPr>
                <xdr:cNvPr id="109" name="TextBox 108">
                  <a:extLst>
                    <a:ext uri="{FF2B5EF4-FFF2-40B4-BE49-F238E27FC236}">
                      <a16:creationId xmlns:a16="http://schemas.microsoft.com/office/drawing/2014/main" id="{5D4819E4-0CD7-CDA7-1E79-F1361FB50237}"/>
                    </a:ext>
                  </a:extLst>
                </xdr:cNvPr>
                <xdr:cNvSpPr txBox="1"/>
              </xdr:nvSpPr>
              <xdr:spPr>
                <a:xfrm>
                  <a:off x="5581649" y="5962651"/>
                  <a:ext cx="667494" cy="37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F520593-DFDB-488E-AB3F-EAD4197AAC97}" type="TxLink">
                    <a:rPr lang="en-US" sz="1500" b="1" i="0" u="none" strike="noStrike">
                      <a:solidFill>
                        <a:srgbClr val="0033CC"/>
                      </a:solidFill>
                      <a:latin typeface="+mj-lt"/>
                      <a:cs typeface="Arial"/>
                    </a:rPr>
                    <a:pPr/>
                    <a:t>1,560 </a:t>
                  </a:fld>
                  <a:endParaRPr lang="en-US" sz="1500">
                    <a:latin typeface="+mj-lt"/>
                  </a:endParaRPr>
                </a:p>
              </xdr:txBody>
            </xdr:sp>
            <xdr:sp macro="" textlink="">
              <xdr:nvSpPr>
                <xdr:cNvPr id="110" name="TextBox 109">
                  <a:extLst>
                    <a:ext uri="{FF2B5EF4-FFF2-40B4-BE49-F238E27FC236}">
                      <a16:creationId xmlns:a16="http://schemas.microsoft.com/office/drawing/2014/main" id="{A00E7566-4E2B-F671-E124-1285D5DC2216}"/>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11" name="TextBox 110">
                  <a:extLst>
                    <a:ext uri="{FF2B5EF4-FFF2-40B4-BE49-F238E27FC236}">
                      <a16:creationId xmlns:a16="http://schemas.microsoft.com/office/drawing/2014/main" id="{733F3CA1-1200-9682-C807-3F6B3B039C60}"/>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05" name="TextBox 104">
              <a:extLst>
                <a:ext uri="{FF2B5EF4-FFF2-40B4-BE49-F238E27FC236}">
                  <a16:creationId xmlns:a16="http://schemas.microsoft.com/office/drawing/2014/main" id="{E33AF2F7-E0B6-FEE1-CC48-C7EF0E6AA376}"/>
                </a:ext>
              </a:extLst>
            </xdr:cNvPr>
            <xdr:cNvSpPr txBox="1"/>
          </xdr:nvSpPr>
          <xdr:spPr>
            <a:xfrm>
              <a:off x="9317731" y="11615942"/>
              <a:ext cx="2067843" cy="329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KHÔNG</a:t>
              </a:r>
              <a:r>
                <a:rPr lang="en-US" sz="1500" b="1" u="sng" baseline="0"/>
                <a:t> TÍNH ĐẦU TƯ XƯỞNG</a:t>
              </a:r>
              <a:endParaRPr lang="en-US" sz="1500" b="1" u="sng"/>
            </a:p>
          </xdr:txBody>
        </xdr:sp>
      </xdr:grpSp>
      <xdr:sp macro="" textlink="">
        <xdr:nvSpPr>
          <xdr:cNvPr id="146" name="TextBox 145">
            <a:extLst>
              <a:ext uri="{FF2B5EF4-FFF2-40B4-BE49-F238E27FC236}">
                <a16:creationId xmlns:a16="http://schemas.microsoft.com/office/drawing/2014/main" id="{C446F077-AE17-457C-89A2-6F06E080606D}"/>
              </a:ext>
            </a:extLst>
          </xdr:cNvPr>
          <xdr:cNvSpPr txBox="1"/>
        </xdr:nvSpPr>
        <xdr:spPr>
          <a:xfrm>
            <a:off x="21145500" y="7837715"/>
            <a:ext cx="6599197"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accent4">
                    <a:lumMod val="60000"/>
                    <a:lumOff val="40000"/>
                  </a:schemeClr>
                </a:solidFill>
              </a:rPr>
              <a:t>ĐƠN</a:t>
            </a:r>
            <a:r>
              <a:rPr lang="en-US" sz="1800" b="1" baseline="0">
                <a:solidFill>
                  <a:schemeClr val="accent4">
                    <a:lumMod val="60000"/>
                    <a:lumOff val="40000"/>
                  </a:schemeClr>
                </a:solidFill>
              </a:rPr>
              <a:t> GIÁ SUNTORY ĐỀ XUẤT: 1,564 USD/TẤN ~ 610 VND/PHÔI</a:t>
            </a:r>
            <a:endParaRPr lang="en-US" sz="1800" b="1">
              <a:solidFill>
                <a:schemeClr val="accent4">
                  <a:lumMod val="60000"/>
                  <a:lumOff val="40000"/>
                </a:schemeClr>
              </a:solidFill>
            </a:endParaRPr>
          </a:p>
        </xdr:txBody>
      </xdr:sp>
      <xdr:sp macro="" textlink="">
        <xdr:nvSpPr>
          <xdr:cNvPr id="147" name="Rectangle 146">
            <a:extLst>
              <a:ext uri="{FF2B5EF4-FFF2-40B4-BE49-F238E27FC236}">
                <a16:creationId xmlns:a16="http://schemas.microsoft.com/office/drawing/2014/main" id="{0A1C8B7C-2416-4BB4-95E3-3384C77B6600}"/>
              </a:ext>
            </a:extLst>
          </xdr:cNvPr>
          <xdr:cNvSpPr/>
        </xdr:nvSpPr>
        <xdr:spPr>
          <a:xfrm>
            <a:off x="21008628" y="7802496"/>
            <a:ext cx="6698519" cy="8885464"/>
          </a:xfrm>
          <a:prstGeom prst="rect">
            <a:avLst/>
          </a:prstGeom>
          <a:noFill/>
          <a:ln w="381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42</xdr:col>
      <xdr:colOff>264063</xdr:colOff>
      <xdr:row>0</xdr:row>
      <xdr:rowOff>132180</xdr:rowOff>
    </xdr:from>
    <xdr:to>
      <xdr:col>47</xdr:col>
      <xdr:colOff>373721</xdr:colOff>
      <xdr:row>3</xdr:row>
      <xdr:rowOff>249311</xdr:rowOff>
    </xdr:to>
    <mc:AlternateContent xmlns:mc="http://schemas.openxmlformats.org/markup-compatibility/2006" xmlns:a14="http://schemas.microsoft.com/office/drawing/2010/main">
      <mc:Choice Requires="a14">
        <xdr:graphicFrame macro="">
          <xdr:nvGraphicFramePr>
            <xdr:cNvPr id="3" name="Currency">
              <a:extLst>
                <a:ext uri="{FF2B5EF4-FFF2-40B4-BE49-F238E27FC236}">
                  <a16:creationId xmlns:a16="http://schemas.microsoft.com/office/drawing/2014/main" id="{30A7017C-9A7E-4BA1-BAB5-243F1E904A4D}"/>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13690503" y="132180"/>
              <a:ext cx="3157658" cy="734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209550</xdr:colOff>
      <xdr:row>0</xdr:row>
      <xdr:rowOff>57150</xdr:rowOff>
    </xdr:from>
    <xdr:to>
      <xdr:col>43</xdr:col>
      <xdr:colOff>0</xdr:colOff>
      <xdr:row>2</xdr:row>
      <xdr:rowOff>114300</xdr:rowOff>
    </xdr:to>
    <xdr:sp macro="" textlink="">
      <xdr:nvSpPr>
        <xdr:cNvPr id="2" name="Rectangle 1">
          <a:extLst>
            <a:ext uri="{FF2B5EF4-FFF2-40B4-BE49-F238E27FC236}">
              <a16:creationId xmlns:a16="http://schemas.microsoft.com/office/drawing/2014/main" id="{021735AA-F198-944C-5D78-C8B2CAC5EB9C}"/>
            </a:ext>
          </a:extLst>
        </xdr:cNvPr>
        <xdr:cNvSpPr/>
      </xdr:nvSpPr>
      <xdr:spPr>
        <a:xfrm>
          <a:off x="16583025" y="57150"/>
          <a:ext cx="5600700"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SỐ</a:t>
          </a:r>
          <a:r>
            <a:rPr lang="en-US" sz="1100" baseline="0"/>
            <a:t> LIỆU THAY ĐỔI SO VỚI CÁC VERSION KHÁC LÀ DO TỶ GIÁ TĂNG TỪ 25.000 -&gt; 26.000</a:t>
          </a:r>
        </a:p>
        <a:p>
          <a:pPr algn="l"/>
          <a:r>
            <a:rPr lang="en-US" sz="1100" baseline="0"/>
            <a:t>(Trong đó: CAPEX option base cũng tăng 4% để bù vào tỷ giá)</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91440</xdr:colOff>
      <xdr:row>0</xdr:row>
      <xdr:rowOff>9561</xdr:rowOff>
    </xdr:from>
    <xdr:to>
      <xdr:col>3</xdr:col>
      <xdr:colOff>85713</xdr:colOff>
      <xdr:row>1</xdr:row>
      <xdr:rowOff>137161</xdr:rowOff>
    </xdr:to>
    <xdr:pic>
      <xdr:nvPicPr>
        <xdr:cNvPr id="3" name="Picture 2">
          <a:extLst>
            <a:ext uri="{FF2B5EF4-FFF2-40B4-BE49-F238E27FC236}">
              <a16:creationId xmlns:a16="http://schemas.microsoft.com/office/drawing/2014/main" id="{15E74CC0-9EAB-5471-EFA9-BE1F51332F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3440" y="9561"/>
          <a:ext cx="1434453" cy="310480"/>
        </a:xfrm>
        <a:prstGeom prst="rect">
          <a:avLst/>
        </a:prstGeom>
      </xdr:spPr>
    </xdr:pic>
    <xdr:clientData/>
  </xdr:twoCellAnchor>
  <xdr:twoCellAnchor editAs="oneCell">
    <xdr:from>
      <xdr:col>3</xdr:col>
      <xdr:colOff>2129384</xdr:colOff>
      <xdr:row>1</xdr:row>
      <xdr:rowOff>90767</xdr:rowOff>
    </xdr:from>
    <xdr:to>
      <xdr:col>7</xdr:col>
      <xdr:colOff>581248</xdr:colOff>
      <xdr:row>3</xdr:row>
      <xdr:rowOff>308161</xdr:rowOff>
    </xdr:to>
    <mc:AlternateContent xmlns:mc="http://schemas.openxmlformats.org/markup-compatibility/2006" xmlns:a14="http://schemas.microsoft.com/office/drawing/2010/main">
      <mc:Choice Requires="a14">
        <xdr:graphicFrame macro="">
          <xdr:nvGraphicFramePr>
            <xdr:cNvPr id="4" name="Currency 1">
              <a:extLst>
                <a:ext uri="{FF2B5EF4-FFF2-40B4-BE49-F238E27FC236}">
                  <a16:creationId xmlns:a16="http://schemas.microsoft.com/office/drawing/2014/main" id="{0B0D3EC8-C2BA-4B7B-A8FB-3BB7CA332EC4}"/>
                </a:ext>
              </a:extLst>
            </xdr:cNvPr>
            <xdr:cNvGraphicFramePr/>
          </xdr:nvGraphicFramePr>
          <xdr:xfrm>
            <a:off x="0" y="0"/>
            <a:ext cx="0" cy="0"/>
          </xdr:xfrm>
          <a:graphic>
            <a:graphicData uri="http://schemas.microsoft.com/office/drawing/2010/slicer">
              <sle:slicer xmlns:sle="http://schemas.microsoft.com/office/drawing/2010/slicer" name="Currency 1"/>
            </a:graphicData>
          </a:graphic>
        </xdr:graphicFrame>
      </mc:Choice>
      <mc:Fallback xmlns="">
        <xdr:sp macro="" textlink="">
          <xdr:nvSpPr>
            <xdr:cNvPr id="0" name=""/>
            <xdr:cNvSpPr>
              <a:spLocks noTextEdit="1"/>
            </xdr:cNvSpPr>
          </xdr:nvSpPr>
          <xdr:spPr>
            <a:xfrm>
              <a:off x="2564508" y="273871"/>
              <a:ext cx="3061292" cy="639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188146</xdr:colOff>
      <xdr:row>0</xdr:row>
      <xdr:rowOff>84181</xdr:rowOff>
    </xdr:from>
    <xdr:to>
      <xdr:col>4</xdr:col>
      <xdr:colOff>966955</xdr:colOff>
      <xdr:row>1</xdr:row>
      <xdr:rowOff>81589</xdr:rowOff>
    </xdr:to>
    <xdr:pic>
      <xdr:nvPicPr>
        <xdr:cNvPr id="2" name="Picture 1">
          <a:extLst>
            <a:ext uri="{FF2B5EF4-FFF2-40B4-BE49-F238E27FC236}">
              <a16:creationId xmlns:a16="http://schemas.microsoft.com/office/drawing/2014/main" id="{91B52755-AEE6-4A37-928C-FF574B5D6B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0450" y="84181"/>
          <a:ext cx="778809" cy="187908"/>
        </a:xfrm>
        <a:prstGeom prst="rect">
          <a:avLst/>
        </a:prstGeom>
      </xdr:spPr>
    </xdr:pic>
    <xdr:clientData/>
  </xdr:twoCellAnchor>
  <xdr:twoCellAnchor editAs="oneCell">
    <xdr:from>
      <xdr:col>23</xdr:col>
      <xdr:colOff>426720</xdr:colOff>
      <xdr:row>4</xdr:row>
      <xdr:rowOff>106680</xdr:rowOff>
    </xdr:from>
    <xdr:to>
      <xdr:col>25</xdr:col>
      <xdr:colOff>681992</xdr:colOff>
      <xdr:row>7</xdr:row>
      <xdr:rowOff>176640</xdr:rowOff>
    </xdr:to>
    <mc:AlternateContent xmlns:mc="http://schemas.openxmlformats.org/markup-compatibility/2006" xmlns:a14="http://schemas.microsoft.com/office/drawing/2010/main">
      <mc:Choice Requires="a14">
        <xdr:graphicFrame macro="">
          <xdr:nvGraphicFramePr>
            <xdr:cNvPr id="3" name="Currency 2">
              <a:extLst>
                <a:ext uri="{FF2B5EF4-FFF2-40B4-BE49-F238E27FC236}">
                  <a16:creationId xmlns:a16="http://schemas.microsoft.com/office/drawing/2014/main" id="{5958A574-D734-4590-9AC7-7A388DE014D1}"/>
                </a:ext>
              </a:extLst>
            </xdr:cNvPr>
            <xdr:cNvGraphicFramePr/>
          </xdr:nvGraphicFramePr>
          <xdr:xfrm>
            <a:off x="0" y="0"/>
            <a:ext cx="0" cy="0"/>
          </xdr:xfrm>
          <a:graphic>
            <a:graphicData uri="http://schemas.microsoft.com/office/drawing/2010/slicer">
              <sle:slicer xmlns:sle="http://schemas.microsoft.com/office/drawing/2010/slicer" name="Currency 2"/>
            </a:graphicData>
          </a:graphic>
        </xdr:graphicFrame>
      </mc:Choice>
      <mc:Fallback xmlns="">
        <xdr:sp macro="" textlink="">
          <xdr:nvSpPr>
            <xdr:cNvPr id="0" name=""/>
            <xdr:cNvSpPr>
              <a:spLocks noTextEdit="1"/>
            </xdr:cNvSpPr>
          </xdr:nvSpPr>
          <xdr:spPr>
            <a:xfrm>
              <a:off x="15852250" y="1054210"/>
              <a:ext cx="2216594" cy="626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126677</xdr:colOff>
      <xdr:row>9</xdr:row>
      <xdr:rowOff>151488</xdr:rowOff>
    </xdr:from>
    <xdr:to>
      <xdr:col>8</xdr:col>
      <xdr:colOff>751919</xdr:colOff>
      <xdr:row>13</xdr:row>
      <xdr:rowOff>69048</xdr:rowOff>
    </xdr:to>
    <mc:AlternateContent xmlns:mc="http://schemas.openxmlformats.org/markup-compatibility/2006" xmlns:a14="http://schemas.microsoft.com/office/drawing/2010/main">
      <mc:Choice Requires="a14">
        <xdr:graphicFrame macro="">
          <xdr:nvGraphicFramePr>
            <xdr:cNvPr id="2" name="Currency 3">
              <a:extLst>
                <a:ext uri="{FF2B5EF4-FFF2-40B4-BE49-F238E27FC236}">
                  <a16:creationId xmlns:a16="http://schemas.microsoft.com/office/drawing/2014/main" id="{43A8D53D-CF0F-424F-886C-3E38F0A38098}"/>
                </a:ext>
              </a:extLst>
            </xdr:cNvPr>
            <xdr:cNvGraphicFramePr/>
          </xdr:nvGraphicFramePr>
          <xdr:xfrm>
            <a:off x="0" y="0"/>
            <a:ext cx="0" cy="0"/>
          </xdr:xfrm>
          <a:graphic>
            <a:graphicData uri="http://schemas.microsoft.com/office/drawing/2010/slicer">
              <sle:slicer xmlns:sle="http://schemas.microsoft.com/office/drawing/2010/slicer" name="Currency 3"/>
            </a:graphicData>
          </a:graphic>
        </xdr:graphicFrame>
      </mc:Choice>
      <mc:Fallback xmlns="">
        <xdr:sp macro="" textlink="">
          <xdr:nvSpPr>
            <xdr:cNvPr id="0" name=""/>
            <xdr:cNvSpPr>
              <a:spLocks noTextEdit="1"/>
            </xdr:cNvSpPr>
          </xdr:nvSpPr>
          <xdr:spPr>
            <a:xfrm>
              <a:off x="7354471" y="1865988"/>
              <a:ext cx="3045712" cy="679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39</xdr:col>
      <xdr:colOff>220905</xdr:colOff>
      <xdr:row>5</xdr:row>
      <xdr:rowOff>0</xdr:rowOff>
    </xdr:from>
    <xdr:to>
      <xdr:col>44</xdr:col>
      <xdr:colOff>99732</xdr:colOff>
      <xdr:row>7</xdr:row>
      <xdr:rowOff>193785</xdr:rowOff>
    </xdr:to>
    <mc:AlternateContent xmlns:mc="http://schemas.openxmlformats.org/markup-compatibility/2006" xmlns:a14="http://schemas.microsoft.com/office/drawing/2010/main">
      <mc:Choice Requires="a14">
        <xdr:graphicFrame macro="">
          <xdr:nvGraphicFramePr>
            <xdr:cNvPr id="3" name="Currency 4">
              <a:extLst>
                <a:ext uri="{FF2B5EF4-FFF2-40B4-BE49-F238E27FC236}">
                  <a16:creationId xmlns:a16="http://schemas.microsoft.com/office/drawing/2014/main" id="{4D5DC241-7224-4F24-B078-3BEC7C54D43F}"/>
                </a:ext>
              </a:extLst>
            </xdr:cNvPr>
            <xdr:cNvGraphicFramePr/>
          </xdr:nvGraphicFramePr>
          <xdr:xfrm>
            <a:off x="0" y="0"/>
            <a:ext cx="0" cy="0"/>
          </xdr:xfrm>
          <a:graphic>
            <a:graphicData uri="http://schemas.microsoft.com/office/drawing/2010/slicer">
              <sle:slicer xmlns:sle="http://schemas.microsoft.com/office/drawing/2010/slicer" name="Currency 4"/>
            </a:graphicData>
          </a:graphic>
        </xdr:graphicFrame>
      </mc:Choice>
      <mc:Fallback xmlns="">
        <xdr:sp macro="" textlink="">
          <xdr:nvSpPr>
            <xdr:cNvPr id="0" name=""/>
            <xdr:cNvSpPr>
              <a:spLocks noTextEdit="1"/>
            </xdr:cNvSpPr>
          </xdr:nvSpPr>
          <xdr:spPr>
            <a:xfrm>
              <a:off x="23500005" y="1206500"/>
              <a:ext cx="3180827" cy="676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42</xdr:col>
      <xdr:colOff>453838</xdr:colOff>
      <xdr:row>4</xdr:row>
      <xdr:rowOff>79864</xdr:rowOff>
    </xdr:from>
    <xdr:to>
      <xdr:col>48</xdr:col>
      <xdr:colOff>121481</xdr:colOff>
      <xdr:row>9</xdr:row>
      <xdr:rowOff>73689</xdr:rowOff>
    </xdr:to>
    <mc:AlternateContent xmlns:mc="http://schemas.openxmlformats.org/markup-compatibility/2006" xmlns:a14="http://schemas.microsoft.com/office/drawing/2010/main">
      <mc:Choice Requires="a14">
        <xdr:graphicFrame macro="">
          <xdr:nvGraphicFramePr>
            <xdr:cNvPr id="15" name="Currency 7">
              <a:extLst>
                <a:ext uri="{FF2B5EF4-FFF2-40B4-BE49-F238E27FC236}">
                  <a16:creationId xmlns:a16="http://schemas.microsoft.com/office/drawing/2014/main" id="{57F5B54F-044E-4EB0-985F-E77175EFC4B4}"/>
                </a:ext>
              </a:extLst>
            </xdr:cNvPr>
            <xdr:cNvGraphicFramePr/>
          </xdr:nvGraphicFramePr>
          <xdr:xfrm>
            <a:off x="0" y="0"/>
            <a:ext cx="0" cy="0"/>
          </xdr:xfrm>
          <a:graphic>
            <a:graphicData uri="http://schemas.microsoft.com/office/drawing/2010/slicer">
              <sle:slicer xmlns:sle="http://schemas.microsoft.com/office/drawing/2010/slicer" name="Currency 7"/>
            </a:graphicData>
          </a:graphic>
        </xdr:graphicFrame>
      </mc:Choice>
      <mc:Fallback xmlns="">
        <xdr:sp macro="" textlink="">
          <xdr:nvSpPr>
            <xdr:cNvPr id="0" name=""/>
            <xdr:cNvSpPr>
              <a:spLocks noTextEdit="1"/>
            </xdr:cNvSpPr>
          </xdr:nvSpPr>
          <xdr:spPr>
            <a:xfrm>
              <a:off x="47249603" y="1065982"/>
              <a:ext cx="3141466" cy="923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22601</xdr:colOff>
      <xdr:row>43</xdr:row>
      <xdr:rowOff>97790</xdr:rowOff>
    </xdr:from>
    <xdr:to>
      <xdr:col>49</xdr:col>
      <xdr:colOff>232270</xdr:colOff>
      <xdr:row>64</xdr:row>
      <xdr:rowOff>41557</xdr:rowOff>
    </xdr:to>
    <xdr:grpSp>
      <xdr:nvGrpSpPr>
        <xdr:cNvPr id="102" name="Group 101">
          <a:extLst>
            <a:ext uri="{FF2B5EF4-FFF2-40B4-BE49-F238E27FC236}">
              <a16:creationId xmlns:a16="http://schemas.microsoft.com/office/drawing/2014/main" id="{22BDD507-18D9-420A-B747-50BF19A5E47C}"/>
            </a:ext>
          </a:extLst>
        </xdr:cNvPr>
        <xdr:cNvGrpSpPr/>
      </xdr:nvGrpSpPr>
      <xdr:grpSpPr>
        <a:xfrm>
          <a:off x="48869042" y="8076378"/>
          <a:ext cx="2495669" cy="4089944"/>
          <a:chOff x="16172573" y="7403937"/>
          <a:chExt cx="2327980" cy="4135402"/>
        </a:xfrm>
      </xdr:grpSpPr>
      <xdr:grpSp>
        <xdr:nvGrpSpPr>
          <xdr:cNvPr id="103" name="Group 24">
            <a:extLst>
              <a:ext uri="{FF2B5EF4-FFF2-40B4-BE49-F238E27FC236}">
                <a16:creationId xmlns:a16="http://schemas.microsoft.com/office/drawing/2014/main" id="{D97C3F32-CD9B-EB8E-B83F-8C7220F60082}"/>
              </a:ext>
            </a:extLst>
          </xdr:cNvPr>
          <xdr:cNvGrpSpPr/>
        </xdr:nvGrpSpPr>
        <xdr:grpSpPr>
          <a:xfrm>
            <a:off x="16172573" y="7734262"/>
            <a:ext cx="2327980" cy="3805077"/>
            <a:chOff x="7697825" y="3800477"/>
            <a:chExt cx="2755766" cy="3935649"/>
          </a:xfrm>
        </xdr:grpSpPr>
        <xdr:graphicFrame macro="">
          <xdr:nvGraphicFramePr>
            <xdr:cNvPr id="105" name="Chart 3">
              <a:extLst>
                <a:ext uri="{FF2B5EF4-FFF2-40B4-BE49-F238E27FC236}">
                  <a16:creationId xmlns:a16="http://schemas.microsoft.com/office/drawing/2014/main" id="{5C40B52C-0B02-050F-53FB-1A1A92CDED90}"/>
                </a:ext>
              </a:extLst>
            </xdr:cNvPr>
            <xdr:cNvGraphicFramePr>
              <a:graphicFrameLocks/>
            </xdr:cNvGraphicFramePr>
          </xdr:nvGraphicFramePr>
          <xdr:xfrm>
            <a:off x="7800972" y="3800477"/>
            <a:ext cx="2652619" cy="3935649"/>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106" name="Group 19">
              <a:extLst>
                <a:ext uri="{FF2B5EF4-FFF2-40B4-BE49-F238E27FC236}">
                  <a16:creationId xmlns:a16="http://schemas.microsoft.com/office/drawing/2014/main" id="{0EB84DFC-C789-4279-1A4D-64E959B3C37C}"/>
                </a:ext>
              </a:extLst>
            </xdr:cNvPr>
            <xdr:cNvGrpSpPr/>
          </xdr:nvGrpSpPr>
          <xdr:grpSpPr>
            <a:xfrm>
              <a:off x="8814167" y="3818680"/>
              <a:ext cx="1583474" cy="358291"/>
              <a:chOff x="3880217" y="4675930"/>
              <a:chExt cx="1583474" cy="358291"/>
            </a:xfrm>
          </xdr:grpSpPr>
          <xdr:sp macro="" textlink="'W5'!$O$64">
            <xdr:nvSpPr>
              <xdr:cNvPr id="111" name="TextBox 20">
                <a:extLst>
                  <a:ext uri="{FF2B5EF4-FFF2-40B4-BE49-F238E27FC236}">
                    <a16:creationId xmlns:a16="http://schemas.microsoft.com/office/drawing/2014/main" id="{1AA884AE-225C-4951-53C1-FED810308728}"/>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6CEE4EDA-762B-4E14-940A-3A0154DD5816}" type="TxLink">
                  <a:rPr lang="en-US" sz="1700" b="1" i="0" u="none" strike="noStrike">
                    <a:solidFill>
                      <a:srgbClr val="0033CC"/>
                    </a:solidFill>
                    <a:latin typeface="+mj-lt"/>
                    <a:cs typeface="Arial"/>
                  </a:rPr>
                  <a:pPr/>
                  <a:t>610 </a:t>
                </a:fld>
                <a:endParaRPr lang="en-US" sz="1700">
                  <a:solidFill>
                    <a:srgbClr val="0033CC"/>
                  </a:solidFill>
                  <a:latin typeface="+mj-lt"/>
                  <a:cs typeface="Arial" panose="020B0604020202020204" pitchFamily="34" charset="0"/>
                </a:endParaRPr>
              </a:p>
            </xdr:txBody>
          </xdr:sp>
          <xdr:sp macro="" textlink="">
            <xdr:nvSpPr>
              <xdr:cNvPr id="112" name="TextBox 21">
                <a:extLst>
                  <a:ext uri="{FF2B5EF4-FFF2-40B4-BE49-F238E27FC236}">
                    <a16:creationId xmlns:a16="http://schemas.microsoft.com/office/drawing/2014/main" id="{E76642DF-9C9E-0FAC-AADE-BD25B2FBD43E}"/>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07" name="Group 26">
              <a:extLst>
                <a:ext uri="{FF2B5EF4-FFF2-40B4-BE49-F238E27FC236}">
                  <a16:creationId xmlns:a16="http://schemas.microsoft.com/office/drawing/2014/main" id="{D08F8263-316A-709A-F16D-682AF0FF0682}"/>
                </a:ext>
              </a:extLst>
            </xdr:cNvPr>
            <xdr:cNvGrpSpPr/>
          </xdr:nvGrpSpPr>
          <xdr:grpSpPr>
            <a:xfrm>
              <a:off x="7697825" y="5550324"/>
              <a:ext cx="1075761" cy="746276"/>
              <a:chOff x="5516600" y="5769399"/>
              <a:chExt cx="1075761" cy="746276"/>
            </a:xfrm>
          </xdr:grpSpPr>
          <xdr:sp macro="" textlink="'W5'!$O$61">
            <xdr:nvSpPr>
              <xdr:cNvPr id="108" name="TextBox 28">
                <a:extLst>
                  <a:ext uri="{FF2B5EF4-FFF2-40B4-BE49-F238E27FC236}">
                    <a16:creationId xmlns:a16="http://schemas.microsoft.com/office/drawing/2014/main" id="{3FF46AD7-515B-6C41-E08B-317A947F993C}"/>
                  </a:ext>
                </a:extLst>
              </xdr:cNvPr>
              <xdr:cNvSpPr txBox="1"/>
            </xdr:nvSpPr>
            <xdr:spPr>
              <a:xfrm>
                <a:off x="5686426" y="5962650"/>
                <a:ext cx="589008"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93E5637-1910-4F0F-9894-204B2636E961}" type="TxLink">
                  <a:rPr lang="en-US" sz="1500" b="1" i="0" u="none" strike="noStrike">
                    <a:solidFill>
                      <a:srgbClr val="0033CC"/>
                    </a:solidFill>
                    <a:latin typeface="+mj-lt"/>
                    <a:cs typeface="Arial"/>
                  </a:rPr>
                  <a:pPr/>
                  <a:t>641 </a:t>
                </a:fld>
                <a:endParaRPr lang="en-US" sz="1500">
                  <a:latin typeface="+mj-lt"/>
                </a:endParaRPr>
              </a:p>
            </xdr:txBody>
          </xdr:sp>
          <xdr:sp macro="" textlink="">
            <xdr:nvSpPr>
              <xdr:cNvPr id="109" name="TextBox 29">
                <a:extLst>
                  <a:ext uri="{FF2B5EF4-FFF2-40B4-BE49-F238E27FC236}">
                    <a16:creationId xmlns:a16="http://schemas.microsoft.com/office/drawing/2014/main" id="{3ACA38AC-1A5C-E08E-84C8-24F4C108EFD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10" name="TextBox 30">
                <a:extLst>
                  <a:ext uri="{FF2B5EF4-FFF2-40B4-BE49-F238E27FC236}">
                    <a16:creationId xmlns:a16="http://schemas.microsoft.com/office/drawing/2014/main" id="{21D654B6-761C-3022-1093-7D97BB64E15C}"/>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04" name="TextBox 69">
            <a:extLst>
              <a:ext uri="{FF2B5EF4-FFF2-40B4-BE49-F238E27FC236}">
                <a16:creationId xmlns:a16="http://schemas.microsoft.com/office/drawing/2014/main" id="{1DF3F8EE-F43D-670E-72EB-065ABF267906}"/>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6</a:t>
            </a:r>
          </a:p>
        </xdr:txBody>
      </xdr:sp>
    </xdr:grpSp>
    <xdr:clientData/>
  </xdr:twoCellAnchor>
  <xdr:twoCellAnchor editAs="oneCell">
    <xdr:from>
      <xdr:col>45</xdr:col>
      <xdr:colOff>147020</xdr:colOff>
      <xdr:row>66</xdr:row>
      <xdr:rowOff>202826</xdr:rowOff>
    </xdr:from>
    <xdr:to>
      <xdr:col>50</xdr:col>
      <xdr:colOff>62819</xdr:colOff>
      <xdr:row>87</xdr:row>
      <xdr:rowOff>188032</xdr:rowOff>
    </xdr:to>
    <xdr:grpSp>
      <xdr:nvGrpSpPr>
        <xdr:cNvPr id="37" name="Group 36">
          <a:extLst>
            <a:ext uri="{FF2B5EF4-FFF2-40B4-BE49-F238E27FC236}">
              <a16:creationId xmlns:a16="http://schemas.microsoft.com/office/drawing/2014/main" id="{50DB6BD5-376C-48B8-B1A8-F64F2C5FD02F}"/>
            </a:ext>
          </a:extLst>
        </xdr:cNvPr>
        <xdr:cNvGrpSpPr/>
      </xdr:nvGrpSpPr>
      <xdr:grpSpPr>
        <a:xfrm>
          <a:off x="48993461" y="12708591"/>
          <a:ext cx="2795711" cy="4075353"/>
          <a:chOff x="9284677" y="11615942"/>
          <a:chExt cx="2252365" cy="4102024"/>
        </a:xfrm>
      </xdr:grpSpPr>
      <xdr:grpSp>
        <xdr:nvGrpSpPr>
          <xdr:cNvPr id="38" name="Group 37">
            <a:extLst>
              <a:ext uri="{FF2B5EF4-FFF2-40B4-BE49-F238E27FC236}">
                <a16:creationId xmlns:a16="http://schemas.microsoft.com/office/drawing/2014/main" id="{F70403C8-332D-EDFD-D03B-AE4FD6FC543D}"/>
              </a:ext>
            </a:extLst>
          </xdr:cNvPr>
          <xdr:cNvGrpSpPr/>
        </xdr:nvGrpSpPr>
        <xdr:grpSpPr>
          <a:xfrm>
            <a:off x="9284677" y="11959782"/>
            <a:ext cx="2252365" cy="3758184"/>
            <a:chOff x="7743823" y="7915275"/>
            <a:chExt cx="2663385" cy="4317935"/>
          </a:xfrm>
        </xdr:grpSpPr>
        <xdr:graphicFrame macro="">
          <xdr:nvGraphicFramePr>
            <xdr:cNvPr id="40" name="Chart 39">
              <a:extLst>
                <a:ext uri="{FF2B5EF4-FFF2-40B4-BE49-F238E27FC236}">
                  <a16:creationId xmlns:a16="http://schemas.microsoft.com/office/drawing/2014/main" id="{EE445960-DA1D-17CA-7F94-77E121EECE5A}"/>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41" name="Group 40">
              <a:extLst>
                <a:ext uri="{FF2B5EF4-FFF2-40B4-BE49-F238E27FC236}">
                  <a16:creationId xmlns:a16="http://schemas.microsoft.com/office/drawing/2014/main" id="{C6761397-2F34-B48F-51A1-1030631350F5}"/>
                </a:ext>
              </a:extLst>
            </xdr:cNvPr>
            <xdr:cNvGrpSpPr/>
          </xdr:nvGrpSpPr>
          <xdr:grpSpPr>
            <a:xfrm>
              <a:off x="8748842" y="8010525"/>
              <a:ext cx="1601103" cy="385633"/>
              <a:chOff x="3662491" y="4678681"/>
              <a:chExt cx="1601103" cy="385633"/>
            </a:xfrm>
          </xdr:grpSpPr>
          <xdr:sp macro="" textlink="'W5'!$O$86">
            <xdr:nvSpPr>
              <xdr:cNvPr id="46" name="TextBox 45">
                <a:extLst>
                  <a:ext uri="{FF2B5EF4-FFF2-40B4-BE49-F238E27FC236}">
                    <a16:creationId xmlns:a16="http://schemas.microsoft.com/office/drawing/2014/main" id="{2BB90E3F-6035-E8B0-8D02-A3B32D925FA9}"/>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363A1EC-2FCF-4915-BB7D-7CC199FE47A9}" type="TxLink">
                  <a:rPr lang="en-US" sz="1700" b="1" i="0" u="none" strike="noStrike">
                    <a:solidFill>
                      <a:srgbClr val="0033CC"/>
                    </a:solidFill>
                    <a:latin typeface="+mj-lt"/>
                    <a:cs typeface="Arial"/>
                  </a:rPr>
                  <a:pPr/>
                  <a:t>1,564 </a:t>
                </a:fld>
                <a:endParaRPr lang="en-US" sz="1700">
                  <a:solidFill>
                    <a:srgbClr val="0033CC"/>
                  </a:solidFill>
                  <a:latin typeface="+mj-lt"/>
                  <a:cs typeface="Arial" panose="020B0604020202020204" pitchFamily="34" charset="0"/>
                </a:endParaRPr>
              </a:p>
            </xdr:txBody>
          </xdr:sp>
          <xdr:sp macro="" textlink="">
            <xdr:nvSpPr>
              <xdr:cNvPr id="47" name="TextBox 46">
                <a:extLst>
                  <a:ext uri="{FF2B5EF4-FFF2-40B4-BE49-F238E27FC236}">
                    <a16:creationId xmlns:a16="http://schemas.microsoft.com/office/drawing/2014/main" id="{67A7CC13-0761-61BD-0EA3-308A1A63A898}"/>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2" name="Group 41">
              <a:extLst>
                <a:ext uri="{FF2B5EF4-FFF2-40B4-BE49-F238E27FC236}">
                  <a16:creationId xmlns:a16="http://schemas.microsoft.com/office/drawing/2014/main" id="{361DEB4E-77B1-28F3-EA52-987B2EE44A2A}"/>
                </a:ext>
              </a:extLst>
            </xdr:cNvPr>
            <xdr:cNvGrpSpPr/>
          </xdr:nvGrpSpPr>
          <xdr:grpSpPr>
            <a:xfrm>
              <a:off x="7743823" y="9982200"/>
              <a:ext cx="1018881" cy="734000"/>
              <a:chOff x="5572123" y="5781675"/>
              <a:chExt cx="1018881" cy="734000"/>
            </a:xfrm>
          </xdr:grpSpPr>
          <xdr:sp macro="" textlink="'W5'!$O$83">
            <xdr:nvSpPr>
              <xdr:cNvPr id="43" name="TextBox 42">
                <a:extLst>
                  <a:ext uri="{FF2B5EF4-FFF2-40B4-BE49-F238E27FC236}">
                    <a16:creationId xmlns:a16="http://schemas.microsoft.com/office/drawing/2014/main" id="{27F7AF85-2338-A45B-EBAC-18D1CE3FFC26}"/>
                  </a:ext>
                </a:extLst>
              </xdr:cNvPr>
              <xdr:cNvSpPr txBox="1"/>
            </xdr:nvSpPr>
            <xdr:spPr>
              <a:xfrm>
                <a:off x="5581649" y="5962651"/>
                <a:ext cx="655018"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3ADF73F-21BD-4CCF-B2B4-2F10CC3ED847}" type="TxLink">
                  <a:rPr lang="en-US" sz="1500" b="1" i="0" u="none" strike="noStrike">
                    <a:solidFill>
                      <a:srgbClr val="0033CC"/>
                    </a:solidFill>
                    <a:latin typeface="+mj-lt"/>
                    <a:cs typeface="Arial"/>
                  </a:rPr>
                  <a:pPr/>
                  <a:t>1,642 </a:t>
                </a:fld>
                <a:endParaRPr lang="en-US" sz="1500">
                  <a:latin typeface="+mj-lt"/>
                </a:endParaRPr>
              </a:p>
            </xdr:txBody>
          </xdr:sp>
          <xdr:sp macro="" textlink="">
            <xdr:nvSpPr>
              <xdr:cNvPr id="44" name="TextBox 43">
                <a:extLst>
                  <a:ext uri="{FF2B5EF4-FFF2-40B4-BE49-F238E27FC236}">
                    <a16:creationId xmlns:a16="http://schemas.microsoft.com/office/drawing/2014/main" id="{1C4FC63B-BD30-361A-47A3-4BE3420710F8}"/>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5" name="TextBox 44">
                <a:extLst>
                  <a:ext uri="{FF2B5EF4-FFF2-40B4-BE49-F238E27FC236}">
                    <a16:creationId xmlns:a16="http://schemas.microsoft.com/office/drawing/2014/main" id="{00078500-0889-C96E-1E40-F355F1E2EFE1}"/>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9" name="TextBox 38">
            <a:extLst>
              <a:ext uri="{FF2B5EF4-FFF2-40B4-BE49-F238E27FC236}">
                <a16:creationId xmlns:a16="http://schemas.microsoft.com/office/drawing/2014/main" id="{61A9146B-A3CE-8D7B-F09E-D06547B4843F}"/>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6</a:t>
            </a:r>
          </a:p>
        </xdr:txBody>
      </xdr:sp>
    </xdr:grpSp>
    <xdr:clientData/>
  </xdr:twoCellAnchor>
  <xdr:twoCellAnchor editAs="oneCell">
    <xdr:from>
      <xdr:col>27</xdr:col>
      <xdr:colOff>0</xdr:colOff>
      <xdr:row>44</xdr:row>
      <xdr:rowOff>0</xdr:rowOff>
    </xdr:from>
    <xdr:to>
      <xdr:col>30</xdr:col>
      <xdr:colOff>20340</xdr:colOff>
      <xdr:row>64</xdr:row>
      <xdr:rowOff>122835</xdr:rowOff>
    </xdr:to>
    <xdr:grpSp>
      <xdr:nvGrpSpPr>
        <xdr:cNvPr id="50" name="Group 49">
          <a:extLst>
            <a:ext uri="{FF2B5EF4-FFF2-40B4-BE49-F238E27FC236}">
              <a16:creationId xmlns:a16="http://schemas.microsoft.com/office/drawing/2014/main" id="{414ADF99-40EE-4A0F-86B4-813DF6EBAD11}"/>
            </a:ext>
          </a:extLst>
        </xdr:cNvPr>
        <xdr:cNvGrpSpPr/>
      </xdr:nvGrpSpPr>
      <xdr:grpSpPr>
        <a:xfrm>
          <a:off x="36889765" y="8157882"/>
          <a:ext cx="2429604" cy="4089718"/>
          <a:chOff x="16259705" y="7403937"/>
          <a:chExt cx="1816952" cy="4130916"/>
        </a:xfrm>
      </xdr:grpSpPr>
      <xdr:grpSp>
        <xdr:nvGrpSpPr>
          <xdr:cNvPr id="70" name="Group 24">
            <a:extLst>
              <a:ext uri="{FF2B5EF4-FFF2-40B4-BE49-F238E27FC236}">
                <a16:creationId xmlns:a16="http://schemas.microsoft.com/office/drawing/2014/main" id="{FFFB1700-D7E5-B7DF-6DDA-9BE2F80E6F08}"/>
              </a:ext>
            </a:extLst>
          </xdr:cNvPr>
          <xdr:cNvGrpSpPr/>
        </xdr:nvGrpSpPr>
        <xdr:grpSpPr>
          <a:xfrm>
            <a:off x="16259705" y="7734260"/>
            <a:ext cx="1816952" cy="3800593"/>
            <a:chOff x="7800975" y="3800475"/>
            <a:chExt cx="2150834" cy="3931011"/>
          </a:xfrm>
        </xdr:grpSpPr>
        <xdr:graphicFrame macro="">
          <xdr:nvGraphicFramePr>
            <xdr:cNvPr id="72" name="Chart 3">
              <a:extLst>
                <a:ext uri="{FF2B5EF4-FFF2-40B4-BE49-F238E27FC236}">
                  <a16:creationId xmlns:a16="http://schemas.microsoft.com/office/drawing/2014/main" id="{451859ED-12E1-40A4-36E7-7FE13719D9A9}"/>
                </a:ext>
              </a:extLst>
            </xdr:cNvPr>
            <xdr:cNvGraphicFramePr>
              <a:graphicFrameLocks/>
            </xdr:cNvGraphicFramePr>
          </xdr:nvGraphicFramePr>
          <xdr:xfrm>
            <a:off x="7800975" y="3800475"/>
            <a:ext cx="2120573" cy="3931011"/>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74" name="Group 19">
              <a:extLst>
                <a:ext uri="{FF2B5EF4-FFF2-40B4-BE49-F238E27FC236}">
                  <a16:creationId xmlns:a16="http://schemas.microsoft.com/office/drawing/2014/main" id="{75ADC932-A898-702D-C537-F4EEE00B8BF0}"/>
                </a:ext>
              </a:extLst>
            </xdr:cNvPr>
            <xdr:cNvGrpSpPr/>
          </xdr:nvGrpSpPr>
          <xdr:grpSpPr>
            <a:xfrm>
              <a:off x="8661827" y="3848497"/>
              <a:ext cx="1289982" cy="347234"/>
              <a:chOff x="3727877" y="4705747"/>
              <a:chExt cx="1289982" cy="347234"/>
            </a:xfrm>
          </xdr:grpSpPr>
          <xdr:sp macro="" textlink="'W5'!$G$64">
            <xdr:nvSpPr>
              <xdr:cNvPr id="79" name="TextBox 20">
                <a:extLst>
                  <a:ext uri="{FF2B5EF4-FFF2-40B4-BE49-F238E27FC236}">
                    <a16:creationId xmlns:a16="http://schemas.microsoft.com/office/drawing/2014/main" id="{7C609F44-B53F-2DC8-1806-3C8A6167D4D3}"/>
                  </a:ext>
                </a:extLst>
              </xdr:cNvPr>
              <xdr:cNvSpPr txBox="1"/>
            </xdr:nvSpPr>
            <xdr:spPr>
              <a:xfrm>
                <a:off x="3727877" y="4705747"/>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BA545145-C90B-43A3-9B81-BBCCE20917F6}"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113" name="TextBox 21">
                <a:extLst>
                  <a:ext uri="{FF2B5EF4-FFF2-40B4-BE49-F238E27FC236}">
                    <a16:creationId xmlns:a16="http://schemas.microsoft.com/office/drawing/2014/main" id="{B69DF44D-F5DE-2B89-C1C5-9285AABE9EDA}"/>
                  </a:ext>
                </a:extLst>
              </xdr:cNvPr>
              <xdr:cNvSpPr txBox="1"/>
            </xdr:nvSpPr>
            <xdr:spPr>
              <a:xfrm>
                <a:off x="4171529" y="4744277"/>
                <a:ext cx="846330" cy="308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75" name="Group 26">
              <a:extLst>
                <a:ext uri="{FF2B5EF4-FFF2-40B4-BE49-F238E27FC236}">
                  <a16:creationId xmlns:a16="http://schemas.microsoft.com/office/drawing/2014/main" id="{77C0BE50-C1BC-4A1C-3812-0E4427AA2FDF}"/>
                </a:ext>
              </a:extLst>
            </xdr:cNvPr>
            <xdr:cNvGrpSpPr/>
          </xdr:nvGrpSpPr>
          <xdr:grpSpPr>
            <a:xfrm>
              <a:off x="7833238" y="5510569"/>
              <a:ext cx="1075761" cy="815848"/>
              <a:chOff x="5652013" y="5729644"/>
              <a:chExt cx="1075761" cy="815848"/>
            </a:xfrm>
          </xdr:grpSpPr>
          <xdr:sp macro="" textlink="$G$61">
            <xdr:nvSpPr>
              <xdr:cNvPr id="76" name="TextBox 28">
                <a:extLst>
                  <a:ext uri="{FF2B5EF4-FFF2-40B4-BE49-F238E27FC236}">
                    <a16:creationId xmlns:a16="http://schemas.microsoft.com/office/drawing/2014/main" id="{1B88A1DF-A4E2-4CAA-6DC6-AE7815537CF0}"/>
                  </a:ext>
                </a:extLst>
              </xdr:cNvPr>
              <xdr:cNvSpPr txBox="1"/>
            </xdr:nvSpPr>
            <xdr:spPr>
              <a:xfrm>
                <a:off x="5762596" y="5912956"/>
                <a:ext cx="491738" cy="3744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8BC3E5D-C4A5-465D-ABC8-1C7E9C01EA5C}" type="TxLink">
                  <a:rPr lang="en-US" sz="1700" b="1" i="0" u="none" strike="noStrike">
                    <a:solidFill>
                      <a:srgbClr val="0033CC"/>
                    </a:solidFill>
                    <a:latin typeface="Aptos Narrow (Body)"/>
                    <a:cs typeface="Arial"/>
                  </a:rPr>
                  <a:pPr/>
                  <a:t>641 </a:t>
                </a:fld>
                <a:endParaRPr lang="en-US" sz="1700">
                  <a:latin typeface="Aptos Narrow (Body)"/>
                </a:endParaRPr>
              </a:p>
            </xdr:txBody>
          </xdr:sp>
          <xdr:sp macro="" textlink="">
            <xdr:nvSpPr>
              <xdr:cNvPr id="77" name="TextBox 29">
                <a:extLst>
                  <a:ext uri="{FF2B5EF4-FFF2-40B4-BE49-F238E27FC236}">
                    <a16:creationId xmlns:a16="http://schemas.microsoft.com/office/drawing/2014/main" id="{0886AB31-7E45-88BB-418D-3F19562DA2C7}"/>
                  </a:ext>
                </a:extLst>
              </xdr:cNvPr>
              <xdr:cNvSpPr txBox="1"/>
            </xdr:nvSpPr>
            <xdr:spPr>
              <a:xfrm>
                <a:off x="5682148" y="6249642"/>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78" name="TextBox 30">
                <a:extLst>
                  <a:ext uri="{FF2B5EF4-FFF2-40B4-BE49-F238E27FC236}">
                    <a16:creationId xmlns:a16="http://schemas.microsoft.com/office/drawing/2014/main" id="{27F02691-4F7A-9E29-4E4D-719ADD7A2F2F}"/>
                  </a:ext>
                </a:extLst>
              </xdr:cNvPr>
              <xdr:cNvSpPr txBox="1"/>
            </xdr:nvSpPr>
            <xdr:spPr>
              <a:xfrm>
                <a:off x="5652013" y="5729644"/>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71" name="TextBox 69">
            <a:extLst>
              <a:ext uri="{FF2B5EF4-FFF2-40B4-BE49-F238E27FC236}">
                <a16:creationId xmlns:a16="http://schemas.microsoft.com/office/drawing/2014/main" id="{10F955EE-277A-60CD-7739-E5AD2064DAD4}"/>
              </a:ext>
            </a:extLst>
          </xdr:cNvPr>
          <xdr:cNvSpPr txBox="1"/>
        </xdr:nvSpPr>
        <xdr:spPr>
          <a:xfrm>
            <a:off x="16261704" y="7403937"/>
            <a:ext cx="85561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2</a:t>
            </a:r>
          </a:p>
        </xdr:txBody>
      </xdr:sp>
    </xdr:grpSp>
    <xdr:clientData/>
  </xdr:twoCellAnchor>
  <xdr:twoCellAnchor editAs="oneCell">
    <xdr:from>
      <xdr:col>30</xdr:col>
      <xdr:colOff>428625</xdr:colOff>
      <xdr:row>44</xdr:row>
      <xdr:rowOff>9525</xdr:rowOff>
    </xdr:from>
    <xdr:to>
      <xdr:col>34</xdr:col>
      <xdr:colOff>272982</xdr:colOff>
      <xdr:row>64</xdr:row>
      <xdr:rowOff>134265</xdr:rowOff>
    </xdr:to>
    <xdr:grpSp>
      <xdr:nvGrpSpPr>
        <xdr:cNvPr id="125" name="Group 124">
          <a:extLst>
            <a:ext uri="{FF2B5EF4-FFF2-40B4-BE49-F238E27FC236}">
              <a16:creationId xmlns:a16="http://schemas.microsoft.com/office/drawing/2014/main" id="{930FFAD4-3669-409D-A61A-BE5F66ADF2AC}"/>
            </a:ext>
          </a:extLst>
        </xdr:cNvPr>
        <xdr:cNvGrpSpPr/>
      </xdr:nvGrpSpPr>
      <xdr:grpSpPr>
        <a:xfrm>
          <a:off x="39727654" y="8167407"/>
          <a:ext cx="2488946" cy="4091623"/>
          <a:chOff x="16172571" y="7403937"/>
          <a:chExt cx="2327981" cy="4135400"/>
        </a:xfrm>
      </xdr:grpSpPr>
      <xdr:grpSp>
        <xdr:nvGrpSpPr>
          <xdr:cNvPr id="126" name="Group 24">
            <a:extLst>
              <a:ext uri="{FF2B5EF4-FFF2-40B4-BE49-F238E27FC236}">
                <a16:creationId xmlns:a16="http://schemas.microsoft.com/office/drawing/2014/main" id="{BB0AD52F-DCBC-DBE3-4ECF-955B982CE235}"/>
              </a:ext>
            </a:extLst>
          </xdr:cNvPr>
          <xdr:cNvGrpSpPr/>
        </xdr:nvGrpSpPr>
        <xdr:grpSpPr>
          <a:xfrm>
            <a:off x="16172571" y="7734260"/>
            <a:ext cx="2327981" cy="3805077"/>
            <a:chOff x="7697825" y="3800475"/>
            <a:chExt cx="2755768" cy="3935649"/>
          </a:xfrm>
        </xdr:grpSpPr>
        <xdr:graphicFrame macro="">
          <xdr:nvGraphicFramePr>
            <xdr:cNvPr id="192" name="Chart 3">
              <a:extLst>
                <a:ext uri="{FF2B5EF4-FFF2-40B4-BE49-F238E27FC236}">
                  <a16:creationId xmlns:a16="http://schemas.microsoft.com/office/drawing/2014/main" id="{71C7450A-AFF6-0E76-CE7D-199450BCB475}"/>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193" name="Group 19">
              <a:extLst>
                <a:ext uri="{FF2B5EF4-FFF2-40B4-BE49-F238E27FC236}">
                  <a16:creationId xmlns:a16="http://schemas.microsoft.com/office/drawing/2014/main" id="{70BEA868-19D7-70A4-562F-634CC96153DB}"/>
                </a:ext>
              </a:extLst>
            </xdr:cNvPr>
            <xdr:cNvGrpSpPr/>
          </xdr:nvGrpSpPr>
          <xdr:grpSpPr>
            <a:xfrm>
              <a:off x="8814167" y="3818680"/>
              <a:ext cx="1583474" cy="358291"/>
              <a:chOff x="3880217" y="4675930"/>
              <a:chExt cx="1583474" cy="358291"/>
            </a:xfrm>
          </xdr:grpSpPr>
          <xdr:sp macro="" textlink="'W5'!$I$64">
            <xdr:nvSpPr>
              <xdr:cNvPr id="198" name="TextBox 20">
                <a:extLst>
                  <a:ext uri="{FF2B5EF4-FFF2-40B4-BE49-F238E27FC236}">
                    <a16:creationId xmlns:a16="http://schemas.microsoft.com/office/drawing/2014/main" id="{165AF1ED-9908-4372-8AA8-FE224AAB2009}"/>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0B91123-3037-4849-ADE4-9EB13A417AEF}" type="TxLink">
                  <a:rPr lang="en-US" sz="1700" b="1" i="0" u="none" strike="noStrike">
                    <a:solidFill>
                      <a:srgbClr val="0033CC"/>
                    </a:solidFill>
                    <a:latin typeface="+mj-lt"/>
                    <a:cs typeface="Arial"/>
                  </a:rPr>
                  <a:pPr/>
                  <a:t>650 </a:t>
                </a:fld>
                <a:endParaRPr lang="en-US" sz="1700">
                  <a:solidFill>
                    <a:srgbClr val="0033CC"/>
                  </a:solidFill>
                  <a:latin typeface="+mj-lt"/>
                  <a:cs typeface="Arial" panose="020B0604020202020204" pitchFamily="34" charset="0"/>
                </a:endParaRPr>
              </a:p>
            </xdr:txBody>
          </xdr:sp>
          <xdr:sp macro="" textlink="">
            <xdr:nvSpPr>
              <xdr:cNvPr id="199" name="TextBox 21">
                <a:extLst>
                  <a:ext uri="{FF2B5EF4-FFF2-40B4-BE49-F238E27FC236}">
                    <a16:creationId xmlns:a16="http://schemas.microsoft.com/office/drawing/2014/main" id="{FD411361-B395-09C3-9FE2-5A1B0BF9AAF4}"/>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94" name="Group 26">
              <a:extLst>
                <a:ext uri="{FF2B5EF4-FFF2-40B4-BE49-F238E27FC236}">
                  <a16:creationId xmlns:a16="http://schemas.microsoft.com/office/drawing/2014/main" id="{25E60D25-DC1E-F7F2-209E-F8BFE61DDF84}"/>
                </a:ext>
              </a:extLst>
            </xdr:cNvPr>
            <xdr:cNvGrpSpPr/>
          </xdr:nvGrpSpPr>
          <xdr:grpSpPr>
            <a:xfrm>
              <a:off x="7697825" y="5550324"/>
              <a:ext cx="1075761" cy="746276"/>
              <a:chOff x="5516600" y="5769399"/>
              <a:chExt cx="1075761" cy="746276"/>
            </a:xfrm>
          </xdr:grpSpPr>
          <xdr:sp macro="" textlink="'W5'!$I$61">
            <xdr:nvSpPr>
              <xdr:cNvPr id="195" name="TextBox 28">
                <a:extLst>
                  <a:ext uri="{FF2B5EF4-FFF2-40B4-BE49-F238E27FC236}">
                    <a16:creationId xmlns:a16="http://schemas.microsoft.com/office/drawing/2014/main" id="{0C725D12-84DC-190B-4D4E-337AFE5CCFA9}"/>
                  </a:ext>
                </a:extLst>
              </xdr:cNvPr>
              <xdr:cNvSpPr txBox="1"/>
            </xdr:nvSpPr>
            <xdr:spPr>
              <a:xfrm>
                <a:off x="5686426" y="5962650"/>
                <a:ext cx="590600"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09906CF-709A-4218-9ECE-4800550B50F2}" type="TxLink">
                  <a:rPr lang="en-US" sz="1500" b="1" i="0" u="none" strike="noStrike">
                    <a:solidFill>
                      <a:srgbClr val="0033CC"/>
                    </a:solidFill>
                    <a:latin typeface="+mj-lt"/>
                    <a:cs typeface="Arial"/>
                  </a:rPr>
                  <a:pPr/>
                  <a:t>608 </a:t>
                </a:fld>
                <a:endParaRPr lang="en-US" sz="1500">
                  <a:latin typeface="+mj-lt"/>
                </a:endParaRPr>
              </a:p>
            </xdr:txBody>
          </xdr:sp>
          <xdr:sp macro="" textlink="">
            <xdr:nvSpPr>
              <xdr:cNvPr id="196" name="TextBox 29">
                <a:extLst>
                  <a:ext uri="{FF2B5EF4-FFF2-40B4-BE49-F238E27FC236}">
                    <a16:creationId xmlns:a16="http://schemas.microsoft.com/office/drawing/2014/main" id="{1CAB7BFD-15CC-4333-8493-14043ADDCDCD}"/>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97" name="TextBox 30">
                <a:extLst>
                  <a:ext uri="{FF2B5EF4-FFF2-40B4-BE49-F238E27FC236}">
                    <a16:creationId xmlns:a16="http://schemas.microsoft.com/office/drawing/2014/main" id="{4C0DBFD5-DC23-6B59-1E21-826FA3941476}"/>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27" name="TextBox 69">
            <a:extLst>
              <a:ext uri="{FF2B5EF4-FFF2-40B4-BE49-F238E27FC236}">
                <a16:creationId xmlns:a16="http://schemas.microsoft.com/office/drawing/2014/main" id="{EFC1AC02-201A-88FB-E869-E9C3CDE7F1E5}"/>
              </a:ext>
            </a:extLst>
          </xdr:cNvPr>
          <xdr:cNvSpPr txBox="1"/>
        </xdr:nvSpPr>
        <xdr:spPr>
          <a:xfrm>
            <a:off x="16261704" y="7403937"/>
            <a:ext cx="779291" cy="329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3</a:t>
            </a:r>
          </a:p>
        </xdr:txBody>
      </xdr:sp>
    </xdr:grpSp>
    <xdr:clientData/>
  </xdr:twoCellAnchor>
  <xdr:twoCellAnchor editAs="oneCell">
    <xdr:from>
      <xdr:col>40</xdr:col>
      <xdr:colOff>80122</xdr:colOff>
      <xdr:row>44</xdr:row>
      <xdr:rowOff>19050</xdr:rowOff>
    </xdr:from>
    <xdr:to>
      <xdr:col>44</xdr:col>
      <xdr:colOff>76882</xdr:colOff>
      <xdr:row>64</xdr:row>
      <xdr:rowOff>143790</xdr:rowOff>
    </xdr:to>
    <xdr:grpSp>
      <xdr:nvGrpSpPr>
        <xdr:cNvPr id="221" name="Group 220">
          <a:extLst>
            <a:ext uri="{FF2B5EF4-FFF2-40B4-BE49-F238E27FC236}">
              <a16:creationId xmlns:a16="http://schemas.microsoft.com/office/drawing/2014/main" id="{814B51CD-2465-4814-880E-D4CCCBAAAB96}"/>
            </a:ext>
          </a:extLst>
        </xdr:cNvPr>
        <xdr:cNvGrpSpPr/>
      </xdr:nvGrpSpPr>
      <xdr:grpSpPr>
        <a:xfrm>
          <a:off x="45833740" y="8176932"/>
          <a:ext cx="2495671" cy="4091623"/>
          <a:chOff x="16172571" y="7403937"/>
          <a:chExt cx="2327982" cy="4135400"/>
        </a:xfrm>
      </xdr:grpSpPr>
      <xdr:grpSp>
        <xdr:nvGrpSpPr>
          <xdr:cNvPr id="222" name="Group 24">
            <a:extLst>
              <a:ext uri="{FF2B5EF4-FFF2-40B4-BE49-F238E27FC236}">
                <a16:creationId xmlns:a16="http://schemas.microsoft.com/office/drawing/2014/main" id="{96586DD5-B21E-470D-701A-888C0570786D}"/>
              </a:ext>
            </a:extLst>
          </xdr:cNvPr>
          <xdr:cNvGrpSpPr/>
        </xdr:nvGrpSpPr>
        <xdr:grpSpPr>
          <a:xfrm>
            <a:off x="16172571" y="7734260"/>
            <a:ext cx="2327982" cy="3805077"/>
            <a:chOff x="7697825" y="3800475"/>
            <a:chExt cx="2755769" cy="3935649"/>
          </a:xfrm>
        </xdr:grpSpPr>
        <xdr:graphicFrame macro="">
          <xdr:nvGraphicFramePr>
            <xdr:cNvPr id="224" name="Chart 3">
              <a:extLst>
                <a:ext uri="{FF2B5EF4-FFF2-40B4-BE49-F238E27FC236}">
                  <a16:creationId xmlns:a16="http://schemas.microsoft.com/office/drawing/2014/main" id="{A30C5EA3-7087-7F86-DFA3-B4137494E15F}"/>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25" name="Group 19">
              <a:extLst>
                <a:ext uri="{FF2B5EF4-FFF2-40B4-BE49-F238E27FC236}">
                  <a16:creationId xmlns:a16="http://schemas.microsoft.com/office/drawing/2014/main" id="{3E308F61-282E-37F3-2F3A-09987ACFA34B}"/>
                </a:ext>
              </a:extLst>
            </xdr:cNvPr>
            <xdr:cNvGrpSpPr/>
          </xdr:nvGrpSpPr>
          <xdr:grpSpPr>
            <a:xfrm>
              <a:off x="8814167" y="3818680"/>
              <a:ext cx="1583474" cy="358291"/>
              <a:chOff x="3880217" y="4675930"/>
              <a:chExt cx="1583474" cy="358291"/>
            </a:xfrm>
          </xdr:grpSpPr>
          <xdr:sp macro="" textlink="'W5'!$M$64">
            <xdr:nvSpPr>
              <xdr:cNvPr id="231" name="TextBox 20">
                <a:extLst>
                  <a:ext uri="{FF2B5EF4-FFF2-40B4-BE49-F238E27FC236}">
                    <a16:creationId xmlns:a16="http://schemas.microsoft.com/office/drawing/2014/main" id="{92C42D0D-9201-E3C8-BCAA-DDA9EE0464B8}"/>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5AAB736-F420-455D-906C-BBB331F6CFCF}" type="TxLink">
                  <a:rPr lang="en-US" sz="1700" b="1" i="0" u="none" strike="noStrike">
                    <a:solidFill>
                      <a:srgbClr val="0033CC"/>
                    </a:solidFill>
                    <a:latin typeface="+mj-lt"/>
                    <a:cs typeface="Arial"/>
                  </a:rPr>
                  <a:pPr/>
                  <a:t>610 </a:t>
                </a:fld>
                <a:endParaRPr lang="en-US" sz="1700">
                  <a:solidFill>
                    <a:srgbClr val="0033CC"/>
                  </a:solidFill>
                  <a:latin typeface="+mj-lt"/>
                  <a:cs typeface="Arial" panose="020B0604020202020204" pitchFamily="34" charset="0"/>
                </a:endParaRPr>
              </a:p>
            </xdr:txBody>
          </xdr:sp>
          <xdr:sp macro="" textlink="">
            <xdr:nvSpPr>
              <xdr:cNvPr id="232" name="TextBox 21">
                <a:extLst>
                  <a:ext uri="{FF2B5EF4-FFF2-40B4-BE49-F238E27FC236}">
                    <a16:creationId xmlns:a16="http://schemas.microsoft.com/office/drawing/2014/main" id="{3B573BC7-7393-B29D-F051-9CAC41A6FD5C}"/>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227" name="Group 26">
              <a:extLst>
                <a:ext uri="{FF2B5EF4-FFF2-40B4-BE49-F238E27FC236}">
                  <a16:creationId xmlns:a16="http://schemas.microsoft.com/office/drawing/2014/main" id="{19BD4481-93BB-5431-933B-6F6169EECE21}"/>
                </a:ext>
              </a:extLst>
            </xdr:cNvPr>
            <xdr:cNvGrpSpPr/>
          </xdr:nvGrpSpPr>
          <xdr:grpSpPr>
            <a:xfrm>
              <a:off x="7697825" y="5550324"/>
              <a:ext cx="1075761" cy="746276"/>
              <a:chOff x="5516600" y="5769399"/>
              <a:chExt cx="1075761" cy="746276"/>
            </a:xfrm>
          </xdr:grpSpPr>
          <xdr:sp macro="" textlink="'W5'!$M$61">
            <xdr:nvSpPr>
              <xdr:cNvPr id="228" name="TextBox 28">
                <a:extLst>
                  <a:ext uri="{FF2B5EF4-FFF2-40B4-BE49-F238E27FC236}">
                    <a16:creationId xmlns:a16="http://schemas.microsoft.com/office/drawing/2014/main" id="{F2EDF1C1-ADA0-BBC7-3BEC-F67E5C264C4E}"/>
                  </a:ext>
                </a:extLst>
              </xdr:cNvPr>
              <xdr:cNvSpPr txBox="1"/>
            </xdr:nvSpPr>
            <xdr:spPr>
              <a:xfrm>
                <a:off x="5686426" y="5962650"/>
                <a:ext cx="589009"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7111B5A-F998-47AB-B114-FE4DE8789637}" type="TxLink">
                  <a:rPr lang="en-US" sz="1500" b="1" i="0" u="none" strike="noStrike">
                    <a:solidFill>
                      <a:srgbClr val="0033CC"/>
                    </a:solidFill>
                    <a:latin typeface="+mj-lt"/>
                    <a:cs typeface="Arial"/>
                  </a:rPr>
                  <a:pPr/>
                  <a:t>608 </a:t>
                </a:fld>
                <a:endParaRPr lang="en-US" sz="1500">
                  <a:latin typeface="+mj-lt"/>
                </a:endParaRPr>
              </a:p>
            </xdr:txBody>
          </xdr:sp>
          <xdr:sp macro="" textlink="">
            <xdr:nvSpPr>
              <xdr:cNvPr id="229" name="TextBox 29">
                <a:extLst>
                  <a:ext uri="{FF2B5EF4-FFF2-40B4-BE49-F238E27FC236}">
                    <a16:creationId xmlns:a16="http://schemas.microsoft.com/office/drawing/2014/main" id="{AF934686-34D8-02DB-677C-845BA2C6A9A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230" name="TextBox 30">
                <a:extLst>
                  <a:ext uri="{FF2B5EF4-FFF2-40B4-BE49-F238E27FC236}">
                    <a16:creationId xmlns:a16="http://schemas.microsoft.com/office/drawing/2014/main" id="{C5746A22-6AC5-77F0-E157-C956ED8C1967}"/>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23" name="TextBox 69">
            <a:extLst>
              <a:ext uri="{FF2B5EF4-FFF2-40B4-BE49-F238E27FC236}">
                <a16:creationId xmlns:a16="http://schemas.microsoft.com/office/drawing/2014/main" id="{E0C00E5B-4666-3B8F-C5EC-C1D94DE7AEFF}"/>
              </a:ext>
            </a:extLst>
          </xdr:cNvPr>
          <xdr:cNvSpPr txBox="1"/>
        </xdr:nvSpPr>
        <xdr:spPr>
          <a:xfrm>
            <a:off x="16261704" y="7403937"/>
            <a:ext cx="802271"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5</a:t>
            </a:r>
          </a:p>
        </xdr:txBody>
      </xdr:sp>
    </xdr:grpSp>
    <xdr:clientData/>
  </xdr:twoCellAnchor>
  <xdr:twoCellAnchor editAs="oneCell">
    <xdr:from>
      <xdr:col>26</xdr:col>
      <xdr:colOff>257175</xdr:colOff>
      <xdr:row>43</xdr:row>
      <xdr:rowOff>85725</xdr:rowOff>
    </xdr:from>
    <xdr:to>
      <xdr:col>26</xdr:col>
      <xdr:colOff>2718556</xdr:colOff>
      <xdr:row>64</xdr:row>
      <xdr:rowOff>32030</xdr:rowOff>
    </xdr:to>
    <xdr:grpSp>
      <xdr:nvGrpSpPr>
        <xdr:cNvPr id="244" name="Group 243">
          <a:extLst>
            <a:ext uri="{FF2B5EF4-FFF2-40B4-BE49-F238E27FC236}">
              <a16:creationId xmlns:a16="http://schemas.microsoft.com/office/drawing/2014/main" id="{74E359A3-938F-45E8-9751-0414388E0713}"/>
            </a:ext>
          </a:extLst>
        </xdr:cNvPr>
        <xdr:cNvGrpSpPr/>
      </xdr:nvGrpSpPr>
      <xdr:grpSpPr>
        <a:xfrm>
          <a:off x="33303322" y="8064313"/>
          <a:ext cx="2461381" cy="4092482"/>
          <a:chOff x="16172571" y="7403937"/>
          <a:chExt cx="2327982" cy="4135400"/>
        </a:xfrm>
      </xdr:grpSpPr>
      <xdr:grpSp>
        <xdr:nvGrpSpPr>
          <xdr:cNvPr id="245" name="Group 24">
            <a:extLst>
              <a:ext uri="{FF2B5EF4-FFF2-40B4-BE49-F238E27FC236}">
                <a16:creationId xmlns:a16="http://schemas.microsoft.com/office/drawing/2014/main" id="{DCA0FF6B-1C05-3339-8AFD-5F8B773C51C2}"/>
              </a:ext>
            </a:extLst>
          </xdr:cNvPr>
          <xdr:cNvGrpSpPr/>
        </xdr:nvGrpSpPr>
        <xdr:grpSpPr>
          <a:xfrm>
            <a:off x="16172571" y="7734260"/>
            <a:ext cx="2327982" cy="3805077"/>
            <a:chOff x="7697825" y="3800475"/>
            <a:chExt cx="2755769" cy="3935649"/>
          </a:xfrm>
        </xdr:grpSpPr>
        <xdr:graphicFrame macro="">
          <xdr:nvGraphicFramePr>
            <xdr:cNvPr id="247" name="Chart 3">
              <a:extLst>
                <a:ext uri="{FF2B5EF4-FFF2-40B4-BE49-F238E27FC236}">
                  <a16:creationId xmlns:a16="http://schemas.microsoft.com/office/drawing/2014/main" id="{83F0E64B-91AD-4090-0BE5-28C7767B3BC7}"/>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48" name="Group 19">
              <a:extLst>
                <a:ext uri="{FF2B5EF4-FFF2-40B4-BE49-F238E27FC236}">
                  <a16:creationId xmlns:a16="http://schemas.microsoft.com/office/drawing/2014/main" id="{EB56AD98-FA01-02EB-D439-8F54BD61900D}"/>
                </a:ext>
              </a:extLst>
            </xdr:cNvPr>
            <xdr:cNvGrpSpPr/>
          </xdr:nvGrpSpPr>
          <xdr:grpSpPr>
            <a:xfrm>
              <a:off x="8814167" y="3818680"/>
              <a:ext cx="1583474" cy="358291"/>
              <a:chOff x="3880217" y="4675930"/>
              <a:chExt cx="1583474" cy="358291"/>
            </a:xfrm>
          </xdr:grpSpPr>
          <xdr:sp macro="" textlink="'W5'!$E$64">
            <xdr:nvSpPr>
              <xdr:cNvPr id="253" name="TextBox 20">
                <a:extLst>
                  <a:ext uri="{FF2B5EF4-FFF2-40B4-BE49-F238E27FC236}">
                    <a16:creationId xmlns:a16="http://schemas.microsoft.com/office/drawing/2014/main" id="{03046626-FDCB-EC2B-70D2-AD7F35405F1E}"/>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E809265-BB32-4C3F-AABB-A5F790BD0D4E}"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254" name="TextBox 21">
                <a:extLst>
                  <a:ext uri="{FF2B5EF4-FFF2-40B4-BE49-F238E27FC236}">
                    <a16:creationId xmlns:a16="http://schemas.microsoft.com/office/drawing/2014/main" id="{58A9C217-8C43-1BE0-86C0-BE1AAF890373}"/>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249" name="Group 26">
              <a:extLst>
                <a:ext uri="{FF2B5EF4-FFF2-40B4-BE49-F238E27FC236}">
                  <a16:creationId xmlns:a16="http://schemas.microsoft.com/office/drawing/2014/main" id="{07C2C22D-3ECC-506F-1337-C522A152FB6A}"/>
                </a:ext>
              </a:extLst>
            </xdr:cNvPr>
            <xdr:cNvGrpSpPr/>
          </xdr:nvGrpSpPr>
          <xdr:grpSpPr>
            <a:xfrm>
              <a:off x="7697825" y="5550324"/>
              <a:ext cx="1075761" cy="746276"/>
              <a:chOff x="5516600" y="5769399"/>
              <a:chExt cx="1075761" cy="746276"/>
            </a:xfrm>
          </xdr:grpSpPr>
          <xdr:sp macro="" textlink="'W5'!$E$61">
            <xdr:nvSpPr>
              <xdr:cNvPr id="250" name="TextBox 28">
                <a:extLst>
                  <a:ext uri="{FF2B5EF4-FFF2-40B4-BE49-F238E27FC236}">
                    <a16:creationId xmlns:a16="http://schemas.microsoft.com/office/drawing/2014/main" id="{3738F6DF-EE36-25CE-993F-BF8C12E651FB}"/>
                  </a:ext>
                </a:extLst>
              </xdr:cNvPr>
              <xdr:cNvSpPr txBox="1"/>
            </xdr:nvSpPr>
            <xdr:spPr>
              <a:xfrm>
                <a:off x="5686426" y="5962651"/>
                <a:ext cx="597214" cy="34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0ADCB5B-5397-46CC-82BE-6D146FEEAD61}" type="TxLink">
                  <a:rPr lang="en-US" sz="1500" b="1" i="0" u="none" strike="noStrike">
                    <a:solidFill>
                      <a:srgbClr val="0033CC"/>
                    </a:solidFill>
                    <a:latin typeface="+mj-lt"/>
                    <a:cs typeface="Arial"/>
                  </a:rPr>
                  <a:pPr/>
                  <a:t>608 </a:t>
                </a:fld>
                <a:endParaRPr lang="en-US" sz="1500">
                  <a:latin typeface="+mj-lt"/>
                </a:endParaRPr>
              </a:p>
            </xdr:txBody>
          </xdr:sp>
          <xdr:sp macro="" textlink="">
            <xdr:nvSpPr>
              <xdr:cNvPr id="251" name="TextBox 29">
                <a:extLst>
                  <a:ext uri="{FF2B5EF4-FFF2-40B4-BE49-F238E27FC236}">
                    <a16:creationId xmlns:a16="http://schemas.microsoft.com/office/drawing/2014/main" id="{78611ED8-56A6-087E-EA38-C873102CFC7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252" name="TextBox 30">
                <a:extLst>
                  <a:ext uri="{FF2B5EF4-FFF2-40B4-BE49-F238E27FC236}">
                    <a16:creationId xmlns:a16="http://schemas.microsoft.com/office/drawing/2014/main" id="{88AD23AE-D510-394E-56D3-03123CD6C421}"/>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46" name="TextBox 69">
            <a:extLst>
              <a:ext uri="{FF2B5EF4-FFF2-40B4-BE49-F238E27FC236}">
                <a16:creationId xmlns:a16="http://schemas.microsoft.com/office/drawing/2014/main" id="{5D9D25E2-D22E-85FB-FFB0-5954331AD20F}"/>
              </a:ext>
            </a:extLst>
          </xdr:cNvPr>
          <xdr:cNvSpPr txBox="1"/>
        </xdr:nvSpPr>
        <xdr:spPr>
          <a:xfrm>
            <a:off x="16261704" y="7403937"/>
            <a:ext cx="809247" cy="3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1</a:t>
            </a:r>
          </a:p>
        </xdr:txBody>
      </xdr:sp>
    </xdr:grpSp>
    <xdr:clientData/>
  </xdr:twoCellAnchor>
  <xdr:twoCellAnchor editAs="oneCell">
    <xdr:from>
      <xdr:col>26</xdr:col>
      <xdr:colOff>523875</xdr:colOff>
      <xdr:row>66</xdr:row>
      <xdr:rowOff>76200</xdr:rowOff>
    </xdr:from>
    <xdr:to>
      <xdr:col>26</xdr:col>
      <xdr:colOff>3004253</xdr:colOff>
      <xdr:row>87</xdr:row>
      <xdr:rowOff>51883</xdr:rowOff>
    </xdr:to>
    <xdr:grpSp>
      <xdr:nvGrpSpPr>
        <xdr:cNvPr id="73" name="Group 265">
          <a:extLst>
            <a:ext uri="{FF2B5EF4-FFF2-40B4-BE49-F238E27FC236}">
              <a16:creationId xmlns:a16="http://schemas.microsoft.com/office/drawing/2014/main" id="{28DC6BA2-A6B1-4066-8FE3-5F12F1CF7879}"/>
            </a:ext>
          </a:extLst>
        </xdr:cNvPr>
        <xdr:cNvGrpSpPr/>
      </xdr:nvGrpSpPr>
      <xdr:grpSpPr>
        <a:xfrm>
          <a:off x="33570022" y="12581965"/>
          <a:ext cx="2480378" cy="4065830"/>
          <a:chOff x="9284677" y="11615942"/>
          <a:chExt cx="2252365" cy="4102026"/>
        </a:xfrm>
      </xdr:grpSpPr>
      <xdr:grpSp>
        <xdr:nvGrpSpPr>
          <xdr:cNvPr id="114" name="Group 266">
            <a:extLst>
              <a:ext uri="{FF2B5EF4-FFF2-40B4-BE49-F238E27FC236}">
                <a16:creationId xmlns:a16="http://schemas.microsoft.com/office/drawing/2014/main" id="{43FE1453-2FEA-67E3-0DCF-C5437577BF0E}"/>
              </a:ext>
            </a:extLst>
          </xdr:cNvPr>
          <xdr:cNvGrpSpPr/>
        </xdr:nvGrpSpPr>
        <xdr:grpSpPr>
          <a:xfrm>
            <a:off x="9284677" y="11959783"/>
            <a:ext cx="2252365" cy="3758185"/>
            <a:chOff x="7743823" y="7915275"/>
            <a:chExt cx="2663385" cy="4317935"/>
          </a:xfrm>
        </xdr:grpSpPr>
        <xdr:graphicFrame macro="">
          <xdr:nvGraphicFramePr>
            <xdr:cNvPr id="115" name="Chart 268">
              <a:extLst>
                <a:ext uri="{FF2B5EF4-FFF2-40B4-BE49-F238E27FC236}">
                  <a16:creationId xmlns:a16="http://schemas.microsoft.com/office/drawing/2014/main" id="{FE3CA115-E6B0-4C65-C874-A164EE2AF983}"/>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116" name="Group 269">
              <a:extLst>
                <a:ext uri="{FF2B5EF4-FFF2-40B4-BE49-F238E27FC236}">
                  <a16:creationId xmlns:a16="http://schemas.microsoft.com/office/drawing/2014/main" id="{15A296C9-9D2D-40F0-8AAB-B5CD14F8380E}"/>
                </a:ext>
              </a:extLst>
            </xdr:cNvPr>
            <xdr:cNvGrpSpPr/>
          </xdr:nvGrpSpPr>
          <xdr:grpSpPr>
            <a:xfrm>
              <a:off x="8748842" y="8010525"/>
              <a:ext cx="1601103" cy="385633"/>
              <a:chOff x="3662491" y="4678681"/>
              <a:chExt cx="1601103" cy="385633"/>
            </a:xfrm>
          </xdr:grpSpPr>
          <xdr:sp macro="" textlink="'W5'!$E$86">
            <xdr:nvSpPr>
              <xdr:cNvPr id="117" name="TextBox 274">
                <a:extLst>
                  <a:ext uri="{FF2B5EF4-FFF2-40B4-BE49-F238E27FC236}">
                    <a16:creationId xmlns:a16="http://schemas.microsoft.com/office/drawing/2014/main" id="{90FA6614-1B01-EB30-5B8F-3D78163394BC}"/>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8833D1CA-8EA5-454C-9857-91F2AF753FE7}" type="TxLink">
                  <a:rPr lang="en-US" sz="1700" b="1" i="0" u="none" strike="noStrike">
                    <a:solidFill>
                      <a:srgbClr val="0033CC"/>
                    </a:solidFill>
                    <a:latin typeface="+mj-lt"/>
                    <a:cs typeface="Arial"/>
                  </a:rPr>
                  <a:pPr/>
                  <a:t>1,744 </a:t>
                </a:fld>
                <a:endParaRPr lang="en-US" sz="1700">
                  <a:solidFill>
                    <a:srgbClr val="0033CC"/>
                  </a:solidFill>
                  <a:latin typeface="+mj-lt"/>
                  <a:cs typeface="Arial" panose="020B0604020202020204" pitchFamily="34" charset="0"/>
                </a:endParaRPr>
              </a:p>
            </xdr:txBody>
          </xdr:sp>
          <xdr:sp macro="" textlink="">
            <xdr:nvSpPr>
              <xdr:cNvPr id="118" name="TextBox 275">
                <a:extLst>
                  <a:ext uri="{FF2B5EF4-FFF2-40B4-BE49-F238E27FC236}">
                    <a16:creationId xmlns:a16="http://schemas.microsoft.com/office/drawing/2014/main" id="{481821C8-9E52-2A8D-1008-F90593D58841}"/>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19" name="Group 270">
              <a:extLst>
                <a:ext uri="{FF2B5EF4-FFF2-40B4-BE49-F238E27FC236}">
                  <a16:creationId xmlns:a16="http://schemas.microsoft.com/office/drawing/2014/main" id="{9CBFBD68-518B-C060-7845-911C644574D2}"/>
                </a:ext>
              </a:extLst>
            </xdr:cNvPr>
            <xdr:cNvGrpSpPr/>
          </xdr:nvGrpSpPr>
          <xdr:grpSpPr>
            <a:xfrm>
              <a:off x="7743823" y="9982200"/>
              <a:ext cx="1018881" cy="734000"/>
              <a:chOff x="5572123" y="5781675"/>
              <a:chExt cx="1018881" cy="734000"/>
            </a:xfrm>
          </xdr:grpSpPr>
          <xdr:sp macro="" textlink="'W5'!$E$83">
            <xdr:nvSpPr>
              <xdr:cNvPr id="120" name="TextBox 271">
                <a:extLst>
                  <a:ext uri="{FF2B5EF4-FFF2-40B4-BE49-F238E27FC236}">
                    <a16:creationId xmlns:a16="http://schemas.microsoft.com/office/drawing/2014/main" id="{BE67DA29-BBB4-ED30-77F2-F5E80B39AB70}"/>
                  </a:ext>
                </a:extLst>
              </xdr:cNvPr>
              <xdr:cNvSpPr txBox="1"/>
            </xdr:nvSpPr>
            <xdr:spPr>
              <a:xfrm>
                <a:off x="5581649" y="5962651"/>
                <a:ext cx="738291"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F0A4DCE-EBB6-4265-A7D0-BEB29FA05E44}" type="TxLink">
                  <a:rPr lang="en-US" sz="1500" b="1" i="0" u="none" strike="noStrike">
                    <a:solidFill>
                      <a:srgbClr val="0033CC"/>
                    </a:solidFill>
                    <a:latin typeface="+mj-lt"/>
                    <a:cs typeface="Arial"/>
                  </a:rPr>
                  <a:pPr/>
                  <a:t>1,560 </a:t>
                </a:fld>
                <a:endParaRPr lang="en-US" sz="1500">
                  <a:latin typeface="+mj-lt"/>
                </a:endParaRPr>
              </a:p>
            </xdr:txBody>
          </xdr:sp>
          <xdr:sp macro="" textlink="">
            <xdr:nvSpPr>
              <xdr:cNvPr id="121" name="TextBox 272">
                <a:extLst>
                  <a:ext uri="{FF2B5EF4-FFF2-40B4-BE49-F238E27FC236}">
                    <a16:creationId xmlns:a16="http://schemas.microsoft.com/office/drawing/2014/main" id="{991F8CFA-C259-B500-83EF-FE23BF978B5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22" name="TextBox 273">
                <a:extLst>
                  <a:ext uri="{FF2B5EF4-FFF2-40B4-BE49-F238E27FC236}">
                    <a16:creationId xmlns:a16="http://schemas.microsoft.com/office/drawing/2014/main" id="{C015584E-2241-C4A4-8757-66C555CDE57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23" name="TextBox 267">
            <a:extLst>
              <a:ext uri="{FF2B5EF4-FFF2-40B4-BE49-F238E27FC236}">
                <a16:creationId xmlns:a16="http://schemas.microsoft.com/office/drawing/2014/main" id="{86E11629-368C-3BFF-D9C1-C1B6A15C632B}"/>
              </a:ext>
            </a:extLst>
          </xdr:cNvPr>
          <xdr:cNvSpPr txBox="1"/>
        </xdr:nvSpPr>
        <xdr:spPr>
          <a:xfrm>
            <a:off x="9317731" y="11615942"/>
            <a:ext cx="776965" cy="330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1</a:t>
            </a:r>
          </a:p>
        </xdr:txBody>
      </xdr:sp>
    </xdr:grpSp>
    <xdr:clientData/>
  </xdr:twoCellAnchor>
  <xdr:twoCellAnchor editAs="oneCell">
    <xdr:from>
      <xdr:col>26</xdr:col>
      <xdr:colOff>3641911</xdr:colOff>
      <xdr:row>66</xdr:row>
      <xdr:rowOff>78441</xdr:rowOff>
    </xdr:from>
    <xdr:to>
      <xdr:col>30</xdr:col>
      <xdr:colOff>134316</xdr:colOff>
      <xdr:row>87</xdr:row>
      <xdr:rowOff>54122</xdr:rowOff>
    </xdr:to>
    <xdr:grpSp>
      <xdr:nvGrpSpPr>
        <xdr:cNvPr id="59" name="Group 287">
          <a:extLst>
            <a:ext uri="{FF2B5EF4-FFF2-40B4-BE49-F238E27FC236}">
              <a16:creationId xmlns:a16="http://schemas.microsoft.com/office/drawing/2014/main" id="{8FE08E97-55AE-466A-A5FC-C07E7FD8002D}"/>
            </a:ext>
          </a:extLst>
        </xdr:cNvPr>
        <xdr:cNvGrpSpPr/>
      </xdr:nvGrpSpPr>
      <xdr:grpSpPr>
        <a:xfrm>
          <a:off x="36688058" y="12584206"/>
          <a:ext cx="2745287" cy="4065828"/>
          <a:chOff x="9284677" y="11615942"/>
          <a:chExt cx="2252365" cy="4102024"/>
        </a:xfrm>
      </xdr:grpSpPr>
      <xdr:grpSp>
        <xdr:nvGrpSpPr>
          <xdr:cNvPr id="60" name="Group 288">
            <a:extLst>
              <a:ext uri="{FF2B5EF4-FFF2-40B4-BE49-F238E27FC236}">
                <a16:creationId xmlns:a16="http://schemas.microsoft.com/office/drawing/2014/main" id="{BE47776D-FAFF-19E0-7867-45CDBF6C1D82}"/>
              </a:ext>
            </a:extLst>
          </xdr:cNvPr>
          <xdr:cNvGrpSpPr/>
        </xdr:nvGrpSpPr>
        <xdr:grpSpPr>
          <a:xfrm>
            <a:off x="9284677" y="11959782"/>
            <a:ext cx="2252365" cy="3758184"/>
            <a:chOff x="7743823" y="7915275"/>
            <a:chExt cx="2663385" cy="4317935"/>
          </a:xfrm>
        </xdr:grpSpPr>
        <xdr:graphicFrame macro="">
          <xdr:nvGraphicFramePr>
            <xdr:cNvPr id="61" name="Chart 290">
              <a:extLst>
                <a:ext uri="{FF2B5EF4-FFF2-40B4-BE49-F238E27FC236}">
                  <a16:creationId xmlns:a16="http://schemas.microsoft.com/office/drawing/2014/main" id="{0028F618-CDFC-2E9F-E0A8-BF4748F33052}"/>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62" name="Group 291">
              <a:extLst>
                <a:ext uri="{FF2B5EF4-FFF2-40B4-BE49-F238E27FC236}">
                  <a16:creationId xmlns:a16="http://schemas.microsoft.com/office/drawing/2014/main" id="{5207BE1B-33A4-E9D0-AA1F-6B83C1B5A468}"/>
                </a:ext>
              </a:extLst>
            </xdr:cNvPr>
            <xdr:cNvGrpSpPr/>
          </xdr:nvGrpSpPr>
          <xdr:grpSpPr>
            <a:xfrm>
              <a:off x="8748842" y="8010525"/>
              <a:ext cx="1601103" cy="385633"/>
              <a:chOff x="3662491" y="4678681"/>
              <a:chExt cx="1601103" cy="385633"/>
            </a:xfrm>
          </xdr:grpSpPr>
          <xdr:sp macro="" textlink="'W5'!$G$86">
            <xdr:nvSpPr>
              <xdr:cNvPr id="63" name="TextBox 296">
                <a:extLst>
                  <a:ext uri="{FF2B5EF4-FFF2-40B4-BE49-F238E27FC236}">
                    <a16:creationId xmlns:a16="http://schemas.microsoft.com/office/drawing/2014/main" id="{CD371D06-36B7-83A3-06C8-70F1FF1D544D}"/>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23E8609-1FF8-432A-B3C6-0B48E1BCB055}" type="TxLink">
                  <a:rPr lang="en-US" sz="1700" b="1" i="0" u="none" strike="noStrike">
                    <a:solidFill>
                      <a:srgbClr val="0033CC"/>
                    </a:solidFill>
                    <a:latin typeface="Arial"/>
                    <a:cs typeface="Arial"/>
                  </a:rPr>
                  <a:pPr/>
                  <a:t>1,744 </a:t>
                </a:fld>
                <a:endParaRPr lang="en-US" sz="1700">
                  <a:solidFill>
                    <a:srgbClr val="0033CC"/>
                  </a:solidFill>
                  <a:latin typeface="Aptos Narrow (Body)"/>
                  <a:cs typeface="Arial" panose="020B0604020202020204" pitchFamily="34" charset="0"/>
                </a:endParaRPr>
              </a:p>
            </xdr:txBody>
          </xdr:sp>
          <xdr:sp macro="" textlink="">
            <xdr:nvSpPr>
              <xdr:cNvPr id="64" name="TextBox 297">
                <a:extLst>
                  <a:ext uri="{FF2B5EF4-FFF2-40B4-BE49-F238E27FC236}">
                    <a16:creationId xmlns:a16="http://schemas.microsoft.com/office/drawing/2014/main" id="{17A978AB-4ADE-CB00-1280-B1E5CE1D9190}"/>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65" name="Group 292">
              <a:extLst>
                <a:ext uri="{FF2B5EF4-FFF2-40B4-BE49-F238E27FC236}">
                  <a16:creationId xmlns:a16="http://schemas.microsoft.com/office/drawing/2014/main" id="{71F8594D-E0F3-4D20-A9DA-506E37324FDC}"/>
                </a:ext>
              </a:extLst>
            </xdr:cNvPr>
            <xdr:cNvGrpSpPr/>
          </xdr:nvGrpSpPr>
          <xdr:grpSpPr>
            <a:xfrm>
              <a:off x="7743823" y="9982200"/>
              <a:ext cx="1018881" cy="734000"/>
              <a:chOff x="5572123" y="5781675"/>
              <a:chExt cx="1018881" cy="734000"/>
            </a:xfrm>
          </xdr:grpSpPr>
          <xdr:sp macro="" textlink="'W5'!$G$83">
            <xdr:nvSpPr>
              <xdr:cNvPr id="66" name="TextBox 293">
                <a:extLst>
                  <a:ext uri="{FF2B5EF4-FFF2-40B4-BE49-F238E27FC236}">
                    <a16:creationId xmlns:a16="http://schemas.microsoft.com/office/drawing/2014/main" id="{39C789B8-D24B-1D53-53F0-0F9043B249ED}"/>
                  </a:ext>
                </a:extLst>
              </xdr:cNvPr>
              <xdr:cNvSpPr txBox="1"/>
            </xdr:nvSpPr>
            <xdr:spPr>
              <a:xfrm>
                <a:off x="5581649" y="5962651"/>
                <a:ext cx="667048"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161050A-0C47-4473-87C8-BC006ABD4FDE}" type="TxLink">
                  <a:rPr lang="en-US" sz="1500" b="1" i="0" u="none" strike="noStrike">
                    <a:solidFill>
                      <a:srgbClr val="0033CC"/>
                    </a:solidFill>
                    <a:latin typeface="+mj-lt"/>
                    <a:cs typeface="Arial"/>
                  </a:rPr>
                  <a:pPr/>
                  <a:t>1,642 </a:t>
                </a:fld>
                <a:endParaRPr lang="en-US" sz="1500">
                  <a:latin typeface="+mj-lt"/>
                </a:endParaRPr>
              </a:p>
            </xdr:txBody>
          </xdr:sp>
          <xdr:sp macro="" textlink="">
            <xdr:nvSpPr>
              <xdr:cNvPr id="67" name="TextBox 294">
                <a:extLst>
                  <a:ext uri="{FF2B5EF4-FFF2-40B4-BE49-F238E27FC236}">
                    <a16:creationId xmlns:a16="http://schemas.microsoft.com/office/drawing/2014/main" id="{EE366C20-A63B-19A4-6F17-91638BE6CBA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68" name="TextBox 295">
                <a:extLst>
                  <a:ext uri="{FF2B5EF4-FFF2-40B4-BE49-F238E27FC236}">
                    <a16:creationId xmlns:a16="http://schemas.microsoft.com/office/drawing/2014/main" id="{31B17547-BE84-557E-69A7-5D661B6DFD67}"/>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69" name="TextBox 289">
            <a:extLst>
              <a:ext uri="{FF2B5EF4-FFF2-40B4-BE49-F238E27FC236}">
                <a16:creationId xmlns:a16="http://schemas.microsoft.com/office/drawing/2014/main" id="{B4F5B0EE-49C9-1806-E8F7-17E84E66CC2E}"/>
              </a:ext>
            </a:extLst>
          </xdr:cNvPr>
          <xdr:cNvSpPr txBox="1"/>
        </xdr:nvSpPr>
        <xdr:spPr>
          <a:xfrm>
            <a:off x="9317731" y="11615942"/>
            <a:ext cx="85561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2</a:t>
            </a:r>
          </a:p>
        </xdr:txBody>
      </xdr:sp>
    </xdr:grpSp>
    <xdr:clientData/>
  </xdr:twoCellAnchor>
  <xdr:twoCellAnchor editAs="oneCell">
    <xdr:from>
      <xdr:col>30</xdr:col>
      <xdr:colOff>627530</xdr:colOff>
      <xdr:row>66</xdr:row>
      <xdr:rowOff>168089</xdr:rowOff>
    </xdr:from>
    <xdr:to>
      <xdr:col>35</xdr:col>
      <xdr:colOff>182499</xdr:colOff>
      <xdr:row>87</xdr:row>
      <xdr:rowOff>143770</xdr:rowOff>
    </xdr:to>
    <xdr:grpSp>
      <xdr:nvGrpSpPr>
        <xdr:cNvPr id="210" name="Group 298">
          <a:extLst>
            <a:ext uri="{FF2B5EF4-FFF2-40B4-BE49-F238E27FC236}">
              <a16:creationId xmlns:a16="http://schemas.microsoft.com/office/drawing/2014/main" id="{A80493DD-8521-4C7A-A0D2-29861DEDE75D}"/>
            </a:ext>
          </a:extLst>
        </xdr:cNvPr>
        <xdr:cNvGrpSpPr/>
      </xdr:nvGrpSpPr>
      <xdr:grpSpPr>
        <a:xfrm>
          <a:off x="39926559" y="12673854"/>
          <a:ext cx="2793469" cy="4065828"/>
          <a:chOff x="9284677" y="11615942"/>
          <a:chExt cx="2252365" cy="4102024"/>
        </a:xfrm>
      </xdr:grpSpPr>
      <xdr:grpSp>
        <xdr:nvGrpSpPr>
          <xdr:cNvPr id="211" name="Group 299">
            <a:extLst>
              <a:ext uri="{FF2B5EF4-FFF2-40B4-BE49-F238E27FC236}">
                <a16:creationId xmlns:a16="http://schemas.microsoft.com/office/drawing/2014/main" id="{09C4F5A5-970C-B718-CF2B-0FA67C87C0B4}"/>
              </a:ext>
            </a:extLst>
          </xdr:cNvPr>
          <xdr:cNvGrpSpPr/>
        </xdr:nvGrpSpPr>
        <xdr:grpSpPr>
          <a:xfrm>
            <a:off x="9284677" y="11959782"/>
            <a:ext cx="2252365" cy="3758184"/>
            <a:chOff x="7743823" y="7915275"/>
            <a:chExt cx="2663385" cy="4317935"/>
          </a:xfrm>
        </xdr:grpSpPr>
        <xdr:graphicFrame macro="">
          <xdr:nvGraphicFramePr>
            <xdr:cNvPr id="213" name="Chart 301">
              <a:extLst>
                <a:ext uri="{FF2B5EF4-FFF2-40B4-BE49-F238E27FC236}">
                  <a16:creationId xmlns:a16="http://schemas.microsoft.com/office/drawing/2014/main" id="{D4B29901-94A9-D1D6-2F4E-966714FF8F3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214" name="Group 302">
              <a:extLst>
                <a:ext uri="{FF2B5EF4-FFF2-40B4-BE49-F238E27FC236}">
                  <a16:creationId xmlns:a16="http://schemas.microsoft.com/office/drawing/2014/main" id="{7CA1D5A3-7FFB-4E0D-5EFE-39D0321450CE}"/>
                </a:ext>
              </a:extLst>
            </xdr:cNvPr>
            <xdr:cNvGrpSpPr/>
          </xdr:nvGrpSpPr>
          <xdr:grpSpPr>
            <a:xfrm>
              <a:off x="8748842" y="8010525"/>
              <a:ext cx="1601103" cy="385633"/>
              <a:chOff x="3662491" y="4678681"/>
              <a:chExt cx="1601103" cy="385633"/>
            </a:xfrm>
          </xdr:grpSpPr>
          <xdr:sp macro="" textlink="'W5'!$I$86">
            <xdr:nvSpPr>
              <xdr:cNvPr id="219" name="TextBox 307">
                <a:extLst>
                  <a:ext uri="{FF2B5EF4-FFF2-40B4-BE49-F238E27FC236}">
                    <a16:creationId xmlns:a16="http://schemas.microsoft.com/office/drawing/2014/main" id="{E47213C6-DBDF-8E3A-1C52-7663B4C5D594}"/>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275FDB3D-CA21-4044-8A52-E2D49D41A9C0}" type="TxLink">
                  <a:rPr lang="en-US" sz="1700" b="1" i="0" u="none" strike="noStrike">
                    <a:solidFill>
                      <a:srgbClr val="0033CC"/>
                    </a:solidFill>
                    <a:latin typeface="+mj-lt"/>
                    <a:cs typeface="Arial"/>
                  </a:rPr>
                  <a:pPr/>
                  <a:t>1,667 </a:t>
                </a:fld>
                <a:endParaRPr lang="en-US" sz="1700">
                  <a:solidFill>
                    <a:srgbClr val="0033CC"/>
                  </a:solidFill>
                  <a:latin typeface="+mj-lt"/>
                  <a:cs typeface="Arial" panose="020B0604020202020204" pitchFamily="34" charset="0"/>
                </a:endParaRPr>
              </a:p>
            </xdr:txBody>
          </xdr:sp>
          <xdr:sp macro="" textlink="">
            <xdr:nvSpPr>
              <xdr:cNvPr id="220" name="TextBox 308">
                <a:extLst>
                  <a:ext uri="{FF2B5EF4-FFF2-40B4-BE49-F238E27FC236}">
                    <a16:creationId xmlns:a16="http://schemas.microsoft.com/office/drawing/2014/main" id="{20ED415C-258E-56E6-D3E7-0354C57B1AC2}"/>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215" name="Group 303">
              <a:extLst>
                <a:ext uri="{FF2B5EF4-FFF2-40B4-BE49-F238E27FC236}">
                  <a16:creationId xmlns:a16="http://schemas.microsoft.com/office/drawing/2014/main" id="{94AFCDE9-AA2D-E539-8EC8-95DD52873BF9}"/>
                </a:ext>
              </a:extLst>
            </xdr:cNvPr>
            <xdr:cNvGrpSpPr/>
          </xdr:nvGrpSpPr>
          <xdr:grpSpPr>
            <a:xfrm>
              <a:off x="7743823" y="9982200"/>
              <a:ext cx="1018881" cy="734000"/>
              <a:chOff x="5572123" y="5781675"/>
              <a:chExt cx="1018881" cy="734000"/>
            </a:xfrm>
          </xdr:grpSpPr>
          <xdr:sp macro="" textlink="'W5'!$I$83">
            <xdr:nvSpPr>
              <xdr:cNvPr id="216" name="TextBox 304">
                <a:extLst>
                  <a:ext uri="{FF2B5EF4-FFF2-40B4-BE49-F238E27FC236}">
                    <a16:creationId xmlns:a16="http://schemas.microsoft.com/office/drawing/2014/main" id="{A0D34079-B7AE-EA2E-F455-47DCF4EB1839}"/>
                  </a:ext>
                </a:extLst>
              </xdr:cNvPr>
              <xdr:cNvSpPr txBox="1"/>
            </xdr:nvSpPr>
            <xdr:spPr>
              <a:xfrm>
                <a:off x="5581649" y="5962651"/>
                <a:ext cx="655543"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834483-D43A-4A1D-B397-9D5192996961}" type="TxLink">
                  <a:rPr lang="en-US" sz="1500" b="1" i="0" u="none" strike="noStrike">
                    <a:solidFill>
                      <a:srgbClr val="0033CC"/>
                    </a:solidFill>
                    <a:latin typeface="+mj-lt"/>
                    <a:cs typeface="Arial"/>
                  </a:rPr>
                  <a:pPr/>
                  <a:t>1,560 </a:t>
                </a:fld>
                <a:endParaRPr lang="en-US" sz="1500">
                  <a:latin typeface="+mj-lt"/>
                </a:endParaRPr>
              </a:p>
            </xdr:txBody>
          </xdr:sp>
          <xdr:sp macro="" textlink="">
            <xdr:nvSpPr>
              <xdr:cNvPr id="217" name="TextBox 305">
                <a:extLst>
                  <a:ext uri="{FF2B5EF4-FFF2-40B4-BE49-F238E27FC236}">
                    <a16:creationId xmlns:a16="http://schemas.microsoft.com/office/drawing/2014/main" id="{5D0A4FBD-0A95-8EAD-96E8-1C13AB5C0E70}"/>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218" name="TextBox 306">
                <a:extLst>
                  <a:ext uri="{FF2B5EF4-FFF2-40B4-BE49-F238E27FC236}">
                    <a16:creationId xmlns:a16="http://schemas.microsoft.com/office/drawing/2014/main" id="{5522434B-E0BC-E486-EB47-EFC15FFA3AD5}"/>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12" name="TextBox 300">
            <a:extLst>
              <a:ext uri="{FF2B5EF4-FFF2-40B4-BE49-F238E27FC236}">
                <a16:creationId xmlns:a16="http://schemas.microsoft.com/office/drawing/2014/main" id="{53677245-71AA-F076-1E39-09E30555F969}"/>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3</a:t>
            </a:r>
          </a:p>
        </xdr:txBody>
      </xdr:sp>
    </xdr:grpSp>
    <xdr:clientData/>
  </xdr:twoCellAnchor>
  <xdr:twoCellAnchor editAs="oneCell">
    <xdr:from>
      <xdr:col>40</xdr:col>
      <xdr:colOff>78440</xdr:colOff>
      <xdr:row>66</xdr:row>
      <xdr:rowOff>224117</xdr:rowOff>
    </xdr:from>
    <xdr:to>
      <xdr:col>44</xdr:col>
      <xdr:colOff>405496</xdr:colOff>
      <xdr:row>88</xdr:row>
      <xdr:rowOff>14901</xdr:rowOff>
    </xdr:to>
    <xdr:grpSp>
      <xdr:nvGrpSpPr>
        <xdr:cNvPr id="226" name="Group 225">
          <a:extLst>
            <a:ext uri="{FF2B5EF4-FFF2-40B4-BE49-F238E27FC236}">
              <a16:creationId xmlns:a16="http://schemas.microsoft.com/office/drawing/2014/main" id="{B91FD072-4AE9-4E83-BACD-87B2028AD17C}"/>
            </a:ext>
          </a:extLst>
        </xdr:cNvPr>
        <xdr:cNvGrpSpPr/>
      </xdr:nvGrpSpPr>
      <xdr:grpSpPr>
        <a:xfrm>
          <a:off x="45832058" y="12729882"/>
          <a:ext cx="2825967" cy="4071431"/>
          <a:chOff x="9284676" y="11615942"/>
          <a:chExt cx="2279482" cy="4102024"/>
        </a:xfrm>
      </xdr:grpSpPr>
      <xdr:grpSp>
        <xdr:nvGrpSpPr>
          <xdr:cNvPr id="233" name="Group 232">
            <a:extLst>
              <a:ext uri="{FF2B5EF4-FFF2-40B4-BE49-F238E27FC236}">
                <a16:creationId xmlns:a16="http://schemas.microsoft.com/office/drawing/2014/main" id="{3E19CAB4-B219-C26A-0A38-84A93A8BA675}"/>
              </a:ext>
            </a:extLst>
          </xdr:cNvPr>
          <xdr:cNvGrpSpPr/>
        </xdr:nvGrpSpPr>
        <xdr:grpSpPr>
          <a:xfrm>
            <a:off x="9284676" y="11959782"/>
            <a:ext cx="2279482" cy="3758184"/>
            <a:chOff x="7743823" y="7915275"/>
            <a:chExt cx="2695451" cy="4317935"/>
          </a:xfrm>
        </xdr:grpSpPr>
        <xdr:graphicFrame macro="">
          <xdr:nvGraphicFramePr>
            <xdr:cNvPr id="235" name="Chart 234">
              <a:extLst>
                <a:ext uri="{FF2B5EF4-FFF2-40B4-BE49-F238E27FC236}">
                  <a16:creationId xmlns:a16="http://schemas.microsoft.com/office/drawing/2014/main" id="{D4519C0D-476E-3625-E11A-5C9D87642632}"/>
                </a:ext>
              </a:extLst>
            </xdr:cNvPr>
            <xdr:cNvGraphicFramePr/>
          </xdr:nvGraphicFramePr>
          <xdr:xfrm>
            <a:off x="7790177" y="7915275"/>
            <a:ext cx="2649097" cy="4317935"/>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236" name="Group 235">
              <a:extLst>
                <a:ext uri="{FF2B5EF4-FFF2-40B4-BE49-F238E27FC236}">
                  <a16:creationId xmlns:a16="http://schemas.microsoft.com/office/drawing/2014/main" id="{C8283F96-3823-9FE5-AD5B-BA800DC5A117}"/>
                </a:ext>
              </a:extLst>
            </xdr:cNvPr>
            <xdr:cNvGrpSpPr/>
          </xdr:nvGrpSpPr>
          <xdr:grpSpPr>
            <a:xfrm>
              <a:off x="8748842" y="8010525"/>
              <a:ext cx="1601103" cy="385633"/>
              <a:chOff x="3662491" y="4678681"/>
              <a:chExt cx="1601103" cy="385633"/>
            </a:xfrm>
          </xdr:grpSpPr>
          <xdr:sp macro="" textlink="'W5'!$M$86">
            <xdr:nvSpPr>
              <xdr:cNvPr id="241" name="TextBox 240">
                <a:extLst>
                  <a:ext uri="{FF2B5EF4-FFF2-40B4-BE49-F238E27FC236}">
                    <a16:creationId xmlns:a16="http://schemas.microsoft.com/office/drawing/2014/main" id="{0F4F09D4-1250-2CBD-BDA4-CAE632E1CE82}"/>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833E93C4-541D-444E-84F8-0032FB376E8E}" type="TxLink">
                  <a:rPr lang="en-US" sz="1700" b="1" i="0" u="none" strike="noStrike">
                    <a:solidFill>
                      <a:srgbClr val="0033CC"/>
                    </a:solidFill>
                    <a:latin typeface="+mj-lt"/>
                    <a:cs typeface="Arial"/>
                  </a:rPr>
                  <a:pPr/>
                  <a:t>1,564 </a:t>
                </a:fld>
                <a:endParaRPr lang="en-US" sz="1700">
                  <a:solidFill>
                    <a:srgbClr val="0033CC"/>
                  </a:solidFill>
                  <a:latin typeface="+mj-lt"/>
                  <a:cs typeface="Arial" panose="020B0604020202020204" pitchFamily="34" charset="0"/>
                </a:endParaRPr>
              </a:p>
            </xdr:txBody>
          </xdr:sp>
          <xdr:sp macro="" textlink="">
            <xdr:nvSpPr>
              <xdr:cNvPr id="242" name="TextBox 241">
                <a:extLst>
                  <a:ext uri="{FF2B5EF4-FFF2-40B4-BE49-F238E27FC236}">
                    <a16:creationId xmlns:a16="http://schemas.microsoft.com/office/drawing/2014/main" id="{E9FDCDC2-71D2-2462-5137-F15BE0BBA28C}"/>
                  </a:ext>
                </a:extLst>
              </xdr:cNvPr>
              <xdr:cNvSpPr txBox="1"/>
            </xdr:nvSpPr>
            <xdr:spPr>
              <a:xfrm>
                <a:off x="4369473" y="4724401"/>
                <a:ext cx="894121" cy="339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237" name="Group 236">
              <a:extLst>
                <a:ext uri="{FF2B5EF4-FFF2-40B4-BE49-F238E27FC236}">
                  <a16:creationId xmlns:a16="http://schemas.microsoft.com/office/drawing/2014/main" id="{ADE4AE28-A89F-3D5B-A8F5-3054D16C694E}"/>
                </a:ext>
              </a:extLst>
            </xdr:cNvPr>
            <xdr:cNvGrpSpPr/>
          </xdr:nvGrpSpPr>
          <xdr:grpSpPr>
            <a:xfrm>
              <a:off x="7743823" y="9982200"/>
              <a:ext cx="1018881" cy="734000"/>
              <a:chOff x="5572123" y="5781675"/>
              <a:chExt cx="1018881" cy="734000"/>
            </a:xfrm>
          </xdr:grpSpPr>
          <xdr:sp macro="" textlink="'W5'!$M$83">
            <xdr:nvSpPr>
              <xdr:cNvPr id="238" name="TextBox 237">
                <a:extLst>
                  <a:ext uri="{FF2B5EF4-FFF2-40B4-BE49-F238E27FC236}">
                    <a16:creationId xmlns:a16="http://schemas.microsoft.com/office/drawing/2014/main" id="{FCCDB2C1-9364-4487-3524-1EC14D5E02D7}"/>
                  </a:ext>
                </a:extLst>
              </xdr:cNvPr>
              <xdr:cNvSpPr txBox="1"/>
            </xdr:nvSpPr>
            <xdr:spPr>
              <a:xfrm>
                <a:off x="5581649" y="5962651"/>
                <a:ext cx="655806" cy="37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F520593-DFDB-488E-AB3F-EAD4197AAC97}" type="TxLink">
                  <a:rPr lang="en-US" sz="1500" b="1" i="0" u="none" strike="noStrike">
                    <a:solidFill>
                      <a:srgbClr val="0033CC"/>
                    </a:solidFill>
                    <a:latin typeface="+mj-lt"/>
                    <a:cs typeface="Arial"/>
                  </a:rPr>
                  <a:pPr/>
                  <a:t>1,560 </a:t>
                </a:fld>
                <a:endParaRPr lang="en-US" sz="1500">
                  <a:latin typeface="+mj-lt"/>
                </a:endParaRPr>
              </a:p>
            </xdr:txBody>
          </xdr:sp>
          <xdr:sp macro="" textlink="">
            <xdr:nvSpPr>
              <xdr:cNvPr id="239" name="TextBox 238">
                <a:extLst>
                  <a:ext uri="{FF2B5EF4-FFF2-40B4-BE49-F238E27FC236}">
                    <a16:creationId xmlns:a16="http://schemas.microsoft.com/office/drawing/2014/main" id="{5F92CF8B-FFD7-A529-C560-10459AA96EE3}"/>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240" name="TextBox 239">
                <a:extLst>
                  <a:ext uri="{FF2B5EF4-FFF2-40B4-BE49-F238E27FC236}">
                    <a16:creationId xmlns:a16="http://schemas.microsoft.com/office/drawing/2014/main" id="{301260FD-67EA-08FD-5CA9-FACA70E7FB57}"/>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34" name="TextBox 233">
            <a:extLst>
              <a:ext uri="{FF2B5EF4-FFF2-40B4-BE49-F238E27FC236}">
                <a16:creationId xmlns:a16="http://schemas.microsoft.com/office/drawing/2014/main" id="{E4003BE4-08A0-2691-636A-05949B340AB5}"/>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5</a:t>
            </a:r>
          </a:p>
        </xdr:txBody>
      </xdr:sp>
    </xdr:grpSp>
    <xdr:clientData/>
  </xdr:twoCellAnchor>
  <xdr:twoCellAnchor editAs="oneCell">
    <xdr:from>
      <xdr:col>35</xdr:col>
      <xdr:colOff>112059</xdr:colOff>
      <xdr:row>43</xdr:row>
      <xdr:rowOff>145677</xdr:rowOff>
    </xdr:from>
    <xdr:to>
      <xdr:col>39</xdr:col>
      <xdr:colOff>102093</xdr:colOff>
      <xdr:row>64</xdr:row>
      <xdr:rowOff>91123</xdr:rowOff>
    </xdr:to>
    <xdr:grpSp>
      <xdr:nvGrpSpPr>
        <xdr:cNvPr id="320" name="Group 319">
          <a:extLst>
            <a:ext uri="{FF2B5EF4-FFF2-40B4-BE49-F238E27FC236}">
              <a16:creationId xmlns:a16="http://schemas.microsoft.com/office/drawing/2014/main" id="{90D7FFCD-9F24-4249-AA1A-510B3C9B9BE3}"/>
            </a:ext>
          </a:extLst>
        </xdr:cNvPr>
        <xdr:cNvGrpSpPr/>
      </xdr:nvGrpSpPr>
      <xdr:grpSpPr>
        <a:xfrm>
          <a:off x="42649588" y="8124265"/>
          <a:ext cx="2488946" cy="4091623"/>
          <a:chOff x="16172571" y="7403937"/>
          <a:chExt cx="2327981" cy="4135400"/>
        </a:xfrm>
      </xdr:grpSpPr>
      <xdr:grpSp>
        <xdr:nvGrpSpPr>
          <xdr:cNvPr id="321" name="Group 24">
            <a:extLst>
              <a:ext uri="{FF2B5EF4-FFF2-40B4-BE49-F238E27FC236}">
                <a16:creationId xmlns:a16="http://schemas.microsoft.com/office/drawing/2014/main" id="{3A7E400A-84BD-C7CB-EC61-331BABCE6E97}"/>
              </a:ext>
            </a:extLst>
          </xdr:cNvPr>
          <xdr:cNvGrpSpPr/>
        </xdr:nvGrpSpPr>
        <xdr:grpSpPr>
          <a:xfrm>
            <a:off x="16172571" y="7734260"/>
            <a:ext cx="2327981" cy="3805077"/>
            <a:chOff x="7697825" y="3800475"/>
            <a:chExt cx="2755768" cy="3935649"/>
          </a:xfrm>
        </xdr:grpSpPr>
        <xdr:graphicFrame macro="">
          <xdr:nvGraphicFramePr>
            <xdr:cNvPr id="323" name="Chart 3">
              <a:extLst>
                <a:ext uri="{FF2B5EF4-FFF2-40B4-BE49-F238E27FC236}">
                  <a16:creationId xmlns:a16="http://schemas.microsoft.com/office/drawing/2014/main" id="{2F49B38A-8DAF-839A-CBA3-9BD428CCFF8A}"/>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324" name="Group 19">
              <a:extLst>
                <a:ext uri="{FF2B5EF4-FFF2-40B4-BE49-F238E27FC236}">
                  <a16:creationId xmlns:a16="http://schemas.microsoft.com/office/drawing/2014/main" id="{75A0AE84-F6A7-FD46-73E8-60141AFE6DE7}"/>
                </a:ext>
              </a:extLst>
            </xdr:cNvPr>
            <xdr:cNvGrpSpPr/>
          </xdr:nvGrpSpPr>
          <xdr:grpSpPr>
            <a:xfrm>
              <a:off x="8814167" y="3818680"/>
              <a:ext cx="1583474" cy="358291"/>
              <a:chOff x="3880217" y="4675930"/>
              <a:chExt cx="1583474" cy="358291"/>
            </a:xfrm>
          </xdr:grpSpPr>
          <xdr:sp macro="" textlink="'W5'!$K$64">
            <xdr:nvSpPr>
              <xdr:cNvPr id="329" name="TextBox 20">
                <a:extLst>
                  <a:ext uri="{FF2B5EF4-FFF2-40B4-BE49-F238E27FC236}">
                    <a16:creationId xmlns:a16="http://schemas.microsoft.com/office/drawing/2014/main" id="{E5D44DA8-7299-4520-A9B7-BF09EDE7823C}"/>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C87929A-F7E5-48BC-B496-097C79242463}" type="TxLink">
                  <a:rPr lang="en-US" sz="1700" b="1" i="0" u="none" strike="noStrike">
                    <a:solidFill>
                      <a:srgbClr val="0033CC"/>
                    </a:solidFill>
                    <a:latin typeface="+mj-lt"/>
                    <a:cs typeface="Arial"/>
                  </a:rPr>
                  <a:pPr/>
                  <a:t>650 </a:t>
                </a:fld>
                <a:endParaRPr lang="en-US" sz="1700">
                  <a:solidFill>
                    <a:srgbClr val="0033CC"/>
                  </a:solidFill>
                  <a:latin typeface="+mj-lt"/>
                  <a:cs typeface="Arial" panose="020B0604020202020204" pitchFamily="34" charset="0"/>
                </a:endParaRPr>
              </a:p>
            </xdr:txBody>
          </xdr:sp>
          <xdr:sp macro="" textlink="">
            <xdr:nvSpPr>
              <xdr:cNvPr id="330" name="TextBox 21">
                <a:extLst>
                  <a:ext uri="{FF2B5EF4-FFF2-40B4-BE49-F238E27FC236}">
                    <a16:creationId xmlns:a16="http://schemas.microsoft.com/office/drawing/2014/main" id="{B2F1087F-DEEE-9ADF-CDF6-0E75B5F34ECD}"/>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325" name="Group 26">
              <a:extLst>
                <a:ext uri="{FF2B5EF4-FFF2-40B4-BE49-F238E27FC236}">
                  <a16:creationId xmlns:a16="http://schemas.microsoft.com/office/drawing/2014/main" id="{4E7BF327-BD27-C6CE-9A4D-9EFD0372FE32}"/>
                </a:ext>
              </a:extLst>
            </xdr:cNvPr>
            <xdr:cNvGrpSpPr/>
          </xdr:nvGrpSpPr>
          <xdr:grpSpPr>
            <a:xfrm>
              <a:off x="7697825" y="5550324"/>
              <a:ext cx="1075761" cy="746276"/>
              <a:chOff x="5516600" y="5769399"/>
              <a:chExt cx="1075761" cy="746276"/>
            </a:xfrm>
          </xdr:grpSpPr>
          <xdr:sp macro="" textlink="'W5'!$K$61">
            <xdr:nvSpPr>
              <xdr:cNvPr id="326" name="TextBox 28">
                <a:extLst>
                  <a:ext uri="{FF2B5EF4-FFF2-40B4-BE49-F238E27FC236}">
                    <a16:creationId xmlns:a16="http://schemas.microsoft.com/office/drawing/2014/main" id="{A395211E-E287-FD78-43AD-80801F240008}"/>
                  </a:ext>
                </a:extLst>
              </xdr:cNvPr>
              <xdr:cNvSpPr txBox="1"/>
            </xdr:nvSpPr>
            <xdr:spPr>
              <a:xfrm>
                <a:off x="5686426" y="5962650"/>
                <a:ext cx="590600"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C02A8E2-A135-4371-867E-FEC30A155070}" type="TxLink">
                  <a:rPr lang="en-US" sz="1500" b="1" i="0" u="none" strike="noStrike">
                    <a:solidFill>
                      <a:srgbClr val="0033CC"/>
                    </a:solidFill>
                    <a:latin typeface="+mj-lt"/>
                    <a:cs typeface="Arial"/>
                  </a:rPr>
                  <a:pPr/>
                  <a:t>641 </a:t>
                </a:fld>
                <a:endParaRPr lang="en-US" sz="1500">
                  <a:latin typeface="+mj-lt"/>
                </a:endParaRPr>
              </a:p>
            </xdr:txBody>
          </xdr:sp>
          <xdr:sp macro="" textlink="">
            <xdr:nvSpPr>
              <xdr:cNvPr id="327" name="TextBox 29">
                <a:extLst>
                  <a:ext uri="{FF2B5EF4-FFF2-40B4-BE49-F238E27FC236}">
                    <a16:creationId xmlns:a16="http://schemas.microsoft.com/office/drawing/2014/main" id="{97040170-164C-4708-D318-49256605ADE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328" name="TextBox 30">
                <a:extLst>
                  <a:ext uri="{FF2B5EF4-FFF2-40B4-BE49-F238E27FC236}">
                    <a16:creationId xmlns:a16="http://schemas.microsoft.com/office/drawing/2014/main" id="{6865CA36-5F23-0A81-E08D-3517EB554AE1}"/>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22" name="TextBox 69">
            <a:extLst>
              <a:ext uri="{FF2B5EF4-FFF2-40B4-BE49-F238E27FC236}">
                <a16:creationId xmlns:a16="http://schemas.microsoft.com/office/drawing/2014/main" id="{2E4B32B8-80CA-A3BA-C1A1-338BDC55FC1A}"/>
              </a:ext>
            </a:extLst>
          </xdr:cNvPr>
          <xdr:cNvSpPr txBox="1"/>
        </xdr:nvSpPr>
        <xdr:spPr>
          <a:xfrm>
            <a:off x="16261704" y="7403937"/>
            <a:ext cx="800284"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4</a:t>
            </a:r>
          </a:p>
        </xdr:txBody>
      </xdr:sp>
    </xdr:grpSp>
    <xdr:clientData/>
  </xdr:twoCellAnchor>
  <xdr:twoCellAnchor editAs="oneCell">
    <xdr:from>
      <xdr:col>35</xdr:col>
      <xdr:colOff>302558</xdr:colOff>
      <xdr:row>66</xdr:row>
      <xdr:rowOff>212912</xdr:rowOff>
    </xdr:from>
    <xdr:to>
      <xdr:col>39</xdr:col>
      <xdr:colOff>653144</xdr:colOff>
      <xdr:row>87</xdr:row>
      <xdr:rowOff>188593</xdr:rowOff>
    </xdr:to>
    <xdr:grpSp>
      <xdr:nvGrpSpPr>
        <xdr:cNvPr id="353" name="Group 298">
          <a:extLst>
            <a:ext uri="{FF2B5EF4-FFF2-40B4-BE49-F238E27FC236}">
              <a16:creationId xmlns:a16="http://schemas.microsoft.com/office/drawing/2014/main" id="{5EAA1AD7-191E-40D5-A4F2-B2FAC3BE0191}"/>
            </a:ext>
          </a:extLst>
        </xdr:cNvPr>
        <xdr:cNvGrpSpPr/>
      </xdr:nvGrpSpPr>
      <xdr:grpSpPr>
        <a:xfrm>
          <a:off x="42840087" y="12718677"/>
          <a:ext cx="2849498" cy="4065828"/>
          <a:chOff x="9284677" y="11615942"/>
          <a:chExt cx="2297541" cy="4102024"/>
        </a:xfrm>
      </xdr:grpSpPr>
      <xdr:grpSp>
        <xdr:nvGrpSpPr>
          <xdr:cNvPr id="354" name="Group 299">
            <a:extLst>
              <a:ext uri="{FF2B5EF4-FFF2-40B4-BE49-F238E27FC236}">
                <a16:creationId xmlns:a16="http://schemas.microsoft.com/office/drawing/2014/main" id="{3E08AE6C-CB74-68D8-3C0C-6A26D64BAA13}"/>
              </a:ext>
            </a:extLst>
          </xdr:cNvPr>
          <xdr:cNvGrpSpPr/>
        </xdr:nvGrpSpPr>
        <xdr:grpSpPr>
          <a:xfrm>
            <a:off x="9284677" y="11959782"/>
            <a:ext cx="2297541" cy="3758184"/>
            <a:chOff x="7743823" y="7915275"/>
            <a:chExt cx="2716805" cy="4317935"/>
          </a:xfrm>
        </xdr:grpSpPr>
        <xdr:graphicFrame macro="">
          <xdr:nvGraphicFramePr>
            <xdr:cNvPr id="356" name="Chart 301">
              <a:extLst>
                <a:ext uri="{FF2B5EF4-FFF2-40B4-BE49-F238E27FC236}">
                  <a16:creationId xmlns:a16="http://schemas.microsoft.com/office/drawing/2014/main" id="{BCF7F821-2D8B-BB93-AB2D-281CB2D91CC9}"/>
                </a:ext>
              </a:extLst>
            </xdr:cNvPr>
            <xdr:cNvGraphicFramePr/>
          </xdr:nvGraphicFramePr>
          <xdr:xfrm>
            <a:off x="7811531" y="7915275"/>
            <a:ext cx="2649097" cy="4317935"/>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357" name="Group 302">
              <a:extLst>
                <a:ext uri="{FF2B5EF4-FFF2-40B4-BE49-F238E27FC236}">
                  <a16:creationId xmlns:a16="http://schemas.microsoft.com/office/drawing/2014/main" id="{8E8F5DDB-27F0-EBD3-AE97-AC2347CAB93C}"/>
                </a:ext>
              </a:extLst>
            </xdr:cNvPr>
            <xdr:cNvGrpSpPr/>
          </xdr:nvGrpSpPr>
          <xdr:grpSpPr>
            <a:xfrm>
              <a:off x="8738158" y="7971556"/>
              <a:ext cx="1611787" cy="424602"/>
              <a:chOff x="3651807" y="4639712"/>
              <a:chExt cx="1611787" cy="424602"/>
            </a:xfrm>
          </xdr:grpSpPr>
          <xdr:sp macro="" textlink="'W5'!$K$86">
            <xdr:nvSpPr>
              <xdr:cNvPr id="362" name="TextBox 307">
                <a:extLst>
                  <a:ext uri="{FF2B5EF4-FFF2-40B4-BE49-F238E27FC236}">
                    <a16:creationId xmlns:a16="http://schemas.microsoft.com/office/drawing/2014/main" id="{7B80E0B3-7A49-CC82-F972-8B0F11206716}"/>
                  </a:ext>
                </a:extLst>
              </xdr:cNvPr>
              <xdr:cNvSpPr txBox="1"/>
            </xdr:nvSpPr>
            <xdr:spPr>
              <a:xfrm>
                <a:off x="3651807" y="4639712"/>
                <a:ext cx="831742" cy="35339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FAEF5F8-C893-421C-A6E6-89FC9C999E2D}" type="TxLink">
                  <a:rPr lang="en-US" sz="1700" b="1" i="0" u="none" strike="noStrike">
                    <a:solidFill>
                      <a:srgbClr val="0033CC"/>
                    </a:solidFill>
                    <a:latin typeface="+mj-lt"/>
                    <a:cs typeface="Arial"/>
                  </a:rPr>
                  <a:pPr/>
                  <a:t>1,667 </a:t>
                </a:fld>
                <a:endParaRPr lang="en-US" sz="1700">
                  <a:solidFill>
                    <a:srgbClr val="0033CC"/>
                  </a:solidFill>
                  <a:latin typeface="+mj-lt"/>
                  <a:cs typeface="Arial" panose="020B0604020202020204" pitchFamily="34" charset="0"/>
                </a:endParaRPr>
              </a:p>
            </xdr:txBody>
          </xdr:sp>
          <xdr:sp macro="" textlink="">
            <xdr:nvSpPr>
              <xdr:cNvPr id="363" name="TextBox 308">
                <a:extLst>
                  <a:ext uri="{FF2B5EF4-FFF2-40B4-BE49-F238E27FC236}">
                    <a16:creationId xmlns:a16="http://schemas.microsoft.com/office/drawing/2014/main" id="{FE66A185-07E4-DB8B-B978-32DD875F47CE}"/>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358" name="Group 303">
              <a:extLst>
                <a:ext uri="{FF2B5EF4-FFF2-40B4-BE49-F238E27FC236}">
                  <a16:creationId xmlns:a16="http://schemas.microsoft.com/office/drawing/2014/main" id="{C140BC5F-E7A6-4E75-A8DC-93B3AC324B32}"/>
                </a:ext>
              </a:extLst>
            </xdr:cNvPr>
            <xdr:cNvGrpSpPr/>
          </xdr:nvGrpSpPr>
          <xdr:grpSpPr>
            <a:xfrm>
              <a:off x="7743823" y="9982200"/>
              <a:ext cx="1018881" cy="734000"/>
              <a:chOff x="5572123" y="5781675"/>
              <a:chExt cx="1018881" cy="734000"/>
            </a:xfrm>
          </xdr:grpSpPr>
          <xdr:sp macro="" textlink="'W5'!$K$83">
            <xdr:nvSpPr>
              <xdr:cNvPr id="359" name="TextBox 304">
                <a:extLst>
                  <a:ext uri="{FF2B5EF4-FFF2-40B4-BE49-F238E27FC236}">
                    <a16:creationId xmlns:a16="http://schemas.microsoft.com/office/drawing/2014/main" id="{66F2C166-06FD-8586-C3CE-2E8D36FE362E}"/>
                  </a:ext>
                </a:extLst>
              </xdr:cNvPr>
              <xdr:cNvSpPr txBox="1"/>
            </xdr:nvSpPr>
            <xdr:spPr>
              <a:xfrm>
                <a:off x="5581649" y="5962651"/>
                <a:ext cx="655543"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222B348-2989-435D-BF56-9C8DAFBE6FC1}" type="TxLink">
                  <a:rPr lang="en-US" sz="1500" b="1" i="0" u="none" strike="noStrike">
                    <a:solidFill>
                      <a:srgbClr val="0033CC"/>
                    </a:solidFill>
                    <a:latin typeface="+mj-lt"/>
                    <a:cs typeface="Arial"/>
                  </a:rPr>
                  <a:pPr/>
                  <a:t>1,642 </a:t>
                </a:fld>
                <a:endParaRPr lang="en-US" sz="1500">
                  <a:latin typeface="+mj-lt"/>
                </a:endParaRPr>
              </a:p>
            </xdr:txBody>
          </xdr:sp>
          <xdr:sp macro="" textlink="">
            <xdr:nvSpPr>
              <xdr:cNvPr id="360" name="TextBox 305">
                <a:extLst>
                  <a:ext uri="{FF2B5EF4-FFF2-40B4-BE49-F238E27FC236}">
                    <a16:creationId xmlns:a16="http://schemas.microsoft.com/office/drawing/2014/main" id="{2EC2F188-9E3D-9795-58FE-7E7A46F1E843}"/>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361" name="TextBox 306">
                <a:extLst>
                  <a:ext uri="{FF2B5EF4-FFF2-40B4-BE49-F238E27FC236}">
                    <a16:creationId xmlns:a16="http://schemas.microsoft.com/office/drawing/2014/main" id="{880A1AC0-1AD2-CA21-2D65-86139224AA4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55" name="TextBox 300">
            <a:extLst>
              <a:ext uri="{FF2B5EF4-FFF2-40B4-BE49-F238E27FC236}">
                <a16:creationId xmlns:a16="http://schemas.microsoft.com/office/drawing/2014/main" id="{FB3E913D-5976-9D26-E096-C1BAED4A988C}"/>
              </a:ext>
            </a:extLst>
          </xdr:cNvPr>
          <xdr:cNvSpPr txBox="1"/>
        </xdr:nvSpPr>
        <xdr:spPr>
          <a:xfrm>
            <a:off x="9317731" y="11615942"/>
            <a:ext cx="689883" cy="330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4</a:t>
            </a:r>
          </a:p>
        </xdr:txBody>
      </xdr:sp>
    </xdr:grpSp>
    <xdr:clientData/>
  </xdr:twoCellAnchor>
  <xdr:twoCellAnchor>
    <xdr:from>
      <xdr:col>24</xdr:col>
      <xdr:colOff>392205</xdr:colOff>
      <xdr:row>6</xdr:row>
      <xdr:rowOff>1</xdr:rowOff>
    </xdr:from>
    <xdr:to>
      <xdr:col>27</xdr:col>
      <xdr:colOff>358587</xdr:colOff>
      <xdr:row>9</xdr:row>
      <xdr:rowOff>145677</xdr:rowOff>
    </xdr:to>
    <xdr:sp macro="" textlink="">
      <xdr:nvSpPr>
        <xdr:cNvPr id="364" name="Rectangle 363">
          <a:extLst>
            <a:ext uri="{FF2B5EF4-FFF2-40B4-BE49-F238E27FC236}">
              <a16:creationId xmlns:a16="http://schemas.microsoft.com/office/drawing/2014/main" id="{412DCC14-1569-47E3-2C25-B2CE0DF4A468}"/>
            </a:ext>
          </a:extLst>
        </xdr:cNvPr>
        <xdr:cNvSpPr/>
      </xdr:nvSpPr>
      <xdr:spPr>
        <a:xfrm>
          <a:off x="19206881" y="1355913"/>
          <a:ext cx="6387353" cy="70597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FF00"/>
              </a:solidFill>
            </a:rPr>
            <a:t>GROUP ẨN - </a:t>
          </a:r>
          <a:r>
            <a:rPr lang="en-US" sz="1800" b="1" u="sng">
              <a:solidFill>
                <a:srgbClr val="FFFF00"/>
              </a:solidFill>
            </a:rPr>
            <a:t>KHÔNG</a:t>
          </a:r>
          <a:r>
            <a:rPr lang="en-US" sz="1800" b="1" u="sng" baseline="0">
              <a:solidFill>
                <a:srgbClr val="FFFF00"/>
              </a:solidFill>
            </a:rPr>
            <a:t> NÊN </a:t>
          </a:r>
          <a:r>
            <a:rPr lang="en-US" sz="1800" b="1" baseline="0">
              <a:solidFill>
                <a:srgbClr val="FFFF00"/>
              </a:solidFill>
            </a:rPr>
            <a:t>HIDE CỘT DO ĐANG VẼ CHART </a:t>
          </a:r>
          <a:endParaRPr lang="en-US" sz="1800" b="1">
            <a:solidFill>
              <a:srgbClr val="FFFF00"/>
            </a:solidFill>
          </a:endParaRPr>
        </a:p>
      </xdr:txBody>
    </xdr:sp>
    <xdr:clientData/>
  </xdr:twoCellAnchor>
  <xdr:twoCellAnchor editAs="oneCell">
    <xdr:from>
      <xdr:col>50</xdr:col>
      <xdr:colOff>0</xdr:colOff>
      <xdr:row>44</xdr:row>
      <xdr:rowOff>0</xdr:rowOff>
    </xdr:from>
    <xdr:to>
      <xdr:col>54</xdr:col>
      <xdr:colOff>120024</xdr:colOff>
      <xdr:row>64</xdr:row>
      <xdr:rowOff>123059</xdr:rowOff>
    </xdr:to>
    <xdr:grpSp>
      <xdr:nvGrpSpPr>
        <xdr:cNvPr id="25" name="Group 24">
          <a:extLst>
            <a:ext uri="{FF2B5EF4-FFF2-40B4-BE49-F238E27FC236}">
              <a16:creationId xmlns:a16="http://schemas.microsoft.com/office/drawing/2014/main" id="{4AA1A1C7-7A9E-4B03-97BC-99CD734F4EA2}"/>
            </a:ext>
          </a:extLst>
        </xdr:cNvPr>
        <xdr:cNvGrpSpPr/>
      </xdr:nvGrpSpPr>
      <xdr:grpSpPr>
        <a:xfrm>
          <a:off x="51726353" y="8157882"/>
          <a:ext cx="2495671" cy="4089942"/>
          <a:chOff x="16172571" y="7403937"/>
          <a:chExt cx="2327982" cy="4135400"/>
        </a:xfrm>
      </xdr:grpSpPr>
      <xdr:grpSp>
        <xdr:nvGrpSpPr>
          <xdr:cNvPr id="26" name="Group 24">
            <a:extLst>
              <a:ext uri="{FF2B5EF4-FFF2-40B4-BE49-F238E27FC236}">
                <a16:creationId xmlns:a16="http://schemas.microsoft.com/office/drawing/2014/main" id="{ECFD1944-D80C-7E64-2930-9DE15925A321}"/>
              </a:ext>
            </a:extLst>
          </xdr:cNvPr>
          <xdr:cNvGrpSpPr/>
        </xdr:nvGrpSpPr>
        <xdr:grpSpPr>
          <a:xfrm>
            <a:off x="16172571" y="7734260"/>
            <a:ext cx="2327982" cy="3805077"/>
            <a:chOff x="7697825" y="3800475"/>
            <a:chExt cx="2755769" cy="3935649"/>
          </a:xfrm>
        </xdr:grpSpPr>
        <xdr:graphicFrame macro="">
          <xdr:nvGraphicFramePr>
            <xdr:cNvPr id="28" name="Chart 3">
              <a:extLst>
                <a:ext uri="{FF2B5EF4-FFF2-40B4-BE49-F238E27FC236}">
                  <a16:creationId xmlns:a16="http://schemas.microsoft.com/office/drawing/2014/main" id="{FA31B403-90AA-C834-10E0-0CBB35FE0596}"/>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3"/>
            </a:graphicData>
          </a:graphic>
        </xdr:graphicFrame>
        <xdr:grpSp>
          <xdr:nvGrpSpPr>
            <xdr:cNvPr id="29" name="Group 19">
              <a:extLst>
                <a:ext uri="{FF2B5EF4-FFF2-40B4-BE49-F238E27FC236}">
                  <a16:creationId xmlns:a16="http://schemas.microsoft.com/office/drawing/2014/main" id="{046C4F87-B74C-68DB-23C2-DB88A8FC2F97}"/>
                </a:ext>
              </a:extLst>
            </xdr:cNvPr>
            <xdr:cNvGrpSpPr/>
          </xdr:nvGrpSpPr>
          <xdr:grpSpPr>
            <a:xfrm>
              <a:off x="8814167" y="3818680"/>
              <a:ext cx="1583474" cy="358291"/>
              <a:chOff x="3880217" y="4675930"/>
              <a:chExt cx="1583474" cy="358291"/>
            </a:xfrm>
          </xdr:grpSpPr>
          <xdr:sp macro="" textlink="'W5'!$Q$64">
            <xdr:nvSpPr>
              <xdr:cNvPr id="34" name="TextBox 20">
                <a:extLst>
                  <a:ext uri="{FF2B5EF4-FFF2-40B4-BE49-F238E27FC236}">
                    <a16:creationId xmlns:a16="http://schemas.microsoft.com/office/drawing/2014/main" id="{6C25FFA5-0A25-34B2-9239-75B26595039B}"/>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FADF0F35-B143-4709-921C-BBB3A5B7FDC3}" type="TxLink">
                  <a:rPr lang="en-US" sz="1700" b="1" i="0" u="none" strike="noStrike">
                    <a:solidFill>
                      <a:srgbClr val="0033CC"/>
                    </a:solidFill>
                    <a:latin typeface="+mj-lt"/>
                    <a:cs typeface="Arial"/>
                  </a:rPr>
                  <a:pPr/>
                  <a:t>586 </a:t>
                </a:fld>
                <a:endParaRPr lang="en-US" sz="1700">
                  <a:solidFill>
                    <a:srgbClr val="0033CC"/>
                  </a:solidFill>
                  <a:latin typeface="+mj-lt"/>
                  <a:cs typeface="Arial" panose="020B0604020202020204" pitchFamily="34" charset="0"/>
                </a:endParaRPr>
              </a:p>
            </xdr:txBody>
          </xdr:sp>
          <xdr:sp macro="" textlink="">
            <xdr:nvSpPr>
              <xdr:cNvPr id="35" name="TextBox 21">
                <a:extLst>
                  <a:ext uri="{FF2B5EF4-FFF2-40B4-BE49-F238E27FC236}">
                    <a16:creationId xmlns:a16="http://schemas.microsoft.com/office/drawing/2014/main" id="{9C65F9C0-B856-05AA-B575-D40255A601EB}"/>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30" name="Group 26">
              <a:extLst>
                <a:ext uri="{FF2B5EF4-FFF2-40B4-BE49-F238E27FC236}">
                  <a16:creationId xmlns:a16="http://schemas.microsoft.com/office/drawing/2014/main" id="{7A79A316-D438-7DBF-2A9D-7538C607933C}"/>
                </a:ext>
              </a:extLst>
            </xdr:cNvPr>
            <xdr:cNvGrpSpPr/>
          </xdr:nvGrpSpPr>
          <xdr:grpSpPr>
            <a:xfrm>
              <a:off x="7697825" y="5550324"/>
              <a:ext cx="1075761" cy="746276"/>
              <a:chOff x="5516600" y="5769399"/>
              <a:chExt cx="1075761" cy="746276"/>
            </a:xfrm>
          </xdr:grpSpPr>
          <xdr:sp macro="" textlink="'W5'!$Q$61">
            <xdr:nvSpPr>
              <xdr:cNvPr id="31" name="TextBox 28">
                <a:extLst>
                  <a:ext uri="{FF2B5EF4-FFF2-40B4-BE49-F238E27FC236}">
                    <a16:creationId xmlns:a16="http://schemas.microsoft.com/office/drawing/2014/main" id="{853CC8BB-7536-F6C2-78C4-62273BE27C80}"/>
                  </a:ext>
                </a:extLst>
              </xdr:cNvPr>
              <xdr:cNvSpPr txBox="1"/>
            </xdr:nvSpPr>
            <xdr:spPr>
              <a:xfrm>
                <a:off x="5686426" y="5962650"/>
                <a:ext cx="589009"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3CA4F08-EAE4-4D2B-B1E8-56C03507899A}" type="TxLink">
                  <a:rPr lang="en-US" sz="1500" b="1" i="0" u="none" strike="noStrike">
                    <a:solidFill>
                      <a:srgbClr val="0033CC"/>
                    </a:solidFill>
                    <a:latin typeface="+mj-lt"/>
                    <a:cs typeface="Arial"/>
                  </a:rPr>
                  <a:pPr/>
                  <a:t>608 </a:t>
                </a:fld>
                <a:endParaRPr lang="en-US" sz="1500">
                  <a:latin typeface="+mj-lt"/>
                </a:endParaRPr>
              </a:p>
            </xdr:txBody>
          </xdr:sp>
          <xdr:sp macro="" textlink="">
            <xdr:nvSpPr>
              <xdr:cNvPr id="32" name="TextBox 29">
                <a:extLst>
                  <a:ext uri="{FF2B5EF4-FFF2-40B4-BE49-F238E27FC236}">
                    <a16:creationId xmlns:a16="http://schemas.microsoft.com/office/drawing/2014/main" id="{E48BD3B2-3FF5-EDF7-E0A8-13E6A1E842E0}"/>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33" name="TextBox 30">
                <a:extLst>
                  <a:ext uri="{FF2B5EF4-FFF2-40B4-BE49-F238E27FC236}">
                    <a16:creationId xmlns:a16="http://schemas.microsoft.com/office/drawing/2014/main" id="{4D880CBB-9910-1AF7-3511-1DFA3F05FF7D}"/>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7" name="TextBox 69">
            <a:extLst>
              <a:ext uri="{FF2B5EF4-FFF2-40B4-BE49-F238E27FC236}">
                <a16:creationId xmlns:a16="http://schemas.microsoft.com/office/drawing/2014/main" id="{36C6364D-47CD-6F9E-6B43-65B879C07124}"/>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7</a:t>
            </a:r>
          </a:p>
        </xdr:txBody>
      </xdr:sp>
    </xdr:grpSp>
    <xdr:clientData/>
  </xdr:twoCellAnchor>
  <xdr:twoCellAnchor editAs="oneCell">
    <xdr:from>
      <xdr:col>55</xdr:col>
      <xdr:colOff>0</xdr:colOff>
      <xdr:row>44</xdr:row>
      <xdr:rowOff>0</xdr:rowOff>
    </xdr:from>
    <xdr:to>
      <xdr:col>59</xdr:col>
      <xdr:colOff>120024</xdr:colOff>
      <xdr:row>64</xdr:row>
      <xdr:rowOff>123059</xdr:rowOff>
    </xdr:to>
    <xdr:grpSp>
      <xdr:nvGrpSpPr>
        <xdr:cNvPr id="91" name="Group 90">
          <a:extLst>
            <a:ext uri="{FF2B5EF4-FFF2-40B4-BE49-F238E27FC236}">
              <a16:creationId xmlns:a16="http://schemas.microsoft.com/office/drawing/2014/main" id="{3BE2A501-282E-419A-98B0-EE252846AEE8}"/>
            </a:ext>
          </a:extLst>
        </xdr:cNvPr>
        <xdr:cNvGrpSpPr/>
      </xdr:nvGrpSpPr>
      <xdr:grpSpPr>
        <a:xfrm>
          <a:off x="54695912" y="8157882"/>
          <a:ext cx="2495671" cy="4089942"/>
          <a:chOff x="16172571" y="7403937"/>
          <a:chExt cx="2327982" cy="4135400"/>
        </a:xfrm>
      </xdr:grpSpPr>
      <xdr:grpSp>
        <xdr:nvGrpSpPr>
          <xdr:cNvPr id="92" name="Group 24">
            <a:extLst>
              <a:ext uri="{FF2B5EF4-FFF2-40B4-BE49-F238E27FC236}">
                <a16:creationId xmlns:a16="http://schemas.microsoft.com/office/drawing/2014/main" id="{9354DA2B-B877-2835-70B4-2B4643821551}"/>
              </a:ext>
            </a:extLst>
          </xdr:cNvPr>
          <xdr:cNvGrpSpPr/>
        </xdr:nvGrpSpPr>
        <xdr:grpSpPr>
          <a:xfrm>
            <a:off x="16172571" y="7734260"/>
            <a:ext cx="2327982" cy="3805077"/>
            <a:chOff x="7697825" y="3800475"/>
            <a:chExt cx="2755769" cy="3935649"/>
          </a:xfrm>
        </xdr:grpSpPr>
        <xdr:graphicFrame macro="">
          <xdr:nvGraphicFramePr>
            <xdr:cNvPr id="94" name="Chart 3">
              <a:extLst>
                <a:ext uri="{FF2B5EF4-FFF2-40B4-BE49-F238E27FC236}">
                  <a16:creationId xmlns:a16="http://schemas.microsoft.com/office/drawing/2014/main" id="{3474991E-0F4A-4F0C-1856-043194F68040}"/>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4"/>
            </a:graphicData>
          </a:graphic>
        </xdr:graphicFrame>
        <xdr:grpSp>
          <xdr:nvGrpSpPr>
            <xdr:cNvPr id="95" name="Group 19">
              <a:extLst>
                <a:ext uri="{FF2B5EF4-FFF2-40B4-BE49-F238E27FC236}">
                  <a16:creationId xmlns:a16="http://schemas.microsoft.com/office/drawing/2014/main" id="{8047DDD9-7140-48B4-84DC-C0DAB0DF0C67}"/>
                </a:ext>
              </a:extLst>
            </xdr:cNvPr>
            <xdr:cNvGrpSpPr/>
          </xdr:nvGrpSpPr>
          <xdr:grpSpPr>
            <a:xfrm>
              <a:off x="8814167" y="3818680"/>
              <a:ext cx="1583474" cy="358291"/>
              <a:chOff x="3880217" y="4675930"/>
              <a:chExt cx="1583474" cy="358291"/>
            </a:xfrm>
          </xdr:grpSpPr>
          <xdr:sp macro="" textlink="'W5'!$S$64">
            <xdr:nvSpPr>
              <xdr:cNvPr id="100" name="TextBox 20">
                <a:extLst>
                  <a:ext uri="{FF2B5EF4-FFF2-40B4-BE49-F238E27FC236}">
                    <a16:creationId xmlns:a16="http://schemas.microsoft.com/office/drawing/2014/main" id="{9393B3AC-BF6A-8978-B2FF-D2D3F426260A}"/>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211FAD8F-A92E-496D-905B-0F117FCB5082}" type="TxLink">
                  <a:rPr lang="en-US" sz="1700" b="1" i="0" u="none" strike="noStrike">
                    <a:solidFill>
                      <a:srgbClr val="0033CC"/>
                    </a:solidFill>
                    <a:latin typeface="+mj-lt"/>
                    <a:cs typeface="Arial"/>
                  </a:rPr>
                  <a:pPr/>
                  <a:t>619 </a:t>
                </a:fld>
                <a:endParaRPr lang="en-US" sz="1700">
                  <a:solidFill>
                    <a:srgbClr val="0033CC"/>
                  </a:solidFill>
                  <a:latin typeface="+mj-lt"/>
                  <a:cs typeface="Arial" panose="020B0604020202020204" pitchFamily="34" charset="0"/>
                </a:endParaRPr>
              </a:p>
            </xdr:txBody>
          </xdr:sp>
          <xdr:sp macro="" textlink="">
            <xdr:nvSpPr>
              <xdr:cNvPr id="101" name="TextBox 21">
                <a:extLst>
                  <a:ext uri="{FF2B5EF4-FFF2-40B4-BE49-F238E27FC236}">
                    <a16:creationId xmlns:a16="http://schemas.microsoft.com/office/drawing/2014/main" id="{0DBEFBE5-6C5C-9513-CB73-27D2AE473145}"/>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96" name="Group 26">
              <a:extLst>
                <a:ext uri="{FF2B5EF4-FFF2-40B4-BE49-F238E27FC236}">
                  <a16:creationId xmlns:a16="http://schemas.microsoft.com/office/drawing/2014/main" id="{78493CA3-F4A9-BA61-000F-FBD6F7F80582}"/>
                </a:ext>
              </a:extLst>
            </xdr:cNvPr>
            <xdr:cNvGrpSpPr/>
          </xdr:nvGrpSpPr>
          <xdr:grpSpPr>
            <a:xfrm>
              <a:off x="7697825" y="5550324"/>
              <a:ext cx="1075761" cy="746276"/>
              <a:chOff x="5516600" y="5769399"/>
              <a:chExt cx="1075761" cy="746276"/>
            </a:xfrm>
          </xdr:grpSpPr>
          <xdr:sp macro="" textlink="'W5'!$S$61">
            <xdr:nvSpPr>
              <xdr:cNvPr id="97" name="TextBox 28">
                <a:extLst>
                  <a:ext uri="{FF2B5EF4-FFF2-40B4-BE49-F238E27FC236}">
                    <a16:creationId xmlns:a16="http://schemas.microsoft.com/office/drawing/2014/main" id="{0D56430C-4AA0-0BBB-5926-2681AAA83F18}"/>
                  </a:ext>
                </a:extLst>
              </xdr:cNvPr>
              <xdr:cNvSpPr txBox="1"/>
            </xdr:nvSpPr>
            <xdr:spPr>
              <a:xfrm>
                <a:off x="5686426" y="5962650"/>
                <a:ext cx="589009"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E738857-2246-4533-A1B9-E5C8A70C96F4}" type="TxLink">
                  <a:rPr lang="en-US" sz="1500" b="1" i="0" u="none" strike="noStrike">
                    <a:solidFill>
                      <a:srgbClr val="0033CC"/>
                    </a:solidFill>
                    <a:latin typeface="+mj-lt"/>
                    <a:cs typeface="Arial"/>
                  </a:rPr>
                  <a:pPr/>
                  <a:t>641 </a:t>
                </a:fld>
                <a:endParaRPr lang="en-US" sz="1500">
                  <a:latin typeface="+mj-lt"/>
                </a:endParaRPr>
              </a:p>
            </xdr:txBody>
          </xdr:sp>
          <xdr:sp macro="" textlink="">
            <xdr:nvSpPr>
              <xdr:cNvPr id="98" name="TextBox 29">
                <a:extLst>
                  <a:ext uri="{FF2B5EF4-FFF2-40B4-BE49-F238E27FC236}">
                    <a16:creationId xmlns:a16="http://schemas.microsoft.com/office/drawing/2014/main" id="{8AEAB584-1C90-A703-A068-696F74310BC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99" name="TextBox 30">
                <a:extLst>
                  <a:ext uri="{FF2B5EF4-FFF2-40B4-BE49-F238E27FC236}">
                    <a16:creationId xmlns:a16="http://schemas.microsoft.com/office/drawing/2014/main" id="{7CF0E350-F014-44B3-2C3D-9DE544F9FC8F}"/>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93" name="TextBox 69">
            <a:extLst>
              <a:ext uri="{FF2B5EF4-FFF2-40B4-BE49-F238E27FC236}">
                <a16:creationId xmlns:a16="http://schemas.microsoft.com/office/drawing/2014/main" id="{E5EAFFE1-C83F-ABC3-F85A-D6CBFCF36C92}"/>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8</a:t>
            </a:r>
          </a:p>
        </xdr:txBody>
      </xdr:sp>
    </xdr:grpSp>
    <xdr:clientData/>
  </xdr:twoCellAnchor>
  <xdr:twoCellAnchor editAs="oneCell">
    <xdr:from>
      <xdr:col>60</xdr:col>
      <xdr:colOff>0</xdr:colOff>
      <xdr:row>44</xdr:row>
      <xdr:rowOff>0</xdr:rowOff>
    </xdr:from>
    <xdr:to>
      <xdr:col>64</xdr:col>
      <xdr:colOff>120024</xdr:colOff>
      <xdr:row>64</xdr:row>
      <xdr:rowOff>123059</xdr:rowOff>
    </xdr:to>
    <xdr:grpSp>
      <xdr:nvGrpSpPr>
        <xdr:cNvPr id="243" name="Group 242">
          <a:extLst>
            <a:ext uri="{FF2B5EF4-FFF2-40B4-BE49-F238E27FC236}">
              <a16:creationId xmlns:a16="http://schemas.microsoft.com/office/drawing/2014/main" id="{F9B77E0E-BB8D-440A-9F52-AB2D3A748DC8}"/>
            </a:ext>
          </a:extLst>
        </xdr:cNvPr>
        <xdr:cNvGrpSpPr/>
      </xdr:nvGrpSpPr>
      <xdr:grpSpPr>
        <a:xfrm>
          <a:off x="57665471" y="8157882"/>
          <a:ext cx="2495671" cy="4089942"/>
          <a:chOff x="16172571" y="7403937"/>
          <a:chExt cx="2327982" cy="4135400"/>
        </a:xfrm>
      </xdr:grpSpPr>
      <xdr:grpSp>
        <xdr:nvGrpSpPr>
          <xdr:cNvPr id="255" name="Group 24">
            <a:extLst>
              <a:ext uri="{FF2B5EF4-FFF2-40B4-BE49-F238E27FC236}">
                <a16:creationId xmlns:a16="http://schemas.microsoft.com/office/drawing/2014/main" id="{111E9384-ABDC-7C3B-F0A9-ECF81C00F0B6}"/>
              </a:ext>
            </a:extLst>
          </xdr:cNvPr>
          <xdr:cNvGrpSpPr/>
        </xdr:nvGrpSpPr>
        <xdr:grpSpPr>
          <a:xfrm>
            <a:off x="16172571" y="7734260"/>
            <a:ext cx="2327982" cy="3805077"/>
            <a:chOff x="7697825" y="3800475"/>
            <a:chExt cx="2755769" cy="3935649"/>
          </a:xfrm>
        </xdr:grpSpPr>
        <xdr:graphicFrame macro="">
          <xdr:nvGraphicFramePr>
            <xdr:cNvPr id="332" name="Chart 3">
              <a:extLst>
                <a:ext uri="{FF2B5EF4-FFF2-40B4-BE49-F238E27FC236}">
                  <a16:creationId xmlns:a16="http://schemas.microsoft.com/office/drawing/2014/main" id="{B593E075-7364-2671-2485-19ED99F97B7C}"/>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5"/>
            </a:graphicData>
          </a:graphic>
        </xdr:graphicFrame>
        <xdr:grpSp>
          <xdr:nvGrpSpPr>
            <xdr:cNvPr id="333" name="Group 19">
              <a:extLst>
                <a:ext uri="{FF2B5EF4-FFF2-40B4-BE49-F238E27FC236}">
                  <a16:creationId xmlns:a16="http://schemas.microsoft.com/office/drawing/2014/main" id="{6940FAC7-6577-8E21-61F1-ACB395F16D01}"/>
                </a:ext>
              </a:extLst>
            </xdr:cNvPr>
            <xdr:cNvGrpSpPr/>
          </xdr:nvGrpSpPr>
          <xdr:grpSpPr>
            <a:xfrm>
              <a:off x="8814167" y="3818680"/>
              <a:ext cx="1583474" cy="358291"/>
              <a:chOff x="3880217" y="4675930"/>
              <a:chExt cx="1583474" cy="358291"/>
            </a:xfrm>
          </xdr:grpSpPr>
          <xdr:sp macro="" textlink="'W5'!$U$64">
            <xdr:nvSpPr>
              <xdr:cNvPr id="338" name="TextBox 20">
                <a:extLst>
                  <a:ext uri="{FF2B5EF4-FFF2-40B4-BE49-F238E27FC236}">
                    <a16:creationId xmlns:a16="http://schemas.microsoft.com/office/drawing/2014/main" id="{70C764EC-91BB-6EAF-8399-9DDE42AEB1B9}"/>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27FCC4A2-F0C0-47CA-A3C0-59E81AABD2E9}"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339" name="TextBox 21">
                <a:extLst>
                  <a:ext uri="{FF2B5EF4-FFF2-40B4-BE49-F238E27FC236}">
                    <a16:creationId xmlns:a16="http://schemas.microsoft.com/office/drawing/2014/main" id="{F435AD7E-48E1-DBB6-434D-750CEA4EAFC9}"/>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334" name="Group 26">
              <a:extLst>
                <a:ext uri="{FF2B5EF4-FFF2-40B4-BE49-F238E27FC236}">
                  <a16:creationId xmlns:a16="http://schemas.microsoft.com/office/drawing/2014/main" id="{130FE08D-668A-9764-DA29-CD138DBE970F}"/>
                </a:ext>
              </a:extLst>
            </xdr:cNvPr>
            <xdr:cNvGrpSpPr/>
          </xdr:nvGrpSpPr>
          <xdr:grpSpPr>
            <a:xfrm>
              <a:off x="7697825" y="5550324"/>
              <a:ext cx="1075761" cy="746276"/>
              <a:chOff x="5516600" y="5769399"/>
              <a:chExt cx="1075761" cy="746276"/>
            </a:xfrm>
          </xdr:grpSpPr>
          <xdr:sp macro="" textlink="'W5'!$U$61">
            <xdr:nvSpPr>
              <xdr:cNvPr id="335" name="TextBox 28">
                <a:extLst>
                  <a:ext uri="{FF2B5EF4-FFF2-40B4-BE49-F238E27FC236}">
                    <a16:creationId xmlns:a16="http://schemas.microsoft.com/office/drawing/2014/main" id="{0A041D70-5357-67A1-E398-733D2EA88397}"/>
                  </a:ext>
                </a:extLst>
              </xdr:cNvPr>
              <xdr:cNvSpPr txBox="1"/>
            </xdr:nvSpPr>
            <xdr:spPr>
              <a:xfrm>
                <a:off x="5686426" y="5962650"/>
                <a:ext cx="589009"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281D13E-6D10-46D2-A91E-84E1BA7DF8B5}" type="TxLink">
                  <a:rPr lang="en-US" sz="1500" b="1" i="0" u="none" strike="noStrike">
                    <a:solidFill>
                      <a:srgbClr val="0033CC"/>
                    </a:solidFill>
                    <a:latin typeface="+mj-lt"/>
                    <a:cs typeface="Arial"/>
                  </a:rPr>
                  <a:pPr/>
                  <a:t>608 </a:t>
                </a:fld>
                <a:endParaRPr lang="en-US" sz="1500">
                  <a:latin typeface="+mj-lt"/>
                </a:endParaRPr>
              </a:p>
            </xdr:txBody>
          </xdr:sp>
          <xdr:sp macro="" textlink="">
            <xdr:nvSpPr>
              <xdr:cNvPr id="336" name="TextBox 29">
                <a:extLst>
                  <a:ext uri="{FF2B5EF4-FFF2-40B4-BE49-F238E27FC236}">
                    <a16:creationId xmlns:a16="http://schemas.microsoft.com/office/drawing/2014/main" id="{07669FCB-8516-4CA1-3F6C-7456FBD4B8F3}"/>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337" name="TextBox 30">
                <a:extLst>
                  <a:ext uri="{FF2B5EF4-FFF2-40B4-BE49-F238E27FC236}">
                    <a16:creationId xmlns:a16="http://schemas.microsoft.com/office/drawing/2014/main" id="{D94BCEED-5FD0-34BD-C92E-A6EB20617A62}"/>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31" name="TextBox 69">
            <a:extLst>
              <a:ext uri="{FF2B5EF4-FFF2-40B4-BE49-F238E27FC236}">
                <a16:creationId xmlns:a16="http://schemas.microsoft.com/office/drawing/2014/main" id="{E8C181A2-400B-7F06-8F4F-D2C29BAE8F39}"/>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9</a:t>
            </a:r>
          </a:p>
        </xdr:txBody>
      </xdr:sp>
    </xdr:grpSp>
    <xdr:clientData/>
  </xdr:twoCellAnchor>
  <xdr:twoCellAnchor editAs="oneCell">
    <xdr:from>
      <xdr:col>65</xdr:col>
      <xdr:colOff>0</xdr:colOff>
      <xdr:row>44</xdr:row>
      <xdr:rowOff>0</xdr:rowOff>
    </xdr:from>
    <xdr:to>
      <xdr:col>69</xdr:col>
      <xdr:colOff>120024</xdr:colOff>
      <xdr:row>64</xdr:row>
      <xdr:rowOff>123059</xdr:rowOff>
    </xdr:to>
    <xdr:grpSp>
      <xdr:nvGrpSpPr>
        <xdr:cNvPr id="351" name="Group 350">
          <a:extLst>
            <a:ext uri="{FF2B5EF4-FFF2-40B4-BE49-F238E27FC236}">
              <a16:creationId xmlns:a16="http://schemas.microsoft.com/office/drawing/2014/main" id="{173D701C-C1F0-4505-8F98-2A2D4134998B}"/>
            </a:ext>
          </a:extLst>
        </xdr:cNvPr>
        <xdr:cNvGrpSpPr/>
      </xdr:nvGrpSpPr>
      <xdr:grpSpPr>
        <a:xfrm>
          <a:off x="60635029" y="8157882"/>
          <a:ext cx="2495671" cy="4089942"/>
          <a:chOff x="16172571" y="7403937"/>
          <a:chExt cx="2327982" cy="4135400"/>
        </a:xfrm>
      </xdr:grpSpPr>
      <xdr:grpSp>
        <xdr:nvGrpSpPr>
          <xdr:cNvPr id="352" name="Group 24">
            <a:extLst>
              <a:ext uri="{FF2B5EF4-FFF2-40B4-BE49-F238E27FC236}">
                <a16:creationId xmlns:a16="http://schemas.microsoft.com/office/drawing/2014/main" id="{ADE3E141-9144-CFE7-9EAA-330463B8B959}"/>
              </a:ext>
            </a:extLst>
          </xdr:cNvPr>
          <xdr:cNvGrpSpPr/>
        </xdr:nvGrpSpPr>
        <xdr:grpSpPr>
          <a:xfrm>
            <a:off x="16172571" y="7734260"/>
            <a:ext cx="2327982" cy="3805077"/>
            <a:chOff x="7697825" y="3800475"/>
            <a:chExt cx="2755769" cy="3935649"/>
          </a:xfrm>
        </xdr:grpSpPr>
        <xdr:graphicFrame macro="">
          <xdr:nvGraphicFramePr>
            <xdr:cNvPr id="366" name="Chart 3">
              <a:extLst>
                <a:ext uri="{FF2B5EF4-FFF2-40B4-BE49-F238E27FC236}">
                  <a16:creationId xmlns:a16="http://schemas.microsoft.com/office/drawing/2014/main" id="{86D36E56-4234-3F9A-E2DA-E06905FAB25A}"/>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6"/>
            </a:graphicData>
          </a:graphic>
        </xdr:graphicFrame>
        <xdr:grpSp>
          <xdr:nvGrpSpPr>
            <xdr:cNvPr id="367" name="Group 19">
              <a:extLst>
                <a:ext uri="{FF2B5EF4-FFF2-40B4-BE49-F238E27FC236}">
                  <a16:creationId xmlns:a16="http://schemas.microsoft.com/office/drawing/2014/main" id="{87084AAF-EF11-6FB3-F4C0-91AFAFBE64E9}"/>
                </a:ext>
              </a:extLst>
            </xdr:cNvPr>
            <xdr:cNvGrpSpPr/>
          </xdr:nvGrpSpPr>
          <xdr:grpSpPr>
            <a:xfrm>
              <a:off x="8814167" y="3818680"/>
              <a:ext cx="1583474" cy="358291"/>
              <a:chOff x="3880217" y="4675930"/>
              <a:chExt cx="1583474" cy="358291"/>
            </a:xfrm>
          </xdr:grpSpPr>
          <xdr:sp macro="" textlink="'W5'!$W$64">
            <xdr:nvSpPr>
              <xdr:cNvPr id="372" name="TextBox 20">
                <a:extLst>
                  <a:ext uri="{FF2B5EF4-FFF2-40B4-BE49-F238E27FC236}">
                    <a16:creationId xmlns:a16="http://schemas.microsoft.com/office/drawing/2014/main" id="{CF25F5BA-809F-72C8-E73B-E179048D2C01}"/>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911BC70-765F-46DD-8BA6-96D478FC8E29}"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373" name="TextBox 21">
                <a:extLst>
                  <a:ext uri="{FF2B5EF4-FFF2-40B4-BE49-F238E27FC236}">
                    <a16:creationId xmlns:a16="http://schemas.microsoft.com/office/drawing/2014/main" id="{3903B9FA-FB11-EC34-3DD1-9BDD24106F0C}"/>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368" name="Group 26">
              <a:extLst>
                <a:ext uri="{FF2B5EF4-FFF2-40B4-BE49-F238E27FC236}">
                  <a16:creationId xmlns:a16="http://schemas.microsoft.com/office/drawing/2014/main" id="{6F054AEB-55CF-110A-70A2-1595C843D63A}"/>
                </a:ext>
              </a:extLst>
            </xdr:cNvPr>
            <xdr:cNvGrpSpPr/>
          </xdr:nvGrpSpPr>
          <xdr:grpSpPr>
            <a:xfrm>
              <a:off x="7697825" y="5550324"/>
              <a:ext cx="1075761" cy="746276"/>
              <a:chOff x="5516600" y="5769399"/>
              <a:chExt cx="1075761" cy="746276"/>
            </a:xfrm>
          </xdr:grpSpPr>
          <xdr:sp macro="" textlink="'W5'!$W$61">
            <xdr:nvSpPr>
              <xdr:cNvPr id="369" name="TextBox 28">
                <a:extLst>
                  <a:ext uri="{FF2B5EF4-FFF2-40B4-BE49-F238E27FC236}">
                    <a16:creationId xmlns:a16="http://schemas.microsoft.com/office/drawing/2014/main" id="{F5EE8088-4342-3B6C-1D98-FCA4460C5B66}"/>
                  </a:ext>
                </a:extLst>
              </xdr:cNvPr>
              <xdr:cNvSpPr txBox="1"/>
            </xdr:nvSpPr>
            <xdr:spPr>
              <a:xfrm>
                <a:off x="5686426" y="5962650"/>
                <a:ext cx="589009"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DC2C5A3-B63C-46CF-BCC7-DE0C16BE28C7}" type="TxLink">
                  <a:rPr lang="en-US" sz="1500" b="1" i="0" u="none" strike="noStrike">
                    <a:solidFill>
                      <a:srgbClr val="0033CC"/>
                    </a:solidFill>
                    <a:latin typeface="+mj-lt"/>
                    <a:cs typeface="Arial"/>
                  </a:rPr>
                  <a:pPr/>
                  <a:t>641 </a:t>
                </a:fld>
                <a:endParaRPr lang="en-US" sz="1500">
                  <a:latin typeface="+mj-lt"/>
                </a:endParaRPr>
              </a:p>
            </xdr:txBody>
          </xdr:sp>
          <xdr:sp macro="" textlink="">
            <xdr:nvSpPr>
              <xdr:cNvPr id="370" name="TextBox 29">
                <a:extLst>
                  <a:ext uri="{FF2B5EF4-FFF2-40B4-BE49-F238E27FC236}">
                    <a16:creationId xmlns:a16="http://schemas.microsoft.com/office/drawing/2014/main" id="{1DF1A960-1039-B04C-DA0E-AFC3E1AF998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371" name="TextBox 30">
                <a:extLst>
                  <a:ext uri="{FF2B5EF4-FFF2-40B4-BE49-F238E27FC236}">
                    <a16:creationId xmlns:a16="http://schemas.microsoft.com/office/drawing/2014/main" id="{A8EC20AF-46CA-A310-E453-66D90FCD0034}"/>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65" name="TextBox 69">
            <a:extLst>
              <a:ext uri="{FF2B5EF4-FFF2-40B4-BE49-F238E27FC236}">
                <a16:creationId xmlns:a16="http://schemas.microsoft.com/office/drawing/2014/main" id="{A1932263-0816-ACBF-8263-0775405213FD}"/>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10</a:t>
            </a:r>
          </a:p>
        </xdr:txBody>
      </xdr:sp>
    </xdr:grpSp>
    <xdr:clientData/>
  </xdr:twoCellAnchor>
  <xdr:twoCellAnchor editAs="oneCell">
    <xdr:from>
      <xdr:col>51</xdr:col>
      <xdr:colOff>33617</xdr:colOff>
      <xdr:row>66</xdr:row>
      <xdr:rowOff>280147</xdr:rowOff>
    </xdr:from>
    <xdr:to>
      <xdr:col>55</xdr:col>
      <xdr:colOff>453681</xdr:colOff>
      <xdr:row>88</xdr:row>
      <xdr:rowOff>74853</xdr:rowOff>
    </xdr:to>
    <xdr:grpSp>
      <xdr:nvGrpSpPr>
        <xdr:cNvPr id="385" name="Group 384">
          <a:extLst>
            <a:ext uri="{FF2B5EF4-FFF2-40B4-BE49-F238E27FC236}">
              <a16:creationId xmlns:a16="http://schemas.microsoft.com/office/drawing/2014/main" id="{300B8342-11DF-4FB4-B371-2C958F2BACB6}"/>
            </a:ext>
          </a:extLst>
        </xdr:cNvPr>
        <xdr:cNvGrpSpPr/>
      </xdr:nvGrpSpPr>
      <xdr:grpSpPr>
        <a:xfrm>
          <a:off x="52353882" y="12785912"/>
          <a:ext cx="2795711" cy="4075353"/>
          <a:chOff x="9284677" y="11615942"/>
          <a:chExt cx="2252365" cy="4102024"/>
        </a:xfrm>
      </xdr:grpSpPr>
      <xdr:grpSp>
        <xdr:nvGrpSpPr>
          <xdr:cNvPr id="386" name="Group 385">
            <a:extLst>
              <a:ext uri="{FF2B5EF4-FFF2-40B4-BE49-F238E27FC236}">
                <a16:creationId xmlns:a16="http://schemas.microsoft.com/office/drawing/2014/main" id="{ADCA9109-E617-D121-295E-E70B5D0E39F8}"/>
              </a:ext>
            </a:extLst>
          </xdr:cNvPr>
          <xdr:cNvGrpSpPr/>
        </xdr:nvGrpSpPr>
        <xdr:grpSpPr>
          <a:xfrm>
            <a:off x="9284677" y="11959782"/>
            <a:ext cx="2252365" cy="3758184"/>
            <a:chOff x="7743823" y="7915275"/>
            <a:chExt cx="2663385" cy="4317935"/>
          </a:xfrm>
        </xdr:grpSpPr>
        <xdr:graphicFrame macro="">
          <xdr:nvGraphicFramePr>
            <xdr:cNvPr id="388" name="Chart 387">
              <a:extLst>
                <a:ext uri="{FF2B5EF4-FFF2-40B4-BE49-F238E27FC236}">
                  <a16:creationId xmlns:a16="http://schemas.microsoft.com/office/drawing/2014/main" id="{E1B1EC2F-8873-6213-5C28-02AF862E6DA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7"/>
            </a:graphicData>
          </a:graphic>
        </xdr:graphicFrame>
        <xdr:grpSp>
          <xdr:nvGrpSpPr>
            <xdr:cNvPr id="389" name="Group 388">
              <a:extLst>
                <a:ext uri="{FF2B5EF4-FFF2-40B4-BE49-F238E27FC236}">
                  <a16:creationId xmlns:a16="http://schemas.microsoft.com/office/drawing/2014/main" id="{ECBC53F0-ADA0-8FDC-84A8-B53B9170BEA0}"/>
                </a:ext>
              </a:extLst>
            </xdr:cNvPr>
            <xdr:cNvGrpSpPr/>
          </xdr:nvGrpSpPr>
          <xdr:grpSpPr>
            <a:xfrm>
              <a:off x="8748842" y="8010525"/>
              <a:ext cx="1601103" cy="385633"/>
              <a:chOff x="3662491" y="4678681"/>
              <a:chExt cx="1601103" cy="385633"/>
            </a:xfrm>
          </xdr:grpSpPr>
          <xdr:sp macro="" textlink="'W5'!$Q$86">
            <xdr:nvSpPr>
              <xdr:cNvPr id="394" name="TextBox 393">
                <a:extLst>
                  <a:ext uri="{FF2B5EF4-FFF2-40B4-BE49-F238E27FC236}">
                    <a16:creationId xmlns:a16="http://schemas.microsoft.com/office/drawing/2014/main" id="{06F01F89-8FC1-3C15-0CB8-70CD96E6C2DF}"/>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93B855A-5C71-48A0-ACB2-4CC03CF3EDD7}" type="TxLink">
                  <a:rPr lang="en-US" sz="1700" b="1" i="0" u="none" strike="noStrike">
                    <a:solidFill>
                      <a:srgbClr val="0033CC"/>
                    </a:solidFill>
                    <a:latin typeface="+mj-lt"/>
                    <a:cs typeface="Arial"/>
                  </a:rPr>
                  <a:pPr/>
                  <a:t>1,503 </a:t>
                </a:fld>
                <a:endParaRPr lang="en-US" sz="1700">
                  <a:solidFill>
                    <a:srgbClr val="0033CC"/>
                  </a:solidFill>
                  <a:latin typeface="+mj-lt"/>
                  <a:cs typeface="Arial" panose="020B0604020202020204" pitchFamily="34" charset="0"/>
                </a:endParaRPr>
              </a:p>
            </xdr:txBody>
          </xdr:sp>
          <xdr:sp macro="" textlink="">
            <xdr:nvSpPr>
              <xdr:cNvPr id="395" name="TextBox 394">
                <a:extLst>
                  <a:ext uri="{FF2B5EF4-FFF2-40B4-BE49-F238E27FC236}">
                    <a16:creationId xmlns:a16="http://schemas.microsoft.com/office/drawing/2014/main" id="{BF2D8CCC-51F8-CD3C-39DE-2D044F4247A8}"/>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390" name="Group 389">
              <a:extLst>
                <a:ext uri="{FF2B5EF4-FFF2-40B4-BE49-F238E27FC236}">
                  <a16:creationId xmlns:a16="http://schemas.microsoft.com/office/drawing/2014/main" id="{C208A4DA-73CE-18B5-B05D-194C5623B46E}"/>
                </a:ext>
              </a:extLst>
            </xdr:cNvPr>
            <xdr:cNvGrpSpPr/>
          </xdr:nvGrpSpPr>
          <xdr:grpSpPr>
            <a:xfrm>
              <a:off x="7743823" y="9982200"/>
              <a:ext cx="1018881" cy="734000"/>
              <a:chOff x="5572123" y="5781675"/>
              <a:chExt cx="1018881" cy="734000"/>
            </a:xfrm>
          </xdr:grpSpPr>
          <xdr:sp macro="" textlink="'W5'!$Q$83">
            <xdr:nvSpPr>
              <xdr:cNvPr id="391" name="TextBox 390">
                <a:extLst>
                  <a:ext uri="{FF2B5EF4-FFF2-40B4-BE49-F238E27FC236}">
                    <a16:creationId xmlns:a16="http://schemas.microsoft.com/office/drawing/2014/main" id="{02A5A335-451C-CDE1-DEE8-2A7C374E885C}"/>
                  </a:ext>
                </a:extLst>
              </xdr:cNvPr>
              <xdr:cNvSpPr txBox="1"/>
            </xdr:nvSpPr>
            <xdr:spPr>
              <a:xfrm>
                <a:off x="5581649" y="5962651"/>
                <a:ext cx="655018"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5C26FC2-B226-4AAC-8CF3-16C1F4748F68}" type="TxLink">
                  <a:rPr lang="en-US" sz="1500" b="1" i="0" u="none" strike="noStrike">
                    <a:solidFill>
                      <a:srgbClr val="0033CC"/>
                    </a:solidFill>
                    <a:latin typeface="+mj-lt"/>
                    <a:cs typeface="Arial"/>
                  </a:rPr>
                  <a:pPr/>
                  <a:t>1,560 </a:t>
                </a:fld>
                <a:endParaRPr lang="en-US" sz="1500">
                  <a:latin typeface="+mj-lt"/>
                </a:endParaRPr>
              </a:p>
            </xdr:txBody>
          </xdr:sp>
          <xdr:sp macro="" textlink="">
            <xdr:nvSpPr>
              <xdr:cNvPr id="392" name="TextBox 391">
                <a:extLst>
                  <a:ext uri="{FF2B5EF4-FFF2-40B4-BE49-F238E27FC236}">
                    <a16:creationId xmlns:a16="http://schemas.microsoft.com/office/drawing/2014/main" id="{89326909-558E-279F-7666-B37BDCC986E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393" name="TextBox 392">
                <a:extLst>
                  <a:ext uri="{FF2B5EF4-FFF2-40B4-BE49-F238E27FC236}">
                    <a16:creationId xmlns:a16="http://schemas.microsoft.com/office/drawing/2014/main" id="{72CB1E4D-649F-A541-1D44-B16AB51C8C9D}"/>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87" name="TextBox 386">
            <a:extLst>
              <a:ext uri="{FF2B5EF4-FFF2-40B4-BE49-F238E27FC236}">
                <a16:creationId xmlns:a16="http://schemas.microsoft.com/office/drawing/2014/main" id="{04F24D72-B77E-12BA-2B25-42B3D21E2CC3}"/>
              </a:ext>
            </a:extLst>
          </xdr:cNvPr>
          <xdr:cNvSpPr txBox="1"/>
        </xdr:nvSpPr>
        <xdr:spPr>
          <a:xfrm>
            <a:off x="9317731" y="11615942"/>
            <a:ext cx="689330" cy="32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7</a:t>
            </a:r>
          </a:p>
        </xdr:txBody>
      </xdr:sp>
    </xdr:grpSp>
    <xdr:clientData/>
  </xdr:twoCellAnchor>
  <xdr:twoCellAnchor editAs="oneCell">
    <xdr:from>
      <xdr:col>56</xdr:col>
      <xdr:colOff>89647</xdr:colOff>
      <xdr:row>66</xdr:row>
      <xdr:rowOff>280147</xdr:rowOff>
    </xdr:from>
    <xdr:to>
      <xdr:col>60</xdr:col>
      <xdr:colOff>509711</xdr:colOff>
      <xdr:row>88</xdr:row>
      <xdr:rowOff>74853</xdr:rowOff>
    </xdr:to>
    <xdr:grpSp>
      <xdr:nvGrpSpPr>
        <xdr:cNvPr id="407" name="Group 406">
          <a:extLst>
            <a:ext uri="{FF2B5EF4-FFF2-40B4-BE49-F238E27FC236}">
              <a16:creationId xmlns:a16="http://schemas.microsoft.com/office/drawing/2014/main" id="{2CEABAA6-EAD1-4135-B088-C878D10E7CA3}"/>
            </a:ext>
          </a:extLst>
        </xdr:cNvPr>
        <xdr:cNvGrpSpPr/>
      </xdr:nvGrpSpPr>
      <xdr:grpSpPr>
        <a:xfrm>
          <a:off x="55379471" y="12785912"/>
          <a:ext cx="2795711" cy="4075353"/>
          <a:chOff x="9284677" y="11615942"/>
          <a:chExt cx="2252365" cy="4102024"/>
        </a:xfrm>
      </xdr:grpSpPr>
      <xdr:grpSp>
        <xdr:nvGrpSpPr>
          <xdr:cNvPr id="408" name="Group 407">
            <a:extLst>
              <a:ext uri="{FF2B5EF4-FFF2-40B4-BE49-F238E27FC236}">
                <a16:creationId xmlns:a16="http://schemas.microsoft.com/office/drawing/2014/main" id="{05139218-400C-8D25-8765-BCC91AE46E1D}"/>
              </a:ext>
            </a:extLst>
          </xdr:cNvPr>
          <xdr:cNvGrpSpPr/>
        </xdr:nvGrpSpPr>
        <xdr:grpSpPr>
          <a:xfrm>
            <a:off x="9284677" y="11959782"/>
            <a:ext cx="2252365" cy="3758184"/>
            <a:chOff x="7743823" y="7915275"/>
            <a:chExt cx="2663385" cy="4317935"/>
          </a:xfrm>
        </xdr:grpSpPr>
        <xdr:graphicFrame macro="">
          <xdr:nvGraphicFramePr>
            <xdr:cNvPr id="410" name="Chart 409">
              <a:extLst>
                <a:ext uri="{FF2B5EF4-FFF2-40B4-BE49-F238E27FC236}">
                  <a16:creationId xmlns:a16="http://schemas.microsoft.com/office/drawing/2014/main" id="{8025FD83-4F3F-C3FF-022D-B7E2002C7F4D}"/>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8"/>
            </a:graphicData>
          </a:graphic>
        </xdr:graphicFrame>
        <xdr:grpSp>
          <xdr:nvGrpSpPr>
            <xdr:cNvPr id="411" name="Group 410">
              <a:extLst>
                <a:ext uri="{FF2B5EF4-FFF2-40B4-BE49-F238E27FC236}">
                  <a16:creationId xmlns:a16="http://schemas.microsoft.com/office/drawing/2014/main" id="{9C2318BC-71DA-0622-FB04-75635F8EFB99}"/>
                </a:ext>
              </a:extLst>
            </xdr:cNvPr>
            <xdr:cNvGrpSpPr/>
          </xdr:nvGrpSpPr>
          <xdr:grpSpPr>
            <a:xfrm>
              <a:off x="8748842" y="8010525"/>
              <a:ext cx="1601103" cy="385633"/>
              <a:chOff x="3662491" y="4678681"/>
              <a:chExt cx="1601103" cy="385633"/>
            </a:xfrm>
          </xdr:grpSpPr>
          <xdr:sp macro="" textlink="'W5'!$S$86">
            <xdr:nvSpPr>
              <xdr:cNvPr id="416" name="TextBox 415">
                <a:extLst>
                  <a:ext uri="{FF2B5EF4-FFF2-40B4-BE49-F238E27FC236}">
                    <a16:creationId xmlns:a16="http://schemas.microsoft.com/office/drawing/2014/main" id="{3320234F-1A63-2125-8483-1AD275A512EF}"/>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FF04C967-6F9C-4826-8623-29D634D0FF30}" type="TxLink">
                  <a:rPr lang="en-US" sz="1700" b="1" i="0" u="none" strike="noStrike">
                    <a:solidFill>
                      <a:srgbClr val="0033CC"/>
                    </a:solidFill>
                    <a:latin typeface="+mj-lt"/>
                    <a:cs typeface="Arial"/>
                  </a:rPr>
                  <a:pPr/>
                  <a:t>1,588 </a:t>
                </a:fld>
                <a:endParaRPr lang="en-US" sz="1700">
                  <a:solidFill>
                    <a:srgbClr val="0033CC"/>
                  </a:solidFill>
                  <a:latin typeface="+mj-lt"/>
                  <a:cs typeface="Arial" panose="020B0604020202020204" pitchFamily="34" charset="0"/>
                </a:endParaRPr>
              </a:p>
            </xdr:txBody>
          </xdr:sp>
          <xdr:sp macro="" textlink="">
            <xdr:nvSpPr>
              <xdr:cNvPr id="417" name="TextBox 416">
                <a:extLst>
                  <a:ext uri="{FF2B5EF4-FFF2-40B4-BE49-F238E27FC236}">
                    <a16:creationId xmlns:a16="http://schemas.microsoft.com/office/drawing/2014/main" id="{0B58890B-C128-16EA-4ECC-A71DE7B0F186}"/>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12" name="Group 411">
              <a:extLst>
                <a:ext uri="{FF2B5EF4-FFF2-40B4-BE49-F238E27FC236}">
                  <a16:creationId xmlns:a16="http://schemas.microsoft.com/office/drawing/2014/main" id="{E893C402-075D-8AD1-F3E4-4017681562DA}"/>
                </a:ext>
              </a:extLst>
            </xdr:cNvPr>
            <xdr:cNvGrpSpPr/>
          </xdr:nvGrpSpPr>
          <xdr:grpSpPr>
            <a:xfrm>
              <a:off x="7743823" y="9982200"/>
              <a:ext cx="1018881" cy="734000"/>
              <a:chOff x="5572123" y="5781675"/>
              <a:chExt cx="1018881" cy="734000"/>
            </a:xfrm>
          </xdr:grpSpPr>
          <xdr:sp macro="" textlink="'W5'!$S$83">
            <xdr:nvSpPr>
              <xdr:cNvPr id="413" name="TextBox 412">
                <a:extLst>
                  <a:ext uri="{FF2B5EF4-FFF2-40B4-BE49-F238E27FC236}">
                    <a16:creationId xmlns:a16="http://schemas.microsoft.com/office/drawing/2014/main" id="{BFA042F4-AFB3-578C-2BBA-0453A0476F9B}"/>
                  </a:ext>
                </a:extLst>
              </xdr:cNvPr>
              <xdr:cNvSpPr txBox="1"/>
            </xdr:nvSpPr>
            <xdr:spPr>
              <a:xfrm>
                <a:off x="5581649" y="5962651"/>
                <a:ext cx="655018"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9B0E48F-A0C7-4EB7-806B-39DC9827B4D3}" type="TxLink">
                  <a:rPr lang="en-US" sz="1500" b="1" i="0" u="none" strike="noStrike">
                    <a:solidFill>
                      <a:srgbClr val="0033CC"/>
                    </a:solidFill>
                    <a:latin typeface="+mj-lt"/>
                    <a:cs typeface="Arial"/>
                  </a:rPr>
                  <a:pPr/>
                  <a:t>1,642 </a:t>
                </a:fld>
                <a:endParaRPr lang="en-US" sz="1500">
                  <a:latin typeface="+mj-lt"/>
                </a:endParaRPr>
              </a:p>
            </xdr:txBody>
          </xdr:sp>
          <xdr:sp macro="" textlink="">
            <xdr:nvSpPr>
              <xdr:cNvPr id="414" name="TextBox 413">
                <a:extLst>
                  <a:ext uri="{FF2B5EF4-FFF2-40B4-BE49-F238E27FC236}">
                    <a16:creationId xmlns:a16="http://schemas.microsoft.com/office/drawing/2014/main" id="{81738867-0669-6AD2-EC5D-46E0C8A5795C}"/>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15" name="TextBox 414">
                <a:extLst>
                  <a:ext uri="{FF2B5EF4-FFF2-40B4-BE49-F238E27FC236}">
                    <a16:creationId xmlns:a16="http://schemas.microsoft.com/office/drawing/2014/main" id="{EBFD3ABF-841F-87FC-FCF0-139C2F83C0C2}"/>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409" name="TextBox 408">
            <a:extLst>
              <a:ext uri="{FF2B5EF4-FFF2-40B4-BE49-F238E27FC236}">
                <a16:creationId xmlns:a16="http://schemas.microsoft.com/office/drawing/2014/main" id="{5D3A2DA7-A45B-06EB-210C-8555625480DD}"/>
              </a:ext>
            </a:extLst>
          </xdr:cNvPr>
          <xdr:cNvSpPr txBox="1"/>
        </xdr:nvSpPr>
        <xdr:spPr>
          <a:xfrm>
            <a:off x="9317731" y="11615942"/>
            <a:ext cx="689330" cy="32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8</a:t>
            </a:r>
          </a:p>
        </xdr:txBody>
      </xdr:sp>
    </xdr:grpSp>
    <xdr:clientData/>
  </xdr:twoCellAnchor>
  <xdr:twoCellAnchor editAs="oneCell">
    <xdr:from>
      <xdr:col>61</xdr:col>
      <xdr:colOff>593911</xdr:colOff>
      <xdr:row>66</xdr:row>
      <xdr:rowOff>257735</xdr:rowOff>
    </xdr:from>
    <xdr:to>
      <xdr:col>66</xdr:col>
      <xdr:colOff>420063</xdr:colOff>
      <xdr:row>88</xdr:row>
      <xdr:rowOff>52441</xdr:rowOff>
    </xdr:to>
    <xdr:grpSp>
      <xdr:nvGrpSpPr>
        <xdr:cNvPr id="429" name="Group 428">
          <a:extLst>
            <a:ext uri="{FF2B5EF4-FFF2-40B4-BE49-F238E27FC236}">
              <a16:creationId xmlns:a16="http://schemas.microsoft.com/office/drawing/2014/main" id="{F6EB9DAC-C078-42A2-9C98-E4C216238159}"/>
            </a:ext>
          </a:extLst>
        </xdr:cNvPr>
        <xdr:cNvGrpSpPr/>
      </xdr:nvGrpSpPr>
      <xdr:grpSpPr>
        <a:xfrm>
          <a:off x="58853293" y="12763500"/>
          <a:ext cx="2795711" cy="4075353"/>
          <a:chOff x="9284677" y="11615942"/>
          <a:chExt cx="2252365" cy="4102024"/>
        </a:xfrm>
      </xdr:grpSpPr>
      <xdr:grpSp>
        <xdr:nvGrpSpPr>
          <xdr:cNvPr id="430" name="Group 429">
            <a:extLst>
              <a:ext uri="{FF2B5EF4-FFF2-40B4-BE49-F238E27FC236}">
                <a16:creationId xmlns:a16="http://schemas.microsoft.com/office/drawing/2014/main" id="{E3892627-7C93-3DF4-E43B-04C0AC4DFF28}"/>
              </a:ext>
            </a:extLst>
          </xdr:cNvPr>
          <xdr:cNvGrpSpPr/>
        </xdr:nvGrpSpPr>
        <xdr:grpSpPr>
          <a:xfrm>
            <a:off x="9284677" y="11959782"/>
            <a:ext cx="2252365" cy="3758184"/>
            <a:chOff x="7743823" y="7915275"/>
            <a:chExt cx="2663385" cy="4317935"/>
          </a:xfrm>
        </xdr:grpSpPr>
        <xdr:graphicFrame macro="">
          <xdr:nvGraphicFramePr>
            <xdr:cNvPr id="432" name="Chart 431">
              <a:extLst>
                <a:ext uri="{FF2B5EF4-FFF2-40B4-BE49-F238E27FC236}">
                  <a16:creationId xmlns:a16="http://schemas.microsoft.com/office/drawing/2014/main" id="{B1D6AF03-5734-3A4B-B722-D07E5778F13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9"/>
            </a:graphicData>
          </a:graphic>
        </xdr:graphicFrame>
        <xdr:grpSp>
          <xdr:nvGrpSpPr>
            <xdr:cNvPr id="433" name="Group 432">
              <a:extLst>
                <a:ext uri="{FF2B5EF4-FFF2-40B4-BE49-F238E27FC236}">
                  <a16:creationId xmlns:a16="http://schemas.microsoft.com/office/drawing/2014/main" id="{6ED46B51-C75E-5370-3A25-AB6A6F506A1C}"/>
                </a:ext>
              </a:extLst>
            </xdr:cNvPr>
            <xdr:cNvGrpSpPr/>
          </xdr:nvGrpSpPr>
          <xdr:grpSpPr>
            <a:xfrm>
              <a:off x="8748842" y="8010525"/>
              <a:ext cx="1601103" cy="385633"/>
              <a:chOff x="3662491" y="4678681"/>
              <a:chExt cx="1601103" cy="385633"/>
            </a:xfrm>
          </xdr:grpSpPr>
          <xdr:sp macro="" textlink="'W5'!$U$86">
            <xdr:nvSpPr>
              <xdr:cNvPr id="438" name="TextBox 437">
                <a:extLst>
                  <a:ext uri="{FF2B5EF4-FFF2-40B4-BE49-F238E27FC236}">
                    <a16:creationId xmlns:a16="http://schemas.microsoft.com/office/drawing/2014/main" id="{65E40A8B-BA24-CA6F-290C-C907A812DE1A}"/>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2060176A-79A1-4ECC-8313-D8A316877856}" type="TxLink">
                  <a:rPr lang="en-US" sz="1700" b="1" i="0" u="none" strike="noStrike">
                    <a:solidFill>
                      <a:srgbClr val="0033CC"/>
                    </a:solidFill>
                    <a:latin typeface="+mj-lt"/>
                    <a:cs typeface="Arial"/>
                  </a:rPr>
                  <a:pPr/>
                  <a:t>1,744 </a:t>
                </a:fld>
                <a:endParaRPr lang="en-US" sz="1700">
                  <a:solidFill>
                    <a:srgbClr val="0033CC"/>
                  </a:solidFill>
                  <a:latin typeface="+mj-lt"/>
                  <a:cs typeface="Arial" panose="020B0604020202020204" pitchFamily="34" charset="0"/>
                </a:endParaRPr>
              </a:p>
            </xdr:txBody>
          </xdr:sp>
          <xdr:sp macro="" textlink="">
            <xdr:nvSpPr>
              <xdr:cNvPr id="439" name="TextBox 438">
                <a:extLst>
                  <a:ext uri="{FF2B5EF4-FFF2-40B4-BE49-F238E27FC236}">
                    <a16:creationId xmlns:a16="http://schemas.microsoft.com/office/drawing/2014/main" id="{A3577651-7314-98A3-2CB9-3DF41603EC2E}"/>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34" name="Group 433">
              <a:extLst>
                <a:ext uri="{FF2B5EF4-FFF2-40B4-BE49-F238E27FC236}">
                  <a16:creationId xmlns:a16="http://schemas.microsoft.com/office/drawing/2014/main" id="{2EB83B35-E7E0-C13B-70E0-A0AE9DC3F6BA}"/>
                </a:ext>
              </a:extLst>
            </xdr:cNvPr>
            <xdr:cNvGrpSpPr/>
          </xdr:nvGrpSpPr>
          <xdr:grpSpPr>
            <a:xfrm>
              <a:off x="7743823" y="9982200"/>
              <a:ext cx="1018881" cy="734000"/>
              <a:chOff x="5572123" y="5781675"/>
              <a:chExt cx="1018881" cy="734000"/>
            </a:xfrm>
          </xdr:grpSpPr>
          <xdr:sp macro="" textlink="'W5'!$U$83">
            <xdr:nvSpPr>
              <xdr:cNvPr id="435" name="TextBox 434">
                <a:extLst>
                  <a:ext uri="{FF2B5EF4-FFF2-40B4-BE49-F238E27FC236}">
                    <a16:creationId xmlns:a16="http://schemas.microsoft.com/office/drawing/2014/main" id="{88DF2880-667D-3D90-8C63-A98994B53305}"/>
                  </a:ext>
                </a:extLst>
              </xdr:cNvPr>
              <xdr:cNvSpPr txBox="1"/>
            </xdr:nvSpPr>
            <xdr:spPr>
              <a:xfrm>
                <a:off x="5581649" y="5962651"/>
                <a:ext cx="655018"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D4A2B26-7AC2-45E7-B7C0-E3F9FA06D7FC}" type="TxLink">
                  <a:rPr lang="en-US" sz="1500" b="1" i="0" u="none" strike="noStrike">
                    <a:solidFill>
                      <a:srgbClr val="0033CC"/>
                    </a:solidFill>
                    <a:latin typeface="+mj-lt"/>
                    <a:cs typeface="Arial"/>
                  </a:rPr>
                  <a:pPr/>
                  <a:t>1,560 </a:t>
                </a:fld>
                <a:endParaRPr lang="en-US" sz="1500">
                  <a:latin typeface="+mj-lt"/>
                </a:endParaRPr>
              </a:p>
            </xdr:txBody>
          </xdr:sp>
          <xdr:sp macro="" textlink="">
            <xdr:nvSpPr>
              <xdr:cNvPr id="436" name="TextBox 435">
                <a:extLst>
                  <a:ext uri="{FF2B5EF4-FFF2-40B4-BE49-F238E27FC236}">
                    <a16:creationId xmlns:a16="http://schemas.microsoft.com/office/drawing/2014/main" id="{B7558BAF-0E2C-ADE8-84B2-0BCC13438831}"/>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37" name="TextBox 436">
                <a:extLst>
                  <a:ext uri="{FF2B5EF4-FFF2-40B4-BE49-F238E27FC236}">
                    <a16:creationId xmlns:a16="http://schemas.microsoft.com/office/drawing/2014/main" id="{801969D5-7E08-3E82-F1CB-3E3BB21CBD4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431" name="TextBox 430">
            <a:extLst>
              <a:ext uri="{FF2B5EF4-FFF2-40B4-BE49-F238E27FC236}">
                <a16:creationId xmlns:a16="http://schemas.microsoft.com/office/drawing/2014/main" id="{CB6BE40E-4B23-31A8-6001-0F8272B92883}"/>
              </a:ext>
            </a:extLst>
          </xdr:cNvPr>
          <xdr:cNvSpPr txBox="1"/>
        </xdr:nvSpPr>
        <xdr:spPr>
          <a:xfrm>
            <a:off x="9317731" y="11615942"/>
            <a:ext cx="689330" cy="32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9</a:t>
            </a:r>
          </a:p>
        </xdr:txBody>
      </xdr:sp>
    </xdr:grpSp>
    <xdr:clientData/>
  </xdr:twoCellAnchor>
  <xdr:twoCellAnchor editAs="oneCell">
    <xdr:from>
      <xdr:col>67</xdr:col>
      <xdr:colOff>324971</xdr:colOff>
      <xdr:row>66</xdr:row>
      <xdr:rowOff>0</xdr:rowOff>
    </xdr:from>
    <xdr:to>
      <xdr:col>72</xdr:col>
      <xdr:colOff>151123</xdr:colOff>
      <xdr:row>86</xdr:row>
      <xdr:rowOff>175706</xdr:rowOff>
    </xdr:to>
    <xdr:grpSp>
      <xdr:nvGrpSpPr>
        <xdr:cNvPr id="451" name="Group 450">
          <a:extLst>
            <a:ext uri="{FF2B5EF4-FFF2-40B4-BE49-F238E27FC236}">
              <a16:creationId xmlns:a16="http://schemas.microsoft.com/office/drawing/2014/main" id="{DBCB3B5B-46BA-42ED-A83A-7A400AE45D6F}"/>
            </a:ext>
          </a:extLst>
        </xdr:cNvPr>
        <xdr:cNvGrpSpPr/>
      </xdr:nvGrpSpPr>
      <xdr:grpSpPr>
        <a:xfrm>
          <a:off x="62147824" y="12505765"/>
          <a:ext cx="2795711" cy="4075353"/>
          <a:chOff x="9284677" y="11615942"/>
          <a:chExt cx="2252365" cy="4102024"/>
        </a:xfrm>
      </xdr:grpSpPr>
      <xdr:grpSp>
        <xdr:nvGrpSpPr>
          <xdr:cNvPr id="452" name="Group 451">
            <a:extLst>
              <a:ext uri="{FF2B5EF4-FFF2-40B4-BE49-F238E27FC236}">
                <a16:creationId xmlns:a16="http://schemas.microsoft.com/office/drawing/2014/main" id="{D6056673-1F1A-DBC4-AAAC-3B479D4D0560}"/>
              </a:ext>
            </a:extLst>
          </xdr:cNvPr>
          <xdr:cNvGrpSpPr/>
        </xdr:nvGrpSpPr>
        <xdr:grpSpPr>
          <a:xfrm>
            <a:off x="9284677" y="11959782"/>
            <a:ext cx="2252365" cy="3758184"/>
            <a:chOff x="7743823" y="7915275"/>
            <a:chExt cx="2663385" cy="4317935"/>
          </a:xfrm>
        </xdr:grpSpPr>
        <xdr:graphicFrame macro="">
          <xdr:nvGraphicFramePr>
            <xdr:cNvPr id="454" name="Chart 453">
              <a:extLst>
                <a:ext uri="{FF2B5EF4-FFF2-40B4-BE49-F238E27FC236}">
                  <a16:creationId xmlns:a16="http://schemas.microsoft.com/office/drawing/2014/main" id="{93B98DBE-AED9-F7A6-FA5A-43A30852D97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20"/>
            </a:graphicData>
          </a:graphic>
        </xdr:graphicFrame>
        <xdr:grpSp>
          <xdr:nvGrpSpPr>
            <xdr:cNvPr id="455" name="Group 454">
              <a:extLst>
                <a:ext uri="{FF2B5EF4-FFF2-40B4-BE49-F238E27FC236}">
                  <a16:creationId xmlns:a16="http://schemas.microsoft.com/office/drawing/2014/main" id="{F289A206-F421-3FCE-F09C-AF35A51DBA99}"/>
                </a:ext>
              </a:extLst>
            </xdr:cNvPr>
            <xdr:cNvGrpSpPr/>
          </xdr:nvGrpSpPr>
          <xdr:grpSpPr>
            <a:xfrm>
              <a:off x="8748842" y="8010525"/>
              <a:ext cx="1601103" cy="385633"/>
              <a:chOff x="3662491" y="4678681"/>
              <a:chExt cx="1601103" cy="385633"/>
            </a:xfrm>
          </xdr:grpSpPr>
          <xdr:sp macro="" textlink="'W5'!$W$86">
            <xdr:nvSpPr>
              <xdr:cNvPr id="460" name="TextBox 459">
                <a:extLst>
                  <a:ext uri="{FF2B5EF4-FFF2-40B4-BE49-F238E27FC236}">
                    <a16:creationId xmlns:a16="http://schemas.microsoft.com/office/drawing/2014/main" id="{93AA129C-5CA3-1C1F-9FD2-93F2C0086233}"/>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2CE9D7E-BA93-4218-83ED-84343B2F0346}" type="TxLink">
                  <a:rPr lang="en-US" sz="1700" b="1" i="0" u="none" strike="noStrike">
                    <a:solidFill>
                      <a:srgbClr val="0033CC"/>
                    </a:solidFill>
                    <a:latin typeface="+mj-lt"/>
                    <a:cs typeface="Arial"/>
                  </a:rPr>
                  <a:pPr/>
                  <a:t>1,744 </a:t>
                </a:fld>
                <a:endParaRPr lang="en-US" sz="1700">
                  <a:solidFill>
                    <a:srgbClr val="0033CC"/>
                  </a:solidFill>
                  <a:latin typeface="+mj-lt"/>
                  <a:cs typeface="Arial" panose="020B0604020202020204" pitchFamily="34" charset="0"/>
                </a:endParaRPr>
              </a:p>
            </xdr:txBody>
          </xdr:sp>
          <xdr:sp macro="" textlink="">
            <xdr:nvSpPr>
              <xdr:cNvPr id="461" name="TextBox 460">
                <a:extLst>
                  <a:ext uri="{FF2B5EF4-FFF2-40B4-BE49-F238E27FC236}">
                    <a16:creationId xmlns:a16="http://schemas.microsoft.com/office/drawing/2014/main" id="{71A16670-0419-CCFD-9A56-7EE250BE2FC9}"/>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56" name="Group 455">
              <a:extLst>
                <a:ext uri="{FF2B5EF4-FFF2-40B4-BE49-F238E27FC236}">
                  <a16:creationId xmlns:a16="http://schemas.microsoft.com/office/drawing/2014/main" id="{76901DD4-1E6B-C223-E083-79E3710073CD}"/>
                </a:ext>
              </a:extLst>
            </xdr:cNvPr>
            <xdr:cNvGrpSpPr/>
          </xdr:nvGrpSpPr>
          <xdr:grpSpPr>
            <a:xfrm>
              <a:off x="7743823" y="9982200"/>
              <a:ext cx="1018881" cy="734000"/>
              <a:chOff x="5572123" y="5781675"/>
              <a:chExt cx="1018881" cy="734000"/>
            </a:xfrm>
          </xdr:grpSpPr>
          <xdr:sp macro="" textlink="'W5'!$W$83">
            <xdr:nvSpPr>
              <xdr:cNvPr id="457" name="TextBox 456">
                <a:extLst>
                  <a:ext uri="{FF2B5EF4-FFF2-40B4-BE49-F238E27FC236}">
                    <a16:creationId xmlns:a16="http://schemas.microsoft.com/office/drawing/2014/main" id="{7A36DCB9-873F-DAF5-DA51-6185A607A122}"/>
                  </a:ext>
                </a:extLst>
              </xdr:cNvPr>
              <xdr:cNvSpPr txBox="1"/>
            </xdr:nvSpPr>
            <xdr:spPr>
              <a:xfrm>
                <a:off x="5581649" y="5962651"/>
                <a:ext cx="655018"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E394758-14CA-4A08-8315-5CF59392D965}" type="TxLink">
                  <a:rPr lang="en-US" sz="1500" b="1" i="0" u="none" strike="noStrike">
                    <a:solidFill>
                      <a:srgbClr val="0033CC"/>
                    </a:solidFill>
                    <a:latin typeface="+mj-lt"/>
                    <a:cs typeface="Arial"/>
                  </a:rPr>
                  <a:pPr/>
                  <a:t>1,642 </a:t>
                </a:fld>
                <a:endParaRPr lang="en-US" sz="1500">
                  <a:latin typeface="+mj-lt"/>
                </a:endParaRPr>
              </a:p>
            </xdr:txBody>
          </xdr:sp>
          <xdr:sp macro="" textlink="">
            <xdr:nvSpPr>
              <xdr:cNvPr id="458" name="TextBox 457">
                <a:extLst>
                  <a:ext uri="{FF2B5EF4-FFF2-40B4-BE49-F238E27FC236}">
                    <a16:creationId xmlns:a16="http://schemas.microsoft.com/office/drawing/2014/main" id="{F983FC19-54EC-7A2E-8404-8C4F80659253}"/>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59" name="TextBox 458">
                <a:extLst>
                  <a:ext uri="{FF2B5EF4-FFF2-40B4-BE49-F238E27FC236}">
                    <a16:creationId xmlns:a16="http://schemas.microsoft.com/office/drawing/2014/main" id="{4A3230EA-1AAE-BD23-80FA-84633E501F3E}"/>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453" name="TextBox 452">
            <a:extLst>
              <a:ext uri="{FF2B5EF4-FFF2-40B4-BE49-F238E27FC236}">
                <a16:creationId xmlns:a16="http://schemas.microsoft.com/office/drawing/2014/main" id="{DE0FD7A0-746F-F93D-701F-913431AAD03D}"/>
              </a:ext>
            </a:extLst>
          </xdr:cNvPr>
          <xdr:cNvSpPr txBox="1"/>
        </xdr:nvSpPr>
        <xdr:spPr>
          <a:xfrm>
            <a:off x="9317731" y="11615942"/>
            <a:ext cx="767902" cy="32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10</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2569615</xdr:colOff>
      <xdr:row>3</xdr:row>
      <xdr:rowOff>78752</xdr:rowOff>
    </xdr:to>
    <mc:AlternateContent xmlns:mc="http://schemas.openxmlformats.org/markup-compatibility/2006" xmlns:a14="http://schemas.microsoft.com/office/drawing/2010/main">
      <mc:Choice Requires="a14">
        <xdr:graphicFrame macro="">
          <xdr:nvGraphicFramePr>
            <xdr:cNvPr id="2" name="Currency 5">
              <a:extLst>
                <a:ext uri="{FF2B5EF4-FFF2-40B4-BE49-F238E27FC236}">
                  <a16:creationId xmlns:a16="http://schemas.microsoft.com/office/drawing/2014/main" id="{6B013C97-86E5-4B42-9653-E6BAE62D703C}"/>
                </a:ext>
              </a:extLst>
            </xdr:cNvPr>
            <xdr:cNvGraphicFramePr/>
          </xdr:nvGraphicFramePr>
          <xdr:xfrm>
            <a:off x="0" y="0"/>
            <a:ext cx="0" cy="0"/>
          </xdr:xfrm>
          <a:graphic>
            <a:graphicData uri="http://schemas.microsoft.com/office/drawing/2010/slicer">
              <sle:slicer xmlns:sle="http://schemas.microsoft.com/office/drawing/2010/slicer" name="Currency 5"/>
            </a:graphicData>
          </a:graphic>
        </xdr:graphicFrame>
      </mc:Choice>
      <mc:Fallback xmlns="">
        <xdr:sp macro="" textlink="">
          <xdr:nvSpPr>
            <xdr:cNvPr id="0" name=""/>
            <xdr:cNvSpPr>
              <a:spLocks noTextEdit="1"/>
            </xdr:cNvSpPr>
          </xdr:nvSpPr>
          <xdr:spPr>
            <a:xfrm>
              <a:off x="0" y="0"/>
              <a:ext cx="2569615" cy="661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178396</xdr:colOff>
      <xdr:row>37</xdr:row>
      <xdr:rowOff>145265</xdr:rowOff>
    </xdr:from>
    <xdr:to>
      <xdr:col>2</xdr:col>
      <xdr:colOff>125764</xdr:colOff>
      <xdr:row>41</xdr:row>
      <xdr:rowOff>75428</xdr:rowOff>
    </xdr:to>
    <mc:AlternateContent xmlns:mc="http://schemas.openxmlformats.org/markup-compatibility/2006" xmlns:a14="http://schemas.microsoft.com/office/drawing/2010/main">
      <mc:Choice Requires="a14">
        <xdr:graphicFrame macro="">
          <xdr:nvGraphicFramePr>
            <xdr:cNvPr id="2" name="Currency 6">
              <a:extLst>
                <a:ext uri="{FF2B5EF4-FFF2-40B4-BE49-F238E27FC236}">
                  <a16:creationId xmlns:a16="http://schemas.microsoft.com/office/drawing/2014/main" id="{FD2C0FA8-E95D-4030-A3CD-243C8BABD4DE}"/>
                </a:ext>
              </a:extLst>
            </xdr:cNvPr>
            <xdr:cNvGraphicFramePr/>
          </xdr:nvGraphicFramePr>
          <xdr:xfrm>
            <a:off x="0" y="0"/>
            <a:ext cx="0" cy="0"/>
          </xdr:xfrm>
          <a:graphic>
            <a:graphicData uri="http://schemas.microsoft.com/office/drawing/2010/slicer">
              <sle:slicer xmlns:sle="http://schemas.microsoft.com/office/drawing/2010/slicer" name="Currency 6"/>
            </a:graphicData>
          </a:graphic>
        </xdr:graphicFrame>
      </mc:Choice>
      <mc:Fallback xmlns="">
        <xdr:sp macro="" textlink="">
          <xdr:nvSpPr>
            <xdr:cNvPr id="0" name=""/>
            <xdr:cNvSpPr>
              <a:spLocks noTextEdit="1"/>
            </xdr:cNvSpPr>
          </xdr:nvSpPr>
          <xdr:spPr>
            <a:xfrm>
              <a:off x="178396" y="6909480"/>
              <a:ext cx="2555753" cy="656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8</xdr:col>
      <xdr:colOff>472440</xdr:colOff>
      <xdr:row>6</xdr:row>
      <xdr:rowOff>38100</xdr:rowOff>
    </xdr:from>
    <xdr:to>
      <xdr:col>18</xdr:col>
      <xdr:colOff>350520</xdr:colOff>
      <xdr:row>35</xdr:row>
      <xdr:rowOff>114300</xdr:rowOff>
    </xdr:to>
    <xdr:sp macro="" textlink="">
      <xdr:nvSpPr>
        <xdr:cNvPr id="2" name="Rectangle: Rounded Corners 1">
          <a:extLst>
            <a:ext uri="{FF2B5EF4-FFF2-40B4-BE49-F238E27FC236}">
              <a16:creationId xmlns:a16="http://schemas.microsoft.com/office/drawing/2014/main" id="{0E2847CF-1569-6C05-CB44-61C97082BE1C}"/>
            </a:ext>
          </a:extLst>
        </xdr:cNvPr>
        <xdr:cNvSpPr/>
      </xdr:nvSpPr>
      <xdr:spPr>
        <a:xfrm>
          <a:off x="10767060" y="1318260"/>
          <a:ext cx="5974080" cy="5379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NOT YET</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11</xdr:col>
      <xdr:colOff>591099</xdr:colOff>
      <xdr:row>60</xdr:row>
      <xdr:rowOff>181665</xdr:rowOff>
    </xdr:to>
    <xdr:pic>
      <xdr:nvPicPr>
        <xdr:cNvPr id="3" name="Picture 2">
          <a:extLst>
            <a:ext uri="{FF2B5EF4-FFF2-40B4-BE49-F238E27FC236}">
              <a16:creationId xmlns:a16="http://schemas.microsoft.com/office/drawing/2014/main" id="{110E7892-7C86-B1CB-2A69-00B1F1AB1A54}"/>
            </a:ext>
          </a:extLst>
        </xdr:cNvPr>
        <xdr:cNvPicPr>
          <a:picLocks noChangeAspect="1"/>
        </xdr:cNvPicPr>
      </xdr:nvPicPr>
      <xdr:blipFill>
        <a:blip xmlns:r="http://schemas.openxmlformats.org/officeDocument/2006/relationships" r:embed="rId1"/>
        <a:stretch>
          <a:fillRect/>
        </a:stretch>
      </xdr:blipFill>
      <xdr:spPr>
        <a:xfrm>
          <a:off x="762000" y="6701118"/>
          <a:ext cx="11965070" cy="494416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12699</xdr:colOff>
      <xdr:row>0</xdr:row>
      <xdr:rowOff>0</xdr:rowOff>
    </xdr:from>
    <xdr:to>
      <xdr:col>9</xdr:col>
      <xdr:colOff>272284</xdr:colOff>
      <xdr:row>21</xdr:row>
      <xdr:rowOff>8890</xdr:rowOff>
    </xdr:to>
    <xdr:pic>
      <xdr:nvPicPr>
        <xdr:cNvPr id="2" name="Picture 1">
          <a:extLst>
            <a:ext uri="{FF2B5EF4-FFF2-40B4-BE49-F238E27FC236}">
              <a16:creationId xmlns:a16="http://schemas.microsoft.com/office/drawing/2014/main" id="{655ADFF3-D2F9-4780-A4C0-5679013A58EF}"/>
            </a:ext>
          </a:extLst>
        </xdr:cNvPr>
        <xdr:cNvPicPr>
          <a:picLocks noChangeAspect="1"/>
        </xdr:cNvPicPr>
      </xdr:nvPicPr>
      <xdr:blipFill>
        <a:blip xmlns:r="http://schemas.openxmlformats.org/officeDocument/2006/relationships" r:embed="rId1"/>
        <a:stretch>
          <a:fillRect/>
        </a:stretch>
      </xdr:blipFill>
      <xdr:spPr>
        <a:xfrm>
          <a:off x="12699" y="0"/>
          <a:ext cx="6435595" cy="4013200"/>
        </a:xfrm>
        <a:prstGeom prst="rect">
          <a:avLst/>
        </a:prstGeom>
      </xdr:spPr>
    </xdr:pic>
    <xdr:clientData/>
  </xdr:twoCellAnchor>
  <xdr:twoCellAnchor editAs="oneCell">
    <xdr:from>
      <xdr:col>0</xdr:col>
      <xdr:colOff>0</xdr:colOff>
      <xdr:row>22</xdr:row>
      <xdr:rowOff>88900</xdr:rowOff>
    </xdr:from>
    <xdr:to>
      <xdr:col>9</xdr:col>
      <xdr:colOff>601619</xdr:colOff>
      <xdr:row>43</xdr:row>
      <xdr:rowOff>80645</xdr:rowOff>
    </xdr:to>
    <xdr:pic>
      <xdr:nvPicPr>
        <xdr:cNvPr id="3" name="Picture 2">
          <a:extLst>
            <a:ext uri="{FF2B5EF4-FFF2-40B4-BE49-F238E27FC236}">
              <a16:creationId xmlns:a16="http://schemas.microsoft.com/office/drawing/2014/main" id="{32C67917-CE92-4538-A675-6225F979251A}"/>
            </a:ext>
          </a:extLst>
        </xdr:cNvPr>
        <xdr:cNvPicPr>
          <a:picLocks noChangeAspect="1"/>
        </xdr:cNvPicPr>
      </xdr:nvPicPr>
      <xdr:blipFill>
        <a:blip xmlns:r="http://schemas.openxmlformats.org/officeDocument/2006/relationships" r:embed="rId2"/>
        <a:stretch>
          <a:fillRect/>
        </a:stretch>
      </xdr:blipFill>
      <xdr:spPr>
        <a:xfrm>
          <a:off x="0" y="4279900"/>
          <a:ext cx="6770009" cy="3994150"/>
        </a:xfrm>
        <a:prstGeom prst="rect">
          <a:avLst/>
        </a:prstGeom>
      </xdr:spPr>
    </xdr:pic>
    <xdr:clientData/>
  </xdr:twoCellAnchor>
  <xdr:twoCellAnchor editAs="oneCell">
    <xdr:from>
      <xdr:col>13</xdr:col>
      <xdr:colOff>231912</xdr:colOff>
      <xdr:row>24</xdr:row>
      <xdr:rowOff>41413</xdr:rowOff>
    </xdr:from>
    <xdr:to>
      <xdr:col>24</xdr:col>
      <xdr:colOff>239531</xdr:colOff>
      <xdr:row>40</xdr:row>
      <xdr:rowOff>117613</xdr:rowOff>
    </xdr:to>
    <xdr:pic>
      <xdr:nvPicPr>
        <xdr:cNvPr id="4" name="Picture 3">
          <a:extLst>
            <a:ext uri="{FF2B5EF4-FFF2-40B4-BE49-F238E27FC236}">
              <a16:creationId xmlns:a16="http://schemas.microsoft.com/office/drawing/2014/main" id="{9B8F567D-CBB2-4959-FDC9-5DA8A86572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68847" y="4613413"/>
          <a:ext cx="7569641" cy="312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641405</xdr:colOff>
      <xdr:row>70</xdr:row>
      <xdr:rowOff>147762</xdr:rowOff>
    </xdr:from>
    <xdr:to>
      <xdr:col>7</xdr:col>
      <xdr:colOff>987481</xdr:colOff>
      <xdr:row>75</xdr:row>
      <xdr:rowOff>38432</xdr:rowOff>
    </xdr:to>
    <mc:AlternateContent xmlns:mc="http://schemas.openxmlformats.org/markup-compatibility/2006" xmlns:a14="http://schemas.microsoft.com/office/drawing/2010/main">
      <mc:Choice Requires="a14">
        <xdr:graphicFrame macro="">
          <xdr:nvGraphicFramePr>
            <xdr:cNvPr id="2" name="Currency 8">
              <a:extLst>
                <a:ext uri="{FF2B5EF4-FFF2-40B4-BE49-F238E27FC236}">
                  <a16:creationId xmlns:a16="http://schemas.microsoft.com/office/drawing/2014/main" id="{6A0007E1-5128-4576-AD4E-CC541C76EEA8}"/>
                </a:ext>
              </a:extLst>
            </xdr:cNvPr>
            <xdr:cNvGraphicFramePr/>
          </xdr:nvGraphicFramePr>
          <xdr:xfrm>
            <a:off x="0" y="0"/>
            <a:ext cx="0" cy="0"/>
          </xdr:xfrm>
          <a:graphic>
            <a:graphicData uri="http://schemas.microsoft.com/office/drawing/2010/slicer">
              <sle:slicer xmlns:sle="http://schemas.microsoft.com/office/drawing/2010/slicer" name="Currency 8"/>
            </a:graphicData>
          </a:graphic>
        </xdr:graphicFrame>
      </mc:Choice>
      <mc:Fallback xmlns="">
        <xdr:sp macro="" textlink="">
          <xdr:nvSpPr>
            <xdr:cNvPr id="0" name=""/>
            <xdr:cNvSpPr>
              <a:spLocks noTextEdit="1"/>
            </xdr:cNvSpPr>
          </xdr:nvSpPr>
          <xdr:spPr>
            <a:xfrm>
              <a:off x="3911130" y="9099357"/>
              <a:ext cx="2749938" cy="803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582723</xdr:colOff>
      <xdr:row>29</xdr:row>
      <xdr:rowOff>145540</xdr:rowOff>
    </xdr:to>
    <xdr:pic>
      <xdr:nvPicPr>
        <xdr:cNvPr id="2" name="Picture 1">
          <a:extLst>
            <a:ext uri="{FF2B5EF4-FFF2-40B4-BE49-F238E27FC236}">
              <a16:creationId xmlns:a16="http://schemas.microsoft.com/office/drawing/2014/main" id="{C799F09D-BD09-0632-318B-40F1089DD481}"/>
            </a:ext>
          </a:extLst>
        </xdr:cNvPr>
        <xdr:cNvPicPr>
          <a:picLocks noChangeAspect="1"/>
        </xdr:cNvPicPr>
      </xdr:nvPicPr>
      <xdr:blipFill>
        <a:blip xmlns:r="http://schemas.openxmlformats.org/officeDocument/2006/relationships" r:embed="rId1"/>
        <a:stretch>
          <a:fillRect/>
        </a:stretch>
      </xdr:blipFill>
      <xdr:spPr>
        <a:xfrm>
          <a:off x="0" y="0"/>
          <a:ext cx="12165123" cy="5449060"/>
        </a:xfrm>
        <a:prstGeom prst="rect">
          <a:avLst/>
        </a:prstGeom>
      </xdr:spPr>
    </xdr:pic>
    <xdr:clientData/>
  </xdr:twoCellAnchor>
  <xdr:twoCellAnchor editAs="oneCell">
    <xdr:from>
      <xdr:col>0</xdr:col>
      <xdr:colOff>0</xdr:colOff>
      <xdr:row>31</xdr:row>
      <xdr:rowOff>0</xdr:rowOff>
    </xdr:from>
    <xdr:to>
      <xdr:col>17</xdr:col>
      <xdr:colOff>68312</xdr:colOff>
      <xdr:row>58</xdr:row>
      <xdr:rowOff>153139</xdr:rowOff>
    </xdr:to>
    <xdr:pic>
      <xdr:nvPicPr>
        <xdr:cNvPr id="3" name="Picture 2">
          <a:extLst>
            <a:ext uri="{FF2B5EF4-FFF2-40B4-BE49-F238E27FC236}">
              <a16:creationId xmlns:a16="http://schemas.microsoft.com/office/drawing/2014/main" id="{B1FA61FF-424D-9A94-710D-E95AA32F916E}"/>
            </a:ext>
          </a:extLst>
        </xdr:cNvPr>
        <xdr:cNvPicPr>
          <a:picLocks noChangeAspect="1"/>
        </xdr:cNvPicPr>
      </xdr:nvPicPr>
      <xdr:blipFill>
        <a:blip xmlns:r="http://schemas.openxmlformats.org/officeDocument/2006/relationships" r:embed="rId2"/>
        <a:stretch>
          <a:fillRect/>
        </a:stretch>
      </xdr:blipFill>
      <xdr:spPr>
        <a:xfrm>
          <a:off x="0" y="5905500"/>
          <a:ext cx="11726912" cy="529663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350769</xdr:colOff>
      <xdr:row>10</xdr:row>
      <xdr:rowOff>117543</xdr:rowOff>
    </xdr:to>
    <xdr:pic>
      <xdr:nvPicPr>
        <xdr:cNvPr id="2" name="Picture 1">
          <a:extLst>
            <a:ext uri="{FF2B5EF4-FFF2-40B4-BE49-F238E27FC236}">
              <a16:creationId xmlns:a16="http://schemas.microsoft.com/office/drawing/2014/main" id="{69EF654A-A5D5-DAEC-389C-E4CCF37CA405}"/>
            </a:ext>
          </a:extLst>
        </xdr:cNvPr>
        <xdr:cNvPicPr>
          <a:picLocks noChangeAspect="1"/>
        </xdr:cNvPicPr>
      </xdr:nvPicPr>
      <xdr:blipFill>
        <a:blip xmlns:r="http://schemas.openxmlformats.org/officeDocument/2006/relationships" r:embed="rId1"/>
        <a:stretch>
          <a:fillRect/>
        </a:stretch>
      </xdr:blipFill>
      <xdr:spPr>
        <a:xfrm>
          <a:off x="0" y="0"/>
          <a:ext cx="2782684" cy="1941479"/>
        </a:xfrm>
        <a:prstGeom prst="rect">
          <a:avLst/>
        </a:prstGeom>
      </xdr:spPr>
    </xdr:pic>
    <xdr:clientData/>
  </xdr:twoCellAnchor>
  <xdr:twoCellAnchor editAs="oneCell">
    <xdr:from>
      <xdr:col>0</xdr:col>
      <xdr:colOff>0</xdr:colOff>
      <xdr:row>10</xdr:row>
      <xdr:rowOff>166181</xdr:rowOff>
    </xdr:from>
    <xdr:to>
      <xdr:col>5</xdr:col>
      <xdr:colOff>86541</xdr:colOff>
      <xdr:row>17</xdr:row>
      <xdr:rowOff>19455</xdr:rowOff>
    </xdr:to>
    <xdr:pic>
      <xdr:nvPicPr>
        <xdr:cNvPr id="3" name="Picture 2">
          <a:extLst>
            <a:ext uri="{FF2B5EF4-FFF2-40B4-BE49-F238E27FC236}">
              <a16:creationId xmlns:a16="http://schemas.microsoft.com/office/drawing/2014/main" id="{AB72DA4C-936B-0EA7-C722-DB6586DA436F}"/>
            </a:ext>
          </a:extLst>
        </xdr:cNvPr>
        <xdr:cNvPicPr>
          <a:picLocks noChangeAspect="1"/>
        </xdr:cNvPicPr>
      </xdr:nvPicPr>
      <xdr:blipFill>
        <a:blip xmlns:r="http://schemas.openxmlformats.org/officeDocument/2006/relationships" r:embed="rId2"/>
        <a:stretch>
          <a:fillRect/>
        </a:stretch>
      </xdr:blipFill>
      <xdr:spPr>
        <a:xfrm>
          <a:off x="0" y="1982011"/>
          <a:ext cx="3134541" cy="112435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h, Hoàng Duy" refreshedDate="45562.446680787034" createdVersion="8" refreshedVersion="8" minRefreshableVersion="3" recordCount="2" xr:uid="{2B56CDDE-2319-47FF-A6E8-0B348CA7CA97}">
  <cacheSource type="worksheet">
    <worksheetSource name="Table4"/>
  </cacheSource>
  <cacheFields count="1">
    <cacheField name="Currency" numFmtId="0">
      <sharedItems count="2">
        <s v="USD"/>
        <s v="VND"/>
      </sharedItems>
    </cacheField>
  </cacheFields>
  <extLst>
    <ext xmlns:x14="http://schemas.microsoft.com/office/spreadsheetml/2009/9/main" uri="{725AE2AE-9491-48be-B2B4-4EB974FC3084}">
      <x14:pivotCacheDefinition pivotCacheId="1109966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0B47B-B976-4625-BF85-561C3A931EA6}" name="PivotTable1" cacheId="4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8" firstHeaderRow="1" firstDataRow="1" firstDataCol="1"/>
  <pivotFields count="1">
    <pivotField axis="axisRow" showAll="0">
      <items count="3">
        <item h="1" x="0"/>
        <item x="1"/>
        <item t="default"/>
      </items>
    </pivotField>
  </pivotFields>
  <rowFields count="1">
    <field x="0"/>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1DD86713-44EE-487B-BA48-38CBE6116140}" sourceName="Currency">
  <pivotTables>
    <pivotTable tabId="40" name="PivotTable1"/>
  </pivotTables>
  <data>
    <tabular pivotCacheId="110996678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11" xr10:uid="{4F52B6C9-10D1-4482-AFAA-4B29C7A5A7FA}" cache="Slicer_Currency" caption="Currency: Please Choose Only 1"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10" xr10:uid="{7808327D-D327-4BB3-93DB-6AAAE2177D9A}" cache="Slicer_Currency" caption="Currency: Please Choose Only 1" columnCount="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xr10:uid="{15594A6D-FC37-465B-B25C-334B7258DB02}" cache="Slicer_Currency" caption="Currency: Please Choose Only 1" columnCount="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1" xr10:uid="{B3C20844-3143-48F3-8B51-DCC05A6D4167}" cache="Slicer_Currency" caption="Currency: Please Choose Only 1" columnCount="2"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2" xr10:uid="{8656203E-7D78-470C-996F-A0467B760D2B}" cache="Slicer_Currency" caption="Currency: Please Choose Only 1" columnCount="2" rowHeight="25717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3" xr10:uid="{DB291278-5606-4C31-86F1-80D9D40BBD64}" cache="Slicer_Currency" caption="Currency: Please Choose Only 1" columnCount="2" rowHeight="257175"/>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4" xr10:uid="{17559CC6-FEDA-4F2D-B9AC-2E36E480F118}" cache="Slicer_Currency" caption="Currency: Please Choose Only 1" columnCount="2" rowHeight="25717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7" xr10:uid="{2F76C964-4950-4DB5-BD78-9C176CC60258}" cache="Slicer_Currency" caption="Currency: Please Choose Only 1" columnCount="2" rowHeight="257175"/>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5" xr10:uid="{52CE3EBF-A1F9-4BF1-9BDD-8B06F62BF5E0}" cache="Slicer_Currency" caption="Currency: Please Choose Only 1" columnCount="2" rowHeight="257175"/>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6" xr10:uid="{34668544-A061-48FF-8EE9-4DF7046B4468}" cache="Slicer_Currency" caption="Currency: Please Choose Only 1" columnCount="2" rowHeight="257175"/>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8" xr10:uid="{3D021C18-C4E0-4B71-A1BD-13E7C7C8FD98}" cache="Slicer_Currency" caption="Currency: Please Choose Only 1"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FF02CB-BA78-4D79-8DD5-B08FA0493DE9}" name="Table4" displayName="Table4" ref="A2:A4" totalsRowShown="0">
  <autoFilter ref="A2:A4" xr:uid="{51FF02CB-BA78-4D79-8DD5-B08FA0493DE9}"/>
  <tableColumns count="1">
    <tableColumn id="1" xr3:uid="{AFA3117D-9559-4FC8-B566-39BC59FAC76D}" name="Currency"/>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2.vml"/><Relationship Id="rId1" Type="http://schemas.openxmlformats.org/officeDocument/2006/relationships/drawing" Target="../drawings/drawing6.xml"/><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vmlDrawing" Target="../drawings/vmlDrawing3.vml"/><Relationship Id="rId1" Type="http://schemas.openxmlformats.org/officeDocument/2006/relationships/drawing" Target="../drawings/drawing7.xml"/><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vmlDrawing" Target="../drawings/vmlDrawing4.vml"/><Relationship Id="rId1" Type="http://schemas.openxmlformats.org/officeDocument/2006/relationships/drawing" Target="../drawings/drawing8.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bin"/><Relationship Id="rId5" Type="http://schemas.openxmlformats.org/officeDocument/2006/relationships/comments" Target="../comments4.xml"/><Relationship Id="rId4" Type="http://schemas.microsoft.com/office/2007/relationships/slicer" Target="../slicers/slicer8.xml"/></Relationships>
</file>

<file path=xl/worksheets/_rels/sheet18.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vmlDrawing" Target="../drawings/vmlDrawing6.vml"/><Relationship Id="rId1" Type="http://schemas.openxmlformats.org/officeDocument/2006/relationships/drawing" Target="../drawings/drawing12.xml"/><Relationship Id="rId4" Type="http://schemas.openxmlformats.org/officeDocument/2006/relationships/comments" Target="../comments5.xml"/></Relationships>
</file>

<file path=xl/worksheets/_rels/sheet19.xml.rels><?xml version="1.0" encoding="UTF-8" standalone="yes"?>
<Relationships xmlns="http://schemas.openxmlformats.org/package/2006/relationships"><Relationship Id="rId2" Type="http://schemas.microsoft.com/office/2007/relationships/slicer" Target="../slicers/slicer1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0.xml.rels><?xml version="1.0" encoding="UTF-8" standalone="yes"?>
<Relationships xmlns="http://schemas.openxmlformats.org/package/2006/relationships"><Relationship Id="rId2" Type="http://schemas.microsoft.com/office/2007/relationships/slicer" Target="../slicers/slicer11.xml"/><Relationship Id="rId1" Type="http://schemas.openxmlformats.org/officeDocument/2006/relationships/drawing" Target="../drawings/drawing1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09BD9-F7BE-4E99-98F6-71F525AAC820}">
  <dimension ref="A1"/>
  <sheetViews>
    <sheetView showGridLines="0" workbookViewId="0">
      <selection activeCell="J22" sqref="J22"/>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2306-711E-401B-9DAB-3BA32E73B6AD}">
  <sheetPr>
    <tabColor theme="1"/>
  </sheetPr>
  <dimension ref="A1"/>
  <sheetViews>
    <sheetView workbookViewId="0">
      <selection activeCell="K22" sqref="K22"/>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6341C-310F-411B-AF1B-F214FC9F3D1E}">
  <dimension ref="A2:I34"/>
  <sheetViews>
    <sheetView showGridLines="0" zoomScaleNormal="100" workbookViewId="0">
      <selection activeCell="K22" sqref="K22"/>
    </sheetView>
  </sheetViews>
  <sheetFormatPr defaultRowHeight="15" x14ac:dyDescent="0.25"/>
  <cols>
    <col min="1" max="1" width="5.25" bestFit="1" customWidth="1"/>
    <col min="2" max="2" width="42.75" customWidth="1"/>
    <col min="3" max="3" width="15.75" bestFit="1" customWidth="1"/>
    <col min="4" max="4" width="14.75" bestFit="1" customWidth="1"/>
    <col min="5" max="5" width="2.875" customWidth="1"/>
    <col min="6" max="6" width="5.25" bestFit="1" customWidth="1"/>
    <col min="7" max="7" width="28.625" bestFit="1" customWidth="1"/>
    <col min="8" max="8" width="14" bestFit="1" customWidth="1"/>
    <col min="9" max="9" width="27.875" bestFit="1" customWidth="1"/>
  </cols>
  <sheetData>
    <row r="2" spans="1:9" ht="24" x14ac:dyDescent="0.25">
      <c r="A2" s="1141" t="s">
        <v>798</v>
      </c>
      <c r="B2" s="1141"/>
      <c r="C2" s="1141"/>
      <c r="D2" s="1141"/>
      <c r="E2" s="1141"/>
      <c r="F2" s="1141"/>
      <c r="G2" s="1141"/>
      <c r="H2" s="1141"/>
      <c r="I2" s="1141"/>
    </row>
    <row r="3" spans="1:9" x14ac:dyDescent="0.25">
      <c r="A3" s="250"/>
      <c r="B3" s="250"/>
      <c r="C3" s="250"/>
      <c r="D3" s="250"/>
      <c r="E3" s="250"/>
      <c r="F3" s="250"/>
      <c r="G3" s="250"/>
      <c r="H3" s="250"/>
      <c r="I3" s="250"/>
    </row>
    <row r="4" spans="1:9" ht="18.75" x14ac:dyDescent="0.3">
      <c r="A4" s="947" t="s">
        <v>2</v>
      </c>
      <c r="B4" s="947" t="s">
        <v>419</v>
      </c>
      <c r="C4" s="947" t="s">
        <v>799</v>
      </c>
      <c r="D4" s="947" t="s">
        <v>800</v>
      </c>
      <c r="E4" s="911"/>
      <c r="F4" s="947" t="s">
        <v>2</v>
      </c>
      <c r="G4" s="947" t="s">
        <v>419</v>
      </c>
      <c r="H4" s="947" t="s">
        <v>799</v>
      </c>
      <c r="I4" s="947" t="s">
        <v>800</v>
      </c>
    </row>
    <row r="5" spans="1:9" ht="15.75" x14ac:dyDescent="0.25">
      <c r="A5" s="912">
        <v>1</v>
      </c>
      <c r="B5" s="913" t="s">
        <v>801</v>
      </c>
      <c r="C5" s="914"/>
      <c r="D5" s="912"/>
      <c r="E5" s="915"/>
      <c r="F5" s="933">
        <v>4</v>
      </c>
      <c r="G5" s="934" t="s">
        <v>833</v>
      </c>
      <c r="H5" s="1005">
        <f>'W3'!$L$23</f>
        <v>0.88</v>
      </c>
      <c r="I5" s="935"/>
    </row>
    <row r="6" spans="1:9" ht="15.75" x14ac:dyDescent="0.25">
      <c r="A6" s="917">
        <v>1.1000000000000001</v>
      </c>
      <c r="B6" s="918" t="s">
        <v>803</v>
      </c>
      <c r="C6" s="919" t="s">
        <v>375</v>
      </c>
      <c r="D6" s="917"/>
      <c r="E6" s="920"/>
      <c r="F6" s="936"/>
      <c r="G6" s="936"/>
      <c r="H6" s="936"/>
      <c r="I6" s="936"/>
    </row>
    <row r="7" spans="1:9" ht="15.75" x14ac:dyDescent="0.25">
      <c r="A7" s="917">
        <v>1.2</v>
      </c>
      <c r="B7" s="918" t="s">
        <v>806</v>
      </c>
      <c r="C7" s="919">
        <v>15</v>
      </c>
      <c r="D7" s="917" t="s">
        <v>559</v>
      </c>
      <c r="E7" s="920"/>
      <c r="F7" s="943">
        <v>5</v>
      </c>
      <c r="G7" s="944" t="s">
        <v>817</v>
      </c>
      <c r="H7" s="939">
        <f>'W3'!U27/10^3</f>
        <v>6194.1749760000002</v>
      </c>
      <c r="I7" s="937" t="s">
        <v>818</v>
      </c>
    </row>
    <row r="8" spans="1:9" ht="15.75" x14ac:dyDescent="0.25">
      <c r="A8" s="917">
        <v>1.3</v>
      </c>
      <c r="B8" s="918" t="s">
        <v>809</v>
      </c>
      <c r="C8" s="921">
        <f>IF(Currency="VND",'W1'!$I$60,'W1'!$I$60*EXR)</f>
        <v>300749800000</v>
      </c>
      <c r="D8" s="917" t="s">
        <v>129</v>
      </c>
      <c r="E8" s="920"/>
      <c r="F8" s="937"/>
      <c r="G8" s="940"/>
      <c r="H8" s="941">
        <f>'W3'!U28</f>
        <v>412944998.40000004</v>
      </c>
      <c r="I8" s="942" t="s">
        <v>320</v>
      </c>
    </row>
    <row r="9" spans="1:9" ht="15.75" x14ac:dyDescent="0.25">
      <c r="A9" s="917">
        <v>1.4</v>
      </c>
      <c r="B9" s="918" t="s">
        <v>811</v>
      </c>
      <c r="C9" s="921">
        <f>IF(Currency="VND",'W1'!$I$60/EXR,'W1'!$I$60)</f>
        <v>11567300</v>
      </c>
      <c r="D9" s="917" t="s">
        <v>380</v>
      </c>
      <c r="E9" s="920"/>
      <c r="F9" s="936"/>
      <c r="G9" s="936"/>
      <c r="H9" s="936"/>
      <c r="I9" s="936"/>
    </row>
    <row r="10" spans="1:9" ht="15.75" x14ac:dyDescent="0.25">
      <c r="A10" s="917">
        <v>1.5</v>
      </c>
      <c r="B10" s="918" t="s">
        <v>813</v>
      </c>
      <c r="C10" s="921">
        <f>'W1'!G13</f>
        <v>12</v>
      </c>
      <c r="D10" s="917" t="s">
        <v>559</v>
      </c>
      <c r="E10" s="920"/>
      <c r="F10" s="943">
        <v>6</v>
      </c>
      <c r="G10" s="944" t="s">
        <v>802</v>
      </c>
      <c r="H10" s="945" t="s">
        <v>831</v>
      </c>
      <c r="I10" s="937"/>
    </row>
    <row r="11" spans="1:9" ht="15.75" x14ac:dyDescent="0.25">
      <c r="A11" s="917">
        <v>1.6</v>
      </c>
      <c r="B11" s="922" t="s">
        <v>411</v>
      </c>
      <c r="C11" s="923">
        <f>EXR</f>
        <v>26000</v>
      </c>
      <c r="D11" s="922"/>
      <c r="E11" s="920"/>
      <c r="F11" s="937">
        <v>6.1</v>
      </c>
      <c r="G11" s="938" t="s">
        <v>804</v>
      </c>
      <c r="H11" s="939">
        <f>'W3'!L27/10^3</f>
        <v>3097.0874880000001</v>
      </c>
      <c r="I11" s="937" t="s">
        <v>805</v>
      </c>
    </row>
    <row r="12" spans="1:9" ht="15.75" x14ac:dyDescent="0.25">
      <c r="A12" s="917">
        <v>1.7</v>
      </c>
      <c r="B12" s="922" t="s">
        <v>834</v>
      </c>
      <c r="C12" s="925">
        <f>Inflation</f>
        <v>0.05</v>
      </c>
      <c r="D12" s="922"/>
      <c r="E12" s="920"/>
      <c r="F12" s="937">
        <v>6.2</v>
      </c>
      <c r="G12" s="938" t="s">
        <v>807</v>
      </c>
      <c r="H12" s="939">
        <f>'W3'!M27/10^3</f>
        <v>4335.9224832</v>
      </c>
      <c r="I12" s="937" t="s">
        <v>808</v>
      </c>
    </row>
    <row r="13" spans="1:9" ht="15.75" x14ac:dyDescent="0.25">
      <c r="A13" s="917"/>
      <c r="B13" s="918"/>
      <c r="C13" s="921"/>
      <c r="D13" s="917"/>
      <c r="E13" s="920"/>
      <c r="F13" s="937">
        <v>6.3</v>
      </c>
      <c r="G13" s="938" t="s">
        <v>810</v>
      </c>
      <c r="H13" s="939">
        <f>'W3'!N27/10^3</f>
        <v>6194.1749760000002</v>
      </c>
      <c r="I13" s="937" t="s">
        <v>812</v>
      </c>
    </row>
    <row r="14" spans="1:9" ht="15.75" x14ac:dyDescent="0.25">
      <c r="A14" s="912">
        <v>2</v>
      </c>
      <c r="B14" s="913" t="s">
        <v>830</v>
      </c>
      <c r="C14" s="924"/>
      <c r="D14" s="912"/>
      <c r="E14" s="915"/>
      <c r="F14" s="937">
        <v>6.4</v>
      </c>
      <c r="G14" s="938" t="s">
        <v>832</v>
      </c>
      <c r="H14" s="939"/>
      <c r="I14" s="937"/>
    </row>
    <row r="15" spans="1:9" ht="15.75" x14ac:dyDescent="0.25">
      <c r="A15" s="917">
        <v>2.1</v>
      </c>
      <c r="B15" s="918" t="s">
        <v>843</v>
      </c>
      <c r="C15" s="921">
        <v>16600</v>
      </c>
      <c r="D15" s="917" t="s">
        <v>814</v>
      </c>
      <c r="E15" s="920"/>
      <c r="F15" s="937"/>
      <c r="G15" s="938"/>
      <c r="H15" s="939"/>
      <c r="I15" s="937"/>
    </row>
    <row r="16" spans="1:9" ht="15.75" x14ac:dyDescent="0.25">
      <c r="A16" s="917">
        <v>2.2000000000000002</v>
      </c>
      <c r="B16" s="918" t="s">
        <v>844</v>
      </c>
      <c r="C16" s="921">
        <f>IF(Currency="VND",'W2'!$M$56,'W2'!$M$56*EXR)</f>
        <v>24960</v>
      </c>
      <c r="D16" s="917" t="s">
        <v>814</v>
      </c>
      <c r="E16" s="920"/>
      <c r="F16" s="943">
        <v>7</v>
      </c>
      <c r="G16" s="944" t="s">
        <v>78</v>
      </c>
      <c r="H16" s="946">
        <f>'Cover Page'!H14</f>
        <v>680</v>
      </c>
      <c r="I16" s="943" t="s">
        <v>368</v>
      </c>
    </row>
    <row r="17" spans="1:9" ht="15.75" x14ac:dyDescent="0.25">
      <c r="A17" s="917"/>
      <c r="B17" s="918"/>
      <c r="C17" s="941">
        <f>C16/EXR*10^3</f>
        <v>960</v>
      </c>
      <c r="D17" s="917" t="s">
        <v>369</v>
      </c>
      <c r="E17" s="920"/>
      <c r="F17" s="1010"/>
      <c r="G17" s="1010"/>
      <c r="H17" s="1011">
        <f>'Cover Page'!H15</f>
        <v>1743.5897435897436</v>
      </c>
      <c r="I17" s="1012" t="s">
        <v>369</v>
      </c>
    </row>
    <row r="18" spans="1:9" ht="15.75" x14ac:dyDescent="0.25">
      <c r="A18" s="917"/>
      <c r="B18" s="918" t="s">
        <v>876</v>
      </c>
      <c r="C18" s="1026">
        <f>'Cover Page'!H17</f>
        <v>0.02</v>
      </c>
      <c r="D18" s="1027" t="s">
        <v>872</v>
      </c>
      <c r="E18" s="920"/>
      <c r="F18" s="1025"/>
      <c r="G18" s="1025" t="s">
        <v>871</v>
      </c>
      <c r="H18" s="1026">
        <f>'Cover Page'!H17</f>
        <v>0.02</v>
      </c>
      <c r="I18" s="1027" t="s">
        <v>872</v>
      </c>
    </row>
    <row r="19" spans="1:9" ht="15.75" x14ac:dyDescent="0.25">
      <c r="A19" s="917">
        <v>2.2999999999999998</v>
      </c>
      <c r="B19" s="918" t="s">
        <v>845</v>
      </c>
      <c r="C19" s="916">
        <f>'W2'!M41</f>
        <v>7.0000000000000007E-2</v>
      </c>
      <c r="D19" s="917"/>
      <c r="E19" s="920"/>
    </row>
    <row r="20" spans="1:9" ht="15.75" x14ac:dyDescent="0.25">
      <c r="A20" s="917">
        <v>2.4</v>
      </c>
      <c r="B20" s="918" t="s">
        <v>840</v>
      </c>
      <c r="C20" s="932">
        <f>'W2'!M60</f>
        <v>2.0000000000000001E-4</v>
      </c>
      <c r="D20" s="917"/>
      <c r="E20" s="920"/>
      <c r="F20" s="1025"/>
      <c r="G20" s="1025"/>
      <c r="H20" s="1025"/>
      <c r="I20" s="1025"/>
    </row>
    <row r="21" spans="1:9" ht="15.75" x14ac:dyDescent="0.25">
      <c r="A21" s="917">
        <v>2.5</v>
      </c>
      <c r="B21" s="918" t="s">
        <v>841</v>
      </c>
      <c r="C21" s="921">
        <f>'W2'!M64</f>
        <v>949542</v>
      </c>
      <c r="D21" s="917" t="s">
        <v>842</v>
      </c>
      <c r="E21" s="920"/>
      <c r="F21" s="1013">
        <v>8</v>
      </c>
      <c r="G21" s="1014" t="s">
        <v>815</v>
      </c>
      <c r="H21" s="1015"/>
      <c r="I21" s="1013"/>
    </row>
    <row r="22" spans="1:9" ht="15.75" x14ac:dyDescent="0.25">
      <c r="A22" s="250"/>
      <c r="B22" s="250"/>
      <c r="C22" s="250"/>
      <c r="D22" s="250"/>
      <c r="E22" s="920"/>
      <c r="F22" s="1016">
        <v>8.1</v>
      </c>
      <c r="G22" s="1017" t="s">
        <v>816</v>
      </c>
      <c r="H22" s="1018">
        <f>'Cover Page'!H21</f>
        <v>0.7</v>
      </c>
      <c r="I22" s="1016"/>
    </row>
    <row r="23" spans="1:9" ht="15.75" x14ac:dyDescent="0.25">
      <c r="A23" s="912">
        <v>3</v>
      </c>
      <c r="B23" s="913" t="s">
        <v>79</v>
      </c>
      <c r="C23" s="924"/>
      <c r="D23" s="912"/>
      <c r="E23" s="920"/>
      <c r="F23" s="1016">
        <v>8.1999999999999993</v>
      </c>
      <c r="G23" s="1017" t="s">
        <v>819</v>
      </c>
      <c r="H23" s="1018">
        <f>1-H22</f>
        <v>0.30000000000000004</v>
      </c>
      <c r="I23" s="1016"/>
    </row>
    <row r="24" spans="1:9" ht="15.75" x14ac:dyDescent="0.25">
      <c r="A24" s="917">
        <v>3.1</v>
      </c>
      <c r="B24" s="918" t="s">
        <v>821</v>
      </c>
      <c r="C24" s="921">
        <f>IF(Currency="VND",'W2'!$M$13,'W2'!$M$13*EXR)</f>
        <v>982800000</v>
      </c>
      <c r="D24" s="917" t="s">
        <v>822</v>
      </c>
      <c r="E24" s="920"/>
      <c r="F24" s="1016">
        <v>8.3000000000000007</v>
      </c>
      <c r="G24" s="1017" t="s">
        <v>820</v>
      </c>
      <c r="H24" s="1019">
        <f>'Cover Page'!H19</f>
        <v>7.0000000000000007E-2</v>
      </c>
      <c r="I24" s="1016"/>
    </row>
    <row r="25" spans="1:9" ht="15.75" x14ac:dyDescent="0.25">
      <c r="A25" s="917">
        <v>3.2</v>
      </c>
      <c r="B25" s="918" t="s">
        <v>824</v>
      </c>
      <c r="C25" s="921">
        <f>IF(Currency="VND",'W2'!$M$17,'W2'!$M$17*EXR)</f>
        <v>5028660000</v>
      </c>
      <c r="D25" s="917" t="s">
        <v>822</v>
      </c>
      <c r="E25" s="920"/>
      <c r="F25" s="1016">
        <v>8.4</v>
      </c>
      <c r="G25" s="1017" t="s">
        <v>823</v>
      </c>
      <c r="H25" s="1019">
        <f>Tax_rate</f>
        <v>0.2</v>
      </c>
      <c r="I25" s="1016"/>
    </row>
    <row r="26" spans="1:9" ht="15.75" x14ac:dyDescent="0.25">
      <c r="A26" s="917">
        <v>3.3</v>
      </c>
      <c r="B26" s="918" t="s">
        <v>73</v>
      </c>
      <c r="C26" s="921">
        <f>'W2'!M45</f>
        <v>765</v>
      </c>
      <c r="D26" s="917" t="s">
        <v>826</v>
      </c>
      <c r="E26" s="920"/>
      <c r="F26" s="1016">
        <v>8.5</v>
      </c>
      <c r="G26" s="1017" t="s">
        <v>825</v>
      </c>
      <c r="H26" s="1019">
        <f>Opt1_WACC</f>
        <v>7.2660000000000016E-2</v>
      </c>
      <c r="I26" s="1016"/>
    </row>
    <row r="27" spans="1:9" ht="15.75" x14ac:dyDescent="0.25">
      <c r="A27" s="917">
        <v>3.4</v>
      </c>
      <c r="B27" s="918" t="s">
        <v>827</v>
      </c>
      <c r="C27" s="921">
        <f>IF(Currency="VND",'W2'!$M$46,'W2'!$M$46*EXR)</f>
        <v>1950</v>
      </c>
      <c r="D27" s="917" t="s">
        <v>828</v>
      </c>
      <c r="E27" s="920"/>
      <c r="F27" s="1025"/>
      <c r="G27" s="1025"/>
      <c r="H27" s="1025"/>
      <c r="I27" s="1025"/>
    </row>
    <row r="28" spans="1:9" ht="15.75" x14ac:dyDescent="0.25">
      <c r="A28" s="917">
        <v>3.5</v>
      </c>
      <c r="B28" s="918" t="s">
        <v>854</v>
      </c>
      <c r="C28" s="921">
        <f>IF(Currency="VND",'W2'!$M$28,'W2'!$M$28*EXR)</f>
        <v>9022494000</v>
      </c>
      <c r="D28" s="917" t="s">
        <v>822</v>
      </c>
      <c r="E28" s="920"/>
      <c r="F28" s="1020"/>
      <c r="G28" s="1017"/>
      <c r="H28" s="1021"/>
      <c r="I28" s="1022"/>
    </row>
    <row r="29" spans="1:9" ht="15.75" x14ac:dyDescent="0.25">
      <c r="A29" s="917">
        <v>3.6</v>
      </c>
      <c r="B29" s="918" t="s">
        <v>835</v>
      </c>
      <c r="C29" s="921">
        <f>IF(Currency="VND",'W2'!$M$37,'W2'!$M$37*EXR)</f>
        <v>552000000</v>
      </c>
      <c r="D29" s="917" t="s">
        <v>822</v>
      </c>
      <c r="E29" s="920"/>
      <c r="F29" s="1020"/>
      <c r="G29" s="1014" t="s">
        <v>846</v>
      </c>
      <c r="H29" s="1021"/>
      <c r="I29" s="1022"/>
    </row>
    <row r="30" spans="1:9" ht="15.75" x14ac:dyDescent="0.25">
      <c r="A30" s="917"/>
      <c r="B30" s="926" t="s">
        <v>836</v>
      </c>
      <c r="C30" s="921"/>
      <c r="D30" s="917"/>
      <c r="E30" s="920"/>
      <c r="F30" s="1025"/>
      <c r="G30" s="1025"/>
      <c r="H30" s="1025"/>
      <c r="I30" s="1025"/>
    </row>
    <row r="31" spans="1:9" ht="15.75" x14ac:dyDescent="0.25">
      <c r="A31" s="917">
        <v>3.7</v>
      </c>
      <c r="B31" s="918" t="s">
        <v>76</v>
      </c>
      <c r="C31" s="921">
        <f>IF(Currency="VND",'W2'!$M$48,'W2'!$M$48*EXR)</f>
        <v>314.81481481481484</v>
      </c>
      <c r="D31" s="917" t="s">
        <v>829</v>
      </c>
      <c r="E31" s="920"/>
      <c r="F31" s="1013"/>
      <c r="G31" s="1014"/>
      <c r="H31" s="1023"/>
      <c r="I31" s="1013"/>
    </row>
    <row r="32" spans="1:9" ht="16.5" customHeight="1" x14ac:dyDescent="0.25">
      <c r="A32" s="917">
        <v>3.8</v>
      </c>
      <c r="B32" s="918" t="s">
        <v>870</v>
      </c>
      <c r="C32" s="921">
        <f>IF(Currency="VND",'W2'!$M$33,'W2'!$M$33*EXR)</f>
        <v>2400000000</v>
      </c>
      <c r="D32" s="917" t="s">
        <v>822</v>
      </c>
      <c r="E32" s="920"/>
      <c r="F32" s="1020"/>
      <c r="G32" s="1020"/>
      <c r="H32" s="1020"/>
      <c r="I32" s="1020"/>
    </row>
    <row r="33" spans="1:9" ht="16.5" customHeight="1" x14ac:dyDescent="0.25">
      <c r="A33" s="927">
        <v>3.9</v>
      </c>
      <c r="B33" s="928" t="s">
        <v>837</v>
      </c>
      <c r="C33" s="929">
        <f>'W2'!L73</f>
        <v>2E-3</v>
      </c>
      <c r="D33" s="930" t="s">
        <v>838</v>
      </c>
      <c r="E33" s="920"/>
      <c r="F33" s="1020"/>
      <c r="G33" s="1020"/>
      <c r="H33" s="1020"/>
      <c r="I33" s="1020"/>
    </row>
    <row r="34" spans="1:9" ht="15.75" x14ac:dyDescent="0.25">
      <c r="A34" s="931" t="s">
        <v>252</v>
      </c>
      <c r="B34" s="918" t="s">
        <v>166</v>
      </c>
      <c r="C34" s="921">
        <f>'W2'!$M$77</f>
        <v>4000000</v>
      </c>
      <c r="D34" s="917" t="s">
        <v>839</v>
      </c>
      <c r="E34" s="250"/>
      <c r="F34" s="1024"/>
      <c r="G34" s="1024"/>
      <c r="H34" s="1024"/>
      <c r="I34" s="1024"/>
    </row>
  </sheetData>
  <mergeCells count="1">
    <mergeCell ref="A2:I2"/>
  </mergeCells>
  <pageMargins left="0.7" right="0.7" top="0.75" bottom="0.75" header="0.3" footer="0.3"/>
  <ignoredErrors>
    <ignoredError sqref="A34" numberStoredAsText="1"/>
  </ignoredErrors>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EBD55-A92E-4F2B-935A-CFC653B053E3}">
  <dimension ref="A2:N80"/>
  <sheetViews>
    <sheetView showGridLines="0" zoomScaleNormal="100" workbookViewId="0">
      <pane xSplit="4" ySplit="4" topLeftCell="E5" activePane="bottomRight" state="frozen"/>
      <selection activeCell="K22" sqref="K22"/>
      <selection pane="topRight" activeCell="K22" sqref="K22"/>
      <selection pane="bottomLeft" activeCell="K22" sqref="K22"/>
      <selection pane="bottomRight" activeCell="K22" sqref="K22"/>
    </sheetView>
  </sheetViews>
  <sheetFormatPr defaultRowHeight="15" x14ac:dyDescent="0.25"/>
  <cols>
    <col min="1" max="1" width="8.625" customWidth="1"/>
    <col min="2" max="2" width="37.25" bestFit="1" customWidth="1"/>
    <col min="3" max="3" width="8.625" bestFit="1" customWidth="1"/>
    <col min="4" max="4" width="2.5" customWidth="1"/>
    <col min="5" max="5" width="15.5" bestFit="1" customWidth="1"/>
    <col min="6" max="6" width="18.625" bestFit="1" customWidth="1"/>
    <col min="7" max="7" width="18.625" customWidth="1"/>
    <col min="13" max="13" width="8.875" bestFit="1" customWidth="1"/>
    <col min="14" max="14" width="17.5" bestFit="1" customWidth="1"/>
  </cols>
  <sheetData>
    <row r="2" spans="1:14" ht="47.25" x14ac:dyDescent="0.25">
      <c r="A2" s="1142" t="s">
        <v>2</v>
      </c>
      <c r="B2" s="1142" t="s">
        <v>29</v>
      </c>
      <c r="C2" s="227" t="s">
        <v>38</v>
      </c>
      <c r="E2" s="227" t="s">
        <v>39</v>
      </c>
      <c r="F2" s="227" t="s">
        <v>28</v>
      </c>
      <c r="G2" s="227" t="s">
        <v>28</v>
      </c>
      <c r="M2" s="227" t="s">
        <v>36</v>
      </c>
      <c r="N2" s="227" t="s">
        <v>190</v>
      </c>
    </row>
    <row r="3" spans="1:14" x14ac:dyDescent="0.25">
      <c r="A3" s="1142"/>
      <c r="B3" s="1142"/>
      <c r="C3" s="25" t="s">
        <v>657</v>
      </c>
      <c r="E3" s="25" t="s">
        <v>658</v>
      </c>
      <c r="F3" s="25" t="s">
        <v>658</v>
      </c>
      <c r="G3" s="25" t="s">
        <v>779</v>
      </c>
      <c r="M3" s="25" t="s">
        <v>363</v>
      </c>
      <c r="N3" s="25" t="s">
        <v>778</v>
      </c>
    </row>
    <row r="4" spans="1:14" ht="4.5" customHeight="1" x14ac:dyDescent="0.25">
      <c r="A4" s="19"/>
      <c r="B4" s="16"/>
      <c r="C4" s="16"/>
      <c r="E4" s="16"/>
      <c r="F4" s="16"/>
      <c r="G4" s="16"/>
      <c r="M4" s="16"/>
      <c r="N4" s="16"/>
    </row>
    <row r="5" spans="1:14" ht="17.25" x14ac:dyDescent="0.3">
      <c r="A5" s="21">
        <v>1</v>
      </c>
      <c r="B5" s="22" t="s">
        <v>31</v>
      </c>
      <c r="C5" s="22"/>
      <c r="E5" s="22"/>
      <c r="F5" s="903">
        <v>284499800000</v>
      </c>
      <c r="G5" s="903">
        <f>F5/26000</f>
        <v>10942300</v>
      </c>
      <c r="M5" s="902"/>
      <c r="N5" s="903">
        <v>23708316666.666668</v>
      </c>
    </row>
    <row r="6" spans="1:14" ht="4.5" customHeight="1" x14ac:dyDescent="0.25">
      <c r="A6" s="19"/>
      <c r="B6" s="16"/>
      <c r="C6" s="16"/>
      <c r="E6" s="16"/>
      <c r="F6" s="904"/>
      <c r="G6" s="904"/>
      <c r="M6" s="904"/>
      <c r="N6" s="16"/>
    </row>
    <row r="7" spans="1:14" x14ac:dyDescent="0.25">
      <c r="A7" s="37" t="s">
        <v>56</v>
      </c>
      <c r="B7" s="230" t="s">
        <v>30</v>
      </c>
      <c r="C7" s="26"/>
      <c r="E7" s="26"/>
      <c r="F7" s="906">
        <v>246389000000.00003</v>
      </c>
      <c r="G7" s="906">
        <f t="shared" ref="G7:G28" si="0">F7/26000</f>
        <v>9476500.0000000019</v>
      </c>
      <c r="M7" s="905"/>
      <c r="N7" s="906">
        <v>20532416666.666668</v>
      </c>
    </row>
    <row r="8" spans="1:14" x14ac:dyDescent="0.25">
      <c r="A8" s="609" t="s">
        <v>215</v>
      </c>
      <c r="B8" s="610" t="s">
        <v>27</v>
      </c>
      <c r="C8" s="636">
        <v>1</v>
      </c>
      <c r="E8" s="907">
        <v>128180000000</v>
      </c>
      <c r="F8" s="907">
        <v>128180000000</v>
      </c>
      <c r="G8" s="907">
        <f t="shared" si="0"/>
        <v>4930000</v>
      </c>
      <c r="M8" s="907">
        <v>12</v>
      </c>
      <c r="N8" s="907">
        <v>10681666666.666666</v>
      </c>
    </row>
    <row r="9" spans="1:14" x14ac:dyDescent="0.25">
      <c r="A9" s="495" t="s">
        <v>216</v>
      </c>
      <c r="B9" s="613" t="s">
        <v>204</v>
      </c>
      <c r="C9" s="454">
        <v>1</v>
      </c>
      <c r="E9" s="463">
        <v>67277930223.441803</v>
      </c>
      <c r="F9" s="463">
        <v>67277930223.441803</v>
      </c>
      <c r="G9" s="463">
        <f t="shared" si="0"/>
        <v>2587612.700901608</v>
      </c>
      <c r="M9" s="463">
        <v>12</v>
      </c>
      <c r="N9" s="463">
        <v>5606494185.2868166</v>
      </c>
    </row>
    <row r="10" spans="1:14" x14ac:dyDescent="0.25">
      <c r="A10" s="495" t="s">
        <v>217</v>
      </c>
      <c r="B10" s="613" t="s">
        <v>205</v>
      </c>
      <c r="C10" s="454">
        <v>1</v>
      </c>
      <c r="E10" s="463">
        <v>39322069776.55822</v>
      </c>
      <c r="F10" s="908">
        <v>39322069776.55822</v>
      </c>
      <c r="G10" s="908">
        <f t="shared" si="0"/>
        <v>1512387.2990983932</v>
      </c>
      <c r="M10" s="463">
        <v>12</v>
      </c>
      <c r="N10" s="908">
        <v>3276839148.0465183</v>
      </c>
    </row>
    <row r="11" spans="1:14" x14ac:dyDescent="0.25">
      <c r="A11" s="495" t="s">
        <v>218</v>
      </c>
      <c r="B11" s="613" t="s">
        <v>166</v>
      </c>
      <c r="C11" s="454">
        <v>1</v>
      </c>
      <c r="E11" s="463">
        <v>2600000000</v>
      </c>
      <c r="F11" s="463">
        <v>2600000000</v>
      </c>
      <c r="G11" s="463">
        <f t="shared" si="0"/>
        <v>100000</v>
      </c>
      <c r="M11" s="463">
        <v>12</v>
      </c>
      <c r="N11" s="463">
        <v>216666666.66666666</v>
      </c>
    </row>
    <row r="12" spans="1:14" x14ac:dyDescent="0.25">
      <c r="A12" s="495" t="s">
        <v>219</v>
      </c>
      <c r="B12" s="613" t="s">
        <v>35</v>
      </c>
      <c r="C12" s="454">
        <v>1</v>
      </c>
      <c r="E12" s="463">
        <v>8580000000</v>
      </c>
      <c r="F12" s="463">
        <v>8580000000</v>
      </c>
      <c r="G12" s="463">
        <f t="shared" si="0"/>
        <v>330000</v>
      </c>
      <c r="M12" s="463">
        <v>12</v>
      </c>
      <c r="N12" s="463">
        <v>715000000</v>
      </c>
    </row>
    <row r="13" spans="1:14" x14ac:dyDescent="0.25">
      <c r="A13" s="495" t="s">
        <v>601</v>
      </c>
      <c r="B13" s="613" t="s">
        <v>602</v>
      </c>
      <c r="C13" s="454">
        <v>1</v>
      </c>
      <c r="E13" s="463">
        <v>429000000</v>
      </c>
      <c r="F13" s="463">
        <v>429000000</v>
      </c>
      <c r="G13" s="463">
        <f t="shared" si="0"/>
        <v>16500</v>
      </c>
      <c r="M13" s="463">
        <v>12</v>
      </c>
      <c r="N13" s="463">
        <v>35750000</v>
      </c>
    </row>
    <row r="14" spans="1:14" ht="4.5" customHeight="1" x14ac:dyDescent="0.25">
      <c r="A14" s="19"/>
      <c r="B14" s="16"/>
      <c r="C14" s="16"/>
      <c r="E14" s="904"/>
      <c r="F14" s="904"/>
      <c r="G14" s="904"/>
      <c r="M14" s="904"/>
      <c r="N14" s="904"/>
    </row>
    <row r="15" spans="1:14" x14ac:dyDescent="0.25">
      <c r="A15" s="37" t="s">
        <v>57</v>
      </c>
      <c r="B15" s="230" t="s">
        <v>32</v>
      </c>
      <c r="C15" s="26"/>
      <c r="E15" s="906"/>
      <c r="F15" s="906">
        <v>38110800000</v>
      </c>
      <c r="G15" s="906">
        <f t="shared" si="0"/>
        <v>1465800</v>
      </c>
      <c r="M15" s="905"/>
      <c r="N15" s="906">
        <v>3175900000</v>
      </c>
    </row>
    <row r="16" spans="1:14" x14ac:dyDescent="0.25">
      <c r="A16" s="609" t="s">
        <v>220</v>
      </c>
      <c r="B16" s="610" t="s">
        <v>210</v>
      </c>
      <c r="C16" s="636">
        <v>1</v>
      </c>
      <c r="E16" s="907">
        <v>7800000000</v>
      </c>
      <c r="F16" s="907">
        <v>7800000000</v>
      </c>
      <c r="G16" s="907">
        <f t="shared" si="0"/>
        <v>300000</v>
      </c>
      <c r="M16" s="907">
        <v>12</v>
      </c>
      <c r="N16" s="907">
        <v>650000000</v>
      </c>
    </row>
    <row r="17" spans="1:14" x14ac:dyDescent="0.25">
      <c r="A17" s="495" t="s">
        <v>221</v>
      </c>
      <c r="B17" s="613" t="s">
        <v>212</v>
      </c>
      <c r="C17" s="454">
        <v>1</v>
      </c>
      <c r="E17" s="463">
        <v>7800000000</v>
      </c>
      <c r="F17" s="463">
        <v>7800000000</v>
      </c>
      <c r="G17" s="463">
        <f t="shared" si="0"/>
        <v>300000</v>
      </c>
      <c r="M17" s="463">
        <v>12</v>
      </c>
      <c r="N17" s="463">
        <v>650000000</v>
      </c>
    </row>
    <row r="18" spans="1:14" x14ac:dyDescent="0.25">
      <c r="A18" s="495" t="s">
        <v>222</v>
      </c>
      <c r="B18" s="613" t="s">
        <v>208</v>
      </c>
      <c r="C18" s="454">
        <v>1</v>
      </c>
      <c r="E18" s="463">
        <v>3900000000</v>
      </c>
      <c r="F18" s="463">
        <v>3900000000</v>
      </c>
      <c r="G18" s="463">
        <f t="shared" si="0"/>
        <v>150000</v>
      </c>
      <c r="M18" s="463">
        <v>12</v>
      </c>
      <c r="N18" s="463">
        <v>325000000</v>
      </c>
    </row>
    <row r="19" spans="1:14" x14ac:dyDescent="0.25">
      <c r="A19" s="495" t="s">
        <v>223</v>
      </c>
      <c r="B19" s="613" t="s">
        <v>33</v>
      </c>
      <c r="C19" s="454">
        <v>1</v>
      </c>
      <c r="E19" s="463">
        <v>3250000000</v>
      </c>
      <c r="F19" s="463">
        <v>3250000000</v>
      </c>
      <c r="G19" s="463">
        <f t="shared" si="0"/>
        <v>125000</v>
      </c>
      <c r="M19" s="463">
        <v>12</v>
      </c>
      <c r="N19" s="463">
        <v>270833333.33333331</v>
      </c>
    </row>
    <row r="20" spans="1:14" x14ac:dyDescent="0.25">
      <c r="A20" s="495" t="s">
        <v>214</v>
      </c>
      <c r="B20" s="613" t="s">
        <v>209</v>
      </c>
      <c r="C20" s="454">
        <v>1</v>
      </c>
      <c r="E20" s="463">
        <v>2600000000</v>
      </c>
      <c r="F20" s="463">
        <v>2600000000</v>
      </c>
      <c r="G20" s="463">
        <f t="shared" si="0"/>
        <v>100000</v>
      </c>
      <c r="M20" s="463">
        <v>12</v>
      </c>
      <c r="N20" s="463">
        <v>216666666.66666666</v>
      </c>
    </row>
    <row r="21" spans="1:14" x14ac:dyDescent="0.25">
      <c r="A21" s="495" t="s">
        <v>364</v>
      </c>
      <c r="B21" s="613" t="s">
        <v>211</v>
      </c>
      <c r="C21" s="454">
        <v>1</v>
      </c>
      <c r="E21" s="463">
        <v>2600000000</v>
      </c>
      <c r="F21" s="463">
        <v>2600000000</v>
      </c>
      <c r="G21" s="463">
        <f t="shared" si="0"/>
        <v>100000</v>
      </c>
      <c r="M21" s="463">
        <v>12</v>
      </c>
      <c r="N21" s="463">
        <v>216666666.66666666</v>
      </c>
    </row>
    <row r="22" spans="1:14" x14ac:dyDescent="0.25">
      <c r="A22" s="495" t="s">
        <v>372</v>
      </c>
      <c r="B22" s="613" t="s">
        <v>213</v>
      </c>
      <c r="C22" s="454">
        <v>1</v>
      </c>
      <c r="E22" s="463">
        <v>2600000000</v>
      </c>
      <c r="F22" s="463">
        <v>2600000000</v>
      </c>
      <c r="G22" s="463">
        <f t="shared" si="0"/>
        <v>100000</v>
      </c>
      <c r="M22" s="463">
        <v>12</v>
      </c>
      <c r="N22" s="463">
        <v>216666666.66666666</v>
      </c>
    </row>
    <row r="23" spans="1:14" x14ac:dyDescent="0.25">
      <c r="A23" s="618" t="s">
        <v>373</v>
      </c>
      <c r="B23" s="619" t="s">
        <v>366</v>
      </c>
      <c r="C23" s="909">
        <v>1</v>
      </c>
      <c r="E23" s="473">
        <v>2080000000</v>
      </c>
      <c r="F23" s="473">
        <v>2080000000</v>
      </c>
      <c r="G23" s="473">
        <f t="shared" si="0"/>
        <v>80000</v>
      </c>
      <c r="M23" s="473">
        <v>12</v>
      </c>
      <c r="N23" s="473">
        <v>173333333.33333334</v>
      </c>
    </row>
    <row r="24" spans="1:14" x14ac:dyDescent="0.25">
      <c r="A24" s="618" t="s">
        <v>413</v>
      </c>
      <c r="B24" s="619" t="s">
        <v>365</v>
      </c>
      <c r="C24" s="909">
        <v>1</v>
      </c>
      <c r="E24" s="473">
        <v>2080000000</v>
      </c>
      <c r="F24" s="473">
        <v>2080000000</v>
      </c>
      <c r="G24" s="473">
        <f t="shared" si="0"/>
        <v>80000</v>
      </c>
      <c r="M24" s="473">
        <v>12</v>
      </c>
      <c r="N24" s="473">
        <v>173333333.33333334</v>
      </c>
    </row>
    <row r="25" spans="1:14" x14ac:dyDescent="0.25">
      <c r="A25" s="495" t="s">
        <v>414</v>
      </c>
      <c r="B25" s="613" t="s">
        <v>34</v>
      </c>
      <c r="C25" s="454">
        <v>1</v>
      </c>
      <c r="E25" s="463">
        <v>1352000000</v>
      </c>
      <c r="F25" s="463">
        <v>1352000000</v>
      </c>
      <c r="G25" s="463">
        <f t="shared" si="0"/>
        <v>52000</v>
      </c>
      <c r="M25" s="463">
        <v>12</v>
      </c>
      <c r="N25" s="463">
        <v>112666666.66666667</v>
      </c>
    </row>
    <row r="26" spans="1:14" x14ac:dyDescent="0.25">
      <c r="A26" s="495" t="s">
        <v>415</v>
      </c>
      <c r="B26" s="613" t="s">
        <v>206</v>
      </c>
      <c r="C26" s="454">
        <v>1</v>
      </c>
      <c r="E26" s="463">
        <v>1248000000</v>
      </c>
      <c r="F26" s="463">
        <v>1248000000</v>
      </c>
      <c r="G26" s="463">
        <f t="shared" si="0"/>
        <v>48000</v>
      </c>
      <c r="M26" s="463">
        <v>12</v>
      </c>
      <c r="N26" s="463">
        <v>104000000</v>
      </c>
    </row>
    <row r="27" spans="1:14" x14ac:dyDescent="0.25">
      <c r="A27" s="495" t="s">
        <v>416</v>
      </c>
      <c r="B27" s="613" t="s">
        <v>207</v>
      </c>
      <c r="C27" s="454">
        <v>1</v>
      </c>
      <c r="E27" s="463">
        <v>780000000</v>
      </c>
      <c r="F27" s="463">
        <v>780000000</v>
      </c>
      <c r="G27" s="463">
        <f t="shared" si="0"/>
        <v>30000</v>
      </c>
      <c r="M27" s="463">
        <v>12</v>
      </c>
      <c r="N27" s="463">
        <v>65000000</v>
      </c>
    </row>
    <row r="28" spans="1:14" x14ac:dyDescent="0.25">
      <c r="A28" s="495" t="s">
        <v>417</v>
      </c>
      <c r="B28" s="613" t="s">
        <v>294</v>
      </c>
      <c r="C28" s="454">
        <v>1</v>
      </c>
      <c r="E28" s="463">
        <v>20800000</v>
      </c>
      <c r="F28" s="463">
        <v>20800000</v>
      </c>
      <c r="G28" s="463">
        <f t="shared" si="0"/>
        <v>800</v>
      </c>
      <c r="M28" s="463">
        <v>12</v>
      </c>
      <c r="N28" s="463">
        <v>1733333.3333333333</v>
      </c>
    </row>
    <row r="29" spans="1:14" ht="4.5" customHeight="1" x14ac:dyDescent="0.25">
      <c r="E29" s="244"/>
      <c r="F29" s="244"/>
      <c r="G29" s="244"/>
      <c r="M29" s="244"/>
      <c r="N29" s="244"/>
    </row>
    <row r="30" spans="1:14" ht="17.25" x14ac:dyDescent="0.3">
      <c r="A30" s="38"/>
      <c r="B30" s="22" t="s">
        <v>322</v>
      </c>
      <c r="C30" s="44">
        <v>2000</v>
      </c>
      <c r="E30" s="903"/>
      <c r="F30" s="903">
        <v>0</v>
      </c>
      <c r="G30" s="903"/>
      <c r="M30" s="902"/>
      <c r="N30" s="903">
        <v>0</v>
      </c>
    </row>
    <row r="31" spans="1:14" x14ac:dyDescent="0.25">
      <c r="A31" s="622"/>
      <c r="B31" s="610" t="s">
        <v>67</v>
      </c>
      <c r="C31" s="907">
        <v>1900</v>
      </c>
      <c r="E31" s="907">
        <v>75000000</v>
      </c>
      <c r="F31" s="907">
        <v>0</v>
      </c>
      <c r="G31" s="907"/>
      <c r="M31" s="907">
        <v>25</v>
      </c>
      <c r="N31" s="907">
        <v>0</v>
      </c>
    </row>
    <row r="32" spans="1:14" x14ac:dyDescent="0.25">
      <c r="A32" s="623"/>
      <c r="B32" s="613" t="s">
        <v>68</v>
      </c>
      <c r="C32" s="463">
        <v>100</v>
      </c>
      <c r="E32" s="463">
        <v>75000000</v>
      </c>
      <c r="F32" s="463">
        <v>0</v>
      </c>
      <c r="G32" s="463"/>
      <c r="M32" s="463">
        <v>25</v>
      </c>
      <c r="N32" s="463">
        <v>0</v>
      </c>
    </row>
    <row r="33" spans="1:14" ht="4.5" customHeight="1" x14ac:dyDescent="0.25">
      <c r="N33" s="244"/>
    </row>
    <row r="34" spans="1:14" ht="17.25" x14ac:dyDescent="0.3">
      <c r="A34" s="38" t="s">
        <v>42</v>
      </c>
      <c r="B34" s="22" t="s">
        <v>767</v>
      </c>
      <c r="C34" s="903"/>
      <c r="E34" s="903"/>
      <c r="F34" s="903">
        <v>16250000000</v>
      </c>
      <c r="G34" s="903">
        <f t="shared" ref="G34:G55" si="1">F34/26000</f>
        <v>625000</v>
      </c>
      <c r="M34" s="902"/>
      <c r="N34" s="903">
        <v>1354166666.666666</v>
      </c>
    </row>
    <row r="35" spans="1:14" x14ac:dyDescent="0.25">
      <c r="A35" s="622" t="s">
        <v>241</v>
      </c>
      <c r="B35" s="610" t="s">
        <v>295</v>
      </c>
      <c r="C35" s="907">
        <v>1</v>
      </c>
      <c r="E35" s="907">
        <v>5200000000</v>
      </c>
      <c r="F35" s="907">
        <v>5200000000</v>
      </c>
      <c r="G35" s="907">
        <f t="shared" si="1"/>
        <v>200000</v>
      </c>
      <c r="M35" s="907">
        <v>12</v>
      </c>
      <c r="N35" s="907">
        <v>433333333.33333331</v>
      </c>
    </row>
    <row r="36" spans="1:14" x14ac:dyDescent="0.25">
      <c r="A36" s="623" t="s">
        <v>242</v>
      </c>
      <c r="B36" s="613" t="s">
        <v>224</v>
      </c>
      <c r="C36" s="463">
        <v>1</v>
      </c>
      <c r="E36" s="463">
        <v>5200000000</v>
      </c>
      <c r="F36" s="463">
        <v>5200000000</v>
      </c>
      <c r="G36" s="463">
        <f t="shared" si="1"/>
        <v>200000</v>
      </c>
      <c r="M36" s="463">
        <v>12</v>
      </c>
      <c r="N36" s="463">
        <v>433333333.33333331</v>
      </c>
    </row>
    <row r="37" spans="1:14" x14ac:dyDescent="0.25">
      <c r="A37" s="623" t="s">
        <v>780</v>
      </c>
      <c r="B37" s="613" t="s">
        <v>225</v>
      </c>
      <c r="C37" s="463">
        <v>1</v>
      </c>
      <c r="E37" s="463">
        <v>3042000000</v>
      </c>
      <c r="F37" s="463">
        <v>3042000000</v>
      </c>
      <c r="G37" s="463">
        <f t="shared" si="1"/>
        <v>117000</v>
      </c>
      <c r="M37" s="463">
        <v>12</v>
      </c>
      <c r="N37" s="463">
        <v>253500000</v>
      </c>
    </row>
    <row r="38" spans="1:14" x14ac:dyDescent="0.25">
      <c r="A38" s="623" t="s">
        <v>781</v>
      </c>
      <c r="B38" s="613" t="s">
        <v>230</v>
      </c>
      <c r="C38" s="463">
        <v>1</v>
      </c>
      <c r="E38" s="463">
        <v>650000000</v>
      </c>
      <c r="F38" s="463">
        <v>650000000</v>
      </c>
      <c r="G38" s="463">
        <f t="shared" si="1"/>
        <v>25000</v>
      </c>
      <c r="M38" s="463">
        <v>12</v>
      </c>
      <c r="N38" s="463">
        <v>54166666.666666664</v>
      </c>
    </row>
    <row r="39" spans="1:14" x14ac:dyDescent="0.25">
      <c r="A39" s="623" t="s">
        <v>782</v>
      </c>
      <c r="B39" s="613" t="s">
        <v>236</v>
      </c>
      <c r="C39" s="463">
        <v>1</v>
      </c>
      <c r="E39" s="463">
        <v>442000000</v>
      </c>
      <c r="F39" s="463">
        <v>442000000</v>
      </c>
      <c r="G39" s="463">
        <f t="shared" si="1"/>
        <v>17000</v>
      </c>
      <c r="M39" s="463">
        <v>12</v>
      </c>
      <c r="N39" s="463">
        <v>36833333.333333336</v>
      </c>
    </row>
    <row r="40" spans="1:14" x14ac:dyDescent="0.25">
      <c r="A40" s="623" t="s">
        <v>783</v>
      </c>
      <c r="B40" s="613" t="s">
        <v>228</v>
      </c>
      <c r="C40" s="463">
        <v>1</v>
      </c>
      <c r="E40" s="463">
        <v>260000000</v>
      </c>
      <c r="F40" s="463">
        <v>260000000</v>
      </c>
      <c r="G40" s="463">
        <f t="shared" si="1"/>
        <v>10000</v>
      </c>
      <c r="M40" s="463">
        <v>12</v>
      </c>
      <c r="N40" s="463">
        <v>21666666.666666668</v>
      </c>
    </row>
    <row r="41" spans="1:14" x14ac:dyDescent="0.25">
      <c r="A41" s="623" t="s">
        <v>784</v>
      </c>
      <c r="B41" s="613" t="s">
        <v>231</v>
      </c>
      <c r="C41" s="463">
        <v>1</v>
      </c>
      <c r="E41" s="463">
        <v>143000000</v>
      </c>
      <c r="F41" s="463">
        <v>143000000</v>
      </c>
      <c r="G41" s="463">
        <f t="shared" si="1"/>
        <v>5500</v>
      </c>
      <c r="M41" s="463">
        <v>12</v>
      </c>
      <c r="N41" s="463">
        <v>11916666.666666666</v>
      </c>
    </row>
    <row r="42" spans="1:14" x14ac:dyDescent="0.25">
      <c r="A42" s="623" t="s">
        <v>785</v>
      </c>
      <c r="B42" s="613" t="s">
        <v>227</v>
      </c>
      <c r="C42" s="463">
        <v>1</v>
      </c>
      <c r="E42" s="463">
        <v>130000000</v>
      </c>
      <c r="F42" s="463">
        <v>130000000</v>
      </c>
      <c r="G42" s="463">
        <f t="shared" si="1"/>
        <v>5000</v>
      </c>
      <c r="M42" s="463">
        <v>12</v>
      </c>
      <c r="N42" s="463">
        <v>10833333.333333334</v>
      </c>
    </row>
    <row r="43" spans="1:14" x14ac:dyDescent="0.25">
      <c r="A43" s="623" t="s">
        <v>786</v>
      </c>
      <c r="B43" s="613" t="s">
        <v>549</v>
      </c>
      <c r="C43" s="463">
        <v>1</v>
      </c>
      <c r="E43" s="463">
        <v>130000000</v>
      </c>
      <c r="F43" s="463">
        <v>130000000</v>
      </c>
      <c r="G43" s="463">
        <f t="shared" si="1"/>
        <v>5000</v>
      </c>
      <c r="M43" s="463">
        <v>12</v>
      </c>
      <c r="N43" s="463">
        <v>10833333.333333334</v>
      </c>
    </row>
    <row r="44" spans="1:14" x14ac:dyDescent="0.25">
      <c r="A44" s="623" t="s">
        <v>787</v>
      </c>
      <c r="B44" s="613" t="s">
        <v>232</v>
      </c>
      <c r="C44" s="463">
        <v>1</v>
      </c>
      <c r="E44" s="463">
        <v>130000000</v>
      </c>
      <c r="F44" s="463">
        <v>130000000</v>
      </c>
      <c r="G44" s="463">
        <f t="shared" si="1"/>
        <v>5000</v>
      </c>
      <c r="M44" s="463">
        <v>12</v>
      </c>
      <c r="N44" s="463">
        <v>10833333.333333334</v>
      </c>
    </row>
    <row r="45" spans="1:14" x14ac:dyDescent="0.25">
      <c r="A45" s="623" t="s">
        <v>788</v>
      </c>
      <c r="B45" s="613" t="s">
        <v>233</v>
      </c>
      <c r="C45" s="463">
        <v>1</v>
      </c>
      <c r="E45" s="463">
        <v>130000000</v>
      </c>
      <c r="F45" s="463">
        <v>130000000</v>
      </c>
      <c r="G45" s="463">
        <f t="shared" si="1"/>
        <v>5000</v>
      </c>
      <c r="M45" s="463">
        <v>12</v>
      </c>
      <c r="N45" s="463">
        <v>10833333.333333334</v>
      </c>
    </row>
    <row r="46" spans="1:14" x14ac:dyDescent="0.25">
      <c r="A46" s="623" t="s">
        <v>789</v>
      </c>
      <c r="B46" s="613" t="s">
        <v>235</v>
      </c>
      <c r="C46" s="463">
        <v>1</v>
      </c>
      <c r="E46" s="463">
        <v>130000000</v>
      </c>
      <c r="F46" s="463">
        <v>130000000</v>
      </c>
      <c r="G46" s="463">
        <f t="shared" si="1"/>
        <v>5000</v>
      </c>
      <c r="M46" s="463">
        <v>12</v>
      </c>
      <c r="N46" s="463">
        <v>10833333.333333334</v>
      </c>
    </row>
    <row r="47" spans="1:14" x14ac:dyDescent="0.25">
      <c r="A47" s="623" t="s">
        <v>790</v>
      </c>
      <c r="B47" s="613" t="s">
        <v>237</v>
      </c>
      <c r="C47" s="463">
        <v>1</v>
      </c>
      <c r="E47" s="463">
        <v>130000000</v>
      </c>
      <c r="F47" s="463">
        <v>130000000</v>
      </c>
      <c r="G47" s="463">
        <f t="shared" si="1"/>
        <v>5000</v>
      </c>
      <c r="M47" s="463">
        <v>12</v>
      </c>
      <c r="N47" s="463">
        <v>10833333.333333334</v>
      </c>
    </row>
    <row r="48" spans="1:14" x14ac:dyDescent="0.25">
      <c r="A48" s="623" t="s">
        <v>791</v>
      </c>
      <c r="B48" s="613" t="s">
        <v>238</v>
      </c>
      <c r="C48" s="463">
        <v>1</v>
      </c>
      <c r="E48" s="463">
        <v>130000000</v>
      </c>
      <c r="F48" s="463">
        <v>130000000</v>
      </c>
      <c r="G48" s="463">
        <f t="shared" si="1"/>
        <v>5000</v>
      </c>
      <c r="M48" s="463">
        <v>12</v>
      </c>
      <c r="N48" s="463">
        <v>10833333.333333334</v>
      </c>
    </row>
    <row r="49" spans="1:14" x14ac:dyDescent="0.25">
      <c r="A49" s="623" t="s">
        <v>792</v>
      </c>
      <c r="B49" s="613" t="s">
        <v>239</v>
      </c>
      <c r="C49" s="463">
        <v>1</v>
      </c>
      <c r="E49" s="463">
        <v>130000000</v>
      </c>
      <c r="F49" s="463">
        <v>130000000</v>
      </c>
      <c r="G49" s="463">
        <f t="shared" si="1"/>
        <v>5000</v>
      </c>
      <c r="M49" s="463">
        <v>12</v>
      </c>
      <c r="N49" s="463">
        <v>10833333.333333334</v>
      </c>
    </row>
    <row r="50" spans="1:14" x14ac:dyDescent="0.25">
      <c r="A50" s="623" t="s">
        <v>793</v>
      </c>
      <c r="B50" s="613" t="s">
        <v>240</v>
      </c>
      <c r="C50" s="463">
        <v>1</v>
      </c>
      <c r="E50" s="463">
        <v>130000000</v>
      </c>
      <c r="F50" s="463">
        <v>130000000</v>
      </c>
      <c r="G50" s="463">
        <f t="shared" si="1"/>
        <v>5000</v>
      </c>
      <c r="M50" s="463">
        <v>12</v>
      </c>
      <c r="N50" s="463">
        <v>10833333.333333334</v>
      </c>
    </row>
    <row r="51" spans="1:14" x14ac:dyDescent="0.25">
      <c r="A51" s="623" t="s">
        <v>794</v>
      </c>
      <c r="B51" s="613" t="s">
        <v>229</v>
      </c>
      <c r="C51" s="463">
        <v>1</v>
      </c>
      <c r="E51" s="463">
        <v>65000000</v>
      </c>
      <c r="F51" s="463">
        <v>65000000</v>
      </c>
      <c r="G51" s="463">
        <f t="shared" si="1"/>
        <v>2500</v>
      </c>
      <c r="M51" s="463">
        <v>12</v>
      </c>
      <c r="N51" s="463">
        <v>5416666.666666667</v>
      </c>
    </row>
    <row r="52" spans="1:14" x14ac:dyDescent="0.25">
      <c r="A52" s="623" t="s">
        <v>795</v>
      </c>
      <c r="B52" s="613" t="s">
        <v>226</v>
      </c>
      <c r="C52" s="463">
        <v>1</v>
      </c>
      <c r="E52" s="463">
        <v>52000000</v>
      </c>
      <c r="F52" s="463">
        <v>52000000</v>
      </c>
      <c r="G52" s="463">
        <f t="shared" si="1"/>
        <v>2000</v>
      </c>
      <c r="M52" s="463">
        <v>12</v>
      </c>
      <c r="N52" s="463">
        <v>4333333.333333333</v>
      </c>
    </row>
    <row r="53" spans="1:14" x14ac:dyDescent="0.25">
      <c r="A53" s="623" t="s">
        <v>796</v>
      </c>
      <c r="B53" s="613" t="s">
        <v>234</v>
      </c>
      <c r="C53" s="463">
        <v>1</v>
      </c>
      <c r="E53" s="463">
        <v>26000000</v>
      </c>
      <c r="F53" s="463">
        <v>26000000</v>
      </c>
      <c r="G53" s="463">
        <f t="shared" si="1"/>
        <v>1000</v>
      </c>
      <c r="M53" s="463">
        <v>12</v>
      </c>
      <c r="N53" s="463">
        <v>2166666.6666666665</v>
      </c>
    </row>
    <row r="54" spans="1:14" ht="4.5" customHeight="1" thickBot="1" x14ac:dyDescent="0.3">
      <c r="N54" s="244"/>
    </row>
    <row r="55" spans="1:14" ht="18" thickBot="1" x14ac:dyDescent="0.3">
      <c r="A55" s="42" t="s">
        <v>66</v>
      </c>
      <c r="B55" s="42"/>
      <c r="C55" s="42"/>
      <c r="E55" s="42"/>
      <c r="F55" s="43">
        <v>300749800000</v>
      </c>
      <c r="G55" s="43">
        <f t="shared" si="1"/>
        <v>11567300</v>
      </c>
      <c r="M55" s="141"/>
      <c r="N55" s="910">
        <v>25062483333.333336</v>
      </c>
    </row>
    <row r="59" spans="1:14" ht="15.75" x14ac:dyDescent="0.25">
      <c r="A59" s="1142" t="s">
        <v>2</v>
      </c>
      <c r="B59" s="1142" t="s">
        <v>29</v>
      </c>
      <c r="C59" s="227" t="s">
        <v>38</v>
      </c>
      <c r="E59" s="227" t="s">
        <v>39</v>
      </c>
      <c r="F59" s="227" t="s">
        <v>28</v>
      </c>
      <c r="G59" s="227" t="s">
        <v>28</v>
      </c>
    </row>
    <row r="60" spans="1:14" x14ac:dyDescent="0.25">
      <c r="A60" s="1142"/>
      <c r="B60" s="1142"/>
      <c r="C60" s="25" t="s">
        <v>657</v>
      </c>
      <c r="E60" s="25" t="s">
        <v>658</v>
      </c>
      <c r="F60" s="25" t="s">
        <v>658</v>
      </c>
      <c r="G60" s="25" t="s">
        <v>779</v>
      </c>
    </row>
    <row r="61" spans="1:14" ht="17.25" x14ac:dyDescent="0.3">
      <c r="A61" s="38" t="s">
        <v>42</v>
      </c>
      <c r="B61" s="22" t="s">
        <v>767</v>
      </c>
      <c r="C61" s="903"/>
      <c r="E61" s="903"/>
      <c r="F61" s="903">
        <v>16250000000</v>
      </c>
      <c r="G61" s="903">
        <v>625000</v>
      </c>
    </row>
    <row r="62" spans="1:14" x14ac:dyDescent="0.25">
      <c r="A62" s="622" t="s">
        <v>241</v>
      </c>
      <c r="B62" s="610" t="s">
        <v>295</v>
      </c>
      <c r="C62" s="907">
        <v>1</v>
      </c>
      <c r="E62" s="907">
        <v>5200000000</v>
      </c>
      <c r="F62" s="907">
        <v>5200000000</v>
      </c>
      <c r="G62" s="907">
        <v>200000</v>
      </c>
    </row>
    <row r="63" spans="1:14" x14ac:dyDescent="0.25">
      <c r="A63" s="623" t="s">
        <v>242</v>
      </c>
      <c r="B63" s="613" t="s">
        <v>224</v>
      </c>
      <c r="C63" s="463">
        <v>1</v>
      </c>
      <c r="E63" s="463">
        <v>5200000000</v>
      </c>
      <c r="F63" s="463">
        <v>5200000000</v>
      </c>
      <c r="G63" s="463">
        <v>200000</v>
      </c>
    </row>
    <row r="64" spans="1:14" x14ac:dyDescent="0.25">
      <c r="A64" s="623" t="s">
        <v>780</v>
      </c>
      <c r="B64" s="613" t="s">
        <v>225</v>
      </c>
      <c r="C64" s="463">
        <v>1</v>
      </c>
      <c r="E64" s="463">
        <v>3042000000</v>
      </c>
      <c r="F64" s="463">
        <v>3042000000</v>
      </c>
      <c r="G64" s="463">
        <v>117000</v>
      </c>
    </row>
    <row r="65" spans="1:7" x14ac:dyDescent="0.25">
      <c r="A65" s="623" t="s">
        <v>781</v>
      </c>
      <c r="B65" s="613" t="s">
        <v>230</v>
      </c>
      <c r="C65" s="463">
        <v>1</v>
      </c>
      <c r="E65" s="463">
        <v>650000000</v>
      </c>
      <c r="F65" s="463">
        <v>650000000</v>
      </c>
      <c r="G65" s="463">
        <v>25000</v>
      </c>
    </row>
    <row r="66" spans="1:7" x14ac:dyDescent="0.25">
      <c r="A66" s="623" t="s">
        <v>782</v>
      </c>
      <c r="B66" s="613" t="s">
        <v>236</v>
      </c>
      <c r="C66" s="463">
        <v>1</v>
      </c>
      <c r="E66" s="463">
        <v>442000000</v>
      </c>
      <c r="F66" s="463">
        <v>442000000</v>
      </c>
      <c r="G66" s="463">
        <v>17000</v>
      </c>
    </row>
    <row r="67" spans="1:7" x14ac:dyDescent="0.25">
      <c r="A67" s="623" t="s">
        <v>783</v>
      </c>
      <c r="B67" s="613" t="s">
        <v>228</v>
      </c>
      <c r="C67" s="463">
        <v>1</v>
      </c>
      <c r="E67" s="463">
        <v>260000000</v>
      </c>
      <c r="F67" s="463">
        <v>260000000</v>
      </c>
      <c r="G67" s="463">
        <v>10000</v>
      </c>
    </row>
    <row r="68" spans="1:7" x14ac:dyDescent="0.25">
      <c r="A68" s="623" t="s">
        <v>784</v>
      </c>
      <c r="B68" s="613" t="s">
        <v>231</v>
      </c>
      <c r="C68" s="463">
        <v>1</v>
      </c>
      <c r="E68" s="463">
        <v>143000000</v>
      </c>
      <c r="F68" s="463">
        <v>143000000</v>
      </c>
      <c r="G68" s="463">
        <v>5500</v>
      </c>
    </row>
    <row r="69" spans="1:7" x14ac:dyDescent="0.25">
      <c r="A69" s="623" t="s">
        <v>785</v>
      </c>
      <c r="B69" s="613" t="s">
        <v>227</v>
      </c>
      <c r="C69" s="463">
        <v>1</v>
      </c>
      <c r="E69" s="463">
        <v>130000000</v>
      </c>
      <c r="F69" s="463">
        <v>130000000</v>
      </c>
      <c r="G69" s="463">
        <v>5000</v>
      </c>
    </row>
    <row r="70" spans="1:7" x14ac:dyDescent="0.25">
      <c r="A70" s="623" t="s">
        <v>786</v>
      </c>
      <c r="B70" s="613" t="s">
        <v>549</v>
      </c>
      <c r="C70" s="463">
        <v>1</v>
      </c>
      <c r="E70" s="463">
        <v>130000000</v>
      </c>
      <c r="F70" s="463">
        <v>130000000</v>
      </c>
      <c r="G70" s="463">
        <v>5000</v>
      </c>
    </row>
    <row r="71" spans="1:7" x14ac:dyDescent="0.25">
      <c r="A71" s="623" t="s">
        <v>787</v>
      </c>
      <c r="B71" s="613" t="s">
        <v>232</v>
      </c>
      <c r="C71" s="463">
        <v>1</v>
      </c>
      <c r="E71" s="463">
        <v>130000000</v>
      </c>
      <c r="F71" s="463">
        <v>130000000</v>
      </c>
      <c r="G71" s="463">
        <v>5000</v>
      </c>
    </row>
    <row r="72" spans="1:7" x14ac:dyDescent="0.25">
      <c r="A72" s="623" t="s">
        <v>788</v>
      </c>
      <c r="B72" s="613" t="s">
        <v>233</v>
      </c>
      <c r="C72" s="463">
        <v>1</v>
      </c>
      <c r="E72" s="463">
        <v>130000000</v>
      </c>
      <c r="F72" s="463">
        <v>130000000</v>
      </c>
      <c r="G72" s="463">
        <v>5000</v>
      </c>
    </row>
    <row r="73" spans="1:7" x14ac:dyDescent="0.25">
      <c r="A73" s="623" t="s">
        <v>789</v>
      </c>
      <c r="B73" s="613" t="s">
        <v>235</v>
      </c>
      <c r="C73" s="463">
        <v>1</v>
      </c>
      <c r="E73" s="463">
        <v>130000000</v>
      </c>
      <c r="F73" s="463">
        <v>130000000</v>
      </c>
      <c r="G73" s="463">
        <v>5000</v>
      </c>
    </row>
    <row r="74" spans="1:7" x14ac:dyDescent="0.25">
      <c r="A74" s="623" t="s">
        <v>790</v>
      </c>
      <c r="B74" s="613" t="s">
        <v>237</v>
      </c>
      <c r="C74" s="463">
        <v>1</v>
      </c>
      <c r="E74" s="463">
        <v>130000000</v>
      </c>
      <c r="F74" s="463">
        <v>130000000</v>
      </c>
      <c r="G74" s="463">
        <v>5000</v>
      </c>
    </row>
    <row r="75" spans="1:7" x14ac:dyDescent="0.25">
      <c r="A75" s="623" t="s">
        <v>791</v>
      </c>
      <c r="B75" s="613" t="s">
        <v>238</v>
      </c>
      <c r="C75" s="463">
        <v>1</v>
      </c>
      <c r="E75" s="463">
        <v>130000000</v>
      </c>
      <c r="F75" s="463">
        <v>130000000</v>
      </c>
      <c r="G75" s="463">
        <v>5000</v>
      </c>
    </row>
    <row r="76" spans="1:7" x14ac:dyDescent="0.25">
      <c r="A76" s="623" t="s">
        <v>792</v>
      </c>
      <c r="B76" s="613" t="s">
        <v>239</v>
      </c>
      <c r="C76" s="463">
        <v>1</v>
      </c>
      <c r="E76" s="463">
        <v>130000000</v>
      </c>
      <c r="F76" s="463">
        <v>130000000</v>
      </c>
      <c r="G76" s="463">
        <v>5000</v>
      </c>
    </row>
    <row r="77" spans="1:7" x14ac:dyDescent="0.25">
      <c r="A77" s="623" t="s">
        <v>793</v>
      </c>
      <c r="B77" s="613" t="s">
        <v>240</v>
      </c>
      <c r="C77" s="463">
        <v>1</v>
      </c>
      <c r="E77" s="463">
        <v>130000000</v>
      </c>
      <c r="F77" s="463">
        <v>130000000</v>
      </c>
      <c r="G77" s="463">
        <v>5000</v>
      </c>
    </row>
    <row r="78" spans="1:7" x14ac:dyDescent="0.25">
      <c r="A78" s="623" t="s">
        <v>794</v>
      </c>
      <c r="B78" s="613" t="s">
        <v>229</v>
      </c>
      <c r="C78" s="463">
        <v>1</v>
      </c>
      <c r="E78" s="463">
        <v>65000000</v>
      </c>
      <c r="F78" s="463">
        <v>65000000</v>
      </c>
      <c r="G78" s="463">
        <v>2500</v>
      </c>
    </row>
    <row r="79" spans="1:7" x14ac:dyDescent="0.25">
      <c r="A79" s="623" t="s">
        <v>795</v>
      </c>
      <c r="B79" s="613" t="s">
        <v>226</v>
      </c>
      <c r="C79" s="463">
        <v>1</v>
      </c>
      <c r="E79" s="463">
        <v>52000000</v>
      </c>
      <c r="F79" s="463">
        <v>52000000</v>
      </c>
      <c r="G79" s="463">
        <v>2000</v>
      </c>
    </row>
    <row r="80" spans="1:7" x14ac:dyDescent="0.25">
      <c r="A80" s="623" t="s">
        <v>796</v>
      </c>
      <c r="B80" s="613" t="s">
        <v>234</v>
      </c>
      <c r="C80" s="463">
        <v>1</v>
      </c>
      <c r="E80" s="463">
        <v>26000000</v>
      </c>
      <c r="F80" s="463">
        <v>26000000</v>
      </c>
      <c r="G80" s="463">
        <v>1000</v>
      </c>
    </row>
  </sheetData>
  <mergeCells count="4">
    <mergeCell ref="A2:A3"/>
    <mergeCell ref="B2:B3"/>
    <mergeCell ref="A59:A60"/>
    <mergeCell ref="B59:B6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891E4-4DF8-45B8-8FD0-3FAAA1EA70DC}">
  <dimension ref="A2:E21"/>
  <sheetViews>
    <sheetView showGridLines="0" zoomScale="130" zoomScaleNormal="130" workbookViewId="0">
      <selection activeCell="K22" sqref="K22"/>
    </sheetView>
  </sheetViews>
  <sheetFormatPr defaultRowHeight="15" x14ac:dyDescent="0.25"/>
  <cols>
    <col min="1" max="1" width="10.625" bestFit="1" customWidth="1"/>
    <col min="2" max="2" width="6.5" bestFit="1" customWidth="1"/>
    <col min="3" max="3" width="36.25" customWidth="1"/>
    <col min="4" max="4" width="13.5" customWidth="1"/>
    <col min="5" max="5" width="16.5" customWidth="1"/>
  </cols>
  <sheetData>
    <row r="2" spans="1:5" ht="15.75" thickBot="1" x14ac:dyDescent="0.3"/>
    <row r="3" spans="1:5" ht="41.25" customHeight="1" thickTop="1" x14ac:dyDescent="0.25">
      <c r="A3" s="106" t="s">
        <v>168</v>
      </c>
      <c r="B3" s="106" t="s">
        <v>297</v>
      </c>
      <c r="C3" s="427" t="s">
        <v>169</v>
      </c>
      <c r="D3" s="424" t="s">
        <v>538</v>
      </c>
      <c r="E3" s="435" t="s">
        <v>298</v>
      </c>
    </row>
    <row r="4" spans="1:5" ht="18.75" customHeight="1" x14ac:dyDescent="0.25">
      <c r="A4" s="108" t="s">
        <v>170</v>
      </c>
      <c r="B4" s="108">
        <v>1521</v>
      </c>
      <c r="C4" s="428" t="s">
        <v>300</v>
      </c>
      <c r="D4" s="837">
        <v>979.2</v>
      </c>
      <c r="E4" s="779">
        <v>0.56159999999999999</v>
      </c>
    </row>
    <row r="5" spans="1:5" ht="18.75" customHeight="1" x14ac:dyDescent="0.25">
      <c r="A5" s="110"/>
      <c r="B5" s="110"/>
      <c r="C5" s="420" t="s">
        <v>167</v>
      </c>
      <c r="D5" s="841">
        <v>979.2</v>
      </c>
      <c r="E5" s="787">
        <v>0.56159999999999999</v>
      </c>
    </row>
    <row r="6" spans="1:5" ht="18.75" customHeight="1" x14ac:dyDescent="0.25">
      <c r="A6" s="108" t="s">
        <v>176</v>
      </c>
      <c r="B6" s="108">
        <v>1522</v>
      </c>
      <c r="C6" s="428" t="s">
        <v>301</v>
      </c>
      <c r="D6" s="837">
        <v>73.703225806451741</v>
      </c>
      <c r="E6" s="779">
        <v>4.2270967741935554E-2</v>
      </c>
    </row>
    <row r="7" spans="1:5" ht="18.75" customHeight="1" x14ac:dyDescent="0.25">
      <c r="A7" s="108" t="s">
        <v>179</v>
      </c>
      <c r="B7" s="108"/>
      <c r="C7" s="428" t="s">
        <v>302</v>
      </c>
      <c r="D7" s="837">
        <v>506.99203922249029</v>
      </c>
      <c r="E7" s="779">
        <v>0.29077484602466352</v>
      </c>
    </row>
    <row r="8" spans="1:5" ht="18.75" customHeight="1" x14ac:dyDescent="0.25">
      <c r="A8" s="110">
        <v>1</v>
      </c>
      <c r="B8" s="110" t="s">
        <v>171</v>
      </c>
      <c r="C8" s="429" t="s">
        <v>303</v>
      </c>
      <c r="D8" s="756">
        <v>39.193355199141216</v>
      </c>
      <c r="E8" s="787">
        <v>2.2478541952448639E-2</v>
      </c>
    </row>
    <row r="9" spans="1:5" ht="18.75" customHeight="1" x14ac:dyDescent="0.25">
      <c r="A9" s="110">
        <v>2</v>
      </c>
      <c r="B9" s="110" t="s">
        <v>173</v>
      </c>
      <c r="C9" s="429" t="s">
        <v>190</v>
      </c>
      <c r="D9" s="756">
        <v>155.62067109850187</v>
      </c>
      <c r="E9" s="787">
        <v>8.9253031953552539E-2</v>
      </c>
    </row>
    <row r="10" spans="1:5" ht="18.75" customHeight="1" x14ac:dyDescent="0.25">
      <c r="A10" s="110">
        <v>3</v>
      </c>
      <c r="B10" s="110" t="s">
        <v>172</v>
      </c>
      <c r="C10" s="429" t="s">
        <v>181</v>
      </c>
      <c r="D10" s="756">
        <v>83.967245579390948</v>
      </c>
      <c r="E10" s="787">
        <v>4.8157684964650692E-2</v>
      </c>
    </row>
    <row r="11" spans="1:5" ht="18.75" customHeight="1" x14ac:dyDescent="0.25">
      <c r="A11" s="110">
        <v>4</v>
      </c>
      <c r="B11" s="110" t="s">
        <v>174</v>
      </c>
      <c r="C11" s="430" t="s">
        <v>304</v>
      </c>
      <c r="D11" s="756">
        <v>132.27565106478349</v>
      </c>
      <c r="E11" s="787">
        <v>7.5863976345978759E-2</v>
      </c>
    </row>
    <row r="12" spans="1:5" ht="18.75" customHeight="1" x14ac:dyDescent="0.25">
      <c r="A12" s="110">
        <v>5</v>
      </c>
      <c r="B12" s="110" t="s">
        <v>182</v>
      </c>
      <c r="C12" s="429" t="s">
        <v>305</v>
      </c>
      <c r="D12" s="756">
        <v>74.974798387096769</v>
      </c>
      <c r="E12" s="787">
        <v>4.3000252016129024E-2</v>
      </c>
    </row>
    <row r="13" spans="1:5" ht="18.75" customHeight="1" x14ac:dyDescent="0.25">
      <c r="A13" s="110">
        <v>6</v>
      </c>
      <c r="B13" s="110" t="s">
        <v>306</v>
      </c>
      <c r="C13" s="430" t="s">
        <v>307</v>
      </c>
      <c r="D13" s="756">
        <v>12.713675213675215</v>
      </c>
      <c r="E13" s="787">
        <v>7.2916666666666668E-3</v>
      </c>
    </row>
    <row r="14" spans="1:5" ht="18.75" customHeight="1" x14ac:dyDescent="0.25">
      <c r="A14" s="110">
        <v>7</v>
      </c>
      <c r="B14" s="110" t="s">
        <v>177</v>
      </c>
      <c r="C14" s="430" t="s">
        <v>308</v>
      </c>
      <c r="D14" s="756">
        <v>8.2466426799007468</v>
      </c>
      <c r="E14" s="787">
        <v>4.7296921252371928E-3</v>
      </c>
    </row>
    <row r="15" spans="1:5" ht="18.75" customHeight="1" x14ac:dyDescent="0.25">
      <c r="A15" s="408">
        <v>8</v>
      </c>
      <c r="B15" s="408" t="s">
        <v>178</v>
      </c>
      <c r="C15" s="431" t="s">
        <v>309</v>
      </c>
      <c r="D15" s="757">
        <v>0</v>
      </c>
      <c r="E15" s="795">
        <v>0</v>
      </c>
    </row>
    <row r="16" spans="1:5" ht="18.75" customHeight="1" x14ac:dyDescent="0.25">
      <c r="A16" s="110">
        <v>9</v>
      </c>
      <c r="B16" s="114"/>
      <c r="C16" s="433" t="s">
        <v>310</v>
      </c>
      <c r="D16" s="845">
        <v>1559.895265028942</v>
      </c>
      <c r="E16" s="800">
        <v>0.89464581376659913</v>
      </c>
    </row>
    <row r="17" spans="1:5" ht="18.75" customHeight="1" x14ac:dyDescent="0.25">
      <c r="A17" s="411">
        <v>10</v>
      </c>
      <c r="B17" s="411" t="s">
        <v>185</v>
      </c>
      <c r="C17" s="432" t="s">
        <v>311</v>
      </c>
      <c r="D17" s="849">
        <v>36.738895712160321</v>
      </c>
      <c r="E17" s="809">
        <v>2.1070837246680185E-2</v>
      </c>
    </row>
    <row r="18" spans="1:5" ht="18.75" customHeight="1" x14ac:dyDescent="0.25">
      <c r="A18" s="108" t="s">
        <v>312</v>
      </c>
      <c r="B18" s="108" t="s">
        <v>183</v>
      </c>
      <c r="C18" s="428" t="s">
        <v>184</v>
      </c>
      <c r="D18" s="837">
        <v>146.95558284864128</v>
      </c>
      <c r="E18" s="779">
        <v>8.4283348986720741E-2</v>
      </c>
    </row>
    <row r="19" spans="1:5" ht="18.75" customHeight="1" x14ac:dyDescent="0.25">
      <c r="A19" s="116" t="s">
        <v>313</v>
      </c>
      <c r="B19" s="114"/>
      <c r="C19" s="433" t="s">
        <v>78</v>
      </c>
      <c r="D19" s="845">
        <v>1743.5897435897436</v>
      </c>
      <c r="E19" s="800">
        <v>1</v>
      </c>
    </row>
    <row r="20" spans="1:5" ht="18.75" customHeight="1" thickBot="1" x14ac:dyDescent="0.3">
      <c r="A20" s="117"/>
      <c r="B20" s="117"/>
      <c r="C20" s="434" t="s">
        <v>314</v>
      </c>
      <c r="D20" s="816"/>
      <c r="E20" s="817">
        <v>0.43840000000000001</v>
      </c>
    </row>
    <row r="21" spans="1:5" ht="15.75" thickTop="1" x14ac:dyDescent="0.25"/>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2A84-C9A8-4512-9FA4-9853DA03BD71}">
  <dimension ref="A2:E21"/>
  <sheetViews>
    <sheetView showGridLines="0" zoomScale="130" zoomScaleNormal="130" workbookViewId="0">
      <selection activeCell="K22" sqref="K22"/>
    </sheetView>
  </sheetViews>
  <sheetFormatPr defaultRowHeight="15" x14ac:dyDescent="0.25"/>
  <cols>
    <col min="1" max="1" width="10.625" bestFit="1" customWidth="1"/>
    <col min="2" max="2" width="6.5" bestFit="1" customWidth="1"/>
    <col min="3" max="3" width="36.25" customWidth="1"/>
    <col min="4" max="4" width="13.5" customWidth="1"/>
    <col min="5" max="5" width="16.5" customWidth="1"/>
  </cols>
  <sheetData>
    <row r="2" spans="1:5" ht="15.75" thickBot="1" x14ac:dyDescent="0.3"/>
    <row r="3" spans="1:5" ht="41.25" customHeight="1" thickTop="1" x14ac:dyDescent="0.25">
      <c r="A3" s="106" t="s">
        <v>168</v>
      </c>
      <c r="B3" s="106" t="s">
        <v>297</v>
      </c>
      <c r="C3" s="427" t="s">
        <v>169</v>
      </c>
      <c r="D3" s="424" t="s">
        <v>323</v>
      </c>
      <c r="E3" s="435" t="s">
        <v>298</v>
      </c>
    </row>
    <row r="4" spans="1:5" ht="18.75" customHeight="1" x14ac:dyDescent="0.25">
      <c r="A4" s="108" t="s">
        <v>170</v>
      </c>
      <c r="B4" s="108" t="s">
        <v>536</v>
      </c>
      <c r="C4" s="428" t="s">
        <v>300</v>
      </c>
      <c r="D4" s="837">
        <v>381.88799999999998</v>
      </c>
      <c r="E4" s="779">
        <v>0.56159999999999999</v>
      </c>
    </row>
    <row r="5" spans="1:5" ht="18.75" customHeight="1" x14ac:dyDescent="0.25">
      <c r="A5" s="110"/>
      <c r="B5" s="110"/>
      <c r="C5" s="420" t="s">
        <v>167</v>
      </c>
      <c r="D5" s="841">
        <v>381.88799999999998</v>
      </c>
      <c r="E5" s="787">
        <v>0.56159999999999999</v>
      </c>
    </row>
    <row r="6" spans="1:5" ht="18.75" customHeight="1" x14ac:dyDescent="0.25">
      <c r="A6" s="108" t="s">
        <v>176</v>
      </c>
      <c r="B6" s="108" t="s">
        <v>537</v>
      </c>
      <c r="C6" s="428" t="s">
        <v>301</v>
      </c>
      <c r="D6" s="837">
        <v>28.744258064516178</v>
      </c>
      <c r="E6" s="779">
        <v>4.2270967741935554E-2</v>
      </c>
    </row>
    <row r="7" spans="1:5" ht="18.75" customHeight="1" x14ac:dyDescent="0.25">
      <c r="A7" s="108" t="s">
        <v>179</v>
      </c>
      <c r="B7" s="108"/>
      <c r="C7" s="428" t="s">
        <v>302</v>
      </c>
      <c r="D7" s="837">
        <v>197.7268952967712</v>
      </c>
      <c r="E7" s="779">
        <v>0.29077484602466352</v>
      </c>
    </row>
    <row r="8" spans="1:5" ht="18.75" customHeight="1" x14ac:dyDescent="0.25">
      <c r="A8" s="110">
        <v>1</v>
      </c>
      <c r="B8" s="110" t="s">
        <v>171</v>
      </c>
      <c r="C8" s="429" t="s">
        <v>303</v>
      </c>
      <c r="D8" s="756">
        <v>15.285408527665071</v>
      </c>
      <c r="E8" s="787">
        <v>2.2478541952448635E-2</v>
      </c>
    </row>
    <row r="9" spans="1:5" ht="18.75" customHeight="1" x14ac:dyDescent="0.25">
      <c r="A9" s="110">
        <v>2</v>
      </c>
      <c r="B9" s="110" t="s">
        <v>173</v>
      </c>
      <c r="C9" s="429" t="s">
        <v>190</v>
      </c>
      <c r="D9" s="756">
        <v>60.692061728415723</v>
      </c>
      <c r="E9" s="787">
        <v>8.9253031953552539E-2</v>
      </c>
    </row>
    <row r="10" spans="1:5" ht="18.75" customHeight="1" x14ac:dyDescent="0.25">
      <c r="A10" s="110">
        <v>3</v>
      </c>
      <c r="B10" s="110" t="s">
        <v>182</v>
      </c>
      <c r="C10" s="429" t="s">
        <v>181</v>
      </c>
      <c r="D10" s="756">
        <v>32.74722577596247</v>
      </c>
      <c r="E10" s="787">
        <v>4.8157684964650692E-2</v>
      </c>
    </row>
    <row r="11" spans="1:5" ht="18.75" customHeight="1" x14ac:dyDescent="0.25">
      <c r="A11" s="110">
        <v>4</v>
      </c>
      <c r="B11" s="110" t="s">
        <v>172</v>
      </c>
      <c r="C11" s="430" t="s">
        <v>304</v>
      </c>
      <c r="D11" s="756">
        <v>51.587503915265557</v>
      </c>
      <c r="E11" s="787">
        <v>7.5863976345978759E-2</v>
      </c>
    </row>
    <row r="12" spans="1:5" ht="18.75" customHeight="1" x14ac:dyDescent="0.25">
      <c r="A12" s="110">
        <v>5</v>
      </c>
      <c r="B12" s="110" t="s">
        <v>174</v>
      </c>
      <c r="C12" s="429" t="s">
        <v>305</v>
      </c>
      <c r="D12" s="756">
        <v>29.24017137096774</v>
      </c>
      <c r="E12" s="787">
        <v>4.3000252016129031E-2</v>
      </c>
    </row>
    <row r="13" spans="1:5" ht="18.75" customHeight="1" x14ac:dyDescent="0.25">
      <c r="A13" s="110">
        <v>6</v>
      </c>
      <c r="B13" s="110" t="s">
        <v>306</v>
      </c>
      <c r="C13" s="430" t="s">
        <v>307</v>
      </c>
      <c r="D13" s="756">
        <v>4.958333333333333</v>
      </c>
      <c r="E13" s="787">
        <v>7.2916666666666659E-3</v>
      </c>
    </row>
    <row r="14" spans="1:5" ht="18.75" customHeight="1" x14ac:dyDescent="0.25">
      <c r="A14" s="110">
        <v>7</v>
      </c>
      <c r="B14" s="110" t="s">
        <v>177</v>
      </c>
      <c r="C14" s="430" t="s">
        <v>308</v>
      </c>
      <c r="D14" s="756">
        <v>3.2161906451612912</v>
      </c>
      <c r="E14" s="787">
        <v>4.7296921252371928E-3</v>
      </c>
    </row>
    <row r="15" spans="1:5" ht="18.75" customHeight="1" x14ac:dyDescent="0.25">
      <c r="A15" s="408">
        <v>8</v>
      </c>
      <c r="B15" s="408" t="s">
        <v>178</v>
      </c>
      <c r="C15" s="431" t="s">
        <v>309</v>
      </c>
      <c r="D15" s="757">
        <v>0</v>
      </c>
      <c r="E15" s="795">
        <v>0</v>
      </c>
    </row>
    <row r="16" spans="1:5" ht="18.75" customHeight="1" x14ac:dyDescent="0.25">
      <c r="A16" s="110">
        <v>9</v>
      </c>
      <c r="B16" s="114"/>
      <c r="C16" s="433" t="s">
        <v>310</v>
      </c>
      <c r="D16" s="845">
        <v>608.35915336128733</v>
      </c>
      <c r="E16" s="800">
        <v>0.89464581376659902</v>
      </c>
    </row>
    <row r="17" spans="1:5" ht="18.75" customHeight="1" x14ac:dyDescent="0.25">
      <c r="A17" s="411">
        <v>10</v>
      </c>
      <c r="B17" s="411" t="s">
        <v>185</v>
      </c>
      <c r="C17" s="432" t="s">
        <v>311</v>
      </c>
      <c r="D17" s="849">
        <v>14.328169327742536</v>
      </c>
      <c r="E17" s="809">
        <v>2.1070837246680199E-2</v>
      </c>
    </row>
    <row r="18" spans="1:5" ht="18.75" customHeight="1" x14ac:dyDescent="0.25">
      <c r="A18" s="108" t="s">
        <v>312</v>
      </c>
      <c r="B18" s="108" t="s">
        <v>183</v>
      </c>
      <c r="C18" s="428" t="s">
        <v>184</v>
      </c>
      <c r="D18" s="837">
        <v>57.312677310970145</v>
      </c>
      <c r="E18" s="779">
        <v>8.4283348986720796E-2</v>
      </c>
    </row>
    <row r="19" spans="1:5" ht="18.75" customHeight="1" x14ac:dyDescent="0.25">
      <c r="A19" s="116" t="s">
        <v>313</v>
      </c>
      <c r="B19" s="114"/>
      <c r="C19" s="433" t="s">
        <v>78</v>
      </c>
      <c r="D19" s="845">
        <v>680</v>
      </c>
      <c r="E19" s="800">
        <v>1</v>
      </c>
    </row>
    <row r="20" spans="1:5" ht="18.75" customHeight="1" thickBot="1" x14ac:dyDescent="0.3">
      <c r="A20" s="117"/>
      <c r="B20" s="117"/>
      <c r="C20" s="434" t="s">
        <v>314</v>
      </c>
      <c r="D20" s="816"/>
      <c r="E20" s="817">
        <v>0.43840000000000001</v>
      </c>
    </row>
    <row r="21" spans="1:5" ht="15.75" thickTop="1"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7FDD6-3B59-48FD-96FA-A88F6865EDB1}">
  <dimension ref="B2:T50"/>
  <sheetViews>
    <sheetView showGridLines="0" zoomScale="90" zoomScaleNormal="90" workbookViewId="0">
      <pane xSplit="5" ySplit="3" topLeftCell="F4" activePane="bottomRight" state="frozen"/>
      <selection activeCell="K22" sqref="K22"/>
      <selection pane="topRight" activeCell="K22" sqref="K22"/>
      <selection pane="bottomLeft" activeCell="K22" sqref="K22"/>
      <selection pane="bottomRight" activeCell="K22" sqref="K22"/>
    </sheetView>
  </sheetViews>
  <sheetFormatPr defaultRowHeight="15" x14ac:dyDescent="0.25"/>
  <cols>
    <col min="2" max="2" width="4.375" style="20" bestFit="1" customWidth="1"/>
    <col min="3" max="3" width="28.875" bestFit="1" customWidth="1"/>
    <col min="4" max="4" width="6.75" bestFit="1" customWidth="1"/>
    <col min="5" max="5" width="12.875" hidden="1" customWidth="1"/>
    <col min="6" max="19" width="12.875" customWidth="1"/>
    <col min="20" max="20" width="15.625" customWidth="1"/>
  </cols>
  <sheetData>
    <row r="2" spans="2:20" ht="17.25" x14ac:dyDescent="0.25">
      <c r="B2" s="285" t="s">
        <v>2</v>
      </c>
      <c r="C2" s="285" t="s">
        <v>428</v>
      </c>
      <c r="D2" s="285" t="s">
        <v>62</v>
      </c>
      <c r="E2" s="285">
        <v>2026</v>
      </c>
      <c r="F2" s="285">
        <v>2027</v>
      </c>
      <c r="G2" s="285">
        <v>2028</v>
      </c>
      <c r="H2" s="285">
        <v>2029</v>
      </c>
      <c r="I2" s="285">
        <v>2030</v>
      </c>
      <c r="J2" s="285">
        <v>2031</v>
      </c>
      <c r="K2" s="285">
        <v>2032</v>
      </c>
      <c r="L2" s="285">
        <v>2033</v>
      </c>
      <c r="M2" s="285">
        <v>2034</v>
      </c>
      <c r="N2" s="285">
        <v>2035</v>
      </c>
      <c r="O2" s="285">
        <v>2036</v>
      </c>
      <c r="P2" s="285">
        <v>2037</v>
      </c>
      <c r="Q2" s="285">
        <v>2038</v>
      </c>
      <c r="R2" s="285">
        <v>2039</v>
      </c>
      <c r="S2" s="285">
        <v>2040</v>
      </c>
      <c r="T2" s="285">
        <v>2041</v>
      </c>
    </row>
    <row r="3" spans="2:20" ht="3" customHeight="1" x14ac:dyDescent="0.25"/>
    <row r="4" spans="2:20" ht="17.25" x14ac:dyDescent="0.3">
      <c r="B4" s="634">
        <f>IF(C4&lt;&gt;"",SUBTOTAL(3,C$4:C4),"")</f>
        <v>1</v>
      </c>
      <c r="C4" s="24" t="s">
        <v>669</v>
      </c>
      <c r="D4" s="24"/>
      <c r="E4" s="634"/>
      <c r="F4" s="634"/>
      <c r="G4" s="634"/>
      <c r="H4" s="634"/>
      <c r="I4" s="634"/>
      <c r="J4" s="634"/>
      <c r="K4" s="634"/>
      <c r="L4" s="634"/>
      <c r="M4" s="634"/>
      <c r="N4" s="634"/>
    </row>
    <row r="5" spans="2:20" x14ac:dyDescent="0.25">
      <c r="B5" s="492">
        <f>IF(C5&lt;&gt;"",SUBTOTAL(3,C$4:C5),"")</f>
        <v>2</v>
      </c>
      <c r="C5" s="459" t="s">
        <v>427</v>
      </c>
      <c r="D5" s="493" t="s">
        <v>436</v>
      </c>
      <c r="E5" s="548"/>
      <c r="F5" s="548">
        <v>7568640</v>
      </c>
      <c r="G5" s="548">
        <v>7568640</v>
      </c>
      <c r="H5" s="548">
        <v>7568640</v>
      </c>
      <c r="I5" s="548">
        <v>7568640</v>
      </c>
      <c r="J5" s="548">
        <v>7568640</v>
      </c>
      <c r="K5" s="548">
        <v>7568640</v>
      </c>
      <c r="L5" s="548">
        <v>7568640</v>
      </c>
      <c r="M5" s="548">
        <v>7568640</v>
      </c>
      <c r="N5" s="548">
        <v>7568640</v>
      </c>
      <c r="O5" s="548">
        <v>7568640</v>
      </c>
      <c r="P5" s="548">
        <v>7568640</v>
      </c>
      <c r="Q5" s="548">
        <v>7568640</v>
      </c>
      <c r="R5" s="548">
        <v>7568640</v>
      </c>
      <c r="S5" s="548">
        <v>7568640</v>
      </c>
      <c r="T5" s="548">
        <v>7568640</v>
      </c>
    </row>
    <row r="6" spans="2:20" x14ac:dyDescent="0.25">
      <c r="B6" s="495">
        <f>IF(C6&lt;&gt;"",SUBTOTAL(3,C$4:C6),"")</f>
        <v>3</v>
      </c>
      <c r="C6" s="454" t="s">
        <v>427</v>
      </c>
      <c r="D6" s="496" t="s">
        <v>320</v>
      </c>
      <c r="E6" s="549"/>
      <c r="F6" s="549">
        <v>7568640</v>
      </c>
      <c r="G6" s="549">
        <v>7568640</v>
      </c>
      <c r="H6" s="549">
        <v>7568640</v>
      </c>
      <c r="I6" s="549">
        <v>7568640</v>
      </c>
      <c r="J6" s="549">
        <v>7568640</v>
      </c>
      <c r="K6" s="549">
        <v>7568640</v>
      </c>
      <c r="L6" s="549">
        <v>7568640</v>
      </c>
      <c r="M6" s="549">
        <v>7568640</v>
      </c>
      <c r="N6" s="549">
        <v>7568640</v>
      </c>
      <c r="O6" s="549">
        <v>7568640</v>
      </c>
      <c r="P6" s="549">
        <v>7568640</v>
      </c>
      <c r="Q6" s="549">
        <v>7568640</v>
      </c>
      <c r="R6" s="549">
        <v>7568640</v>
      </c>
      <c r="S6" s="549">
        <v>7568640</v>
      </c>
      <c r="T6" s="549">
        <v>7568640</v>
      </c>
    </row>
    <row r="7" spans="2:20" x14ac:dyDescent="0.25">
      <c r="B7" s="550">
        <f>IF(C7&lt;&gt;"",SUBTOTAL(3,C$4:C7),"")</f>
        <v>4</v>
      </c>
      <c r="C7" s="536" t="s">
        <v>460</v>
      </c>
      <c r="D7" s="547"/>
      <c r="E7" s="550"/>
      <c r="F7" s="551">
        <v>0.88</v>
      </c>
      <c r="G7" s="551">
        <v>0.88</v>
      </c>
      <c r="H7" s="551">
        <v>0.88</v>
      </c>
      <c r="I7" s="551">
        <v>0.88</v>
      </c>
      <c r="J7" s="551">
        <v>0.88</v>
      </c>
      <c r="K7" s="551">
        <v>0.88</v>
      </c>
      <c r="L7" s="551">
        <v>0.88</v>
      </c>
      <c r="M7" s="551">
        <v>0.88</v>
      </c>
      <c r="N7" s="551">
        <v>0.88</v>
      </c>
      <c r="O7" s="551">
        <v>0.88</v>
      </c>
      <c r="P7" s="551">
        <v>0.88</v>
      </c>
      <c r="Q7" s="551">
        <v>0.88</v>
      </c>
      <c r="R7" s="551">
        <v>0.88</v>
      </c>
      <c r="S7" s="551">
        <v>0.88</v>
      </c>
      <c r="T7" s="551">
        <v>0.88</v>
      </c>
    </row>
    <row r="8" spans="2:20" x14ac:dyDescent="0.25">
      <c r="B8" s="550">
        <f>IF(C8&lt;&gt;"",SUBTOTAL(3,C$4:C8),"")</f>
        <v>5</v>
      </c>
      <c r="C8" s="536" t="s">
        <v>461</v>
      </c>
      <c r="D8" s="547"/>
      <c r="E8" s="550"/>
      <c r="F8" s="551">
        <v>0.5</v>
      </c>
      <c r="G8" s="551">
        <v>0.7</v>
      </c>
      <c r="H8" s="551">
        <v>1</v>
      </c>
      <c r="I8" s="551">
        <v>1</v>
      </c>
      <c r="J8" s="551">
        <v>1</v>
      </c>
      <c r="K8" s="551">
        <v>1</v>
      </c>
      <c r="L8" s="551">
        <v>1</v>
      </c>
      <c r="M8" s="551">
        <v>1</v>
      </c>
      <c r="N8" s="551">
        <v>1</v>
      </c>
      <c r="O8" s="551">
        <v>1</v>
      </c>
      <c r="P8" s="551">
        <v>1</v>
      </c>
      <c r="Q8" s="551">
        <v>1</v>
      </c>
      <c r="R8" s="551">
        <v>1</v>
      </c>
      <c r="S8" s="551">
        <v>1</v>
      </c>
      <c r="T8" s="551">
        <v>1</v>
      </c>
    </row>
    <row r="9" spans="2:20" x14ac:dyDescent="0.25">
      <c r="B9" s="495">
        <f>IF(C9&lt;&gt;"",SUBTOTAL(3,C$4:C9),"")</f>
        <v>6</v>
      </c>
      <c r="C9" s="454" t="s">
        <v>70</v>
      </c>
      <c r="D9" s="496"/>
      <c r="E9" s="549"/>
      <c r="F9" s="552">
        <v>7.0000000000000007E-2</v>
      </c>
      <c r="G9" s="552">
        <v>7.0000000000000007E-2</v>
      </c>
      <c r="H9" s="552">
        <v>7.0000000000000007E-2</v>
      </c>
      <c r="I9" s="552">
        <v>7.0000000000000007E-2</v>
      </c>
      <c r="J9" s="552">
        <v>7.0000000000000007E-2</v>
      </c>
      <c r="K9" s="552">
        <v>7.0000000000000007E-2</v>
      </c>
      <c r="L9" s="552">
        <v>7.0000000000000007E-2</v>
      </c>
      <c r="M9" s="552">
        <v>7.0000000000000007E-2</v>
      </c>
      <c r="N9" s="552">
        <v>7.0000000000000007E-2</v>
      </c>
      <c r="O9" s="552">
        <v>7.0000000000000007E-2</v>
      </c>
      <c r="P9" s="552">
        <v>7.0000000000000007E-2</v>
      </c>
      <c r="Q9" s="552">
        <v>7.0000000000000007E-2</v>
      </c>
      <c r="R9" s="552">
        <v>7.0000000000000007E-2</v>
      </c>
      <c r="S9" s="552">
        <v>7.0000000000000007E-2</v>
      </c>
      <c r="T9" s="552">
        <v>7.0000000000000007E-2</v>
      </c>
    </row>
    <row r="10" spans="2:20" x14ac:dyDescent="0.25">
      <c r="B10" s="495">
        <f>IF(C10&lt;&gt;"",SUBTOTAL(3,C$4:C10),"")</f>
        <v>7</v>
      </c>
      <c r="C10" s="454" t="s">
        <v>59</v>
      </c>
      <c r="D10" s="496"/>
      <c r="E10" s="549"/>
      <c r="F10" s="549">
        <v>160.6</v>
      </c>
      <c r="G10" s="549">
        <v>224.83999999999997</v>
      </c>
      <c r="H10" s="549">
        <v>321.2</v>
      </c>
      <c r="I10" s="549">
        <v>321.2</v>
      </c>
      <c r="J10" s="549">
        <v>321.2</v>
      </c>
      <c r="K10" s="549">
        <v>321.2</v>
      </c>
      <c r="L10" s="549">
        <v>321.2</v>
      </c>
      <c r="M10" s="549">
        <v>321.2</v>
      </c>
      <c r="N10" s="549">
        <v>321.2</v>
      </c>
      <c r="O10" s="549">
        <v>321.2</v>
      </c>
      <c r="P10" s="549">
        <v>321.2</v>
      </c>
      <c r="Q10" s="549">
        <v>321.2</v>
      </c>
      <c r="R10" s="549">
        <v>321.2</v>
      </c>
      <c r="S10" s="549">
        <v>321.2</v>
      </c>
      <c r="T10" s="549">
        <v>321.2</v>
      </c>
    </row>
    <row r="11" spans="2:20" x14ac:dyDescent="0.25">
      <c r="B11" s="495">
        <f>IF(C11&lt;&gt;"",SUBTOTAL(3,C$4:C11),"")</f>
        <v>8</v>
      </c>
      <c r="C11" s="454" t="s">
        <v>202</v>
      </c>
      <c r="D11" s="496" t="s">
        <v>436</v>
      </c>
      <c r="E11" s="549"/>
      <c r="F11" s="549">
        <v>3097087.4879999999</v>
      </c>
      <c r="G11" s="549">
        <v>4335922.4831999997</v>
      </c>
      <c r="H11" s="549">
        <v>6194174.9759999998</v>
      </c>
      <c r="I11" s="549">
        <v>6194174.9759999998</v>
      </c>
      <c r="J11" s="549">
        <v>6194174.9759999998</v>
      </c>
      <c r="K11" s="549">
        <v>6194174.9759999998</v>
      </c>
      <c r="L11" s="549">
        <v>6194174.9759999998</v>
      </c>
      <c r="M11" s="549">
        <v>6194174.9759999998</v>
      </c>
      <c r="N11" s="549">
        <v>6194174.9759999998</v>
      </c>
      <c r="O11" s="549">
        <v>6194174.9759999998</v>
      </c>
      <c r="P11" s="549">
        <v>6194174.9759999998</v>
      </c>
      <c r="Q11" s="549">
        <v>6194174.9759999998</v>
      </c>
      <c r="R11" s="549">
        <v>6194174.9759999998</v>
      </c>
      <c r="S11" s="549">
        <v>6194174.9759999998</v>
      </c>
      <c r="T11" s="549">
        <v>6194174.9759999998</v>
      </c>
    </row>
    <row r="12" spans="2:20" x14ac:dyDescent="0.25">
      <c r="B12" s="495">
        <f>IF(C12&lt;&gt;"",SUBTOTAL(3,C$4:C12),"")</f>
        <v>9</v>
      </c>
      <c r="C12" s="454" t="s">
        <v>202</v>
      </c>
      <c r="D12" s="496" t="s">
        <v>320</v>
      </c>
      <c r="E12" s="549"/>
      <c r="F12" s="549">
        <v>206472499.20000002</v>
      </c>
      <c r="G12" s="549">
        <v>289061498.88</v>
      </c>
      <c r="H12" s="549">
        <v>412944998.40000004</v>
      </c>
      <c r="I12" s="549">
        <v>412944998.40000004</v>
      </c>
      <c r="J12" s="549">
        <v>412944998.40000004</v>
      </c>
      <c r="K12" s="549">
        <v>412944998.40000004</v>
      </c>
      <c r="L12" s="549">
        <v>412944998.40000004</v>
      </c>
      <c r="M12" s="549">
        <v>412944998.40000004</v>
      </c>
      <c r="N12" s="549">
        <v>412944998.40000004</v>
      </c>
      <c r="O12" s="549">
        <v>412944998.40000004</v>
      </c>
      <c r="P12" s="549">
        <v>412944998.40000004</v>
      </c>
      <c r="Q12" s="549">
        <v>412944998.40000004</v>
      </c>
      <c r="R12" s="549">
        <v>412944998.40000004</v>
      </c>
      <c r="S12" s="549">
        <v>412944998.40000004</v>
      </c>
      <c r="T12" s="549">
        <v>412944998.40000004</v>
      </c>
    </row>
    <row r="13" spans="2:20" ht="6.75" customHeight="1" x14ac:dyDescent="0.25">
      <c r="B13" s="20" t="str">
        <f>IF(C13&lt;&gt;"",SUBTOTAL(3,C$4:C13),"")</f>
        <v/>
      </c>
      <c r="D13" s="65"/>
      <c r="E13" s="243"/>
      <c r="F13" s="243"/>
      <c r="G13" s="243"/>
      <c r="H13" s="243"/>
      <c r="I13" s="243"/>
      <c r="J13" s="243"/>
      <c r="K13" s="243"/>
      <c r="L13" s="243"/>
      <c r="M13" s="243"/>
      <c r="N13" s="243"/>
      <c r="O13" s="243"/>
      <c r="P13" s="243"/>
      <c r="Q13" s="243"/>
      <c r="R13" s="243"/>
      <c r="S13" s="243"/>
    </row>
    <row r="14" spans="2:20" x14ac:dyDescent="0.25">
      <c r="B14" s="952">
        <f>IF(C14&lt;&gt;"",SUBTOTAL(3,C$4:C14),"")</f>
        <v>10</v>
      </c>
      <c r="C14" s="270" t="s">
        <v>497</v>
      </c>
      <c r="D14" s="271" t="s">
        <v>672</v>
      </c>
      <c r="E14" s="270"/>
      <c r="F14" s="272">
        <v>140401.29945600001</v>
      </c>
      <c r="G14" s="272">
        <v>200493.05562316801</v>
      </c>
      <c r="H14" s="272">
        <v>292147.02390804479</v>
      </c>
      <c r="I14" s="272">
        <v>297989.96438620571</v>
      </c>
      <c r="J14" s="272">
        <v>303949.76367392979</v>
      </c>
      <c r="K14" s="272">
        <v>310028.75894740841</v>
      </c>
      <c r="L14" s="272">
        <v>316229.33412635658</v>
      </c>
      <c r="M14" s="272">
        <v>322553.92080888367</v>
      </c>
      <c r="N14" s="272">
        <v>329004.99922506133</v>
      </c>
      <c r="O14" s="272">
        <v>335585.09920956258</v>
      </c>
      <c r="P14" s="272">
        <v>342296.80119375384</v>
      </c>
      <c r="Q14" s="272">
        <v>349142.73721762892</v>
      </c>
      <c r="R14" s="272">
        <v>356125.5919619815</v>
      </c>
      <c r="S14" s="272">
        <v>363248.10380122106</v>
      </c>
      <c r="T14" s="272">
        <v>370513.06587724556</v>
      </c>
    </row>
    <row r="15" spans="2:20" ht="6.75" customHeight="1" x14ac:dyDescent="0.25">
      <c r="B15" s="20" t="str">
        <f>IF(C15&lt;&gt;"",SUBTOTAL(3,C$4:C15),"")</f>
        <v/>
      </c>
    </row>
    <row r="16" spans="2:20" x14ac:dyDescent="0.25">
      <c r="B16" s="953">
        <f>IF(C16&lt;&gt;"",SUBTOTAL(3,C$4:C16),"")</f>
        <v>11</v>
      </c>
      <c r="C16" s="266" t="s">
        <v>434</v>
      </c>
      <c r="D16" s="267" t="s">
        <v>672</v>
      </c>
      <c r="E16" s="268">
        <v>0</v>
      </c>
      <c r="F16" s="268">
        <v>-43649.936933333331</v>
      </c>
      <c r="G16" s="268">
        <v>-43649.936933333331</v>
      </c>
      <c r="H16" s="268">
        <v>-44549.234633333333</v>
      </c>
      <c r="I16" s="268">
        <v>-45493.497218333338</v>
      </c>
      <c r="J16" s="268">
        <v>-46484.97293258334</v>
      </c>
      <c r="K16" s="268">
        <v>-47526.022432545833</v>
      </c>
      <c r="L16" s="268">
        <v>-48619.124407506461</v>
      </c>
      <c r="M16" s="268">
        <v>-49766.881481215125</v>
      </c>
      <c r="N16" s="268">
        <v>-50972.026408609207</v>
      </c>
      <c r="O16" s="268">
        <v>-52237.428582373002</v>
      </c>
      <c r="P16" s="268">
        <v>-53566.100864824984</v>
      </c>
      <c r="Q16" s="268">
        <v>-54961.20676139956</v>
      </c>
      <c r="R16" s="268">
        <v>-31363.584619469544</v>
      </c>
      <c r="S16" s="268">
        <v>-32901.688870443017</v>
      </c>
      <c r="T16" s="268">
        <v>-34516.698333965178</v>
      </c>
    </row>
    <row r="17" spans="2:20" x14ac:dyDescent="0.25">
      <c r="B17" s="492">
        <f>IF(C17&lt;&gt;"",SUBTOTAL(3,C$4:C17),"")</f>
        <v>12</v>
      </c>
      <c r="C17" s="459" t="s">
        <v>190</v>
      </c>
      <c r="D17" s="493" t="s">
        <v>672</v>
      </c>
      <c r="E17" s="492"/>
      <c r="F17" s="548">
        <v>-25062.483333333334</v>
      </c>
      <c r="G17" s="548">
        <v>-25062.483333333334</v>
      </c>
      <c r="H17" s="548">
        <v>-25062.483333333334</v>
      </c>
      <c r="I17" s="548">
        <v>-25062.483333333334</v>
      </c>
      <c r="J17" s="548">
        <v>-25062.483333333334</v>
      </c>
      <c r="K17" s="548">
        <v>-25062.483333333334</v>
      </c>
      <c r="L17" s="548">
        <v>-25062.483333333334</v>
      </c>
      <c r="M17" s="548">
        <v>-25062.483333333334</v>
      </c>
      <c r="N17" s="548">
        <v>-25062.483333333334</v>
      </c>
      <c r="O17" s="548">
        <v>-25062.483333333334</v>
      </c>
      <c r="P17" s="548">
        <v>-25062.483333333334</v>
      </c>
      <c r="Q17" s="548">
        <v>-25062.483333333334</v>
      </c>
      <c r="R17" s="548">
        <v>0</v>
      </c>
      <c r="S17" s="548">
        <v>0</v>
      </c>
      <c r="T17" s="548">
        <v>0</v>
      </c>
    </row>
    <row r="18" spans="2:20" x14ac:dyDescent="0.25">
      <c r="B18" s="495">
        <f>IF(C18&lt;&gt;"",SUBTOTAL(3,C$4:C18),"")</f>
        <v>13</v>
      </c>
      <c r="C18" s="454" t="s">
        <v>429</v>
      </c>
      <c r="D18" s="496" t="s">
        <v>672</v>
      </c>
      <c r="E18" s="549">
        <v>0</v>
      </c>
      <c r="F18" s="549">
        <v>-6011.46</v>
      </c>
      <c r="G18" s="549">
        <v>-6011.46</v>
      </c>
      <c r="H18" s="549">
        <v>-6312.0329999999994</v>
      </c>
      <c r="I18" s="549">
        <v>-6627.63465</v>
      </c>
      <c r="J18" s="549">
        <v>-6959.0163825000009</v>
      </c>
      <c r="K18" s="549">
        <v>-7306.9672016249997</v>
      </c>
      <c r="L18" s="549">
        <v>-7672.3155617062503</v>
      </c>
      <c r="M18" s="549">
        <v>-8055.931339791563</v>
      </c>
      <c r="N18" s="549">
        <v>-8458.7279067811414</v>
      </c>
      <c r="O18" s="549">
        <v>-8881.664302120198</v>
      </c>
      <c r="P18" s="549">
        <v>-9325.7475172262075</v>
      </c>
      <c r="Q18" s="549">
        <v>-9792.0348930875189</v>
      </c>
      <c r="R18" s="549">
        <v>-10281.636637741896</v>
      </c>
      <c r="S18" s="549">
        <v>-10795.718469628988</v>
      </c>
      <c r="T18" s="549">
        <v>-11335.504393110441</v>
      </c>
    </row>
    <row r="19" spans="2:20" x14ac:dyDescent="0.25">
      <c r="B19" s="954">
        <f>IF(C19&lt;&gt;"",SUBTOTAL(3,C$4:C19),"")</f>
        <v>14</v>
      </c>
      <c r="C19" s="553" t="s">
        <v>430</v>
      </c>
      <c r="D19" s="554" t="s">
        <v>672</v>
      </c>
      <c r="E19" s="555"/>
      <c r="F19" s="555">
        <v>-982.8</v>
      </c>
      <c r="G19" s="555">
        <v>-982.8</v>
      </c>
      <c r="H19" s="555">
        <v>-1031.94</v>
      </c>
      <c r="I19" s="555">
        <v>-1083.537</v>
      </c>
      <c r="J19" s="555">
        <v>-1137.7138500000001</v>
      </c>
      <c r="K19" s="555">
        <v>-1194.5995424999999</v>
      </c>
      <c r="L19" s="555">
        <v>-1254.3295196250001</v>
      </c>
      <c r="M19" s="555">
        <v>-1317.04599560625</v>
      </c>
      <c r="N19" s="555">
        <v>-1382.8982953865627</v>
      </c>
      <c r="O19" s="555">
        <v>-1452.0432101558906</v>
      </c>
      <c r="P19" s="555">
        <v>-1524.6453706636853</v>
      </c>
      <c r="Q19" s="555">
        <v>-1600.8776391968695</v>
      </c>
      <c r="R19" s="555">
        <v>-1680.9215211567132</v>
      </c>
      <c r="S19" s="555">
        <v>-1764.9675972145485</v>
      </c>
      <c r="T19" s="555">
        <v>-1853.2159770752762</v>
      </c>
    </row>
    <row r="20" spans="2:20" x14ac:dyDescent="0.25">
      <c r="B20" s="954">
        <f>IF(C20&lt;&gt;"",SUBTOTAL(3,C$4:C20),"")</f>
        <v>15</v>
      </c>
      <c r="C20" s="553" t="s">
        <v>431</v>
      </c>
      <c r="D20" s="554" t="s">
        <v>672</v>
      </c>
      <c r="E20" s="555"/>
      <c r="F20" s="555">
        <v>-5028.66</v>
      </c>
      <c r="G20" s="555">
        <v>-5028.66</v>
      </c>
      <c r="H20" s="555">
        <v>-5280.0929999999998</v>
      </c>
      <c r="I20" s="555">
        <v>-5544.0976499999997</v>
      </c>
      <c r="J20" s="555">
        <v>-5821.3025325000008</v>
      </c>
      <c r="K20" s="555">
        <v>-6112.3676591249996</v>
      </c>
      <c r="L20" s="555">
        <v>-6417.9860420812502</v>
      </c>
      <c r="M20" s="555">
        <v>-6738.8853441853125</v>
      </c>
      <c r="N20" s="555">
        <v>-7075.8296113945789</v>
      </c>
      <c r="O20" s="555">
        <v>-7429.6210919643072</v>
      </c>
      <c r="P20" s="555">
        <v>-7801.1021465625226</v>
      </c>
      <c r="Q20" s="555">
        <v>-8191.1572538906494</v>
      </c>
      <c r="R20" s="555">
        <v>-8600.7151165851828</v>
      </c>
      <c r="S20" s="555">
        <v>-9030.7508724144391</v>
      </c>
      <c r="T20" s="555">
        <v>-9482.2884160351641</v>
      </c>
    </row>
    <row r="21" spans="2:20" x14ac:dyDescent="0.25">
      <c r="B21" s="495">
        <f>IF(C21&lt;&gt;"",SUBTOTAL(3,C$4:C21),"")</f>
        <v>16</v>
      </c>
      <c r="C21" s="454" t="s">
        <v>656</v>
      </c>
      <c r="D21" s="496" t="s">
        <v>672</v>
      </c>
      <c r="E21" s="549"/>
      <c r="F21" s="549">
        <v>-2400</v>
      </c>
      <c r="G21" s="549">
        <v>-2400</v>
      </c>
      <c r="H21" s="549">
        <v>-2520</v>
      </c>
      <c r="I21" s="549">
        <v>-2646</v>
      </c>
      <c r="J21" s="549">
        <v>-2778.3</v>
      </c>
      <c r="K21" s="549">
        <v>-2917.2150000000001</v>
      </c>
      <c r="L21" s="549">
        <v>-3063.0757500000004</v>
      </c>
      <c r="M21" s="549">
        <v>-3216.2295374999999</v>
      </c>
      <c r="N21" s="549">
        <v>-3377.0410143750005</v>
      </c>
      <c r="O21" s="549">
        <v>-3545.89306509375</v>
      </c>
      <c r="P21" s="549">
        <v>-3723.187718348438</v>
      </c>
      <c r="Q21" s="549">
        <v>-3909.3471042658598</v>
      </c>
      <c r="R21" s="549">
        <v>-4104.8144594791529</v>
      </c>
      <c r="S21" s="549">
        <v>-4310.0551824531103</v>
      </c>
      <c r="T21" s="549">
        <v>-4525.5579415757666</v>
      </c>
    </row>
    <row r="22" spans="2:20" x14ac:dyDescent="0.25">
      <c r="B22" s="495">
        <f>IF(C22&lt;&gt;"",SUBTOTAL(3,C$4:C22),"")</f>
        <v>17</v>
      </c>
      <c r="C22" s="454" t="s">
        <v>432</v>
      </c>
      <c r="D22" s="496" t="s">
        <v>672</v>
      </c>
      <c r="E22" s="549"/>
      <c r="F22" s="549">
        <v>-9022.4939999999988</v>
      </c>
      <c r="G22" s="549">
        <v>-9022.4939999999988</v>
      </c>
      <c r="H22" s="549">
        <v>-9473.6186999999991</v>
      </c>
      <c r="I22" s="549">
        <v>-9947.2996349999994</v>
      </c>
      <c r="J22" s="549">
        <v>-10444.66461675</v>
      </c>
      <c r="K22" s="549">
        <v>-10966.897847587499</v>
      </c>
      <c r="L22" s="549">
        <v>-11515.242739966874</v>
      </c>
      <c r="M22" s="549">
        <v>-12091.004876965217</v>
      </c>
      <c r="N22" s="549">
        <v>-12695.55512081348</v>
      </c>
      <c r="O22" s="549">
        <v>-13330.332876854152</v>
      </c>
      <c r="P22" s="549">
        <v>-13996.84952069686</v>
      </c>
      <c r="Q22" s="549">
        <v>-14696.691996731704</v>
      </c>
      <c r="R22" s="549">
        <v>-15431.52659656829</v>
      </c>
      <c r="S22" s="549">
        <v>-16203.102926396703</v>
      </c>
      <c r="T22" s="549">
        <v>-17013.25807271654</v>
      </c>
    </row>
    <row r="23" spans="2:20" x14ac:dyDescent="0.25">
      <c r="B23" s="495">
        <f>IF(C23&lt;&gt;"",SUBTOTAL(3,C$4:C23),"")</f>
        <v>18</v>
      </c>
      <c r="C23" s="454" t="s">
        <v>433</v>
      </c>
      <c r="D23" s="496" t="s">
        <v>672</v>
      </c>
      <c r="E23" s="549"/>
      <c r="F23" s="549">
        <v>-552</v>
      </c>
      <c r="G23" s="549">
        <v>-552</v>
      </c>
      <c r="H23" s="549">
        <v>-579.6</v>
      </c>
      <c r="I23" s="549">
        <v>-608.58000000000004</v>
      </c>
      <c r="J23" s="549">
        <v>-639.00900000000001</v>
      </c>
      <c r="K23" s="549">
        <v>-670.95945000000006</v>
      </c>
      <c r="L23" s="549">
        <v>-704.50742250000008</v>
      </c>
      <c r="M23" s="549">
        <v>-739.732793625</v>
      </c>
      <c r="N23" s="549">
        <v>-776.71943330625015</v>
      </c>
      <c r="O23" s="549">
        <v>-815.55540497156255</v>
      </c>
      <c r="P23" s="549">
        <v>-856.33317522014067</v>
      </c>
      <c r="Q23" s="549">
        <v>-899.14983398114771</v>
      </c>
      <c r="R23" s="549">
        <v>-944.10732568020524</v>
      </c>
      <c r="S23" s="549">
        <v>-991.31269196421533</v>
      </c>
      <c r="T23" s="549">
        <v>-1040.8783265624263</v>
      </c>
    </row>
    <row r="24" spans="2:20" x14ac:dyDescent="0.25">
      <c r="B24" s="495">
        <f>IF(C24&lt;&gt;"",SUBTOTAL(3,C$4:C24),"")</f>
        <v>19</v>
      </c>
      <c r="C24" s="454" t="s">
        <v>520</v>
      </c>
      <c r="D24" s="496" t="s">
        <v>672</v>
      </c>
      <c r="E24" s="549"/>
      <c r="F24" s="549">
        <v>-601.49959999999999</v>
      </c>
      <c r="G24" s="549">
        <v>-601.49959999999999</v>
      </c>
      <c r="H24" s="549">
        <v>-601.49959999999999</v>
      </c>
      <c r="I24" s="549">
        <v>-601.49959999999999</v>
      </c>
      <c r="J24" s="549">
        <v>-601.49959999999999</v>
      </c>
      <c r="K24" s="549">
        <v>-601.49959999999999</v>
      </c>
      <c r="L24" s="549">
        <v>-601.49959999999999</v>
      </c>
      <c r="M24" s="549">
        <v>-601.49959999999999</v>
      </c>
      <c r="N24" s="549">
        <v>-601.49959999999999</v>
      </c>
      <c r="O24" s="549">
        <v>-601.49959999999999</v>
      </c>
      <c r="P24" s="549">
        <v>-601.49959999999999</v>
      </c>
      <c r="Q24" s="549">
        <v>-601.49959999999999</v>
      </c>
      <c r="R24" s="549">
        <v>-601.49959999999999</v>
      </c>
      <c r="S24" s="549">
        <v>-601.49959999999999</v>
      </c>
      <c r="T24" s="549">
        <v>-601.49959999999999</v>
      </c>
    </row>
    <row r="25" spans="2:20" ht="6.75" customHeight="1" x14ac:dyDescent="0.25">
      <c r="B25" s="20" t="str">
        <f>IF(C25&lt;&gt;"",SUBTOTAL(3,C$4:C25),"")</f>
        <v/>
      </c>
      <c r="D25" s="65"/>
      <c r="E25" s="243"/>
      <c r="F25" s="243"/>
      <c r="G25" s="243"/>
      <c r="H25" s="243"/>
      <c r="I25" s="243"/>
      <c r="J25" s="243"/>
      <c r="K25" s="243"/>
      <c r="L25" s="243"/>
      <c r="M25" s="243"/>
      <c r="N25" s="243"/>
      <c r="O25" s="243"/>
      <c r="P25" s="243"/>
      <c r="Q25" s="243"/>
      <c r="R25" s="243"/>
      <c r="S25" s="243"/>
      <c r="T25" s="243"/>
    </row>
    <row r="26" spans="2:20" x14ac:dyDescent="0.25">
      <c r="B26" s="953">
        <f>IF(C26&lt;&gt;"",SUBTOTAL(3,C$4:C26),"")</f>
        <v>20</v>
      </c>
      <c r="C26" s="266" t="s">
        <v>435</v>
      </c>
      <c r="D26" s="267" t="s">
        <v>672</v>
      </c>
      <c r="E26" s="269">
        <v>0</v>
      </c>
      <c r="F26" s="269">
        <v>-92494.065303826777</v>
      </c>
      <c r="G26" s="269">
        <v>-128793.29243442416</v>
      </c>
      <c r="H26" s="269">
        <v>-187365.60190480959</v>
      </c>
      <c r="I26" s="269">
        <v>-191595.4979197002</v>
      </c>
      <c r="J26" s="269">
        <v>-195935.14761304564</v>
      </c>
      <c r="K26" s="269">
        <v>-200388.00384632294</v>
      </c>
      <c r="L26" s="269">
        <v>-204957.65142763397</v>
      </c>
      <c r="M26" s="269">
        <v>-209647.81289510772</v>
      </c>
      <c r="N26" s="269">
        <v>-214462.35457319432</v>
      </c>
      <c r="O26" s="269">
        <v>-219405.29291516927</v>
      </c>
      <c r="P26" s="269">
        <v>-224480.80114582658</v>
      </c>
      <c r="Q26" s="269">
        <v>-229693.21621903207</v>
      </c>
      <c r="R26" s="269">
        <v>-234044.54677220009</v>
      </c>
      <c r="S26" s="269">
        <v>-239544.47809385488</v>
      </c>
      <c r="T26" s="269">
        <v>-245195.38412123729</v>
      </c>
    </row>
    <row r="27" spans="2:20" x14ac:dyDescent="0.25">
      <c r="B27" s="609">
        <f>IF(C27&lt;&gt;"",SUBTOTAL(3,C$4:C27),"")</f>
        <v>21</v>
      </c>
      <c r="C27" s="636" t="s">
        <v>454</v>
      </c>
      <c r="D27" s="637" t="s">
        <v>672</v>
      </c>
      <c r="E27" s="638">
        <v>0</v>
      </c>
      <c r="F27" s="638">
        <v>-83121.831936000002</v>
      </c>
      <c r="G27" s="638">
        <v>-116370.56471040001</v>
      </c>
      <c r="H27" s="638">
        <v>-169568.53714944003</v>
      </c>
      <c r="I27" s="638">
        <v>-172959.90789242883</v>
      </c>
      <c r="J27" s="638">
        <v>-176419.10605027739</v>
      </c>
      <c r="K27" s="638">
        <v>-179947.48817128292</v>
      </c>
      <c r="L27" s="638">
        <v>-183546.43793470861</v>
      </c>
      <c r="M27" s="638">
        <v>-187217.36669340279</v>
      </c>
      <c r="N27" s="638">
        <v>-190961.71402727079</v>
      </c>
      <c r="O27" s="638">
        <v>-194780.9483078162</v>
      </c>
      <c r="P27" s="638">
        <v>-198676.56727397256</v>
      </c>
      <c r="Q27" s="638">
        <v>-202650.09861945201</v>
      </c>
      <c r="R27" s="638">
        <v>-206703.10059184101</v>
      </c>
      <c r="S27" s="638">
        <v>-210837.16260367786</v>
      </c>
      <c r="T27" s="638">
        <v>-215053.90585575142</v>
      </c>
    </row>
    <row r="28" spans="2:20" x14ac:dyDescent="0.25">
      <c r="B28" s="954">
        <f>IF(C28&lt;&gt;"",SUBTOTAL(3,C$4:C28),"")</f>
        <v>22</v>
      </c>
      <c r="C28" s="553" t="s">
        <v>167</v>
      </c>
      <c r="D28" s="554" t="s">
        <v>672</v>
      </c>
      <c r="E28" s="555"/>
      <c r="F28" s="555">
        <v>-77303.303700479999</v>
      </c>
      <c r="G28" s="555">
        <v>-108224.625180672</v>
      </c>
      <c r="H28" s="555">
        <v>-157698.73954897921</v>
      </c>
      <c r="I28" s="555">
        <v>-160852.71433995879</v>
      </c>
      <c r="J28" s="555">
        <v>-164069.76862675796</v>
      </c>
      <c r="K28" s="555">
        <v>-167351.16399929312</v>
      </c>
      <c r="L28" s="555">
        <v>-170698.18727927899</v>
      </c>
      <c r="M28" s="555">
        <v>-174112.15102486458</v>
      </c>
      <c r="N28" s="555">
        <v>-177594.39404536181</v>
      </c>
      <c r="O28" s="555">
        <v>-181146.28192626906</v>
      </c>
      <c r="P28" s="555">
        <v>-184769.20756479446</v>
      </c>
      <c r="Q28" s="555">
        <v>-188464.59171609036</v>
      </c>
      <c r="R28" s="555">
        <v>-192233.88355041214</v>
      </c>
      <c r="S28" s="555">
        <v>-196078.56122142039</v>
      </c>
      <c r="T28" s="555">
        <v>-200000.13244584881</v>
      </c>
    </row>
    <row r="29" spans="2:20" x14ac:dyDescent="0.25">
      <c r="B29" s="954">
        <f>IF(C29&lt;&gt;"",SUBTOTAL(3,C$4:C29),"")</f>
        <v>23</v>
      </c>
      <c r="C29" s="553" t="s">
        <v>203</v>
      </c>
      <c r="D29" s="554" t="s">
        <v>672</v>
      </c>
      <c r="E29" s="639"/>
      <c r="F29" s="639">
        <v>-5818.5282355200034</v>
      </c>
      <c r="G29" s="639">
        <v>-8145.9395297280134</v>
      </c>
      <c r="H29" s="639">
        <v>-11869.797600460821</v>
      </c>
      <c r="I29" s="639">
        <v>-12107.193552470038</v>
      </c>
      <c r="J29" s="639">
        <v>-12349.337423519435</v>
      </c>
      <c r="K29" s="639">
        <v>-12596.324171989807</v>
      </c>
      <c r="L29" s="639">
        <v>-12848.250655429612</v>
      </c>
      <c r="M29" s="639">
        <v>-13105.215668538207</v>
      </c>
      <c r="N29" s="639">
        <v>-13367.319981908979</v>
      </c>
      <c r="O29" s="639">
        <v>-13634.66638154714</v>
      </c>
      <c r="P29" s="639">
        <v>-13907.359709178098</v>
      </c>
      <c r="Q29" s="639">
        <v>-14185.506903361646</v>
      </c>
      <c r="R29" s="639">
        <v>-14469.21704142887</v>
      </c>
      <c r="S29" s="639">
        <v>-14758.601382257475</v>
      </c>
      <c r="T29" s="639">
        <v>-15053.773409902613</v>
      </c>
    </row>
    <row r="30" spans="2:20" x14ac:dyDescent="0.25">
      <c r="B30" s="495">
        <f>IF(C30&lt;&gt;"",SUBTOTAL(3,C$4:C30),"")</f>
        <v>24</v>
      </c>
      <c r="C30" s="454" t="s">
        <v>676</v>
      </c>
      <c r="D30" s="496" t="s">
        <v>672</v>
      </c>
      <c r="E30" s="616">
        <v>0</v>
      </c>
      <c r="F30" s="616">
        <v>-632.43325753344004</v>
      </c>
      <c r="G30" s="616">
        <v>-885.40656054681608</v>
      </c>
      <c r="H30" s="616">
        <v>-1328.1098408202242</v>
      </c>
      <c r="I30" s="616">
        <v>-1394.5153328612353</v>
      </c>
      <c r="J30" s="616">
        <v>-1464.2410995042972</v>
      </c>
      <c r="K30" s="616">
        <v>-1537.453154479512</v>
      </c>
      <c r="L30" s="616">
        <v>-1614.3258122034877</v>
      </c>
      <c r="M30" s="616">
        <v>-1695.0421028136618</v>
      </c>
      <c r="N30" s="616">
        <v>-1779.7942079543452</v>
      </c>
      <c r="O30" s="616">
        <v>-1868.7839183520623</v>
      </c>
      <c r="P30" s="616">
        <v>-1962.2231142696655</v>
      </c>
      <c r="Q30" s="616">
        <v>-2060.3342699831487</v>
      </c>
      <c r="R30" s="616">
        <v>-2163.3509834823062</v>
      </c>
      <c r="S30" s="616">
        <v>-2271.5185326564215</v>
      </c>
      <c r="T30" s="616">
        <v>-2385.0944592892429</v>
      </c>
    </row>
    <row r="31" spans="2:20" x14ac:dyDescent="0.25">
      <c r="B31" s="954">
        <f>IF(C31&lt;&gt;"",SUBTOTAL(3,C$4:C31),"")</f>
        <v>25</v>
      </c>
      <c r="C31" s="553" t="s">
        <v>673</v>
      </c>
      <c r="D31" s="554" t="s">
        <v>672</v>
      </c>
      <c r="E31" s="555"/>
      <c r="F31" s="555">
        <v>-632.43325753344004</v>
      </c>
      <c r="G31" s="555">
        <v>-885.40656054681608</v>
      </c>
      <c r="H31" s="555">
        <v>-1328.1098408202242</v>
      </c>
      <c r="I31" s="555">
        <v>-1394.5153328612353</v>
      </c>
      <c r="J31" s="555">
        <v>-1464.2410995042972</v>
      </c>
      <c r="K31" s="555">
        <v>-1537.453154479512</v>
      </c>
      <c r="L31" s="555">
        <v>-1614.3258122034877</v>
      </c>
      <c r="M31" s="555">
        <v>-1695.0421028136618</v>
      </c>
      <c r="N31" s="555">
        <v>-1779.7942079543452</v>
      </c>
      <c r="O31" s="555">
        <v>-1868.7839183520623</v>
      </c>
      <c r="P31" s="555">
        <v>-1962.2231142696655</v>
      </c>
      <c r="Q31" s="555">
        <v>-2060.3342699831487</v>
      </c>
      <c r="R31" s="555">
        <v>-2163.3509834823062</v>
      </c>
      <c r="S31" s="555">
        <v>-2271.5185326564215</v>
      </c>
      <c r="T31" s="555">
        <v>-2385.0944592892429</v>
      </c>
    </row>
    <row r="32" spans="2:20" x14ac:dyDescent="0.25">
      <c r="B32" s="954">
        <f>IF(C32&lt;&gt;"",SUBTOTAL(3,C$4:C32),"")</f>
        <v>26</v>
      </c>
      <c r="C32" s="553" t="s">
        <v>674</v>
      </c>
      <c r="D32" s="554" t="s">
        <v>672</v>
      </c>
      <c r="E32" s="555"/>
      <c r="F32" s="555">
        <v>0</v>
      </c>
      <c r="G32" s="555">
        <v>0</v>
      </c>
      <c r="H32" s="555">
        <v>0</v>
      </c>
      <c r="I32" s="555">
        <v>0</v>
      </c>
      <c r="J32" s="555">
        <v>0</v>
      </c>
      <c r="K32" s="555">
        <v>0</v>
      </c>
      <c r="L32" s="555">
        <v>0</v>
      </c>
      <c r="M32" s="555">
        <v>0</v>
      </c>
      <c r="N32" s="555">
        <v>0</v>
      </c>
      <c r="O32" s="555">
        <v>0</v>
      </c>
      <c r="P32" s="555">
        <v>0</v>
      </c>
      <c r="Q32" s="555">
        <v>0</v>
      </c>
      <c r="R32" s="555">
        <v>0</v>
      </c>
      <c r="S32" s="555">
        <v>0</v>
      </c>
      <c r="T32" s="555">
        <v>0</v>
      </c>
    </row>
    <row r="33" spans="2:20" x14ac:dyDescent="0.25">
      <c r="B33" s="495">
        <f>IF(C33&lt;&gt;"",SUBTOTAL(3,C$4:C33),"")</f>
        <v>27</v>
      </c>
      <c r="C33" s="454" t="s">
        <v>180</v>
      </c>
      <c r="D33" s="496" t="s">
        <v>672</v>
      </c>
      <c r="E33" s="616">
        <v>0</v>
      </c>
      <c r="F33" s="616">
        <v>-8739.800110293334</v>
      </c>
      <c r="G33" s="616">
        <v>-11537.321163477332</v>
      </c>
      <c r="H33" s="616">
        <v>-16468.954914549333</v>
      </c>
      <c r="I33" s="616">
        <v>-17241.074694410134</v>
      </c>
      <c r="J33" s="616">
        <v>-18051.800463263975</v>
      </c>
      <c r="K33" s="616">
        <v>-18903.062520560507</v>
      </c>
      <c r="L33" s="616">
        <v>-19796.887680721866</v>
      </c>
      <c r="M33" s="616">
        <v>-20735.404098891289</v>
      </c>
      <c r="N33" s="616">
        <v>-21720.846337969193</v>
      </c>
      <c r="O33" s="616">
        <v>-22755.560689000984</v>
      </c>
      <c r="P33" s="616">
        <v>-23842.010757584365</v>
      </c>
      <c r="Q33" s="616">
        <v>-24982.783329596918</v>
      </c>
      <c r="R33" s="616">
        <v>-25178.095196876766</v>
      </c>
      <c r="S33" s="616">
        <v>-26435.796957520601</v>
      </c>
      <c r="T33" s="616">
        <v>-27756.383806196634</v>
      </c>
    </row>
    <row r="34" spans="2:20" x14ac:dyDescent="0.25">
      <c r="B34" s="954">
        <f>IF(C34&lt;&gt;"",SUBTOTAL(3,C$4:C34),"")</f>
        <v>28</v>
      </c>
      <c r="C34" s="553" t="s">
        <v>73</v>
      </c>
      <c r="D34" s="554" t="s">
        <v>672</v>
      </c>
      <c r="E34" s="555"/>
      <c r="F34" s="555">
        <v>-5749.8011999999999</v>
      </c>
      <c r="G34" s="555">
        <v>-8049.7216799999978</v>
      </c>
      <c r="H34" s="555">
        <v>-12074.58252</v>
      </c>
      <c r="I34" s="555">
        <v>-12678.311646</v>
      </c>
      <c r="J34" s="555">
        <v>-13312.227228300002</v>
      </c>
      <c r="K34" s="555">
        <v>-13977.838589715</v>
      </c>
      <c r="L34" s="555">
        <v>-14676.730519200752</v>
      </c>
      <c r="M34" s="555">
        <v>-15410.567045160788</v>
      </c>
      <c r="N34" s="555">
        <v>-16181.095397418829</v>
      </c>
      <c r="O34" s="555">
        <v>-16990.150167289768</v>
      </c>
      <c r="P34" s="555">
        <v>-17839.657675654256</v>
      </c>
      <c r="Q34" s="555">
        <v>-18731.640559436972</v>
      </c>
      <c r="R34" s="555">
        <v>-19668.222587408822</v>
      </c>
      <c r="S34" s="555">
        <v>-20651.633716779259</v>
      </c>
      <c r="T34" s="555">
        <v>-21684.215402618225</v>
      </c>
    </row>
    <row r="35" spans="2:20" x14ac:dyDescent="0.25">
      <c r="B35" s="954">
        <f>IF(C35&lt;&gt;"",SUBTOTAL(3,C$4:C35),"")</f>
        <v>29</v>
      </c>
      <c r="C35" s="553" t="s">
        <v>192</v>
      </c>
      <c r="D35" s="554" t="s">
        <v>672</v>
      </c>
      <c r="E35" s="555"/>
      <c r="F35" s="555">
        <v>-975.00902399999995</v>
      </c>
      <c r="G35" s="555">
        <v>-1365.0126335999998</v>
      </c>
      <c r="H35" s="555">
        <v>-2047.5189504</v>
      </c>
      <c r="I35" s="555">
        <v>-2149.8948979199999</v>
      </c>
      <c r="J35" s="555">
        <v>-2257.3896428160001</v>
      </c>
      <c r="K35" s="555">
        <v>-2370.2591249568</v>
      </c>
      <c r="L35" s="555">
        <v>-2488.77208120464</v>
      </c>
      <c r="M35" s="555">
        <v>-2613.2106852648717</v>
      </c>
      <c r="N35" s="555">
        <v>-2743.8712195281159</v>
      </c>
      <c r="O35" s="555">
        <v>-2881.0647805045214</v>
      </c>
      <c r="P35" s="555">
        <v>-3025.1180195297475</v>
      </c>
      <c r="Q35" s="555">
        <v>-3176.3739205062352</v>
      </c>
      <c r="R35" s="555">
        <v>-3335.1926165315472</v>
      </c>
      <c r="S35" s="555">
        <v>-3501.9522473581237</v>
      </c>
      <c r="T35" s="555">
        <v>-3677.0498597260307</v>
      </c>
    </row>
    <row r="36" spans="2:20" x14ac:dyDescent="0.25">
      <c r="B36" s="954">
        <f>IF(C36&lt;&gt;"",SUBTOTAL(3,C$4:C36),"")</f>
        <v>30</v>
      </c>
      <c r="C36" s="553" t="s">
        <v>175</v>
      </c>
      <c r="D36" s="554" t="s">
        <v>672</v>
      </c>
      <c r="E36" s="555"/>
      <c r="F36" s="555">
        <v>-2014.9898862933333</v>
      </c>
      <c r="G36" s="555">
        <v>-2122.5868498773334</v>
      </c>
      <c r="H36" s="555">
        <v>-2346.8534441493334</v>
      </c>
      <c r="I36" s="555">
        <v>-2412.8681504901338</v>
      </c>
      <c r="J36" s="555">
        <v>-2482.1835921479737</v>
      </c>
      <c r="K36" s="555">
        <v>-2554.9648058887055</v>
      </c>
      <c r="L36" s="555">
        <v>-2631.3850803164742</v>
      </c>
      <c r="M36" s="555">
        <v>-2711.6263684656315</v>
      </c>
      <c r="N36" s="555">
        <v>-2795.879721022246</v>
      </c>
      <c r="O36" s="555">
        <v>-2884.3457412066919</v>
      </c>
      <c r="P36" s="555">
        <v>-2977.2350624003593</v>
      </c>
      <c r="Q36" s="555">
        <v>-3074.7688496537107</v>
      </c>
      <c r="R36" s="555">
        <v>-2174.6799929363965</v>
      </c>
      <c r="S36" s="555">
        <v>-2282.2109933832162</v>
      </c>
      <c r="T36" s="555">
        <v>-2395.1185438523776</v>
      </c>
    </row>
    <row r="37" spans="2:20" ht="6.75" customHeight="1" x14ac:dyDescent="0.25">
      <c r="B37" s="20" t="str">
        <f>IF(C37&lt;&gt;"",SUBTOTAL(3,C$4:C37),"")</f>
        <v/>
      </c>
      <c r="D37" s="65"/>
      <c r="E37" s="15"/>
      <c r="F37" s="263"/>
      <c r="G37" s="15"/>
      <c r="H37" s="15"/>
      <c r="I37" s="15"/>
      <c r="J37" s="15"/>
      <c r="K37" s="15"/>
      <c r="L37" s="15"/>
      <c r="M37" s="15"/>
      <c r="N37" s="15"/>
      <c r="O37" s="15"/>
      <c r="P37" s="15"/>
      <c r="Q37" s="15"/>
      <c r="R37" s="15"/>
      <c r="S37" s="15"/>
      <c r="T37" s="15"/>
    </row>
    <row r="38" spans="2:20" x14ac:dyDescent="0.25">
      <c r="B38" s="955">
        <f>IF(C38&lt;&gt;"",SUBTOTAL(3,C$4:C38),"")</f>
        <v>31</v>
      </c>
      <c r="C38" s="301" t="s">
        <v>464</v>
      </c>
      <c r="D38" s="302" t="s">
        <v>672</v>
      </c>
      <c r="E38" s="303">
        <v>0</v>
      </c>
      <c r="F38" s="303">
        <v>-136144.00223716011</v>
      </c>
      <c r="G38" s="303">
        <v>-172443.22936775751</v>
      </c>
      <c r="H38" s="303">
        <v>-231914.83653814293</v>
      </c>
      <c r="I38" s="303">
        <v>-237088.99513803353</v>
      </c>
      <c r="J38" s="303">
        <v>-242420.12054562898</v>
      </c>
      <c r="K38" s="303">
        <v>-247914.02627886878</v>
      </c>
      <c r="L38" s="303">
        <v>-253576.77583514043</v>
      </c>
      <c r="M38" s="303">
        <v>-259414.69437632285</v>
      </c>
      <c r="N38" s="303">
        <v>-265434.38098180352</v>
      </c>
      <c r="O38" s="303">
        <v>-271642.72149754228</v>
      </c>
      <c r="P38" s="303">
        <v>-278046.90201065154</v>
      </c>
      <c r="Q38" s="303">
        <v>-284654.42298043164</v>
      </c>
      <c r="R38" s="303">
        <v>-265408.13139166962</v>
      </c>
      <c r="S38" s="303">
        <v>-272446.16696429788</v>
      </c>
      <c r="T38" s="303">
        <v>-279712.08245520247</v>
      </c>
    </row>
    <row r="39" spans="2:20" x14ac:dyDescent="0.25">
      <c r="B39" s="20" t="str">
        <f>IF(C39&lt;&gt;"",SUBTOTAL(3,C$4:C39),"")</f>
        <v/>
      </c>
      <c r="D39" s="65"/>
      <c r="E39" s="15"/>
      <c r="F39" s="15"/>
      <c r="G39" s="15"/>
      <c r="H39" s="15"/>
      <c r="I39" s="15"/>
      <c r="J39" s="15"/>
      <c r="K39" s="15"/>
      <c r="L39" s="15"/>
      <c r="M39" s="15"/>
      <c r="N39" s="15"/>
      <c r="O39" s="15"/>
      <c r="P39" s="15"/>
      <c r="Q39" s="15"/>
      <c r="R39" s="15"/>
      <c r="S39" s="15"/>
      <c r="T39" s="15"/>
    </row>
    <row r="40" spans="2:20" x14ac:dyDescent="0.25">
      <c r="B40" s="492">
        <f>IF(C40&lt;&gt;"",SUBTOTAL(3,C$4:C40),"")</f>
        <v>32</v>
      </c>
      <c r="C40" s="459" t="s">
        <v>166</v>
      </c>
      <c r="D40" s="493" t="s">
        <v>672</v>
      </c>
      <c r="E40" s="461"/>
      <c r="F40" s="461">
        <v>-2752.9666560000001</v>
      </c>
      <c r="G40" s="461">
        <v>-3854.1533183999995</v>
      </c>
      <c r="H40" s="461">
        <v>-5781.2299776</v>
      </c>
      <c r="I40" s="461">
        <v>-6070.2914764800007</v>
      </c>
      <c r="J40" s="461">
        <v>-6373.8060503040006</v>
      </c>
      <c r="K40" s="461">
        <v>-6692.4963528192002</v>
      </c>
      <c r="L40" s="461">
        <v>-7027.121170460161</v>
      </c>
      <c r="M40" s="461">
        <v>-7378.4772289831681</v>
      </c>
      <c r="N40" s="461">
        <v>-7747.4010904323277</v>
      </c>
      <c r="O40" s="461">
        <v>-8134.7711449539429</v>
      </c>
      <c r="P40" s="461">
        <v>-8541.5097022016416</v>
      </c>
      <c r="Q40" s="461">
        <v>-8968.5851873117226</v>
      </c>
      <c r="R40" s="461">
        <v>-9417.014446677309</v>
      </c>
      <c r="S40" s="461">
        <v>-9887.8651690111747</v>
      </c>
      <c r="T40" s="461">
        <v>-10382.258427461735</v>
      </c>
    </row>
    <row r="41" spans="2:20" x14ac:dyDescent="0.25">
      <c r="B41" s="495">
        <f>IF(C41&lt;&gt;"",SUBTOTAL(3,C$4:C41),"")</f>
        <v>33</v>
      </c>
      <c r="C41" s="454" t="s">
        <v>469</v>
      </c>
      <c r="D41" s="496" t="s">
        <v>672</v>
      </c>
      <c r="E41" s="457"/>
      <c r="F41" s="457">
        <v>0</v>
      </c>
      <c r="G41" s="457">
        <v>0</v>
      </c>
      <c r="H41" s="457">
        <v>0</v>
      </c>
      <c r="I41" s="457">
        <v>0</v>
      </c>
      <c r="J41" s="457">
        <v>0</v>
      </c>
      <c r="K41" s="457">
        <v>0</v>
      </c>
      <c r="L41" s="457">
        <v>0</v>
      </c>
      <c r="M41" s="457">
        <v>0</v>
      </c>
      <c r="N41" s="457">
        <v>0</v>
      </c>
      <c r="O41" s="457">
        <v>0</v>
      </c>
      <c r="P41" s="457">
        <v>0</v>
      </c>
      <c r="Q41" s="457">
        <v>0</v>
      </c>
      <c r="R41" s="457">
        <v>0</v>
      </c>
      <c r="S41" s="457">
        <v>0</v>
      </c>
      <c r="T41" s="457">
        <v>0</v>
      </c>
    </row>
    <row r="42" spans="2:20" x14ac:dyDescent="0.25">
      <c r="B42" s="495">
        <f>IF(C42&lt;&gt;"",SUBTOTAL(3,C$4:C42),"")</f>
        <v>34</v>
      </c>
      <c r="C42" s="454" t="s">
        <v>468</v>
      </c>
      <c r="D42" s="496" t="s">
        <v>672</v>
      </c>
      <c r="E42" s="454"/>
      <c r="F42" s="457">
        <v>0</v>
      </c>
      <c r="G42" s="457">
        <v>0</v>
      </c>
      <c r="H42" s="457">
        <v>0</v>
      </c>
      <c r="I42" s="457">
        <v>0</v>
      </c>
      <c r="J42" s="457">
        <v>0</v>
      </c>
      <c r="K42" s="457">
        <v>0</v>
      </c>
      <c r="L42" s="457">
        <v>0</v>
      </c>
      <c r="M42" s="457">
        <v>0</v>
      </c>
      <c r="N42" s="457">
        <v>0</v>
      </c>
      <c r="O42" s="457">
        <v>0</v>
      </c>
      <c r="P42" s="457">
        <v>0</v>
      </c>
      <c r="Q42" s="457">
        <v>0</v>
      </c>
      <c r="R42" s="457">
        <v>0</v>
      </c>
      <c r="S42" s="457">
        <v>0</v>
      </c>
      <c r="T42" s="457">
        <v>0</v>
      </c>
    </row>
    <row r="43" spans="2:20" x14ac:dyDescent="0.25">
      <c r="B43" s="495">
        <f>IF(C43&lt;&gt;"",SUBTOTAL(3,C$4:C43),"")</f>
        <v>35</v>
      </c>
      <c r="C43" s="454" t="s">
        <v>470</v>
      </c>
      <c r="D43" s="496" t="s">
        <v>672</v>
      </c>
      <c r="E43" s="454"/>
      <c r="F43" s="457">
        <v>-14736.740200000002</v>
      </c>
      <c r="G43" s="457">
        <v>-14150.297154424765</v>
      </c>
      <c r="H43" s="457">
        <v>-13522.803095659263</v>
      </c>
      <c r="I43" s="457">
        <v>-12851.384452780176</v>
      </c>
      <c r="J43" s="457">
        <v>-12132.96650489955</v>
      </c>
      <c r="K43" s="457">
        <v>-11364.259300667285</v>
      </c>
      <c r="L43" s="457">
        <v>-10541.742592138758</v>
      </c>
      <c r="M43" s="457">
        <v>-9661.649714013236</v>
      </c>
      <c r="N43" s="457">
        <v>-8719.950334418927</v>
      </c>
      <c r="O43" s="457">
        <v>-7712.3319982530165</v>
      </c>
      <c r="P43" s="457">
        <v>-6634.1803785554921</v>
      </c>
      <c r="Q43" s="457">
        <v>-5480.55814547914</v>
      </c>
      <c r="R43" s="457">
        <v>-4246.1823560874445</v>
      </c>
      <c r="S43" s="457">
        <v>-2925.4002614383289</v>
      </c>
      <c r="T43" s="457">
        <v>-1512.1634201637758</v>
      </c>
    </row>
    <row r="44" spans="2:20" ht="6.75" customHeight="1" x14ac:dyDescent="0.25">
      <c r="B44" s="20" t="str">
        <f>IF(C44&lt;&gt;"",SUBTOTAL(3,C$4:C44),"")</f>
        <v/>
      </c>
      <c r="D44" s="65"/>
      <c r="E44" s="15"/>
      <c r="F44" s="15"/>
      <c r="G44" s="15"/>
      <c r="H44" s="15"/>
      <c r="I44" s="15"/>
      <c r="J44" s="15"/>
      <c r="K44" s="15"/>
      <c r="L44" s="15"/>
      <c r="M44" s="15"/>
      <c r="N44" s="15"/>
      <c r="O44" s="15"/>
      <c r="P44" s="15"/>
      <c r="Q44" s="15"/>
      <c r="R44" s="15"/>
      <c r="S44" s="15"/>
      <c r="T44" s="15"/>
    </row>
    <row r="45" spans="2:20" x14ac:dyDescent="0.25">
      <c r="B45" s="952">
        <f>IF(C45&lt;&gt;"",SUBTOTAL(3,C$4:C45),"")</f>
        <v>36</v>
      </c>
      <c r="C45" s="270" t="s">
        <v>472</v>
      </c>
      <c r="D45" s="271" t="s">
        <v>672</v>
      </c>
      <c r="E45" s="272">
        <v>0</v>
      </c>
      <c r="F45" s="272">
        <v>-153633.70909316011</v>
      </c>
      <c r="G45" s="272">
        <v>-190447.67984058228</v>
      </c>
      <c r="H45" s="272">
        <v>-251218.86961140219</v>
      </c>
      <c r="I45" s="272">
        <v>-256010.6710672937</v>
      </c>
      <c r="J45" s="272">
        <v>-260926.89310083253</v>
      </c>
      <c r="K45" s="272">
        <v>-265970.78193235525</v>
      </c>
      <c r="L45" s="272">
        <v>-271145.63959773933</v>
      </c>
      <c r="M45" s="272">
        <v>-276454.82131931925</v>
      </c>
      <c r="N45" s="272">
        <v>-281901.7324066548</v>
      </c>
      <c r="O45" s="272">
        <v>-287489.82464074926</v>
      </c>
      <c r="P45" s="272">
        <v>-293222.59209140867</v>
      </c>
      <c r="Q45" s="272">
        <v>-299103.56631322252</v>
      </c>
      <c r="R45" s="272">
        <v>-279071.32819443441</v>
      </c>
      <c r="S45" s="272">
        <v>-285259.43239474739</v>
      </c>
      <c r="T45" s="272">
        <v>-291606.50430282799</v>
      </c>
    </row>
    <row r="46" spans="2:20" ht="6.75" customHeight="1" x14ac:dyDescent="0.25">
      <c r="B46" s="20" t="str">
        <f>IF(C46&lt;&gt;"",SUBTOTAL(3,C$4:C46),"")</f>
        <v/>
      </c>
    </row>
    <row r="47" spans="2:20" x14ac:dyDescent="0.25">
      <c r="B47" s="953">
        <f>IF(C47&lt;&gt;"",SUBTOTAL(3,C$4:C47),"")</f>
        <v>37</v>
      </c>
      <c r="C47" s="266" t="s">
        <v>495</v>
      </c>
      <c r="D47" s="267" t="s">
        <v>672</v>
      </c>
      <c r="E47" s="266"/>
      <c r="F47" s="269">
        <v>-13232.409637160104</v>
      </c>
      <c r="G47" s="269">
        <v>10045.375782585732</v>
      </c>
      <c r="H47" s="269">
        <v>40928.154296642606</v>
      </c>
      <c r="I47" s="269">
        <v>41979.293318912009</v>
      </c>
      <c r="J47" s="269">
        <v>43022.870573097258</v>
      </c>
      <c r="K47" s="269">
        <v>44057.977015053155</v>
      </c>
      <c r="L47" s="269">
        <v>45083.694528617256</v>
      </c>
      <c r="M47" s="269">
        <v>46099.099489564425</v>
      </c>
      <c r="N47" s="269">
        <v>47103.266818406526</v>
      </c>
      <c r="O47" s="269">
        <v>48095.274568813329</v>
      </c>
      <c r="P47" s="269">
        <v>49074.209102345165</v>
      </c>
      <c r="Q47" s="269">
        <v>50039.170904406405</v>
      </c>
      <c r="R47" s="269">
        <v>77054.263767547091</v>
      </c>
      <c r="S47" s="269">
        <v>77988.671406473673</v>
      </c>
      <c r="T47" s="269">
        <v>78906.561574417574</v>
      </c>
    </row>
    <row r="48" spans="2:20" x14ac:dyDescent="0.25">
      <c r="B48" s="956">
        <f>IF(C48&lt;&gt;"",SUBTOTAL(3,C$4:C48),"")</f>
        <v>38</v>
      </c>
      <c r="C48" s="146" t="s">
        <v>496</v>
      </c>
      <c r="D48" s="144"/>
      <c r="E48" s="146"/>
      <c r="F48" s="147">
        <v>-9.4247059595819305E-2</v>
      </c>
      <c r="G48" s="147">
        <v>5.0103360195508623E-2</v>
      </c>
      <c r="H48" s="147">
        <v>0.14009437354229223</v>
      </c>
      <c r="I48" s="147">
        <v>0.1408748559884565</v>
      </c>
      <c r="J48" s="147">
        <v>0.14154599119626621</v>
      </c>
      <c r="K48" s="147">
        <v>0.14210932290486933</v>
      </c>
      <c r="L48" s="147">
        <v>0.14256645308750215</v>
      </c>
      <c r="M48" s="147">
        <v>0.14291904861661436</v>
      </c>
      <c r="N48" s="147">
        <v>0.14316884828301576</v>
      </c>
      <c r="O48" s="147">
        <v>0.1433176701888641</v>
      </c>
      <c r="P48" s="147">
        <v>0.14336741953532653</v>
      </c>
      <c r="Q48" s="147">
        <v>0.14332009682680527</v>
      </c>
      <c r="R48" s="147">
        <v>0.21636822937390326</v>
      </c>
      <c r="S48" s="147">
        <v>0.21469808263376683</v>
      </c>
      <c r="T48" s="147">
        <v>0.21296566529332614</v>
      </c>
    </row>
    <row r="49" spans="2:20" x14ac:dyDescent="0.25">
      <c r="B49" s="952">
        <f>IF(C49&lt;&gt;"",SUBTOTAL(3,C$4:C49),"")</f>
        <v>39</v>
      </c>
      <c r="C49" s="270" t="s">
        <v>488</v>
      </c>
      <c r="D49" s="271" t="s">
        <v>672</v>
      </c>
      <c r="E49" s="270"/>
      <c r="F49" s="272">
        <v>-10585.927709728085</v>
      </c>
      <c r="G49" s="272">
        <v>8036.3006260685861</v>
      </c>
      <c r="H49" s="272">
        <v>32742.523437314085</v>
      </c>
      <c r="I49" s="272">
        <v>33583.434655129611</v>
      </c>
      <c r="J49" s="272">
        <v>34418.296458477809</v>
      </c>
      <c r="K49" s="272">
        <v>35246.381612042525</v>
      </c>
      <c r="L49" s="272">
        <v>36066.955622893809</v>
      </c>
      <c r="M49" s="272">
        <v>36879.279591651539</v>
      </c>
      <c r="N49" s="272">
        <v>37682.613454725222</v>
      </c>
      <c r="O49" s="272">
        <v>38476.219655050663</v>
      </c>
      <c r="P49" s="272">
        <v>39259.367281876133</v>
      </c>
      <c r="Q49" s="272">
        <v>40031.336723525128</v>
      </c>
      <c r="R49" s="272">
        <v>61643.411014037672</v>
      </c>
      <c r="S49" s="272">
        <v>62390.937125178942</v>
      </c>
      <c r="T49" s="272">
        <v>63125.249259534059</v>
      </c>
    </row>
    <row r="50" spans="2:20" x14ac:dyDescent="0.25">
      <c r="B50" s="956">
        <f>IF(C50&lt;&gt;"",SUBTOTAL(3,C$4:C50),"")</f>
        <v>40</v>
      </c>
      <c r="C50" s="146" t="s">
        <v>489</v>
      </c>
      <c r="D50" s="144"/>
      <c r="E50" s="146"/>
      <c r="F50" s="147">
        <v>-7.5397647676655452E-2</v>
      </c>
      <c r="G50" s="147">
        <v>4.00826881564069E-2</v>
      </c>
      <c r="H50" s="147">
        <v>0.11207549883383379</v>
      </c>
      <c r="I50" s="147">
        <v>0.1126998847907652</v>
      </c>
      <c r="J50" s="147">
        <v>0.11323679295701297</v>
      </c>
      <c r="K50" s="147">
        <v>0.11368745832389546</v>
      </c>
      <c r="L50" s="147">
        <v>0.11405316247000173</v>
      </c>
      <c r="M50" s="147">
        <v>0.11433523889329149</v>
      </c>
      <c r="N50" s="147">
        <v>0.11453507862641261</v>
      </c>
      <c r="O50" s="147">
        <v>0.11465413615109128</v>
      </c>
      <c r="P50" s="147">
        <v>0.11469393562826123</v>
      </c>
      <c r="Q50" s="147">
        <v>0.11465607746144423</v>
      </c>
      <c r="R50" s="147">
        <v>0.1730945834991226</v>
      </c>
      <c r="S50" s="147">
        <v>0.17175846610701348</v>
      </c>
      <c r="T50" s="147">
        <v>0.1703725322346609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078EC-EDB8-4D31-9FF3-1B1695768DA5}">
  <dimension ref="A3:D29"/>
  <sheetViews>
    <sheetView showGridLines="0" zoomScale="115" zoomScaleNormal="115" workbookViewId="0">
      <pane xSplit="1" ySplit="3" topLeftCell="B4" activePane="bottomRight" state="frozen"/>
      <selection activeCell="K22" sqref="K22"/>
      <selection pane="topRight" activeCell="K22" sqref="K22"/>
      <selection pane="bottomLeft" activeCell="K22" sqref="K22"/>
      <selection pane="bottomRight" activeCell="K22" sqref="K22"/>
    </sheetView>
  </sheetViews>
  <sheetFormatPr defaultRowHeight="15" x14ac:dyDescent="0.25"/>
  <cols>
    <col min="2" max="2" width="10.375" customWidth="1"/>
    <col min="3" max="3" width="17.5" bestFit="1" customWidth="1"/>
    <col min="4" max="4" width="23" bestFit="1" customWidth="1"/>
  </cols>
  <sheetData>
    <row r="3" spans="1:4" x14ac:dyDescent="0.25">
      <c r="A3" s="957" t="s">
        <v>559</v>
      </c>
      <c r="B3" s="957" t="s">
        <v>847</v>
      </c>
      <c r="C3" s="957" t="s">
        <v>848</v>
      </c>
      <c r="D3" s="957" t="s">
        <v>849</v>
      </c>
    </row>
    <row r="4" spans="1:4" x14ac:dyDescent="0.25">
      <c r="A4" s="20">
        <v>2026</v>
      </c>
      <c r="B4" s="958" cm="1">
        <f t="array" ref="B4:B29">TRANSPOSE('W3'!K168:AJ168)</f>
        <v>-300749.80000000005</v>
      </c>
      <c r="C4" s="958" cm="1">
        <f t="array" ref="C4:C29">TRANSPOSE('W3'!K170:AJ170)</f>
        <v>-300749.80000000005</v>
      </c>
      <c r="D4" s="959">
        <f>SUM(C$4:C4)</f>
        <v>-300749.80000000005</v>
      </c>
    </row>
    <row r="5" spans="1:4" x14ac:dyDescent="0.25">
      <c r="A5" s="20">
        <f>A4+1</f>
        <v>2027</v>
      </c>
      <c r="B5" s="958">
        <v>26265.947783605254</v>
      </c>
      <c r="C5" s="958">
        <v>24486.741170179979</v>
      </c>
      <c r="D5" s="959">
        <f>SUM(C$4:C5)</f>
        <v>-276263.05882982007</v>
      </c>
    </row>
    <row r="6" spans="1:4" x14ac:dyDescent="0.25">
      <c r="A6" s="20">
        <f t="shared" ref="A6:A29" si="0">A5+1</f>
        <v>2028</v>
      </c>
      <c r="B6" s="958">
        <v>44419.021682941733</v>
      </c>
      <c r="C6" s="958">
        <v>38605.11205237484</v>
      </c>
      <c r="D6" s="959">
        <f>SUM(C$4:C6)</f>
        <v>-237657.94677744524</v>
      </c>
    </row>
    <row r="7" spans="1:4" x14ac:dyDescent="0.25">
      <c r="A7" s="20">
        <f t="shared" si="0"/>
        <v>2029</v>
      </c>
      <c r="B7" s="958">
        <v>68623.249247174826</v>
      </c>
      <c r="C7" s="958">
        <v>55601.309497709794</v>
      </c>
      <c r="D7" s="959">
        <f>SUM(C$4:C7)</f>
        <v>-182056.63727973544</v>
      </c>
    </row>
    <row r="8" spans="1:4" x14ac:dyDescent="0.25">
      <c r="A8" s="20">
        <f t="shared" si="0"/>
        <v>2030</v>
      </c>
      <c r="B8" s="958">
        <v>68927.025550687074</v>
      </c>
      <c r="C8" s="958">
        <v>52064.439100370939</v>
      </c>
      <c r="D8" s="959">
        <f>SUM(C$4:C8)</f>
        <v>-129992.1981793645</v>
      </c>
    </row>
    <row r="9" spans="1:4" x14ac:dyDescent="0.25">
      <c r="A9" s="20">
        <f t="shared" si="0"/>
        <v>2031</v>
      </c>
      <c r="B9" s="958">
        <v>69187.152995730779</v>
      </c>
      <c r="C9" s="958">
        <v>48720.869534269332</v>
      </c>
      <c r="D9" s="959">
        <f>SUM(C$4:C9)</f>
        <v>-81271.328645095171</v>
      </c>
    </row>
    <row r="10" spans="1:4" x14ac:dyDescent="0.25">
      <c r="A10" s="20">
        <f t="shared" si="0"/>
        <v>2032</v>
      </c>
      <c r="B10" s="958">
        <v>69400.272385909688</v>
      </c>
      <c r="C10" s="958">
        <v>45560.518691746496</v>
      </c>
      <c r="D10" s="959">
        <f>SUM(C$4:C10)</f>
        <v>-35710.809953348675</v>
      </c>
    </row>
    <row r="11" spans="1:4" x14ac:dyDescent="0.25">
      <c r="A11" s="20">
        <f t="shared" si="0"/>
        <v>2033</v>
      </c>
      <c r="B11" s="958">
        <v>69562.833029938149</v>
      </c>
      <c r="C11" s="958">
        <v>42573.823927480815</v>
      </c>
      <c r="D11" s="959">
        <f>SUM(C$4:C11)</f>
        <v>6863.01397413214</v>
      </c>
    </row>
    <row r="12" spans="1:4" x14ac:dyDescent="0.25">
      <c r="A12" s="20">
        <f t="shared" si="0"/>
        <v>2034</v>
      </c>
      <c r="B12" s="958">
        <v>69671.082696195474</v>
      </c>
      <c r="C12" s="958">
        <v>39751.715226932414</v>
      </c>
      <c r="D12" s="959">
        <f>SUM(C$4:C12)</f>
        <v>46614.729201064554</v>
      </c>
    </row>
    <row r="13" spans="1:4" x14ac:dyDescent="0.25">
      <c r="A13" s="20">
        <f t="shared" si="0"/>
        <v>2035</v>
      </c>
      <c r="B13" s="958">
        <v>69721.057055593687</v>
      </c>
      <c r="C13" s="958">
        <v>37085.589775120701</v>
      </c>
      <c r="D13" s="959">
        <f>SUM(C$4:C13)</f>
        <v>83700.318976185255</v>
      </c>
    </row>
    <row r="14" spans="1:4" x14ac:dyDescent="0.25">
      <c r="A14" s="20">
        <f t="shared" si="0"/>
        <v>2036</v>
      </c>
      <c r="B14" s="958">
        <v>69708.56858698641</v>
      </c>
      <c r="C14" s="958">
        <v>34567.287851507019</v>
      </c>
      <c r="D14" s="959">
        <f>SUM(C$4:C14)</f>
        <v>118267.60682769227</v>
      </c>
    </row>
    <row r="15" spans="1:4" x14ac:dyDescent="0.25">
      <c r="A15" s="20">
        <f t="shared" si="0"/>
        <v>2037</v>
      </c>
      <c r="B15" s="958">
        <v>69629.194918053865</v>
      </c>
      <c r="C15" s="958">
        <v>32189.069980766984</v>
      </c>
      <c r="D15" s="959">
        <f>SUM(C$4:C15)</f>
        <v>150456.67680845925</v>
      </c>
    </row>
    <row r="16" spans="1:4" x14ac:dyDescent="0.25">
      <c r="A16" s="20">
        <f t="shared" si="0"/>
        <v>2038</v>
      </c>
      <c r="B16" s="958">
        <v>69478.266573241766</v>
      </c>
      <c r="C16" s="958">
        <v>29943.595273027306</v>
      </c>
      <c r="D16" s="959">
        <f>SUM(C$4:C16)</f>
        <v>180400.27208148656</v>
      </c>
    </row>
    <row r="17" spans="1:4" x14ac:dyDescent="0.25">
      <c r="A17" s="20">
        <f t="shared" si="0"/>
        <v>2039</v>
      </c>
      <c r="B17" s="958">
        <v>65040.35689890763</v>
      </c>
      <c r="C17" s="958">
        <v>26132.189527479506</v>
      </c>
      <c r="D17" s="959">
        <f>SUM(C$4:C17)</f>
        <v>206532.46160896606</v>
      </c>
    </row>
    <row r="18" spans="1:4" x14ac:dyDescent="0.25">
      <c r="A18" s="20">
        <f t="shared" si="0"/>
        <v>2040</v>
      </c>
      <c r="B18" s="958">
        <v>64731.25733432961</v>
      </c>
      <c r="C18" s="958">
        <v>24246.264611177816</v>
      </c>
      <c r="D18" s="959">
        <f>SUM(C$4:C18)</f>
        <v>230778.72622014387</v>
      </c>
    </row>
    <row r="19" spans="1:4" x14ac:dyDescent="0.25">
      <c r="A19" s="20">
        <f t="shared" si="0"/>
        <v>2041</v>
      </c>
      <c r="B19" s="958">
        <v>64334.979995665082</v>
      </c>
      <c r="C19" s="958">
        <v>22465.489305138799</v>
      </c>
      <c r="D19" s="959">
        <f>SUM(C$4:C19)</f>
        <v>253244.21552528266</v>
      </c>
    </row>
    <row r="20" spans="1:4" x14ac:dyDescent="0.25">
      <c r="A20" s="20">
        <f t="shared" si="0"/>
        <v>2042</v>
      </c>
      <c r="B20" s="958">
        <v>0</v>
      </c>
      <c r="C20" s="958">
        <v>0</v>
      </c>
      <c r="D20" s="959">
        <f>SUM(C$4:C20)</f>
        <v>253244.21552528266</v>
      </c>
    </row>
    <row r="21" spans="1:4" x14ac:dyDescent="0.25">
      <c r="A21" s="20">
        <f t="shared" si="0"/>
        <v>2043</v>
      </c>
      <c r="B21" s="958">
        <v>0</v>
      </c>
      <c r="C21" s="958">
        <v>0</v>
      </c>
      <c r="D21" s="959">
        <f>SUM(C$4:C21)</f>
        <v>253244.21552528266</v>
      </c>
    </row>
    <row r="22" spans="1:4" x14ac:dyDescent="0.25">
      <c r="A22" s="20">
        <f t="shared" si="0"/>
        <v>2044</v>
      </c>
      <c r="B22" s="958">
        <v>0</v>
      </c>
      <c r="C22" s="958">
        <v>0</v>
      </c>
      <c r="D22" s="959">
        <f>SUM(C$4:C22)</f>
        <v>253244.21552528266</v>
      </c>
    </row>
    <row r="23" spans="1:4" x14ac:dyDescent="0.25">
      <c r="A23" s="20">
        <f t="shared" si="0"/>
        <v>2045</v>
      </c>
      <c r="B23" s="958">
        <v>0</v>
      </c>
      <c r="C23" s="958">
        <v>0</v>
      </c>
      <c r="D23" s="959">
        <f>SUM(C$4:C23)</f>
        <v>253244.21552528266</v>
      </c>
    </row>
    <row r="24" spans="1:4" x14ac:dyDescent="0.25">
      <c r="A24" s="20">
        <f t="shared" si="0"/>
        <v>2046</v>
      </c>
      <c r="B24" s="958">
        <v>0</v>
      </c>
      <c r="C24" s="958">
        <v>0</v>
      </c>
      <c r="D24" s="959">
        <f>SUM(C$4:C24)</f>
        <v>253244.21552528266</v>
      </c>
    </row>
    <row r="25" spans="1:4" x14ac:dyDescent="0.25">
      <c r="A25" s="20">
        <f t="shared" si="0"/>
        <v>2047</v>
      </c>
      <c r="B25" s="958">
        <v>0</v>
      </c>
      <c r="C25" s="958">
        <v>0</v>
      </c>
      <c r="D25" s="959">
        <f>SUM(C$4:C25)</f>
        <v>253244.21552528266</v>
      </c>
    </row>
    <row r="26" spans="1:4" x14ac:dyDescent="0.25">
      <c r="A26" s="20">
        <f t="shared" si="0"/>
        <v>2048</v>
      </c>
      <c r="B26" s="958">
        <v>0</v>
      </c>
      <c r="C26" s="958">
        <v>0</v>
      </c>
      <c r="D26" s="959">
        <f>SUM(C$4:C26)</f>
        <v>253244.21552528266</v>
      </c>
    </row>
    <row r="27" spans="1:4" x14ac:dyDescent="0.25">
      <c r="A27" s="20">
        <f t="shared" si="0"/>
        <v>2049</v>
      </c>
      <c r="B27" s="958">
        <v>0</v>
      </c>
      <c r="C27" s="958">
        <v>0</v>
      </c>
      <c r="D27" s="959">
        <f>SUM(C$4:C27)</f>
        <v>253244.21552528266</v>
      </c>
    </row>
    <row r="28" spans="1:4" x14ac:dyDescent="0.25">
      <c r="A28" s="20">
        <f t="shared" si="0"/>
        <v>2050</v>
      </c>
      <c r="B28" s="958">
        <v>0</v>
      </c>
      <c r="C28" s="958">
        <v>0</v>
      </c>
      <c r="D28" s="959">
        <f>SUM(C$4:C28)</f>
        <v>253244.21552528266</v>
      </c>
    </row>
    <row r="29" spans="1:4" x14ac:dyDescent="0.25">
      <c r="A29" s="20">
        <f t="shared" si="0"/>
        <v>2051</v>
      </c>
      <c r="B29" s="958">
        <v>0</v>
      </c>
      <c r="C29" s="958">
        <v>0</v>
      </c>
      <c r="D29" s="959">
        <f>SUM(C$4:C29)</f>
        <v>253244.21552528266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077F4-5720-4196-86C5-E6236DCDA325}">
  <dimension ref="A2:L21"/>
  <sheetViews>
    <sheetView showGridLines="0" zoomScale="130" zoomScaleNormal="130" workbookViewId="0">
      <selection activeCell="K22" sqref="K22"/>
    </sheetView>
  </sheetViews>
  <sheetFormatPr defaultRowHeight="15" x14ac:dyDescent="0.25"/>
  <cols>
    <col min="1" max="1" width="3.75" bestFit="1" customWidth="1"/>
    <col min="2" max="2" width="23.875" bestFit="1" customWidth="1"/>
    <col min="4" max="4" width="1" customWidth="1"/>
    <col min="5" max="5" width="16.875" customWidth="1"/>
    <col min="6" max="6" width="15.5" customWidth="1"/>
    <col min="7" max="7" width="1" customWidth="1"/>
    <col min="8" max="9" width="15.375" customWidth="1"/>
    <col min="10" max="10" width="1" customWidth="1"/>
    <col min="11" max="11" width="15.625" customWidth="1"/>
    <col min="12" max="12" width="17.125" customWidth="1"/>
  </cols>
  <sheetData>
    <row r="2" spans="1:12" ht="15.75" thickBot="1" x14ac:dyDescent="0.3"/>
    <row r="3" spans="1:12" ht="30" customHeight="1" thickTop="1" x14ac:dyDescent="0.25">
      <c r="A3" s="1143" t="s">
        <v>2</v>
      </c>
      <c r="B3" s="1144" t="s">
        <v>556</v>
      </c>
      <c r="C3" s="1143" t="s">
        <v>62</v>
      </c>
      <c r="D3" s="877"/>
      <c r="E3" s="1145" t="s">
        <v>890</v>
      </c>
      <c r="F3" s="1146"/>
      <c r="G3" s="877"/>
      <c r="H3" s="1147" t="s">
        <v>891</v>
      </c>
      <c r="I3" s="1148"/>
      <c r="J3" s="877"/>
      <c r="K3" s="1149" t="s">
        <v>892</v>
      </c>
      <c r="L3" s="1150"/>
    </row>
    <row r="4" spans="1:12" x14ac:dyDescent="0.25">
      <c r="A4" s="1143"/>
      <c r="B4" s="1144"/>
      <c r="C4" s="1143"/>
      <c r="D4" s="877"/>
      <c r="E4" s="1151" t="s">
        <v>885</v>
      </c>
      <c r="F4" s="1152" t="s">
        <v>886</v>
      </c>
      <c r="G4" s="877"/>
      <c r="H4" s="1154" t="s">
        <v>887</v>
      </c>
      <c r="I4" s="1155" t="s">
        <v>888</v>
      </c>
      <c r="J4" s="877"/>
      <c r="K4" s="1157" t="s">
        <v>887</v>
      </c>
      <c r="L4" s="1158" t="s">
        <v>889</v>
      </c>
    </row>
    <row r="5" spans="1:12" ht="18.75" customHeight="1" x14ac:dyDescent="0.25">
      <c r="A5" s="1143"/>
      <c r="B5" s="1144"/>
      <c r="C5" s="1143"/>
      <c r="D5" s="232"/>
      <c r="E5" s="1151"/>
      <c r="F5" s="1153"/>
      <c r="G5" s="232"/>
      <c r="H5" s="1154"/>
      <c r="I5" s="1156"/>
      <c r="J5" s="232"/>
      <c r="K5" s="1157"/>
      <c r="L5" s="1159"/>
    </row>
    <row r="6" spans="1:12" ht="18.75" customHeight="1" x14ac:dyDescent="0.25">
      <c r="A6" s="1028">
        <v>1</v>
      </c>
      <c r="B6" s="1029" t="s">
        <v>757</v>
      </c>
      <c r="C6" s="1028" t="s">
        <v>369</v>
      </c>
      <c r="D6" s="284"/>
      <c r="E6" s="1030">
        <v>1743.5897435897436</v>
      </c>
      <c r="F6" s="1031">
        <v>1743.5897435897436</v>
      </c>
      <c r="G6" s="284"/>
      <c r="H6" s="1032">
        <v>1666.6666666666667</v>
      </c>
      <c r="I6" s="1033">
        <v>1666.6666666666667</v>
      </c>
      <c r="J6" s="284"/>
      <c r="K6" s="1034">
        <v>1564.1025641025642</v>
      </c>
      <c r="L6" s="1035">
        <v>1564.1025641025642</v>
      </c>
    </row>
    <row r="7" spans="1:12" ht="18.75" customHeight="1" x14ac:dyDescent="0.25">
      <c r="A7" s="1036">
        <v>2</v>
      </c>
      <c r="B7" s="1037" t="s">
        <v>757</v>
      </c>
      <c r="C7" s="1036" t="s">
        <v>368</v>
      </c>
      <c r="D7" s="1038"/>
      <c r="E7" s="1039">
        <v>680</v>
      </c>
      <c r="F7" s="1040">
        <v>680</v>
      </c>
      <c r="G7" s="1038"/>
      <c r="H7" s="1041">
        <v>650</v>
      </c>
      <c r="I7" s="1042">
        <v>650</v>
      </c>
      <c r="J7" s="1038"/>
      <c r="K7" s="1043">
        <v>610</v>
      </c>
      <c r="L7" s="1044">
        <v>610</v>
      </c>
    </row>
    <row r="8" spans="1:12" ht="18.75" customHeight="1" x14ac:dyDescent="0.25">
      <c r="A8" s="1028">
        <v>3</v>
      </c>
      <c r="B8" s="1029" t="s">
        <v>758</v>
      </c>
      <c r="C8" s="1028" t="s">
        <v>369</v>
      </c>
      <c r="D8" s="284"/>
      <c r="E8" s="1030">
        <v>1559.895265028942</v>
      </c>
      <c r="F8" s="1045">
        <v>1642.4576024980188</v>
      </c>
      <c r="G8" s="284"/>
      <c r="H8" s="1032">
        <v>1559.895265028942</v>
      </c>
      <c r="I8" s="1046">
        <v>1642.4576024980188</v>
      </c>
      <c r="J8" s="284"/>
      <c r="K8" s="1034">
        <v>1559.895265028942</v>
      </c>
      <c r="L8" s="1047">
        <v>1642.4576024980188</v>
      </c>
    </row>
    <row r="9" spans="1:12" ht="18.75" customHeight="1" x14ac:dyDescent="0.25">
      <c r="A9" s="1048">
        <v>4</v>
      </c>
      <c r="B9" s="1049" t="s">
        <v>758</v>
      </c>
      <c r="C9" s="1048" t="s">
        <v>368</v>
      </c>
      <c r="D9" s="877"/>
      <c r="E9" s="1050">
        <v>608.35915336128733</v>
      </c>
      <c r="F9" s="1051">
        <v>640.55846497422726</v>
      </c>
      <c r="G9" s="877"/>
      <c r="H9" s="1052">
        <v>608.35915336128733</v>
      </c>
      <c r="I9" s="1053">
        <v>640.55846497422726</v>
      </c>
      <c r="J9" s="877"/>
      <c r="K9" s="1054">
        <v>608.35915336128733</v>
      </c>
      <c r="L9" s="1055">
        <v>640.55846497422726</v>
      </c>
    </row>
    <row r="10" spans="1:12" ht="18.75" customHeight="1" x14ac:dyDescent="0.25">
      <c r="A10" s="1056">
        <v>5</v>
      </c>
      <c r="B10" s="1057" t="s">
        <v>754</v>
      </c>
      <c r="C10" s="1056" t="s">
        <v>369</v>
      </c>
      <c r="D10" s="1058"/>
      <c r="E10" s="1059">
        <v>146.9555828486414</v>
      </c>
      <c r="F10" s="1060">
        <v>80.905712873379983</v>
      </c>
      <c r="G10" s="1058"/>
      <c r="H10" s="1061">
        <v>85.417121310179837</v>
      </c>
      <c r="I10" s="1062">
        <v>19.367251334918436</v>
      </c>
      <c r="J10" s="1058"/>
      <c r="K10" s="1063">
        <v>3.3658392588977928</v>
      </c>
      <c r="L10" s="1064">
        <v>-62.68403071636363</v>
      </c>
    </row>
    <row r="11" spans="1:12" ht="18.75" customHeight="1" x14ac:dyDescent="0.25">
      <c r="A11" s="1065">
        <v>6</v>
      </c>
      <c r="B11" s="1066" t="s">
        <v>754</v>
      </c>
      <c r="C11" s="1065" t="s">
        <v>368</v>
      </c>
      <c r="D11" s="1058"/>
      <c r="E11" s="1067">
        <v>57.312677310970145</v>
      </c>
      <c r="F11" s="1068">
        <v>31.553228020618192</v>
      </c>
      <c r="G11" s="1058"/>
      <c r="H11" s="1069">
        <v>33.312677310970138</v>
      </c>
      <c r="I11" s="1070">
        <v>7.5532280206181897</v>
      </c>
      <c r="J11" s="1058"/>
      <c r="K11" s="1071">
        <v>1.3126773109701391</v>
      </c>
      <c r="L11" s="1072">
        <v>-24.446771979381811</v>
      </c>
    </row>
    <row r="12" spans="1:12" ht="18.75" customHeight="1" x14ac:dyDescent="0.25">
      <c r="A12" s="1073"/>
      <c r="B12" s="1074" t="s">
        <v>762</v>
      </c>
      <c r="C12" s="1073"/>
      <c r="D12" s="1075"/>
      <c r="E12" s="1076">
        <v>8.4283348986720741E-2</v>
      </c>
      <c r="F12" s="1077">
        <v>4.6401805912673968E-2</v>
      </c>
      <c r="G12" s="1075"/>
      <c r="H12" s="1078">
        <v>5.1250272786107859E-2</v>
      </c>
      <c r="I12" s="1079">
        <v>1.1620350800951237E-2</v>
      </c>
      <c r="J12" s="1075"/>
      <c r="K12" s="1080">
        <v>2.1519300179837896E-3</v>
      </c>
      <c r="L12" s="1081">
        <v>-4.0076675376035556E-2</v>
      </c>
    </row>
    <row r="13" spans="1:12" ht="18.75" customHeight="1" x14ac:dyDescent="0.25">
      <c r="A13" s="1082">
        <v>7</v>
      </c>
      <c r="B13" s="1083" t="s">
        <v>759</v>
      </c>
      <c r="C13" s="1082" t="s">
        <v>380</v>
      </c>
      <c r="D13" s="284"/>
      <c r="E13" s="1084">
        <v>11567300</v>
      </c>
      <c r="F13" s="1045">
        <v>17336530.769230768</v>
      </c>
      <c r="G13" s="284"/>
      <c r="H13" s="1085">
        <v>11567300</v>
      </c>
      <c r="I13" s="1046">
        <v>17336530.769230768</v>
      </c>
      <c r="J13" s="284"/>
      <c r="K13" s="1086">
        <v>11567300</v>
      </c>
      <c r="L13" s="1047">
        <v>17336530.769230768</v>
      </c>
    </row>
    <row r="14" spans="1:12" ht="18.75" customHeight="1" x14ac:dyDescent="0.25">
      <c r="A14" s="1087">
        <v>8</v>
      </c>
      <c r="B14" s="1088" t="s">
        <v>759</v>
      </c>
      <c r="C14" s="1087" t="s">
        <v>745</v>
      </c>
      <c r="D14" s="877"/>
      <c r="E14" s="1089">
        <v>300.74979999999999</v>
      </c>
      <c r="F14" s="1090">
        <v>450.74979999999999</v>
      </c>
      <c r="G14" s="877"/>
      <c r="H14" s="1091">
        <v>300.74979999999999</v>
      </c>
      <c r="I14" s="1092">
        <v>450.74979999999999</v>
      </c>
      <c r="J14" s="877"/>
      <c r="K14" s="1093">
        <v>300.74979999999999</v>
      </c>
      <c r="L14" s="1094">
        <v>450.74979999999999</v>
      </c>
    </row>
    <row r="15" spans="1:12" ht="18.75" customHeight="1" x14ac:dyDescent="0.25">
      <c r="A15" s="1095">
        <v>9</v>
      </c>
      <c r="B15" s="1096" t="s">
        <v>515</v>
      </c>
      <c r="C15" s="1095" t="s">
        <v>745</v>
      </c>
      <c r="D15" s="284"/>
      <c r="E15" s="1097">
        <v>253.24421552528267</v>
      </c>
      <c r="F15" s="1045">
        <v>110.0370876423665</v>
      </c>
      <c r="G15" s="284"/>
      <c r="H15" s="1098">
        <v>160.7475232734175</v>
      </c>
      <c r="I15" s="1046">
        <v>17.540395390501228</v>
      </c>
      <c r="J15" s="284"/>
      <c r="K15" s="1099">
        <v>37.418600270930312</v>
      </c>
      <c r="L15" s="1047">
        <v>-105.7885276119859</v>
      </c>
    </row>
    <row r="16" spans="1:12" ht="18.75" customHeight="1" x14ac:dyDescent="0.25">
      <c r="A16" s="1100">
        <v>10</v>
      </c>
      <c r="B16" s="1101" t="s">
        <v>554</v>
      </c>
      <c r="C16" s="1100" t="s">
        <v>290</v>
      </c>
      <c r="D16" s="877"/>
      <c r="E16" s="1102" t="s">
        <v>879</v>
      </c>
      <c r="F16" s="1090" t="s">
        <v>880</v>
      </c>
      <c r="G16" s="877"/>
      <c r="H16" s="1104" t="s">
        <v>881</v>
      </c>
      <c r="I16" s="1105" t="s">
        <v>882</v>
      </c>
      <c r="J16" s="877"/>
      <c r="K16" s="1106" t="s">
        <v>883</v>
      </c>
      <c r="L16" s="1107" t="s">
        <v>884</v>
      </c>
    </row>
    <row r="17" spans="1:12" ht="18.75" customHeight="1" x14ac:dyDescent="0.25">
      <c r="A17" s="1108">
        <v>11</v>
      </c>
      <c r="B17" s="1109" t="s">
        <v>314</v>
      </c>
      <c r="C17" s="1108" t="s">
        <v>71</v>
      </c>
      <c r="D17" s="1110"/>
      <c r="E17" s="1111">
        <v>0.43840000000000001</v>
      </c>
      <c r="F17" s="1112">
        <v>0.43840000000000012</v>
      </c>
      <c r="G17" s="1110"/>
      <c r="H17" s="1113">
        <v>0.41248000000000007</v>
      </c>
      <c r="I17" s="1114">
        <v>0.41248000000000018</v>
      </c>
      <c r="J17" s="1110"/>
      <c r="K17" s="1115">
        <v>0.37395409836065585</v>
      </c>
      <c r="L17" s="1116">
        <v>0.37395409836065596</v>
      </c>
    </row>
    <row r="18" spans="1:12" ht="2.25" customHeight="1" thickBot="1" x14ac:dyDescent="0.3">
      <c r="A18" s="20"/>
      <c r="B18" s="41"/>
      <c r="C18" s="20"/>
      <c r="E18" s="950"/>
      <c r="F18" s="949"/>
      <c r="H18" s="996"/>
      <c r="I18" s="997"/>
      <c r="K18" s="991"/>
      <c r="L18" s="992"/>
    </row>
    <row r="19" spans="1:12" ht="5.25" customHeight="1" thickTop="1" x14ac:dyDescent="0.25"/>
    <row r="20" spans="1:12" x14ac:dyDescent="0.25">
      <c r="A20" s="1135"/>
      <c r="B20" s="1136" t="s">
        <v>769</v>
      </c>
      <c r="C20" s="1135"/>
      <c r="E20" s="1135" t="s">
        <v>875</v>
      </c>
      <c r="F20" s="1135" t="s">
        <v>875</v>
      </c>
      <c r="H20" s="1135" t="s">
        <v>875</v>
      </c>
      <c r="I20" s="1135" t="s">
        <v>875</v>
      </c>
      <c r="K20" s="1135" t="s">
        <v>875</v>
      </c>
      <c r="L20" s="1135" t="s">
        <v>875</v>
      </c>
    </row>
    <row r="21" spans="1:12" x14ac:dyDescent="0.25">
      <c r="A21" s="1138"/>
      <c r="B21" s="1139" t="s">
        <v>770</v>
      </c>
      <c r="C21" s="1138"/>
      <c r="E21" s="1138"/>
      <c r="F21" s="1138" t="s">
        <v>875</v>
      </c>
      <c r="H21" s="1138"/>
      <c r="I21" s="1138" t="s">
        <v>875</v>
      </c>
      <c r="K21" s="1138"/>
      <c r="L21" s="1138" t="s">
        <v>875</v>
      </c>
    </row>
  </sheetData>
  <mergeCells count="12">
    <mergeCell ref="K3:L3"/>
    <mergeCell ref="E4:E5"/>
    <mergeCell ref="F4:F5"/>
    <mergeCell ref="H4:H5"/>
    <mergeCell ref="I4:I5"/>
    <mergeCell ref="K4:K5"/>
    <mergeCell ref="L4:L5"/>
    <mergeCell ref="A3:A5"/>
    <mergeCell ref="B3:B5"/>
    <mergeCell ref="C3:C5"/>
    <mergeCell ref="E3:F3"/>
    <mergeCell ref="H3:I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7A798-BA9D-49D6-B81D-6488C310300A}">
  <dimension ref="A1"/>
  <sheetViews>
    <sheetView workbookViewId="0">
      <selection activeCell="K22" sqref="K22"/>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63A28-E922-4F10-B41F-0DE1C569F962}">
  <sheetPr>
    <tabColor rgb="FF000099"/>
  </sheetPr>
  <dimension ref="B1:AB29"/>
  <sheetViews>
    <sheetView showGridLines="0" tabSelected="1" zoomScale="115" zoomScaleNormal="115" workbookViewId="0">
      <pane xSplit="5" ySplit="11" topLeftCell="F12" activePane="bottomRight" state="frozen"/>
      <selection pane="topRight" activeCell="E1" sqref="E1"/>
      <selection pane="bottomLeft" activeCell="A10" sqref="A10"/>
      <selection pane="bottomRight" activeCell="W11" sqref="W11"/>
    </sheetView>
  </sheetViews>
  <sheetFormatPr defaultRowHeight="15" outlineLevelRow="1" outlineLevelCol="1" x14ac:dyDescent="0.25"/>
  <cols>
    <col min="1" max="1" width="1.375" customWidth="1"/>
    <col min="2" max="2" width="5.875" style="20" customWidth="1"/>
    <col min="3" max="3" width="26.5" customWidth="1"/>
    <col min="4" max="4" width="9" style="20"/>
    <col min="5" max="5" width="1" customWidth="1"/>
    <col min="6" max="6" width="14.875" hidden="1" customWidth="1" outlineLevel="1"/>
    <col min="7" max="7" width="13.5" hidden="1" customWidth="1" outlineLevel="1"/>
    <col min="8" max="8" width="1.375" customWidth="1" collapsed="1"/>
    <col min="9" max="9" width="14.75" hidden="1" customWidth="1" outlineLevel="1"/>
    <col min="10" max="10" width="15" hidden="1" customWidth="1" outlineLevel="1"/>
    <col min="11" max="11" width="1.375" customWidth="1" collapsed="1"/>
    <col min="12" max="12" width="16.125" customWidth="1" outlineLevel="1"/>
    <col min="13" max="13" width="16" customWidth="1" outlineLevel="1"/>
    <col min="14" max="14" width="1.5" customWidth="1" outlineLevel="1"/>
    <col min="15" max="15" width="14.375" customWidth="1" outlineLevel="1"/>
    <col min="16" max="16" width="15.625" customWidth="1" outlineLevel="1"/>
    <col min="17" max="17" width="1.5" customWidth="1" outlineLevel="1"/>
    <col min="18" max="18" width="15.875" customWidth="1" outlineLevel="1"/>
    <col min="19" max="19" width="17.375" customWidth="1" outlineLevel="1"/>
    <col min="20" max="20" width="1.5" customWidth="1"/>
    <col min="21" max="21" width="18" hidden="1" customWidth="1" outlineLevel="1"/>
    <col min="22" max="22" width="17.875" hidden="1" customWidth="1" outlineLevel="1"/>
    <col min="23" max="23" width="9" collapsed="1"/>
  </cols>
  <sheetData>
    <row r="1" spans="2:28" x14ac:dyDescent="0.25">
      <c r="C1" s="889" t="s">
        <v>0</v>
      </c>
    </row>
    <row r="2" spans="2:28" x14ac:dyDescent="0.25">
      <c r="C2" s="889" t="s">
        <v>1</v>
      </c>
    </row>
    <row r="3" spans="2:28" ht="19.5" x14ac:dyDescent="0.3">
      <c r="C3" s="890" t="s">
        <v>44</v>
      </c>
    </row>
    <row r="4" spans="2:28" ht="26.25" x14ac:dyDescent="0.4">
      <c r="C4" s="891" t="s">
        <v>760</v>
      </c>
    </row>
    <row r="5" spans="2:28" s="877" customFormat="1" ht="21" customHeight="1" x14ac:dyDescent="0.25">
      <c r="B5" s="900"/>
      <c r="C5" s="899" t="s">
        <v>766</v>
      </c>
      <c r="D5" s="900"/>
      <c r="L5" s="993" t="s">
        <v>763</v>
      </c>
      <c r="M5" s="994"/>
      <c r="N5" s="951"/>
      <c r="O5" s="988" t="s">
        <v>867</v>
      </c>
      <c r="P5" s="989"/>
      <c r="Q5" s="951"/>
      <c r="R5" s="985" t="s">
        <v>866</v>
      </c>
      <c r="S5" s="986"/>
      <c r="T5" s="951"/>
    </row>
    <row r="6" spans="2:28" x14ac:dyDescent="0.25">
      <c r="G6" s="880"/>
      <c r="J6" s="880"/>
      <c r="L6" s="995"/>
      <c r="M6" s="995">
        <v>680</v>
      </c>
      <c r="O6" s="990"/>
      <c r="P6" s="990">
        <v>650</v>
      </c>
      <c r="R6" s="987"/>
      <c r="S6" s="987">
        <v>610</v>
      </c>
    </row>
    <row r="7" spans="2:28" ht="15.75" thickBot="1" x14ac:dyDescent="0.3"/>
    <row r="8" spans="2:28" ht="15.75" hidden="1" outlineLevel="1" thickBot="1" x14ac:dyDescent="0.3">
      <c r="F8" s="880" t="s">
        <v>797</v>
      </c>
      <c r="G8" s="880" t="s">
        <v>797</v>
      </c>
      <c r="I8" s="880" t="s">
        <v>797</v>
      </c>
      <c r="J8" s="880" t="s">
        <v>797</v>
      </c>
      <c r="U8" s="880" t="s">
        <v>797</v>
      </c>
      <c r="V8" s="880" t="s">
        <v>797</v>
      </c>
    </row>
    <row r="9" spans="2:28" s="877" customFormat="1" ht="29.25" customHeight="1" collapsed="1" thickTop="1" x14ac:dyDescent="0.25">
      <c r="B9" s="1143" t="s">
        <v>2</v>
      </c>
      <c r="C9" s="1144" t="s">
        <v>556</v>
      </c>
      <c r="D9" s="1143" t="s">
        <v>62</v>
      </c>
      <c r="F9" s="1160" t="s">
        <v>850</v>
      </c>
      <c r="G9" s="1160" t="s">
        <v>746</v>
      </c>
      <c r="I9" s="1160" t="s">
        <v>851</v>
      </c>
      <c r="J9" s="1160" t="s">
        <v>747</v>
      </c>
      <c r="L9" s="1145" t="s">
        <v>890</v>
      </c>
      <c r="M9" s="1146"/>
      <c r="O9" s="1147" t="s">
        <v>891</v>
      </c>
      <c r="P9" s="1148"/>
      <c r="R9" s="1149" t="str">
        <f>"SUNTORY YÊU CẦU 
"&amp;$S$6&amp;" VND/phôi"</f>
        <v>SUNTORY YÊU CẦU 
610 VND/phôi</v>
      </c>
      <c r="S9" s="1150"/>
      <c r="U9" s="1160" t="s">
        <v>775</v>
      </c>
      <c r="V9" s="1160" t="s">
        <v>774</v>
      </c>
      <c r="AB9" s="895"/>
    </row>
    <row r="10" spans="2:28" s="877" customFormat="1" ht="20.25" customHeight="1" x14ac:dyDescent="0.25">
      <c r="B10" s="1143"/>
      <c r="C10" s="1144"/>
      <c r="D10" s="1143"/>
      <c r="F10" s="1160"/>
      <c r="G10" s="1160"/>
      <c r="I10" s="1160"/>
      <c r="J10" s="1160"/>
      <c r="L10" s="1151" t="s">
        <v>885</v>
      </c>
      <c r="M10" s="1152" t="s">
        <v>886</v>
      </c>
      <c r="O10" s="1154" t="s">
        <v>887</v>
      </c>
      <c r="P10" s="1155" t="s">
        <v>888</v>
      </c>
      <c r="R10" s="1157" t="s">
        <v>887</v>
      </c>
      <c r="S10" s="1158" t="s">
        <v>888</v>
      </c>
      <c r="U10" s="1160"/>
      <c r="V10" s="1160"/>
    </row>
    <row r="11" spans="2:28" s="232" customFormat="1" x14ac:dyDescent="0.25">
      <c r="B11" s="1143"/>
      <c r="C11" s="1144"/>
      <c r="D11" s="1143"/>
      <c r="F11" s="893" t="s">
        <v>748</v>
      </c>
      <c r="G11" s="893" t="s">
        <v>748</v>
      </c>
      <c r="I11" s="893" t="s">
        <v>772</v>
      </c>
      <c r="J11" s="893" t="s">
        <v>772</v>
      </c>
      <c r="L11" s="1151"/>
      <c r="M11" s="1153"/>
      <c r="O11" s="1154"/>
      <c r="P11" s="1156"/>
      <c r="R11" s="1157"/>
      <c r="S11" s="1159"/>
      <c r="U11" s="893" t="s">
        <v>748</v>
      </c>
      <c r="V11" s="893" t="s">
        <v>772</v>
      </c>
    </row>
    <row r="12" spans="2:28" s="1" customFormat="1" x14ac:dyDescent="0.25">
      <c r="B12" s="1028">
        <v>1</v>
      </c>
      <c r="C12" s="1029" t="s">
        <v>757</v>
      </c>
      <c r="D12" s="1028" t="s">
        <v>369</v>
      </c>
      <c r="E12" s="284"/>
      <c r="F12" s="1117">
        <v>1969.3333333333335</v>
      </c>
      <c r="G12" s="1117">
        <v>1969.3333333333335</v>
      </c>
      <c r="H12" s="284"/>
      <c r="I12" s="1117">
        <v>1916</v>
      </c>
      <c r="J12" s="1117">
        <v>1916</v>
      </c>
      <c r="K12" s="284"/>
      <c r="L12" s="1030">
        <f>L13*(1000000/'Cover Page'!$F$25)/EXR</f>
        <v>1743.5897435897436</v>
      </c>
      <c r="M12" s="1031">
        <f>M13*(1000000/'Cover Page'!$F$25)/EXR</f>
        <v>1743.5897435897436</v>
      </c>
      <c r="N12" s="284"/>
      <c r="O12" s="1032">
        <f>O13*(1000000/'Cover Page'!$F$25)/EXR</f>
        <v>1666.6666666666667</v>
      </c>
      <c r="P12" s="1033">
        <f>P13*(1000000/'Cover Page'!$F$25)/EXR</f>
        <v>1666.6666666666667</v>
      </c>
      <c r="Q12" s="284"/>
      <c r="R12" s="1034">
        <f>R13*(1000000/'Cover Page'!$F$25)/EXR</f>
        <v>1564.1025641025642</v>
      </c>
      <c r="S12" s="1035">
        <f>S13*(1000000/'Cover Page'!$F$25)/EXR</f>
        <v>1564.1025641025642</v>
      </c>
      <c r="T12" s="284"/>
      <c r="U12" s="1117">
        <v>1941.3333333333335</v>
      </c>
      <c r="V12" s="1117">
        <v>1941.3333333333335</v>
      </c>
    </row>
    <row r="13" spans="2:28" s="892" customFormat="1" x14ac:dyDescent="0.25">
      <c r="B13" s="1036">
        <v>2</v>
      </c>
      <c r="C13" s="1037" t="s">
        <v>757</v>
      </c>
      <c r="D13" s="1036" t="s">
        <v>368</v>
      </c>
      <c r="E13" s="1038"/>
      <c r="F13" s="1118">
        <v>738.5</v>
      </c>
      <c r="G13" s="1118">
        <v>738.5</v>
      </c>
      <c r="H13" s="1038"/>
      <c r="I13" s="1118">
        <v>718.5</v>
      </c>
      <c r="J13" s="1118">
        <v>718.5</v>
      </c>
      <c r="K13" s="1038"/>
      <c r="L13" s="1039">
        <f>M6</f>
        <v>680</v>
      </c>
      <c r="M13" s="1040">
        <f>M6</f>
        <v>680</v>
      </c>
      <c r="N13" s="1038"/>
      <c r="O13" s="1041">
        <f>P6</f>
        <v>650</v>
      </c>
      <c r="P13" s="1042">
        <f>P6</f>
        <v>650</v>
      </c>
      <c r="Q13" s="1038"/>
      <c r="R13" s="1043">
        <f>S6</f>
        <v>610</v>
      </c>
      <c r="S13" s="1044">
        <f>S6</f>
        <v>610</v>
      </c>
      <c r="T13" s="1038"/>
      <c r="U13" s="1118">
        <v>728</v>
      </c>
      <c r="V13" s="1118">
        <v>728</v>
      </c>
    </row>
    <row r="14" spans="2:28" s="1" customFormat="1" x14ac:dyDescent="0.25">
      <c r="B14" s="1028">
        <v>3</v>
      </c>
      <c r="C14" s="1029" t="s">
        <v>758</v>
      </c>
      <c r="D14" s="1028" t="s">
        <v>369</v>
      </c>
      <c r="E14" s="284"/>
      <c r="F14" s="1117">
        <v>1757.3256029825545</v>
      </c>
      <c r="G14" s="1117">
        <v>1860.5769597725002</v>
      </c>
      <c r="H14" s="284"/>
      <c r="I14" s="1117">
        <v>1690.3835088524647</v>
      </c>
      <c r="J14" s="1117">
        <v>1793.6348656424102</v>
      </c>
      <c r="K14" s="284"/>
      <c r="L14" s="1030">
        <f>L15*(1000000/'Cover Page'!$F$25)/EXR</f>
        <v>1559.895265028942</v>
      </c>
      <c r="M14" s="1045">
        <f>M15*(1000000/'Cover Page'!$F$25)/EXR</f>
        <v>1642.4576024980188</v>
      </c>
      <c r="N14" s="284"/>
      <c r="O14" s="1032">
        <f>O15*(1000000/'Cover Page'!$F$25)/EXR</f>
        <v>1559.895265028942</v>
      </c>
      <c r="P14" s="1046">
        <f>P15*(1000000/'Cover Page'!$F$25)/EXR</f>
        <v>1642.4576024980188</v>
      </c>
      <c r="Q14" s="284"/>
      <c r="R14" s="1034">
        <f>R15*(1000000/'Cover Page'!$F$25)/EXR</f>
        <v>1559.895265028942</v>
      </c>
      <c r="S14" s="1047">
        <f>S15*(1000000/'Cover Page'!$F$25)/EXR</f>
        <v>1642.4576024980188</v>
      </c>
      <c r="T14" s="284"/>
      <c r="U14" s="1117">
        <v>1692.1812649611329</v>
      </c>
      <c r="V14" s="1117">
        <v>1631.3775691622541</v>
      </c>
    </row>
    <row r="15" spans="2:28" x14ac:dyDescent="0.25">
      <c r="B15" s="1048">
        <v>4</v>
      </c>
      <c r="C15" s="1049" t="s">
        <v>758</v>
      </c>
      <c r="D15" s="1048" t="s">
        <v>368</v>
      </c>
      <c r="E15" s="877"/>
      <c r="F15" s="1119">
        <v>658.99710111845798</v>
      </c>
      <c r="G15" s="1119">
        <v>697.71635991468747</v>
      </c>
      <c r="H15" s="877"/>
      <c r="I15" s="1119">
        <v>633.89381581967427</v>
      </c>
      <c r="J15" s="1119">
        <v>672.61307461590388</v>
      </c>
      <c r="K15" s="877"/>
      <c r="L15" s="1050">
        <f>'W5'!E6</f>
        <v>608.35915336128733</v>
      </c>
      <c r="M15" s="1051">
        <f>'W5'!G6</f>
        <v>640.55846497422726</v>
      </c>
      <c r="N15" s="877"/>
      <c r="O15" s="1052">
        <f>'W5'!I6</f>
        <v>608.35915336128733</v>
      </c>
      <c r="P15" s="1053">
        <f>'W5'!K6</f>
        <v>640.55846497422726</v>
      </c>
      <c r="Q15" s="877"/>
      <c r="R15" s="1054">
        <f>'W5'!M6</f>
        <v>608.35915336128733</v>
      </c>
      <c r="S15" s="1055">
        <f>'W5'!O6</f>
        <v>640.55846497422726</v>
      </c>
      <c r="T15" s="877"/>
      <c r="U15" s="1119">
        <v>634.56797436042484</v>
      </c>
      <c r="V15" s="1119">
        <v>611.76658843584528</v>
      </c>
    </row>
    <row r="16" spans="2:28" s="888" customFormat="1" x14ac:dyDescent="0.25">
      <c r="B16" s="1056">
        <v>5</v>
      </c>
      <c r="C16" s="1057" t="s">
        <v>754</v>
      </c>
      <c r="D16" s="1056" t="s">
        <v>369</v>
      </c>
      <c r="E16" s="1058"/>
      <c r="F16" s="1120">
        <v>169.60618428062318</v>
      </c>
      <c r="G16" s="1120">
        <v>87.005098848666606</v>
      </c>
      <c r="H16" s="1058"/>
      <c r="I16" s="1120">
        <v>180.49319291802823</v>
      </c>
      <c r="J16" s="1120">
        <v>97.892107486071836</v>
      </c>
      <c r="K16" s="1058"/>
      <c r="L16" s="1059">
        <f>L17*(1000000/'Cover Page'!$F$25)/EXR</f>
        <v>146.9555828486414</v>
      </c>
      <c r="M16" s="1060">
        <f>M17*(1000000/'Cover Page'!$F$25)/EXR</f>
        <v>80.905712873379983</v>
      </c>
      <c r="N16" s="1058"/>
      <c r="O16" s="1061">
        <f>O17*(1000000/'Cover Page'!$F$25)/EXR</f>
        <v>85.417121310179837</v>
      </c>
      <c r="P16" s="1062">
        <f>P17*(1000000/'Cover Page'!$F$25)/EXR</f>
        <v>19.367251334918436</v>
      </c>
      <c r="Q16" s="1058"/>
      <c r="R16" s="1063">
        <f>R17*(1000000/'Cover Page'!$F$25)/EXR</f>
        <v>3.3658392588977928</v>
      </c>
      <c r="S16" s="1064">
        <f>S17*(1000000/'Cover Page'!$F$25)/EXR</f>
        <v>-62.68403071636363</v>
      </c>
      <c r="T16" s="1058"/>
      <c r="U16" s="1120">
        <v>199.32165469776047</v>
      </c>
      <c r="V16" s="1120">
        <v>247.96461133686353</v>
      </c>
    </row>
    <row r="17" spans="2:22" s="888" customFormat="1" x14ac:dyDescent="0.25">
      <c r="B17" s="1065">
        <v>6</v>
      </c>
      <c r="C17" s="1066" t="s">
        <v>754</v>
      </c>
      <c r="D17" s="1065" t="s">
        <v>368</v>
      </c>
      <c r="E17" s="1058"/>
      <c r="F17" s="1121">
        <v>63.602319105233619</v>
      </c>
      <c r="G17" s="1121">
        <v>32.626912068250022</v>
      </c>
      <c r="H17" s="1058"/>
      <c r="I17" s="1121">
        <v>67.684947344260578</v>
      </c>
      <c r="J17" s="1121">
        <v>36.709540307276896</v>
      </c>
      <c r="K17" s="1058"/>
      <c r="L17" s="1067">
        <f>'W5'!E8</f>
        <v>57.312677310970145</v>
      </c>
      <c r="M17" s="1068">
        <f>'W5'!G8</f>
        <v>31.553228020618192</v>
      </c>
      <c r="N17" s="1058"/>
      <c r="O17" s="1069">
        <f>'W5'!I8</f>
        <v>33.312677310970138</v>
      </c>
      <c r="P17" s="1070">
        <f>'W5'!K8</f>
        <v>7.5532280206181897</v>
      </c>
      <c r="Q17" s="1058"/>
      <c r="R17" s="1071">
        <f>'W5'!M8</f>
        <v>1.3126773109701391</v>
      </c>
      <c r="S17" s="1072">
        <f>'W5'!O8</f>
        <v>-24.446771979381811</v>
      </c>
      <c r="T17" s="1058"/>
      <c r="U17" s="1121">
        <v>74.745620511660135</v>
      </c>
      <c r="V17" s="1121">
        <v>92.98672925132378</v>
      </c>
    </row>
    <row r="18" spans="2:22" s="146" customFormat="1" x14ac:dyDescent="0.25">
      <c r="B18" s="1073"/>
      <c r="C18" s="1074" t="s">
        <v>762</v>
      </c>
      <c r="D18" s="1073"/>
      <c r="E18" s="1075"/>
      <c r="F18" s="1122">
        <v>8.6123654847980624E-2</v>
      </c>
      <c r="G18" s="1122">
        <v>4.4179975718686496E-2</v>
      </c>
      <c r="H18" s="1075"/>
      <c r="I18" s="1122">
        <v>9.4203127827780897E-2</v>
      </c>
      <c r="J18" s="1122">
        <v>5.1091914136780707E-2</v>
      </c>
      <c r="K18" s="1075"/>
      <c r="L18" s="1076">
        <f>'W5'!E10</f>
        <v>8.4283348986720741E-2</v>
      </c>
      <c r="M18" s="1077">
        <f>'W5'!G10</f>
        <v>4.6401805912673968E-2</v>
      </c>
      <c r="N18" s="1123"/>
      <c r="O18" s="1078">
        <f>'W5'!I10</f>
        <v>5.1250272786107859E-2</v>
      </c>
      <c r="P18" s="1079">
        <f>'W5'!K10</f>
        <v>1.1620350800951237E-2</v>
      </c>
      <c r="Q18" s="1123"/>
      <c r="R18" s="1080">
        <f>'W5'!M10</f>
        <v>2.1519300179837896E-3</v>
      </c>
      <c r="S18" s="1081">
        <f>'W5'!O10</f>
        <v>-4.0076675376035556E-2</v>
      </c>
      <c r="T18" s="1123"/>
      <c r="U18" s="1122">
        <v>0.10267255564788484</v>
      </c>
      <c r="V18" s="1122">
        <v>0.12772902369687333</v>
      </c>
    </row>
    <row r="19" spans="2:22" s="1" customFormat="1" x14ac:dyDescent="0.25">
      <c r="B19" s="1082">
        <v>7</v>
      </c>
      <c r="C19" s="1083" t="s">
        <v>759</v>
      </c>
      <c r="D19" s="1082" t="s">
        <v>380</v>
      </c>
      <c r="E19" s="284"/>
      <c r="F19" s="1124">
        <v>11070000</v>
      </c>
      <c r="G19" s="1124">
        <v>17070000</v>
      </c>
      <c r="H19" s="284"/>
      <c r="I19" s="1124">
        <v>11070000</v>
      </c>
      <c r="J19" s="1124">
        <v>17070000</v>
      </c>
      <c r="K19" s="284"/>
      <c r="L19" s="1084">
        <f>IF(Currency="USD",'W1'!$I$60,'W1'!$I$60/EXR)</f>
        <v>11567300</v>
      </c>
      <c r="M19" s="1045">
        <f>IF(Currency="USD",'W1'!$N$60,'W1'!$N$60/EXR)</f>
        <v>17336530.769230768</v>
      </c>
      <c r="N19" s="284"/>
      <c r="O19" s="1085">
        <f>IF(Currency="USD",'W1'!$S$60,'W1'!$S$60/EXR)</f>
        <v>11567300</v>
      </c>
      <c r="P19" s="1046">
        <f>IF(Currency="USD",'W1'!$X$60,'W1'!$X$60/EXR)</f>
        <v>17336530.769230768</v>
      </c>
      <c r="Q19" s="284"/>
      <c r="R19" s="1086">
        <f>IF(Currency="USD",'W1'!$AC$60,'W1'!$AC$60/EXR)</f>
        <v>11567300</v>
      </c>
      <c r="S19" s="1047">
        <f>IF(Currency="USD",'W1'!$AH$60,'W1'!$AH$60/EXR)</f>
        <v>17336530.769230768</v>
      </c>
      <c r="T19" s="284"/>
      <c r="U19" s="1124">
        <v>10054912.700901607</v>
      </c>
      <c r="V19" s="1124">
        <v>10054912.700901607</v>
      </c>
    </row>
    <row r="20" spans="2:22" x14ac:dyDescent="0.25">
      <c r="B20" s="1087">
        <v>8</v>
      </c>
      <c r="C20" s="1088" t="s">
        <v>759</v>
      </c>
      <c r="D20" s="1087" t="s">
        <v>745</v>
      </c>
      <c r="E20" s="877"/>
      <c r="F20" s="1125">
        <v>276.75</v>
      </c>
      <c r="G20" s="1125">
        <v>426.75</v>
      </c>
      <c r="H20" s="877"/>
      <c r="I20" s="1125">
        <v>276.75</v>
      </c>
      <c r="J20" s="1125">
        <v>426.75</v>
      </c>
      <c r="K20" s="877"/>
      <c r="L20" s="1089">
        <f>L19*EXR/10^9</f>
        <v>300.74979999999999</v>
      </c>
      <c r="M20" s="1090">
        <f>M19*EXR/10^9</f>
        <v>450.74979999999999</v>
      </c>
      <c r="N20" s="877"/>
      <c r="O20" s="1091">
        <f>O19*EXR/10^9</f>
        <v>300.74979999999999</v>
      </c>
      <c r="P20" s="1092">
        <f>P19*EXR/10^9</f>
        <v>450.74979999999999</v>
      </c>
      <c r="Q20" s="877"/>
      <c r="R20" s="1093">
        <f>R19*EXR/10^9</f>
        <v>300.74979999999999</v>
      </c>
      <c r="S20" s="1094">
        <f>S19*EXR/10^9</f>
        <v>450.74979999999999</v>
      </c>
      <c r="T20" s="877"/>
      <c r="U20" s="1125">
        <v>251.37281752254</v>
      </c>
      <c r="V20" s="1125">
        <v>251.37281752254</v>
      </c>
    </row>
    <row r="21" spans="2:22" s="1" customFormat="1" x14ac:dyDescent="0.25">
      <c r="B21" s="1095">
        <v>9</v>
      </c>
      <c r="C21" s="1096" t="s">
        <v>515</v>
      </c>
      <c r="D21" s="1095" t="s">
        <v>745</v>
      </c>
      <c r="E21" s="284"/>
      <c r="F21" s="1126">
        <v>426.17408690887299</v>
      </c>
      <c r="G21" s="1126">
        <v>284.37183123217</v>
      </c>
      <c r="H21" s="284"/>
      <c r="I21" s="1126">
        <v>382.62103920583701</v>
      </c>
      <c r="J21" s="1126">
        <v>240.81878352913401</v>
      </c>
      <c r="K21" s="284"/>
      <c r="L21" s="1097">
        <f>IF(Currency="VND",'W5'!E15/10^3,'W5'!E15*EXR/10^9)</f>
        <v>253.24421552528267</v>
      </c>
      <c r="M21" s="1045">
        <f>IF(Currency="VND",'W5'!G15/10^3,'W5'!G15*EXR/10^9)</f>
        <v>110.0370876423665</v>
      </c>
      <c r="N21" s="284"/>
      <c r="O21" s="1098">
        <f>IF(Currency="VND",'W5'!I15/10^3,'W5'!I15/10^9)</f>
        <v>160.7475232734175</v>
      </c>
      <c r="P21" s="1046">
        <f>IF(Currency="VND",'W5'!K15/10^3,'W5'!K15*EXR/10^9)</f>
        <v>17.540395390501228</v>
      </c>
      <c r="Q21" s="284"/>
      <c r="R21" s="1099">
        <f>IF(Currency="VND",'W5'!M15/10^3,'W5'!M15*EXR/10^9)</f>
        <v>37.418600270930312</v>
      </c>
      <c r="S21" s="1047">
        <f>IF(Currency="VND",'W5'!O15/10^3,'W5'!O15*EXR/10^9)</f>
        <v>-105.7885276119859</v>
      </c>
      <c r="T21" s="284"/>
      <c r="U21" s="1126">
        <v>491.97502445455098</v>
      </c>
      <c r="V21" s="1126">
        <v>487.89217992528</v>
      </c>
    </row>
    <row r="22" spans="2:22" x14ac:dyDescent="0.25">
      <c r="B22" s="1100">
        <v>10</v>
      </c>
      <c r="C22" s="1101" t="s">
        <v>554</v>
      </c>
      <c r="D22" s="1100" t="s">
        <v>290</v>
      </c>
      <c r="E22" s="877"/>
      <c r="F22" s="1100" t="s">
        <v>873</v>
      </c>
      <c r="G22" s="1127" t="s">
        <v>771</v>
      </c>
      <c r="H22" s="877"/>
      <c r="I22" s="1100" t="s">
        <v>874</v>
      </c>
      <c r="J22" s="1100" t="s">
        <v>773</v>
      </c>
      <c r="K22" s="877"/>
      <c r="L22" s="1102" t="str">
        <f>'W5'!E13</f>
        <v>6 năm 11 tháng</v>
      </c>
      <c r="M22" s="1103" t="str">
        <f>'W5'!G13</f>
        <v>10 năm 11 tháng</v>
      </c>
      <c r="N22" s="900"/>
      <c r="O22" s="1104" t="str">
        <f>'W5'!I13</f>
        <v>8 năm 04 tháng</v>
      </c>
      <c r="P22" s="1105" t="str">
        <f>'W5'!K13</f>
        <v>14 năm 01 tháng</v>
      </c>
      <c r="Q22" s="900"/>
      <c r="R22" s="1106" t="str">
        <f>'W5'!M13</f>
        <v>12 năm 02 tháng</v>
      </c>
      <c r="S22" s="1107" t="str">
        <f>IF('W5'!O13="0 năm","Không đạt hoàn vốn",'W5'!O13)</f>
        <v>Không đạt hoàn vốn</v>
      </c>
      <c r="T22" s="900"/>
      <c r="U22" s="1100" t="s">
        <v>776</v>
      </c>
      <c r="V22" s="1100" t="s">
        <v>777</v>
      </c>
    </row>
    <row r="23" spans="2:22" s="879" customFormat="1" x14ac:dyDescent="0.25">
      <c r="B23" s="1108">
        <v>11</v>
      </c>
      <c r="C23" s="1109" t="s">
        <v>314</v>
      </c>
      <c r="D23" s="1108" t="s">
        <v>71</v>
      </c>
      <c r="E23" s="1110"/>
      <c r="F23" s="1128">
        <v>0.46489979831303851</v>
      </c>
      <c r="G23" s="1128">
        <v>0.4648997983130384</v>
      </c>
      <c r="H23" s="1110"/>
      <c r="I23" s="1128">
        <v>0.45000487272676248</v>
      </c>
      <c r="J23" s="1128">
        <v>0.45000487272676248</v>
      </c>
      <c r="K23" s="1110"/>
      <c r="L23" s="1111">
        <f>'W5'!F108</f>
        <v>0.43840000000000001</v>
      </c>
      <c r="M23" s="1112">
        <f>'W5'!H108</f>
        <v>0.43840000000000012</v>
      </c>
      <c r="N23" s="1110"/>
      <c r="O23" s="1113">
        <f>'W5'!J108</f>
        <v>0.41248000000000007</v>
      </c>
      <c r="P23" s="1114">
        <f>'W5'!L108</f>
        <v>0.41248000000000018</v>
      </c>
      <c r="Q23" s="1110"/>
      <c r="R23" s="1115">
        <f>'W5'!N108</f>
        <v>0.37395409836065585</v>
      </c>
      <c r="S23" s="1116">
        <f>'W5'!P108</f>
        <v>0.37395409836065596</v>
      </c>
      <c r="T23" s="1110"/>
      <c r="U23" s="1128">
        <v>0.4571820069425534</v>
      </c>
      <c r="V23" s="1128">
        <v>0.4571820069425534</v>
      </c>
    </row>
    <row r="24" spans="2:22" ht="6.75" customHeight="1" thickBot="1" x14ac:dyDescent="0.3">
      <c r="B24" s="900"/>
      <c r="C24" s="232"/>
      <c r="D24" s="900"/>
      <c r="E24" s="877"/>
      <c r="F24" s="877"/>
      <c r="G24" s="877"/>
      <c r="H24" s="877"/>
      <c r="I24" s="877"/>
      <c r="J24" s="877"/>
      <c r="K24" s="877"/>
      <c r="L24" s="1129"/>
      <c r="M24" s="1130"/>
      <c r="N24" s="877"/>
      <c r="O24" s="1131"/>
      <c r="P24" s="1132"/>
      <c r="Q24" s="877"/>
      <c r="R24" s="1133"/>
      <c r="S24" s="1134"/>
      <c r="T24" s="877"/>
      <c r="U24" s="877"/>
      <c r="V24" s="877"/>
    </row>
    <row r="25" spans="2:22" ht="15.75" thickTop="1" x14ac:dyDescent="0.25">
      <c r="B25" s="900"/>
      <c r="C25" s="877"/>
      <c r="D25" s="900"/>
      <c r="E25" s="877"/>
      <c r="F25" s="877"/>
      <c r="G25" s="877"/>
      <c r="H25" s="877"/>
      <c r="I25" s="877"/>
      <c r="J25" s="877"/>
      <c r="K25" s="877"/>
      <c r="L25" s="877"/>
      <c r="M25" s="877"/>
      <c r="N25" s="877"/>
      <c r="O25" s="877"/>
      <c r="P25" s="877"/>
      <c r="Q25" s="877"/>
      <c r="R25" s="877"/>
      <c r="S25" s="877"/>
      <c r="T25" s="877"/>
      <c r="U25" s="877"/>
      <c r="V25" s="877"/>
    </row>
    <row r="26" spans="2:22" x14ac:dyDescent="0.25">
      <c r="B26" s="1135"/>
      <c r="C26" s="1136" t="s">
        <v>893</v>
      </c>
      <c r="D26" s="1135"/>
      <c r="E26" s="1137"/>
      <c r="F26" s="1135"/>
      <c r="G26" s="1135"/>
      <c r="H26" s="1137"/>
      <c r="I26" s="1135"/>
      <c r="J26" s="1135"/>
      <c r="K26" s="1137"/>
      <c r="L26" s="1135" t="s">
        <v>875</v>
      </c>
      <c r="M26" s="1135" t="s">
        <v>875</v>
      </c>
      <c r="N26" s="1137"/>
      <c r="O26" s="1135" t="s">
        <v>875</v>
      </c>
      <c r="P26" s="1135" t="s">
        <v>875</v>
      </c>
      <c r="Q26" s="1137"/>
      <c r="R26" s="1135" t="s">
        <v>875</v>
      </c>
      <c r="S26" s="1135" t="s">
        <v>875</v>
      </c>
      <c r="T26" s="1137"/>
      <c r="U26" s="1135"/>
      <c r="V26" s="1135"/>
    </row>
    <row r="27" spans="2:22" x14ac:dyDescent="0.25">
      <c r="B27" s="1138"/>
      <c r="C27" s="1139" t="s">
        <v>894</v>
      </c>
      <c r="D27" s="1138"/>
      <c r="E27" s="1140"/>
      <c r="F27" s="1138"/>
      <c r="G27" s="1138" t="s">
        <v>875</v>
      </c>
      <c r="H27" s="1140"/>
      <c r="I27" s="1138"/>
      <c r="J27" s="1138" t="s">
        <v>875</v>
      </c>
      <c r="K27" s="1140"/>
      <c r="L27" s="1138"/>
      <c r="M27" s="1138" t="s">
        <v>875</v>
      </c>
      <c r="N27" s="1140"/>
      <c r="O27" s="1138"/>
      <c r="P27" s="1138" t="s">
        <v>875</v>
      </c>
      <c r="Q27" s="1140"/>
      <c r="R27" s="1138"/>
      <c r="S27" s="1138" t="s">
        <v>875</v>
      </c>
      <c r="T27" s="1140"/>
      <c r="U27" s="1138"/>
      <c r="V27" s="1138"/>
    </row>
    <row r="28" spans="2:22" x14ac:dyDescent="0.25">
      <c r="L28" s="15"/>
      <c r="M28" s="15"/>
    </row>
    <row r="29" spans="2:22" hidden="1" x14ac:dyDescent="0.25">
      <c r="C29" t="s">
        <v>167</v>
      </c>
      <c r="G29" s="901">
        <v>1033</v>
      </c>
      <c r="J29" s="901">
        <v>1033</v>
      </c>
    </row>
  </sheetData>
  <mergeCells count="18">
    <mergeCell ref="B9:B11"/>
    <mergeCell ref="C9:C11"/>
    <mergeCell ref="D9:D11"/>
    <mergeCell ref="G9:G10"/>
    <mergeCell ref="J9:J10"/>
    <mergeCell ref="F9:F10"/>
    <mergeCell ref="I9:I10"/>
    <mergeCell ref="R10:R11"/>
    <mergeCell ref="S10:S11"/>
    <mergeCell ref="V9:V10"/>
    <mergeCell ref="U9:U10"/>
    <mergeCell ref="L10:L11"/>
    <mergeCell ref="L9:M9"/>
    <mergeCell ref="M10:M11"/>
    <mergeCell ref="R9:S9"/>
    <mergeCell ref="O10:O11"/>
    <mergeCell ref="P10:P11"/>
    <mergeCell ref="O9:P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F8146-0FC4-4AF9-95A2-D75A93947B6C}">
  <dimension ref="A3:AT124"/>
  <sheetViews>
    <sheetView showGridLines="0" zoomScaleNormal="100" workbookViewId="0">
      <pane ySplit="5" topLeftCell="A6" activePane="bottomLeft" state="frozen"/>
      <selection activeCell="C1" sqref="C1"/>
      <selection pane="bottomLeft" activeCell="H17" sqref="H17"/>
    </sheetView>
  </sheetViews>
  <sheetFormatPr defaultRowHeight="15" outlineLevelRow="1" outlineLevelCol="1" x14ac:dyDescent="0.25"/>
  <cols>
    <col min="1" max="2" width="8.75" customWidth="1" outlineLevel="1"/>
    <col min="3" max="3" width="5" style="20" customWidth="1"/>
    <col min="4" max="4" width="25.375" bestFit="1" customWidth="1"/>
    <col min="5" max="5" width="11.75" style="65" bestFit="1" customWidth="1"/>
    <col min="6" max="6" width="8.375" bestFit="1" customWidth="1"/>
    <col min="7" max="7" width="1.625" customWidth="1"/>
    <col min="8" max="8" width="12.875" customWidth="1"/>
    <col min="9" max="9" width="11" customWidth="1"/>
    <col min="10" max="10" width="1.625" customWidth="1"/>
    <col min="11" max="11" width="11.875" customWidth="1"/>
    <col min="12" max="12" width="7.25" style="65" customWidth="1"/>
    <col min="13" max="13" width="1.625" customWidth="1"/>
    <col min="14" max="14" width="17.125" customWidth="1"/>
    <col min="15" max="15" width="7.5" style="65" customWidth="1"/>
    <col min="16" max="16" width="1.625" customWidth="1"/>
    <col min="17" max="17" width="16.875" customWidth="1"/>
    <col min="18" max="18" width="8.25" style="65" customWidth="1"/>
    <col min="19" max="19" width="1.625" customWidth="1"/>
    <col min="20" max="20" width="13.625" customWidth="1"/>
    <col min="21" max="21" width="8.25" customWidth="1"/>
    <col min="22" max="22" width="1.625" customWidth="1"/>
    <col min="23" max="23" width="13.25" customWidth="1"/>
    <col min="24" max="24" width="7.375" customWidth="1"/>
    <col min="25" max="25" width="1.875" customWidth="1"/>
    <col min="26" max="26" width="13.25" customWidth="1"/>
    <col min="27" max="27" width="7.375" customWidth="1"/>
    <col min="28" max="28" width="1.875" customWidth="1"/>
    <col min="29" max="29" width="13.25" customWidth="1"/>
    <col min="30" max="30" width="7.375" customWidth="1"/>
    <col min="31" max="31" width="1.875" customWidth="1"/>
    <col min="32" max="32" width="13.25" customWidth="1"/>
    <col min="33" max="33" width="7.375" customWidth="1"/>
    <col min="34" max="34" width="1.875" customWidth="1"/>
    <col min="35" max="35" width="13.25" customWidth="1"/>
    <col min="36" max="36" width="7.375" customWidth="1"/>
    <col min="37" max="37" width="1.875" customWidth="1"/>
    <col min="38" max="38" width="15.75" style="250" bestFit="1" customWidth="1"/>
    <col min="41" max="41" width="18.75" bestFit="1" customWidth="1"/>
    <col min="42" max="42" width="14.75" bestFit="1" customWidth="1"/>
  </cols>
  <sheetData>
    <row r="3" spans="3:38" s="254" customFormat="1" ht="19.5" x14ac:dyDescent="0.3">
      <c r="C3" s="253"/>
      <c r="D3" s="31" t="s">
        <v>408</v>
      </c>
      <c r="E3" s="308"/>
      <c r="F3" s="31"/>
      <c r="G3"/>
      <c r="J3"/>
      <c r="L3" s="716"/>
      <c r="M3"/>
      <c r="O3" s="716"/>
      <c r="P3"/>
      <c r="R3" s="716"/>
      <c r="S3"/>
      <c r="U3"/>
      <c r="V3"/>
    </row>
    <row r="4" spans="3:38" s="714" customFormat="1" ht="31.9" customHeight="1" x14ac:dyDescent="0.25">
      <c r="C4" s="713"/>
      <c r="D4" s="1163" t="s">
        <v>556</v>
      </c>
      <c r="E4" s="1163"/>
      <c r="G4"/>
      <c r="H4" s="1162" t="s">
        <v>853</v>
      </c>
      <c r="I4" s="1162"/>
      <c r="J4"/>
      <c r="K4" s="1162" t="s">
        <v>852</v>
      </c>
      <c r="L4" s="1162"/>
      <c r="M4"/>
      <c r="N4" s="1161" t="s">
        <v>863</v>
      </c>
      <c r="O4" s="1161"/>
      <c r="P4"/>
      <c r="Q4" s="1161" t="s">
        <v>864</v>
      </c>
      <c r="R4" s="1161"/>
      <c r="S4"/>
      <c r="T4" s="1161" t="s">
        <v>868</v>
      </c>
      <c r="U4" s="1161"/>
      <c r="V4"/>
      <c r="W4" s="1161" t="s">
        <v>869</v>
      </c>
      <c r="X4" s="1161"/>
      <c r="Z4" s="1161" t="s">
        <v>877</v>
      </c>
      <c r="AA4" s="1161"/>
      <c r="AC4" s="1161" t="s">
        <v>878</v>
      </c>
      <c r="AD4" s="1161"/>
      <c r="AF4" s="1162" t="s">
        <v>865</v>
      </c>
      <c r="AG4" s="1162"/>
      <c r="AI4" s="1162" t="s">
        <v>865</v>
      </c>
      <c r="AJ4" s="1162"/>
      <c r="AL4" s="715" t="s">
        <v>717</v>
      </c>
    </row>
    <row r="5" spans="3:38" s="286" customFormat="1" ht="17.25" x14ac:dyDescent="0.3">
      <c r="C5" s="306" t="s">
        <v>2</v>
      </c>
      <c r="D5" s="307" t="s">
        <v>419</v>
      </c>
      <c r="E5" s="252" t="s">
        <v>62</v>
      </c>
      <c r="F5" s="306" t="s">
        <v>421</v>
      </c>
      <c r="G5"/>
      <c r="H5" s="306" t="s">
        <v>422</v>
      </c>
      <c r="I5" s="306"/>
      <c r="J5"/>
      <c r="K5" s="306" t="s">
        <v>423</v>
      </c>
      <c r="L5" s="717"/>
      <c r="M5"/>
      <c r="N5" s="306" t="s">
        <v>424</v>
      </c>
      <c r="O5" s="717"/>
      <c r="P5"/>
      <c r="Q5" s="306" t="s">
        <v>696</v>
      </c>
      <c r="R5" s="717"/>
      <c r="S5"/>
      <c r="T5" s="306" t="s">
        <v>697</v>
      </c>
      <c r="U5" s="306"/>
      <c r="V5"/>
      <c r="W5" s="306" t="s">
        <v>695</v>
      </c>
      <c r="X5" s="306"/>
      <c r="Z5" s="306" t="s">
        <v>859</v>
      </c>
      <c r="AA5" s="306"/>
      <c r="AC5" s="306" t="s">
        <v>860</v>
      </c>
      <c r="AD5" s="306"/>
      <c r="AF5" s="306" t="s">
        <v>861</v>
      </c>
      <c r="AG5" s="306"/>
      <c r="AI5" s="306" t="s">
        <v>862</v>
      </c>
      <c r="AJ5" s="306"/>
      <c r="AL5" s="22" t="s">
        <v>717</v>
      </c>
    </row>
    <row r="6" spans="3:38" x14ac:dyDescent="0.25">
      <c r="C6" s="492">
        <v>1</v>
      </c>
      <c r="D6" s="459" t="s">
        <v>409</v>
      </c>
      <c r="E6" s="493"/>
      <c r="F6" s="459"/>
      <c r="H6" s="492" t="s">
        <v>567</v>
      </c>
      <c r="I6" s="492"/>
      <c r="K6" s="874"/>
      <c r="L6" s="874"/>
      <c r="M6" s="874"/>
      <c r="N6" s="874"/>
      <c r="O6" s="874"/>
      <c r="P6" s="874"/>
      <c r="Q6" s="874">
        <v>0</v>
      </c>
      <c r="R6" s="874"/>
      <c r="S6" s="874"/>
      <c r="T6" s="878">
        <v>0</v>
      </c>
      <c r="U6" s="874"/>
      <c r="V6" s="874"/>
      <c r="W6" s="878">
        <v>0</v>
      </c>
      <c r="X6" s="494"/>
      <c r="Z6" s="878">
        <v>0</v>
      </c>
      <c r="AA6" s="494"/>
      <c r="AC6" s="878">
        <v>0</v>
      </c>
      <c r="AD6" s="494"/>
      <c r="AF6" s="878">
        <v>0</v>
      </c>
      <c r="AG6" s="494"/>
      <c r="AI6" s="878">
        <v>0</v>
      </c>
      <c r="AJ6" s="494"/>
    </row>
    <row r="7" spans="3:38" x14ac:dyDescent="0.25">
      <c r="C7" s="495">
        <v>2</v>
      </c>
      <c r="D7" s="454" t="s">
        <v>79</v>
      </c>
      <c r="E7" s="496"/>
      <c r="F7" s="454"/>
      <c r="H7" s="495" t="s">
        <v>567</v>
      </c>
      <c r="I7" s="495"/>
      <c r="K7" s="874"/>
      <c r="L7" s="874"/>
      <c r="M7" s="874"/>
      <c r="N7" s="874"/>
      <c r="O7" s="874"/>
      <c r="P7" s="874"/>
      <c r="Q7" s="874">
        <v>0</v>
      </c>
      <c r="R7" s="874"/>
      <c r="S7" s="874"/>
      <c r="T7" s="874">
        <v>0</v>
      </c>
      <c r="U7" s="874"/>
      <c r="V7" s="874"/>
      <c r="W7" s="874">
        <v>0</v>
      </c>
      <c r="X7" s="497"/>
      <c r="Z7" s="874">
        <v>0</v>
      </c>
      <c r="AA7" s="497"/>
      <c r="AC7" s="874">
        <v>0</v>
      </c>
      <c r="AD7" s="497"/>
      <c r="AF7" s="874">
        <v>0</v>
      </c>
      <c r="AG7" s="497"/>
      <c r="AI7" s="874">
        <v>0</v>
      </c>
      <c r="AJ7" s="497"/>
    </row>
    <row r="8" spans="3:38" x14ac:dyDescent="0.25">
      <c r="C8" s="495"/>
      <c r="D8" s="454" t="s">
        <v>614</v>
      </c>
      <c r="E8" s="496"/>
      <c r="F8" s="454"/>
      <c r="H8" s="498">
        <v>0.02</v>
      </c>
      <c r="I8" s="498"/>
      <c r="K8" s="874">
        <v>0.02</v>
      </c>
      <c r="L8" s="874"/>
      <c r="M8" s="874"/>
      <c r="N8" s="874">
        <v>0.02</v>
      </c>
      <c r="O8" s="874"/>
      <c r="P8" s="874"/>
      <c r="Q8" s="874">
        <v>0.02</v>
      </c>
      <c r="R8" s="874"/>
      <c r="S8" s="874"/>
      <c r="T8" s="874">
        <v>0.02</v>
      </c>
      <c r="U8" s="874"/>
      <c r="V8" s="874"/>
      <c r="W8" s="874">
        <v>0.02</v>
      </c>
      <c r="X8" s="497"/>
      <c r="Z8" s="874">
        <v>0.02</v>
      </c>
      <c r="AA8" s="497"/>
      <c r="AC8" s="874">
        <v>0.02</v>
      </c>
      <c r="AD8" s="497"/>
      <c r="AF8" s="874">
        <v>0.02</v>
      </c>
      <c r="AG8" s="497"/>
      <c r="AI8" s="874">
        <v>0.02</v>
      </c>
      <c r="AJ8" s="497"/>
    </row>
    <row r="9" spans="3:38" x14ac:dyDescent="0.25">
      <c r="C9" s="495">
        <v>3</v>
      </c>
      <c r="D9" s="454" t="s">
        <v>410</v>
      </c>
      <c r="E9" s="496"/>
      <c r="F9" s="499">
        <v>0.05</v>
      </c>
      <c r="H9" s="498"/>
      <c r="I9" s="498"/>
      <c r="K9" s="498"/>
      <c r="L9" s="498"/>
      <c r="N9" s="498"/>
      <c r="O9" s="498"/>
      <c r="Q9" s="498"/>
      <c r="R9" s="718"/>
      <c r="T9" s="498"/>
      <c r="U9" s="498"/>
      <c r="W9" s="498"/>
      <c r="X9" s="498"/>
      <c r="Z9" s="498"/>
      <c r="AA9" s="498"/>
      <c r="AC9" s="498"/>
      <c r="AD9" s="498"/>
      <c r="AF9" s="498"/>
      <c r="AG9" s="498"/>
      <c r="AI9" s="498"/>
      <c r="AJ9" s="498"/>
    </row>
    <row r="10" spans="3:38" x14ac:dyDescent="0.25">
      <c r="C10" s="495">
        <v>4</v>
      </c>
      <c r="D10" s="454" t="s">
        <v>411</v>
      </c>
      <c r="E10" s="496"/>
      <c r="F10" s="463">
        <v>26000</v>
      </c>
      <c r="H10" s="454"/>
      <c r="I10" s="454"/>
      <c r="K10" s="454"/>
      <c r="L10" s="454"/>
      <c r="N10" s="454"/>
      <c r="O10" s="454"/>
      <c r="Q10" s="454"/>
      <c r="R10" s="496"/>
      <c r="T10" s="454"/>
      <c r="U10" s="454"/>
      <c r="W10" s="454"/>
      <c r="X10" s="454"/>
      <c r="Z10" s="454"/>
      <c r="AA10" s="454"/>
      <c r="AC10" s="454"/>
      <c r="AD10" s="454"/>
      <c r="AF10" s="454"/>
      <c r="AG10" s="454"/>
      <c r="AI10" s="454"/>
      <c r="AJ10" s="454"/>
    </row>
    <row r="11" spans="3:38" x14ac:dyDescent="0.25">
      <c r="C11" s="495">
        <v>5</v>
      </c>
      <c r="D11" s="454" t="s">
        <v>46</v>
      </c>
      <c r="E11" s="496"/>
      <c r="F11" s="499">
        <v>0.2</v>
      </c>
      <c r="H11" s="454"/>
      <c r="I11" s="454"/>
      <c r="K11" s="454"/>
      <c r="L11" s="454"/>
      <c r="N11" s="454"/>
      <c r="O11" s="454"/>
      <c r="Q11" s="454"/>
      <c r="R11" s="496"/>
      <c r="T11" s="454"/>
      <c r="U11" s="454"/>
      <c r="W11" s="454"/>
      <c r="X11" s="454"/>
      <c r="Z11" s="454"/>
      <c r="AA11" s="454"/>
      <c r="AC11" s="454"/>
      <c r="AD11" s="454"/>
      <c r="AF11" s="454"/>
      <c r="AG11" s="454"/>
      <c r="AI11" s="454"/>
      <c r="AJ11" s="454"/>
    </row>
    <row r="12" spans="3:38" x14ac:dyDescent="0.25">
      <c r="C12" s="495">
        <v>6</v>
      </c>
      <c r="D12" s="454" t="s">
        <v>568</v>
      </c>
      <c r="E12" s="496"/>
      <c r="F12" s="499"/>
      <c r="H12" s="499">
        <f t="shared" ref="H12:W12" si="0">5%/(1-Tax_rate-5%)</f>
        <v>6.6666666666666666E-2</v>
      </c>
      <c r="I12" s="499"/>
      <c r="K12" s="499">
        <f t="shared" si="0"/>
        <v>6.6666666666666666E-2</v>
      </c>
      <c r="L12" s="499"/>
      <c r="N12" s="499">
        <f t="shared" si="0"/>
        <v>6.6666666666666666E-2</v>
      </c>
      <c r="O12" s="499"/>
      <c r="Q12" s="499">
        <f t="shared" si="0"/>
        <v>6.6666666666666666E-2</v>
      </c>
      <c r="R12" s="719"/>
      <c r="T12" s="499">
        <f t="shared" si="0"/>
        <v>6.6666666666666666E-2</v>
      </c>
      <c r="U12" s="499"/>
      <c r="W12" s="499">
        <f t="shared" si="0"/>
        <v>6.6666666666666666E-2</v>
      </c>
      <c r="X12" s="499"/>
      <c r="Z12" s="499">
        <f t="shared" ref="Z12" si="1">5%/(1-Tax_rate-5%)</f>
        <v>6.6666666666666666E-2</v>
      </c>
      <c r="AA12" s="499"/>
      <c r="AC12" s="499">
        <f t="shared" ref="AC12" si="2">5%/(1-Tax_rate-5%)</f>
        <v>6.6666666666666666E-2</v>
      </c>
      <c r="AD12" s="499"/>
      <c r="AF12" s="499">
        <f t="shared" ref="AF12:AI12" si="3">5%/(1-Tax_rate-5%)</f>
        <v>6.6666666666666666E-2</v>
      </c>
      <c r="AG12" s="499"/>
      <c r="AI12" s="499">
        <f t="shared" si="3"/>
        <v>6.6666666666666666E-2</v>
      </c>
      <c r="AJ12" s="499"/>
    </row>
    <row r="13" spans="3:38" x14ac:dyDescent="0.25">
      <c r="C13" s="500" t="s">
        <v>440</v>
      </c>
      <c r="D13" s="501" t="s">
        <v>508</v>
      </c>
      <c r="E13" s="502" t="s">
        <v>475</v>
      </c>
      <c r="F13" s="503"/>
      <c r="H13" s="504">
        <f t="shared" ref="H13:W13" si="4">H14*PHOI_KG*10^3/10^6</f>
        <v>45.333333333333336</v>
      </c>
      <c r="I13" s="504"/>
      <c r="K13" s="504">
        <f t="shared" si="4"/>
        <v>45.333333333333336</v>
      </c>
      <c r="L13" s="504"/>
      <c r="N13" s="504">
        <f t="shared" si="4"/>
        <v>43.333333333333336</v>
      </c>
      <c r="O13" s="504"/>
      <c r="Q13" s="504">
        <f t="shared" si="4"/>
        <v>43.333333333333336</v>
      </c>
      <c r="R13" s="720"/>
      <c r="T13" s="504">
        <f t="shared" si="4"/>
        <v>40.666666666666671</v>
      </c>
      <c r="U13" s="504"/>
      <c r="W13" s="504">
        <f t="shared" si="4"/>
        <v>40.666666666666671</v>
      </c>
      <c r="X13" s="738"/>
      <c r="Z13" s="504">
        <f t="shared" ref="Z13" si="5">Z14*PHOI_KG*10^3/10^6</f>
        <v>39.065014417139011</v>
      </c>
      <c r="AA13" s="738"/>
      <c r="AC13" s="504">
        <f t="shared" ref="AC13" si="6">AC14*PHOI_KG*10^3/10^6</f>
        <v>41.282922367591155</v>
      </c>
      <c r="AD13" s="738"/>
      <c r="AF13" s="504">
        <f t="shared" ref="AF13:AI13" si="7">AF14*PHOI_KG*10^3/10^6</f>
        <v>45.333333333333336</v>
      </c>
      <c r="AG13" s="738"/>
      <c r="AI13" s="504">
        <f t="shared" si="7"/>
        <v>45.333333333333336</v>
      </c>
      <c r="AJ13" s="738"/>
      <c r="AL13"/>
    </row>
    <row r="14" spans="3:38" x14ac:dyDescent="0.25">
      <c r="C14" s="505" t="s">
        <v>441</v>
      </c>
      <c r="D14" s="506" t="s">
        <v>508</v>
      </c>
      <c r="E14" s="507" t="s">
        <v>368</v>
      </c>
      <c r="F14" s="508"/>
      <c r="H14" s="509">
        <f>'W5'!AC2</f>
        <v>680</v>
      </c>
      <c r="I14" s="509"/>
      <c r="K14" s="509">
        <f>'W5'!AD2</f>
        <v>680</v>
      </c>
      <c r="L14" s="509"/>
      <c r="N14" s="509">
        <f>'W5'!AE2</f>
        <v>650</v>
      </c>
      <c r="O14" s="509"/>
      <c r="Q14" s="509">
        <f>'W5'!AF2</f>
        <v>650</v>
      </c>
      <c r="R14" s="721"/>
      <c r="T14" s="509">
        <f>'W5'!AG2</f>
        <v>610</v>
      </c>
      <c r="U14" s="509"/>
      <c r="W14" s="509">
        <f>'W5'!AH2</f>
        <v>610</v>
      </c>
      <c r="X14" s="739"/>
      <c r="Z14" s="509">
        <f>'W5'!AI2</f>
        <v>585.97521625708509</v>
      </c>
      <c r="AA14" s="739"/>
      <c r="AC14" s="509">
        <f>'W5'!AJ2</f>
        <v>619.24383551386734</v>
      </c>
      <c r="AD14" s="739"/>
      <c r="AF14" s="509">
        <f>'W5'!AK2</f>
        <v>680</v>
      </c>
      <c r="AG14" s="739"/>
      <c r="AI14" s="509">
        <f>'W5'!AL2</f>
        <v>680</v>
      </c>
      <c r="AJ14" s="739"/>
      <c r="AL14" t="s">
        <v>626</v>
      </c>
    </row>
    <row r="15" spans="3:38" x14ac:dyDescent="0.25">
      <c r="C15" s="495" t="s">
        <v>442</v>
      </c>
      <c r="D15" s="454" t="s">
        <v>508</v>
      </c>
      <c r="E15" s="496" t="s">
        <v>369</v>
      </c>
      <c r="F15" s="499"/>
      <c r="H15" s="463">
        <f t="shared" ref="H15:W15" si="8">H13/EXR*10^6</f>
        <v>1743.5897435897436</v>
      </c>
      <c r="I15" s="463"/>
      <c r="K15" s="463">
        <f t="shared" si="8"/>
        <v>1743.5897435897436</v>
      </c>
      <c r="L15" s="463"/>
      <c r="N15" s="463">
        <f t="shared" si="8"/>
        <v>1666.6666666666667</v>
      </c>
      <c r="O15" s="463"/>
      <c r="Q15" s="463">
        <f t="shared" si="8"/>
        <v>1666.6666666666667</v>
      </c>
      <c r="R15" s="722"/>
      <c r="T15" s="463">
        <f t="shared" si="8"/>
        <v>1564.1025641025642</v>
      </c>
      <c r="U15" s="463"/>
      <c r="W15" s="463">
        <f t="shared" si="8"/>
        <v>1564.1025641025642</v>
      </c>
      <c r="X15" s="221"/>
      <c r="Z15" s="463">
        <f t="shared" ref="Z15" si="9">Z13/EXR*10^6</f>
        <v>1502.5005545053466</v>
      </c>
      <c r="AA15" s="221"/>
      <c r="AC15" s="463">
        <f t="shared" ref="AC15" si="10">AC13/EXR*10^6</f>
        <v>1587.8047064458137</v>
      </c>
      <c r="AD15" s="221"/>
      <c r="AF15" s="463">
        <f t="shared" ref="AF15" si="11">AF13/EXR*10^6</f>
        <v>1743.5897435897436</v>
      </c>
      <c r="AG15" s="221"/>
      <c r="AI15" s="463">
        <f t="shared" ref="AI15" si="12">AI13/EXR*10^6</f>
        <v>1743.5897435897436</v>
      </c>
      <c r="AJ15" s="221"/>
      <c r="AL15"/>
    </row>
    <row r="16" spans="3:38" x14ac:dyDescent="0.25">
      <c r="C16" s="495" t="s">
        <v>443</v>
      </c>
      <c r="D16" s="454" t="s">
        <v>508</v>
      </c>
      <c r="E16" s="496" t="s">
        <v>494</v>
      </c>
      <c r="F16" s="499"/>
      <c r="H16" s="463">
        <f>H15/PHOI_KG</f>
        <v>26.153846153846153</v>
      </c>
      <c r="I16" s="463"/>
      <c r="K16" s="463">
        <f>K15/PHOI_KG</f>
        <v>26.153846153846153</v>
      </c>
      <c r="L16" s="463"/>
      <c r="N16" s="463"/>
      <c r="O16" s="463"/>
      <c r="Q16" s="463"/>
      <c r="R16" s="722"/>
      <c r="T16" s="463"/>
      <c r="U16" s="463"/>
      <c r="W16" s="463">
        <f>W15/PHOI_KG</f>
        <v>23.46153846153846</v>
      </c>
      <c r="X16" s="221"/>
      <c r="Z16" s="463">
        <f>Z15/PHOI_KG</f>
        <v>22.537508317580198</v>
      </c>
      <c r="AA16" s="221"/>
      <c r="AC16" s="463">
        <f>AC15/PHOI_KG</f>
        <v>23.817070596687206</v>
      </c>
      <c r="AD16" s="221"/>
      <c r="AF16" s="463">
        <f>AF15/PHOI_KG</f>
        <v>26.153846153846153</v>
      </c>
      <c r="AG16" s="221"/>
      <c r="AI16" s="463">
        <f>AI15/PHOI_KG</f>
        <v>26.153846153846153</v>
      </c>
      <c r="AJ16" s="221"/>
      <c r="AL16"/>
    </row>
    <row r="17" spans="3:38" x14ac:dyDescent="0.25">
      <c r="C17" s="510">
        <v>8</v>
      </c>
      <c r="D17" s="511" t="s">
        <v>507</v>
      </c>
      <c r="E17" s="512"/>
      <c r="F17" s="513"/>
      <c r="H17" s="513">
        <v>0.02</v>
      </c>
      <c r="I17" s="513"/>
      <c r="K17" s="513">
        <v>0.02</v>
      </c>
      <c r="L17" s="513"/>
      <c r="N17" s="513">
        <v>0.02</v>
      </c>
      <c r="O17" s="513"/>
      <c r="Q17" s="513">
        <v>0.02</v>
      </c>
      <c r="R17" s="723"/>
      <c r="T17" s="513">
        <v>0.02</v>
      </c>
      <c r="U17" s="513"/>
      <c r="W17" s="513">
        <v>0.02</v>
      </c>
      <c r="X17" s="740"/>
      <c r="Z17" s="513">
        <v>0.02</v>
      </c>
      <c r="AA17" s="740"/>
      <c r="AC17" s="513">
        <v>0.02</v>
      </c>
      <c r="AD17" s="740"/>
      <c r="AF17" s="513">
        <v>0.02</v>
      </c>
      <c r="AG17" s="740"/>
      <c r="AI17" s="513">
        <v>0.02</v>
      </c>
      <c r="AJ17" s="740"/>
      <c r="AL17" t="s">
        <v>572</v>
      </c>
    </row>
    <row r="18" spans="3:38" ht="15.75" thickBot="1" x14ac:dyDescent="0.3">
      <c r="F18" s="32"/>
      <c r="H18" s="32"/>
      <c r="I18" s="32"/>
      <c r="K18" s="32"/>
      <c r="L18" s="32"/>
      <c r="N18" s="32"/>
      <c r="O18" s="32"/>
      <c r="Q18" s="32"/>
      <c r="R18" s="724"/>
      <c r="T18" s="32"/>
      <c r="U18" s="32"/>
      <c r="W18" s="32"/>
      <c r="X18" s="32"/>
      <c r="Z18" s="32"/>
      <c r="AA18" s="32"/>
      <c r="AC18" s="32"/>
      <c r="AD18" s="32"/>
      <c r="AF18" s="32"/>
      <c r="AG18" s="32"/>
      <c r="AI18" s="32"/>
      <c r="AJ18" s="32"/>
    </row>
    <row r="19" spans="3:38" x14ac:dyDescent="0.25">
      <c r="C19" s="514" t="s">
        <v>509</v>
      </c>
      <c r="D19" s="515" t="s">
        <v>48</v>
      </c>
      <c r="E19" s="516"/>
      <c r="F19" s="515"/>
      <c r="G19" s="742"/>
      <c r="H19" s="686">
        <v>7.0000000000000007E-2</v>
      </c>
      <c r="I19" s="517"/>
      <c r="J19" s="742"/>
      <c r="K19" s="686">
        <v>7.0000000000000007E-2</v>
      </c>
      <c r="L19" s="517"/>
      <c r="M19" s="742"/>
      <c r="N19" s="686">
        <v>7.0000000000000007E-2</v>
      </c>
      <c r="O19" s="517"/>
      <c r="P19" s="742"/>
      <c r="Q19" s="686">
        <v>7.0000000000000007E-2</v>
      </c>
      <c r="R19" s="725"/>
      <c r="S19" s="742"/>
      <c r="T19" s="686">
        <v>7.0000000000000007E-2</v>
      </c>
      <c r="U19" s="517"/>
      <c r="V19" s="742"/>
      <c r="W19" s="748">
        <v>7.0000000000000007E-2</v>
      </c>
      <c r="X19" s="748"/>
      <c r="Y19" s="214"/>
      <c r="Z19" s="748">
        <v>7.0000000000000007E-2</v>
      </c>
      <c r="AA19" s="748"/>
      <c r="AB19" s="214"/>
      <c r="AC19" s="748">
        <v>7.0000000000000007E-2</v>
      </c>
      <c r="AD19" s="748"/>
      <c r="AE19" s="214"/>
      <c r="AF19" s="748">
        <v>7.0000000000000007E-2</v>
      </c>
      <c r="AG19" s="748"/>
      <c r="AH19" s="214"/>
      <c r="AI19" s="748">
        <v>7.0000000000000007E-2</v>
      </c>
      <c r="AJ19" s="750"/>
    </row>
    <row r="20" spans="3:38" x14ac:dyDescent="0.25">
      <c r="C20" s="518" t="s">
        <v>510</v>
      </c>
      <c r="D20" s="454" t="s">
        <v>689</v>
      </c>
      <c r="E20" s="496"/>
      <c r="F20" s="454"/>
      <c r="H20" s="894">
        <v>0.1</v>
      </c>
      <c r="I20" s="499"/>
      <c r="K20" s="499">
        <v>0.1</v>
      </c>
      <c r="L20" s="499"/>
      <c r="N20" s="499">
        <v>0.1</v>
      </c>
      <c r="O20" s="499"/>
      <c r="Q20" s="499">
        <v>0.1</v>
      </c>
      <c r="R20" s="719"/>
      <c r="T20" s="499">
        <v>0.1</v>
      </c>
      <c r="U20" s="499"/>
      <c r="W20" s="499">
        <v>0.1</v>
      </c>
      <c r="X20" s="499"/>
      <c r="Z20" s="499">
        <v>0.1</v>
      </c>
      <c r="AA20" s="499"/>
      <c r="AC20" s="499">
        <v>0.1</v>
      </c>
      <c r="AD20" s="499"/>
      <c r="AF20" s="499">
        <v>0.1</v>
      </c>
      <c r="AG20" s="499"/>
      <c r="AI20" s="499">
        <v>0.1</v>
      </c>
      <c r="AJ20" s="751"/>
    </row>
    <row r="21" spans="3:38" x14ac:dyDescent="0.25">
      <c r="C21" s="518" t="s">
        <v>511</v>
      </c>
      <c r="D21" s="454" t="s">
        <v>49</v>
      </c>
      <c r="E21" s="496"/>
      <c r="F21" s="454"/>
      <c r="H21" s="894">
        <v>0.7</v>
      </c>
      <c r="I21" s="499"/>
      <c r="K21" s="499">
        <v>0.7</v>
      </c>
      <c r="L21" s="499"/>
      <c r="N21" s="499">
        <v>0.7</v>
      </c>
      <c r="O21" s="499"/>
      <c r="Q21" s="499">
        <v>0.7</v>
      </c>
      <c r="R21" s="719"/>
      <c r="T21" s="499">
        <v>0.7</v>
      </c>
      <c r="U21" s="499"/>
      <c r="W21" s="499">
        <v>0.7</v>
      </c>
      <c r="X21" s="499"/>
      <c r="Z21" s="499">
        <v>0.7</v>
      </c>
      <c r="AA21" s="499"/>
      <c r="AC21" s="499">
        <v>0.7</v>
      </c>
      <c r="AD21" s="499"/>
      <c r="AF21" s="499">
        <v>0.7</v>
      </c>
      <c r="AG21" s="499"/>
      <c r="AI21" s="499">
        <v>0.7</v>
      </c>
      <c r="AJ21" s="751"/>
    </row>
    <row r="22" spans="3:38" x14ac:dyDescent="0.25">
      <c r="C22" s="518" t="s">
        <v>512</v>
      </c>
      <c r="D22" s="454" t="s">
        <v>50</v>
      </c>
      <c r="E22" s="496"/>
      <c r="F22" s="454"/>
      <c r="H22" s="894">
        <f>1-H21</f>
        <v>0.30000000000000004</v>
      </c>
      <c r="I22" s="499"/>
      <c r="K22" s="499">
        <f t="shared" ref="K22:W22" si="13">1-K21</f>
        <v>0.30000000000000004</v>
      </c>
      <c r="L22" s="499"/>
      <c r="N22" s="499">
        <f t="shared" ref="N22:T22" si="14">1-N21</f>
        <v>0.30000000000000004</v>
      </c>
      <c r="O22" s="499"/>
      <c r="Q22" s="499">
        <f t="shared" si="14"/>
        <v>0.30000000000000004</v>
      </c>
      <c r="R22" s="719"/>
      <c r="T22" s="499">
        <f t="shared" si="14"/>
        <v>0.30000000000000004</v>
      </c>
      <c r="U22" s="499"/>
      <c r="W22" s="499">
        <f t="shared" si="13"/>
        <v>0.30000000000000004</v>
      </c>
      <c r="X22" s="499"/>
      <c r="Z22" s="499">
        <f t="shared" ref="Z22" si="15">1-Z21</f>
        <v>0.30000000000000004</v>
      </c>
      <c r="AA22" s="499"/>
      <c r="AC22" s="499">
        <f t="shared" ref="AC22" si="16">1-AC21</f>
        <v>0.30000000000000004</v>
      </c>
      <c r="AD22" s="499"/>
      <c r="AF22" s="499">
        <f t="shared" ref="AF22" si="17">1-AF21</f>
        <v>0.30000000000000004</v>
      </c>
      <c r="AG22" s="499"/>
      <c r="AI22" s="499">
        <f t="shared" ref="AI22" si="18">1-AI21</f>
        <v>0.30000000000000004</v>
      </c>
      <c r="AJ22" s="751"/>
    </row>
    <row r="23" spans="3:38" ht="15.75" thickBot="1" x14ac:dyDescent="0.3">
      <c r="C23" s="519" t="s">
        <v>513</v>
      </c>
      <c r="D23" s="520" t="s">
        <v>51</v>
      </c>
      <c r="E23" s="521"/>
      <c r="F23" s="520"/>
      <c r="G23" s="743"/>
      <c r="H23" s="522">
        <f t="shared" ref="H23:W23" si="19">(H19*H21*(1-Tax_rate)+H20*H22)*(1+Inflation)</f>
        <v>7.2660000000000016E-2</v>
      </c>
      <c r="I23" s="522"/>
      <c r="J23" s="743"/>
      <c r="K23" s="522">
        <f t="shared" si="19"/>
        <v>7.2660000000000016E-2</v>
      </c>
      <c r="L23" s="522"/>
      <c r="M23" s="743"/>
      <c r="N23" s="522">
        <f t="shared" si="19"/>
        <v>7.2660000000000016E-2</v>
      </c>
      <c r="O23" s="522"/>
      <c r="P23" s="743"/>
      <c r="Q23" s="522">
        <f t="shared" si="19"/>
        <v>7.2660000000000016E-2</v>
      </c>
      <c r="R23" s="726"/>
      <c r="S23" s="743"/>
      <c r="T23" s="522">
        <f t="shared" si="19"/>
        <v>7.2660000000000016E-2</v>
      </c>
      <c r="U23" s="522"/>
      <c r="V23" s="743"/>
      <c r="W23" s="749">
        <f t="shared" si="19"/>
        <v>7.2660000000000016E-2</v>
      </c>
      <c r="X23" s="749"/>
      <c r="Y23" s="340"/>
      <c r="Z23" s="749">
        <f t="shared" ref="Z23" si="20">(Z19*Z21*(1-Tax_rate)+Z20*Z22)*(1+Inflation)</f>
        <v>7.2660000000000016E-2</v>
      </c>
      <c r="AA23" s="749"/>
      <c r="AB23" s="340"/>
      <c r="AC23" s="749">
        <f t="shared" ref="AC23" si="21">(AC19*AC21*(1-Tax_rate)+AC20*AC22)*(1+Inflation)</f>
        <v>7.2660000000000016E-2</v>
      </c>
      <c r="AD23" s="749"/>
      <c r="AE23" s="340"/>
      <c r="AF23" s="749">
        <f t="shared" ref="AF23" si="22">(AF19*AF21*(1-Tax_rate)+AF20*AF22)*(1+Inflation)</f>
        <v>7.2660000000000016E-2</v>
      </c>
      <c r="AG23" s="749"/>
      <c r="AH23" s="340"/>
      <c r="AI23" s="749">
        <f t="shared" ref="AI23" si="23">(AI19*AI21*(1-Tax_rate)+AI20*AI22)*(1+Inflation)</f>
        <v>7.2660000000000016E-2</v>
      </c>
      <c r="AJ23" s="752"/>
    </row>
    <row r="25" spans="3:38" x14ac:dyDescent="0.25">
      <c r="C25" s="72" t="s">
        <v>581</v>
      </c>
      <c r="D25" s="127" t="s">
        <v>425</v>
      </c>
      <c r="E25" s="213" t="s">
        <v>318</v>
      </c>
      <c r="F25" s="211">
        <v>15</v>
      </c>
    </row>
    <row r="26" spans="3:38" x14ac:dyDescent="0.25">
      <c r="C26" s="72" t="s">
        <v>582</v>
      </c>
      <c r="D26" s="127" t="s">
        <v>195</v>
      </c>
      <c r="E26" s="213" t="s">
        <v>426</v>
      </c>
      <c r="F26" s="211">
        <v>128</v>
      </c>
    </row>
    <row r="27" spans="3:38" ht="15.75" thickBot="1" x14ac:dyDescent="0.3">
      <c r="C27" s="72" t="s">
        <v>583</v>
      </c>
      <c r="D27" s="127" t="s">
        <v>188</v>
      </c>
      <c r="E27" s="213" t="s">
        <v>189</v>
      </c>
      <c r="F27" s="211">
        <v>8</v>
      </c>
    </row>
    <row r="28" spans="3:38" ht="15.75" thickBot="1" x14ac:dyDescent="0.3">
      <c r="C28" s="258" t="s">
        <v>584</v>
      </c>
      <c r="D28" s="33" t="s">
        <v>201</v>
      </c>
      <c r="E28" s="102" t="s">
        <v>200</v>
      </c>
      <c r="F28" s="103">
        <f>60*60/F27*F26*F25/10^3</f>
        <v>864</v>
      </c>
      <c r="K28" s="15"/>
      <c r="L28" s="727"/>
      <c r="N28" s="15"/>
      <c r="O28" s="727"/>
      <c r="Q28" s="15"/>
      <c r="R28" s="727"/>
      <c r="T28" s="15"/>
    </row>
    <row r="29" spans="3:38" x14ac:dyDescent="0.25">
      <c r="C29" s="258" t="s">
        <v>585</v>
      </c>
      <c r="D29" s="48" t="s">
        <v>201</v>
      </c>
      <c r="E29" s="255" t="s">
        <v>319</v>
      </c>
      <c r="F29" s="256">
        <f>Capacity/F25*10^3</f>
        <v>57600</v>
      </c>
      <c r="K29" s="15"/>
      <c r="L29" s="727"/>
      <c r="N29" s="15"/>
      <c r="O29" s="727"/>
      <c r="Q29" s="15"/>
      <c r="R29" s="727"/>
      <c r="T29" s="15"/>
    </row>
    <row r="30" spans="3:38" x14ac:dyDescent="0.25">
      <c r="C30" s="72" t="s">
        <v>586</v>
      </c>
      <c r="D30" s="127" t="s">
        <v>438</v>
      </c>
      <c r="E30" s="213" t="s">
        <v>439</v>
      </c>
      <c r="F30" s="257">
        <f>1000/F25</f>
        <v>66.666666666666671</v>
      </c>
      <c r="K30" s="15"/>
      <c r="L30" s="727"/>
      <c r="N30" s="15"/>
      <c r="O30" s="727"/>
      <c r="Q30" s="15"/>
      <c r="R30" s="727"/>
      <c r="T30" s="15"/>
    </row>
    <row r="33" spans="1:46" s="1" customFormat="1" ht="17.25" x14ac:dyDescent="0.3">
      <c r="A33" s="216" t="str">
        <f>MD!A7</f>
        <v>VND</v>
      </c>
      <c r="C33" s="335"/>
      <c r="D33" s="336" t="s">
        <v>418</v>
      </c>
      <c r="E33" s="337"/>
      <c r="F33" s="338"/>
      <c r="G33"/>
      <c r="H33" s="338"/>
      <c r="I33" s="338"/>
      <c r="J33"/>
      <c r="K33" s="338"/>
      <c r="L33" s="337"/>
      <c r="M33"/>
      <c r="N33" s="338"/>
      <c r="O33" s="337"/>
      <c r="P33"/>
      <c r="Q33" s="338"/>
      <c r="R33" s="337"/>
      <c r="S33"/>
      <c r="T33" s="338"/>
      <c r="U33"/>
      <c r="V33"/>
      <c r="W33" s="338"/>
      <c r="X33" s="338"/>
      <c r="Z33" s="338"/>
      <c r="AA33" s="338"/>
      <c r="AC33" s="338"/>
      <c r="AD33" s="338"/>
      <c r="AF33" s="338"/>
      <c r="AG33" s="338"/>
      <c r="AI33" s="338"/>
      <c r="AJ33" s="338"/>
      <c r="AL33" s="16"/>
    </row>
    <row r="34" spans="1:46" x14ac:dyDescent="0.25">
      <c r="A34">
        <f>IF(Currency="USD",1,0.000001)</f>
        <v>9.9999999999999995E-7</v>
      </c>
      <c r="C34" s="72">
        <v>11</v>
      </c>
      <c r="D34" s="1" t="s">
        <v>471</v>
      </c>
      <c r="E34" s="66" t="str">
        <f>IF(Currency="USD","USD","triệu VND")</f>
        <v>triệu VND</v>
      </c>
      <c r="F34" s="1"/>
      <c r="H34" s="39">
        <f>'W1'!I60*$A$34</f>
        <v>300749.8</v>
      </c>
      <c r="I34" s="39"/>
      <c r="K34" s="39">
        <f>'W1'!N60*$A$34</f>
        <v>450749.8</v>
      </c>
      <c r="L34" s="728"/>
      <c r="N34" s="39">
        <f>'W1'!S60*$A$34</f>
        <v>300749.8</v>
      </c>
      <c r="O34" s="728"/>
      <c r="Q34" s="39">
        <f>'W1'!X60*$A$34</f>
        <v>450749.8</v>
      </c>
      <c r="R34" s="728"/>
      <c r="T34" s="39">
        <f>'W1'!AC60*$A$34</f>
        <v>300749.8</v>
      </c>
      <c r="W34" s="39">
        <f>'W1'!AH60*$A$34</f>
        <v>450749.8</v>
      </c>
      <c r="X34" s="39"/>
      <c r="Z34" s="39">
        <f>'W1'!AM60*$A$34</f>
        <v>300749.8</v>
      </c>
      <c r="AA34" s="39"/>
      <c r="AC34" s="39">
        <f>'W1'!AR60*$A$34</f>
        <v>450749.8</v>
      </c>
      <c r="AD34" s="39"/>
      <c r="AF34" s="39">
        <f>'W1'!AW60*$A$34</f>
        <v>300749.8</v>
      </c>
      <c r="AG34" s="39"/>
      <c r="AI34" s="39">
        <f>'W1'!BB60*$A$34</f>
        <v>450749.8</v>
      </c>
      <c r="AJ34" s="39"/>
    </row>
    <row r="35" spans="1:46" x14ac:dyDescent="0.25">
      <c r="B35" t="s">
        <v>517</v>
      </c>
      <c r="C35" s="72">
        <v>12</v>
      </c>
      <c r="D35" t="s">
        <v>484</v>
      </c>
      <c r="E35" s="65" t="s">
        <v>290</v>
      </c>
      <c r="H35" s="263">
        <f>SUMIFS('W3'!$K$18:$K$1670,'W3'!$A$18:$A$1670,H$5,'W3'!$D$18:$D$1670,$B$35)</f>
        <v>6.8999999999999995</v>
      </c>
      <c r="I35" s="263"/>
      <c r="K35" s="263">
        <f>SUMIFS('W3'!$K$18:$K$1670,'W3'!$A$18:$A$1670,K$5,'W3'!$D$18:$D$1670,$B$35)</f>
        <v>10.9</v>
      </c>
      <c r="L35" s="729"/>
      <c r="N35" s="263">
        <f>SUMIFS('W3'!$K$18:$K$1670,'W3'!$A$18:$A$1670,N$5,'W3'!$D$18:$D$1670,$B$35)</f>
        <v>8.2999999999999989</v>
      </c>
      <c r="O35" s="729"/>
      <c r="Q35" s="263">
        <f>SUMIFS('W3'!$K$18:$K$1670,'W3'!$A$18:$A$1670,Q$5,'W3'!$D$18:$D$1670,$B$35)</f>
        <v>14.1</v>
      </c>
      <c r="R35" s="729"/>
      <c r="T35" s="263">
        <f>SUMIFS('W3'!$K$18:$K$1670,'W3'!$A$18:$A$1670,T$5,'W3'!$D$18:$D$1670,$B$35)</f>
        <v>12.2</v>
      </c>
      <c r="W35" s="263">
        <f>SUMIFS('W3'!$K$18:$K$1670,'W3'!$A$18:$A$1670,W$5,'W3'!$D$18:$D$1670,$B$35)</f>
        <v>0</v>
      </c>
      <c r="X35" s="263"/>
      <c r="Z35" s="263">
        <f>SUMIFS('W3'!$K$18:$K$1670,'W3'!$A$18:$A$1670,Z$5,'W3'!$D$18:$D$1670,$B$35)</f>
        <v>0</v>
      </c>
      <c r="AA35" s="263"/>
      <c r="AC35" s="263">
        <f>SUMIFS('W3'!$K$18:$K$1670,'W3'!$A$18:$A$1670,AC$5,'W3'!$D$18:$D$1670,$B$35)</f>
        <v>0</v>
      </c>
      <c r="AD35" s="263"/>
      <c r="AF35" s="263">
        <f>SUMIFS('W3'!$K$18:$K$1670,'W3'!$A$18:$A$1670,AF$5,'W3'!$D$18:$D$1670,$B$35)</f>
        <v>6.8999999999999995</v>
      </c>
      <c r="AG35" s="263"/>
      <c r="AI35" s="263">
        <f>SUMIFS('W3'!$K$18:$K$1670,'W3'!$A$18:$A$1670,AI$5,'W3'!$D$18:$D$1670,$B$35)</f>
        <v>10.9</v>
      </c>
      <c r="AJ35" s="263"/>
    </row>
    <row r="36" spans="1:46" x14ac:dyDescent="0.25">
      <c r="H36" s="320" t="str">
        <f>INT(H35)&amp;" năm"&amp;IF(MOD(H35,1)*12=0,," "&amp;TEXT(MOD(H35,1)*12,"00")&amp;" tháng")</f>
        <v>6 năm 11 tháng</v>
      </c>
      <c r="I36" s="320"/>
      <c r="K36" s="320" t="str">
        <f>INT(K35)&amp;" năm"&amp;IF(MOD(K35,1)*12=0,," "&amp;TEXT(MOD(K35,1)*12,"00")&amp;" tháng")</f>
        <v>10 năm 11 tháng</v>
      </c>
      <c r="L36" s="320"/>
      <c r="N36" s="320" t="str">
        <f>INT(N35)&amp;" năm"&amp;IF(MOD(N35,1)*12=0,," "&amp;TEXT(MOD(N35,1)*12,"00")&amp;" tháng")</f>
        <v>8 năm 04 tháng</v>
      </c>
      <c r="O36" s="320"/>
      <c r="Q36" s="320" t="str">
        <f>INT(Q35)&amp;" năm"&amp;IF(MOD(Q35,1)*12=0,," "&amp;TEXT(MOD(Q35,1)*12,"00")&amp;" tháng")</f>
        <v>14 năm 01 tháng</v>
      </c>
      <c r="R36" s="320"/>
      <c r="T36" s="320" t="str">
        <f>INT(T35)&amp;" năm"&amp;IF(MOD(T35,1)*12=0,," "&amp;TEXT(MOD(T35,1)*12,"00")&amp;" tháng")</f>
        <v>12 năm 02 tháng</v>
      </c>
      <c r="W36" s="320" t="str">
        <f>INT(W35)&amp;" năm"&amp;IF(MOD(W35,1)*12=0,," "&amp;TEXT(MOD(W35,1)*12,"00")&amp;" tháng")</f>
        <v>0 năm</v>
      </c>
      <c r="X36" s="320"/>
      <c r="Z36" s="320" t="str">
        <f>INT(Z35)&amp;" năm"&amp;IF(MOD(Z35,1)*12=0,," "&amp;TEXT(MOD(Z35,1)*12,"00")&amp;" tháng")</f>
        <v>0 năm</v>
      </c>
      <c r="AA36" s="320"/>
      <c r="AC36" s="320" t="str">
        <f>INT(AC35)&amp;" năm"&amp;IF(MOD(AC35,1)*12=0,," "&amp;TEXT(MOD(AC35,1)*12,"00")&amp;" tháng")</f>
        <v>0 năm</v>
      </c>
      <c r="AD36" s="320"/>
      <c r="AF36" s="320" t="str">
        <f>INT(AF35)&amp;" năm"&amp;IF(MOD(AF35,1)*12=0,," "&amp;TEXT(MOD(AF35,1)*12,"00")&amp;" tháng")</f>
        <v>6 năm 11 tháng</v>
      </c>
      <c r="AG36" s="320"/>
      <c r="AI36" s="320" t="str">
        <f>INT(AI35)&amp;" năm"&amp;IF(MOD(AI35,1)*12=0,," "&amp;TEXT(MOD(AI35,1)*12,"00")&amp;" tháng")</f>
        <v>10 năm 11 tháng</v>
      </c>
      <c r="AJ36" s="320"/>
    </row>
    <row r="37" spans="1:46" x14ac:dyDescent="0.25">
      <c r="B37" t="s">
        <v>516</v>
      </c>
      <c r="C37" s="72">
        <v>13</v>
      </c>
      <c r="D37" t="s">
        <v>402</v>
      </c>
      <c r="E37" s="65" t="s">
        <v>71</v>
      </c>
      <c r="H37" s="665">
        <f>SUMIFS('W3'!$K$18:$K$1670,'W3'!$A$18:$A$1670,H$5,'W3'!$D$18:$D$1670,$B$37)</f>
        <v>0.17745920185994968</v>
      </c>
      <c r="I37" s="263"/>
      <c r="K37" s="665">
        <f>SUMIFS('W3'!$K$18:$K$1670,'W3'!$A$18:$A$1670,K$5,'W3'!$D$18:$D$1670,$B$37)</f>
        <v>0.10663649141917064</v>
      </c>
      <c r="L37" s="729"/>
      <c r="N37" s="665">
        <f>SUMIFS('W3'!$K$18:$K$1670,'W3'!$A$18:$A$1670,N$5,'W3'!$D$18:$D$1670,$B$37)</f>
        <v>0.14321796256466768</v>
      </c>
      <c r="O37" s="729"/>
      <c r="Q37" s="665">
        <f>SUMIFS('W3'!$K$18:$K$1670,'W3'!$A$18:$A$1670,Q$5,'W3'!$D$18:$D$1670,$B$37)</f>
        <v>7.8400170416034864E-2</v>
      </c>
      <c r="R37" s="729"/>
      <c r="T37" s="665">
        <f>SUMIFS('W3'!$K$18:$K$1670,'W3'!$A$18:$A$1670,T$5,'W3'!$D$18:$D$1670,$B$37)</f>
        <v>9.0883731569794568E-2</v>
      </c>
      <c r="W37" s="665">
        <f>SUMIFS('W3'!$K$18:$K$1670,'W3'!$A$18:$A$1670,W$5,'W3'!$D$18:$D$1670,$B$37)</f>
        <v>3.4366044105067273E-2</v>
      </c>
      <c r="X37" s="263"/>
      <c r="Z37" s="665">
        <f>SUMIFS('W3'!$K$18:$K$1670,'W3'!$A$18:$A$1670,Z$5,'W3'!$D$18:$D$1670,$B$37)</f>
        <v>5.3201942211057229E-2</v>
      </c>
      <c r="AA37" s="263"/>
      <c r="AC37" s="665">
        <f>SUMIFS('W3'!$K$18:$K$1670,'W3'!$A$18:$A$1670,AC$5,'W3'!$D$18:$D$1670,$B$37)</f>
        <v>4.5414210877376959E-2</v>
      </c>
      <c r="AD37" s="263"/>
      <c r="AF37" s="665">
        <f>SUMIFS('W3'!$K$18:$K$1670,'W3'!$A$18:$A$1670,AF$5,'W3'!$D$18:$D$1670,$B$37)</f>
        <v>0.17745920185994968</v>
      </c>
      <c r="AG37" s="263"/>
      <c r="AI37" s="665">
        <f>SUMIFS('W3'!$K$18:$K$1670,'W3'!$A$18:$A$1670,AI$5,'W3'!$D$18:$D$1670,$B$37)</f>
        <v>0.10663649141917064</v>
      </c>
      <c r="AJ37" s="263"/>
    </row>
    <row r="39" spans="1:46" s="300" customFormat="1" x14ac:dyDescent="0.25">
      <c r="C39" s="744"/>
      <c r="D39" s="300" t="s">
        <v>718</v>
      </c>
      <c r="E39" s="745" t="s">
        <v>368</v>
      </c>
      <c r="G39" s="1"/>
      <c r="H39" s="746">
        <f>H14</f>
        <v>680</v>
      </c>
      <c r="I39" s="746"/>
      <c r="J39" s="1"/>
      <c r="K39" s="746">
        <f>K14</f>
        <v>680</v>
      </c>
      <c r="L39" s="747"/>
      <c r="M39" s="1"/>
      <c r="N39" s="746">
        <f>N14</f>
        <v>650</v>
      </c>
      <c r="O39" s="747"/>
      <c r="P39" s="1"/>
      <c r="Q39" s="746">
        <f>Q14</f>
        <v>650</v>
      </c>
      <c r="R39" s="747"/>
      <c r="S39" s="1"/>
      <c r="T39" s="753">
        <f>T14</f>
        <v>610</v>
      </c>
      <c r="U39" s="1"/>
      <c r="V39" s="1"/>
      <c r="W39" s="300">
        <f>W14</f>
        <v>610</v>
      </c>
      <c r="Z39" s="300">
        <f>Z14</f>
        <v>585.97521625708509</v>
      </c>
      <c r="AC39" s="300">
        <f>AC14</f>
        <v>619.24383551386734</v>
      </c>
      <c r="AF39" s="300">
        <f>AF14</f>
        <v>680</v>
      </c>
      <c r="AI39" s="300">
        <f>AI14</f>
        <v>680</v>
      </c>
      <c r="AL39" s="16"/>
    </row>
    <row r="40" spans="1:46" s="300" customFormat="1" x14ac:dyDescent="0.25">
      <c r="C40" s="744"/>
      <c r="D40" s="300" t="s">
        <v>718</v>
      </c>
      <c r="E40" s="745" t="s">
        <v>369</v>
      </c>
      <c r="G40" s="1"/>
      <c r="H40" s="746">
        <f>H15</f>
        <v>1743.5897435897436</v>
      </c>
      <c r="I40" s="746"/>
      <c r="J40" s="1"/>
      <c r="K40" s="746">
        <f>K15</f>
        <v>1743.5897435897436</v>
      </c>
      <c r="L40" s="747"/>
      <c r="M40" s="1"/>
      <c r="N40" s="746">
        <f>N15</f>
        <v>1666.6666666666667</v>
      </c>
      <c r="O40" s="747"/>
      <c r="P40" s="1"/>
      <c r="Q40" s="746">
        <f>Q15</f>
        <v>1666.6666666666667</v>
      </c>
      <c r="R40" s="747"/>
      <c r="S40" s="1"/>
      <c r="T40" s="753">
        <f>T15</f>
        <v>1564.1025641025642</v>
      </c>
      <c r="U40" s="1"/>
      <c r="V40" s="1"/>
      <c r="W40" s="753">
        <f>W15</f>
        <v>1564.1025641025642</v>
      </c>
      <c r="Z40" s="753">
        <f>Z15</f>
        <v>1502.5005545053466</v>
      </c>
      <c r="AC40" s="753">
        <f>AC15</f>
        <v>1587.8047064458137</v>
      </c>
      <c r="AF40" s="753">
        <f>AF15</f>
        <v>1743.5897435897436</v>
      </c>
      <c r="AI40" s="753">
        <f>AI15</f>
        <v>1743.5897435897436</v>
      </c>
      <c r="AL40" s="16"/>
    </row>
    <row r="42" spans="1:46" ht="15.75" thickBot="1" x14ac:dyDescent="0.3">
      <c r="B42" t="s">
        <v>515</v>
      </c>
      <c r="C42" s="20">
        <v>14</v>
      </c>
      <c r="D42" s="339" t="s">
        <v>545</v>
      </c>
      <c r="E42" s="342" t="str">
        <f t="shared" ref="E42:E68" si="24">IF(Currency="USD","USD","triệu VND")</f>
        <v>triệu VND</v>
      </c>
      <c r="F42" s="340"/>
      <c r="H42" s="341">
        <f>SUM(H43:H68)</f>
        <v>253244.21552528266</v>
      </c>
      <c r="I42" s="341"/>
      <c r="K42" s="341">
        <f>SUM(K43:K68)</f>
        <v>110037.0876423665</v>
      </c>
      <c r="L42" s="730"/>
      <c r="N42" s="341">
        <f t="shared" ref="N42:W42" si="25">SUM(N43:N68)</f>
        <v>160747.52327341749</v>
      </c>
      <c r="O42" s="730"/>
      <c r="Q42" s="341">
        <f t="shared" si="25"/>
        <v>17540.395390501228</v>
      </c>
      <c r="R42" s="730"/>
      <c r="T42" s="341">
        <f t="shared" si="25"/>
        <v>37418.600270930314</v>
      </c>
      <c r="U42" s="341"/>
      <c r="W42" s="341">
        <f t="shared" si="25"/>
        <v>-105788.5276119859</v>
      </c>
      <c r="X42" s="341"/>
      <c r="Z42" s="341">
        <f t="shared" ref="Z42" si="26">SUM(Z43:Z68)</f>
        <v>-36655.1673386037</v>
      </c>
      <c r="AA42" s="341"/>
      <c r="AC42" s="341">
        <f t="shared" ref="AC42" si="27">SUM(AC43:AC68)</f>
        <v>-77287.720653551019</v>
      </c>
      <c r="AD42" s="341"/>
      <c r="AF42" s="341">
        <f t="shared" ref="AF42" si="28">SUM(AF43:AF68)</f>
        <v>253244.21552528266</v>
      </c>
      <c r="AG42" s="341"/>
      <c r="AI42" s="341">
        <f t="shared" ref="AI42" si="29">SUM(AI43:AI68)</f>
        <v>110037.0876423665</v>
      </c>
      <c r="AJ42" s="341"/>
    </row>
    <row r="43" spans="1:46" outlineLevel="1" x14ac:dyDescent="0.25">
      <c r="D43" s="538">
        <v>0</v>
      </c>
      <c r="E43" s="539" t="str">
        <f t="shared" si="24"/>
        <v>triệu VND</v>
      </c>
      <c r="F43" s="540"/>
      <c r="H43" s="541" cm="1">
        <f t="array" ref="H43">SUMPRODUCT('W3'!$K$18:$AJ$1670*('W3'!$A$18:$A$1670=H$5)*('W3'!$D$18:$D$1670=$B$42)*('W3'!$K$14:$AJ$14='Cover Page'!$D43))</f>
        <v>-300749.80000000005</v>
      </c>
      <c r="I43" s="541"/>
      <c r="K43" s="541" cm="1">
        <f t="array" ref="K43">SUMPRODUCT('W3'!$K$18:$AJ$1670*('W3'!$A$18:$A$1670=K$5)*('W3'!$D$18:$D$1670=$B$42)*('W3'!$K$14:$AJ$14='Cover Page'!$D43))</f>
        <v>-450749.80000000005</v>
      </c>
      <c r="L43" s="731"/>
      <c r="N43" s="541" cm="1">
        <f t="array" ref="N43">SUMPRODUCT('W3'!$K$18:$AJ$1670*('W3'!$A$18:$A$1670=N$5)*('W3'!$D$18:$D$1670=$B$42)*('W3'!$K$14:$AJ$14='Cover Page'!$D43))</f>
        <v>-300749.80000000005</v>
      </c>
      <c r="O43" s="731"/>
      <c r="Q43" s="541" cm="1">
        <f t="array" ref="Q43">SUMPRODUCT('W3'!$K$18:$AJ$1670*('W3'!$A$18:$A$1670=Q$5)*('W3'!$D$18:$D$1670=$B$42)*('W3'!$K$14:$AJ$14='Cover Page'!$D43))</f>
        <v>-450749.80000000005</v>
      </c>
      <c r="R43" s="731"/>
      <c r="T43" s="541" cm="1">
        <f t="array" ref="T43">SUMPRODUCT('W3'!$K$18:$AJ$1670*('W3'!$A$18:$A$1670=T$5)*('W3'!$D$18:$D$1670=$B$42)*('W3'!$K$14:$AJ$14='Cover Page'!$D43))</f>
        <v>-300749.80000000005</v>
      </c>
      <c r="U43" s="541"/>
      <c r="W43" s="541" cm="1">
        <f t="array" ref="W43">SUMPRODUCT('W3'!$K$18:$AJ$1670*('W3'!$A$18:$A$1670=W$5)*('W3'!$D$18:$D$1670=$B$42)*('W3'!$K$14:$AJ$14='Cover Page'!$D43))</f>
        <v>-450749.80000000005</v>
      </c>
      <c r="X43" s="541"/>
      <c r="Z43" s="541" cm="1">
        <f t="array" ref="Z43">SUMPRODUCT('W3'!$K$18:$AJ$1670*('W3'!$A$18:$A$1670=Z$5)*('W3'!$D$18:$D$1670=$B$42)*('W3'!$K$14:$AJ$14='Cover Page'!$D43))</f>
        <v>-300749.80000000005</v>
      </c>
      <c r="AA43" s="541"/>
      <c r="AC43" s="541" cm="1">
        <f t="array" ref="AC43">SUMPRODUCT('W3'!$K$18:$AJ$1670*('W3'!$A$18:$A$1670=AC$5)*('W3'!$D$18:$D$1670=$B$42)*('W3'!$K$14:$AJ$14='Cover Page'!$D43))</f>
        <v>-450749.80000000005</v>
      </c>
      <c r="AD43" s="541"/>
      <c r="AF43" s="541" cm="1">
        <f t="array" ref="AF43">SUMPRODUCT('W3'!$K$18:$AJ$1670*('W3'!$A$18:$A$1670=AF$5)*('W3'!$D$18:$D$1670=$B$42)*('W3'!$K$14:$AJ$14='Cover Page'!$D43))</f>
        <v>-300749.80000000005</v>
      </c>
      <c r="AG43" s="541"/>
      <c r="AI43" s="541" cm="1">
        <f t="array" ref="AI43">SUMPRODUCT('W3'!$K$18:$AJ$1670*('W3'!$A$18:$A$1670=AI$5)*('W3'!$D$18:$D$1670=$B$42)*('W3'!$K$14:$AJ$14='Cover Page'!$D43))</f>
        <v>-450749.80000000005</v>
      </c>
      <c r="AJ43" s="541"/>
      <c r="AT43" t="s">
        <v>571</v>
      </c>
    </row>
    <row r="44" spans="1:46" outlineLevel="1" x14ac:dyDescent="0.25">
      <c r="D44" s="542">
        <v>1</v>
      </c>
      <c r="E44" s="496" t="str">
        <f t="shared" si="24"/>
        <v>triệu VND</v>
      </c>
      <c r="F44" s="454"/>
      <c r="H44" s="457" cm="1">
        <f t="array" ref="H44">SUMPRODUCT('W3'!$K$18:$AJ$1670*('W3'!$A$18:$A$1670=H$5)*('W3'!$D$18:$D$1670=$B$42)*('W3'!$K$14:$AJ$14='Cover Page'!$D44))</f>
        <v>24486.741170179979</v>
      </c>
      <c r="I44" s="457"/>
      <c r="K44" s="457" cm="1">
        <f t="array" ref="K44">SUMPRODUCT('W3'!$K$18:$AJ$1670*('W3'!$A$18:$A$1670=K$5)*('W3'!$D$18:$D$1670=$B$42)*('W3'!$K$14:$AJ$14='Cover Page'!$D44))</f>
        <v>25193.768560033237</v>
      </c>
      <c r="L44" s="732"/>
      <c r="N44" s="457" cm="1">
        <f t="array" ref="N44">SUMPRODUCT('W3'!$K$18:$AJ$1670*('W3'!$A$18:$A$1670=N$5)*('W3'!$D$18:$D$1670=$B$42)*('W3'!$K$14:$AJ$14='Cover Page'!$D44))</f>
        <v>19867.066733918713</v>
      </c>
      <c r="O44" s="732"/>
      <c r="Q44" s="457" cm="1">
        <f t="array" ref="Q44">SUMPRODUCT('W3'!$K$18:$AJ$1670*('W3'!$A$18:$A$1670=Q$5)*('W3'!$D$18:$D$1670=$B$42)*('W3'!$K$14:$AJ$14='Cover Page'!$D44))</f>
        <v>20574.094123771974</v>
      </c>
      <c r="R44" s="732"/>
      <c r="T44" s="457" cm="1">
        <f t="array" ref="T44">SUMPRODUCT('W3'!$K$18:$AJ$1670*('W3'!$A$18:$A$1670=T$5)*('W3'!$D$18:$D$1670=$B$42)*('W3'!$K$14:$AJ$14='Cover Page'!$D44))</f>
        <v>13707.500818903716</v>
      </c>
      <c r="U44" s="457"/>
      <c r="W44" s="457" cm="1">
        <f t="array" ref="W44">SUMPRODUCT('W3'!$K$18:$AJ$1670*('W3'!$A$18:$A$1670=W$5)*('W3'!$D$18:$D$1670=$B$42)*('W3'!$K$14:$AJ$14='Cover Page'!$D44))</f>
        <v>14414.528208756978</v>
      </c>
      <c r="X44" s="457"/>
      <c r="Z44" s="457" cm="1">
        <f t="array" ref="Z44">SUMPRODUCT('W3'!$K$18:$AJ$1670*('W3'!$A$18:$A$1670=Z$5)*('W3'!$D$18:$D$1670=$B$42)*('W3'!$K$14:$AJ$14='Cover Page'!$D44))</f>
        <v>10007.944842442079</v>
      </c>
      <c r="AA44" s="457"/>
      <c r="AC44" s="457" cm="1">
        <f t="array" ref="AC44">SUMPRODUCT('W3'!$K$18:$AJ$1670*('W3'!$A$18:$A$1670=AC$5)*('W3'!$D$18:$D$1670=$B$42)*('W3'!$K$14:$AJ$14='Cover Page'!$D44))</f>
        <v>15837.978562637525</v>
      </c>
      <c r="AD44" s="457"/>
      <c r="AF44" s="457" cm="1">
        <f t="array" ref="AF44">SUMPRODUCT('W3'!$K$18:$AJ$1670*('W3'!$A$18:$A$1670=AF$5)*('W3'!$D$18:$D$1670=$B$42)*('W3'!$K$14:$AJ$14='Cover Page'!$D44))</f>
        <v>24486.741170179979</v>
      </c>
      <c r="AG44" s="457"/>
      <c r="AI44" s="457" cm="1">
        <f t="array" ref="AI44">SUMPRODUCT('W3'!$K$18:$AJ$1670*('W3'!$A$18:$A$1670=AI$5)*('W3'!$D$18:$D$1670=$B$42)*('W3'!$K$14:$AJ$14='Cover Page'!$D44))</f>
        <v>25193.768560033237</v>
      </c>
      <c r="AJ44" s="457"/>
    </row>
    <row r="45" spans="1:46" outlineLevel="1" x14ac:dyDescent="0.25">
      <c r="D45" s="542">
        <v>2</v>
      </c>
      <c r="E45" s="496" t="str">
        <f t="shared" si="24"/>
        <v>triệu VND</v>
      </c>
      <c r="F45" s="454"/>
      <c r="H45" s="457" cm="1">
        <f t="array" ref="H45">SUMPRODUCT('W3'!$K$18:$AJ$1670*('W3'!$A$18:$A$1670=H$5)*('W3'!$D$18:$D$1670=$B$42)*('W3'!$K$14:$AJ$14='Cover Page'!$D45))</f>
        <v>38605.11205237484</v>
      </c>
      <c r="I45" s="457"/>
      <c r="K45" s="457" cm="1">
        <f t="array" ref="K45">SUMPRODUCT('W3'!$K$18:$AJ$1670*('W3'!$A$18:$A$1670=K$5)*('W3'!$D$18:$D$1670=$B$42)*('W3'!$K$14:$AJ$14='Cover Page'!$D45))</f>
        <v>39264.246717462811</v>
      </c>
      <c r="L45" s="732"/>
      <c r="N45" s="457" cm="1">
        <f t="array" ref="N45">SUMPRODUCT('W3'!$K$18:$AJ$1670*('W3'!$A$18:$A$1670=N$5)*('W3'!$D$18:$D$1670=$B$42)*('W3'!$K$14:$AJ$14='Cover Page'!$D45))</f>
        <v>32455.078402400875</v>
      </c>
      <c r="O45" s="732"/>
      <c r="Q45" s="457" cm="1">
        <f t="array" ref="Q45">SUMPRODUCT('W3'!$K$18:$AJ$1670*('W3'!$A$18:$A$1670=Q$5)*('W3'!$D$18:$D$1670=$B$42)*('W3'!$K$14:$AJ$14='Cover Page'!$D45))</f>
        <v>33114.213067488847</v>
      </c>
      <c r="R45" s="732"/>
      <c r="T45" s="457" cm="1">
        <f t="array" ref="T45">SUMPRODUCT('W3'!$K$18:$AJ$1670*('W3'!$A$18:$A$1670=T$5)*('W3'!$D$18:$D$1670=$B$42)*('W3'!$K$14:$AJ$14='Cover Page'!$D45))</f>
        <v>24255.033535768918</v>
      </c>
      <c r="U45" s="457"/>
      <c r="W45" s="457" cm="1">
        <f t="array" ref="W45">SUMPRODUCT('W3'!$K$18:$AJ$1670*('W3'!$A$18:$A$1670=W$5)*('W3'!$D$18:$D$1670=$B$42)*('W3'!$K$14:$AJ$14='Cover Page'!$D45))</f>
        <v>24914.16820085689</v>
      </c>
      <c r="X45" s="457"/>
      <c r="Z45" s="457" cm="1">
        <f t="array" ref="Z45">SUMPRODUCT('W3'!$K$18:$AJ$1670*('W3'!$A$18:$A$1670=Z$5)*('W3'!$D$18:$D$1670=$B$42)*('W3'!$K$14:$AJ$14='Cover Page'!$D45))</f>
        <v>19329.925920693106</v>
      </c>
      <c r="AA45" s="457"/>
      <c r="AC45" s="457" cm="1">
        <f t="array" ref="AC45">SUMPRODUCT('W3'!$K$18:$AJ$1670*('W3'!$A$18:$A$1670=AC$5)*('W3'!$D$18:$D$1670=$B$42)*('W3'!$K$14:$AJ$14='Cover Page'!$D45))</f>
        <v>26809.164849693807</v>
      </c>
      <c r="AD45" s="457"/>
      <c r="AF45" s="457" cm="1">
        <f t="array" ref="AF45">SUMPRODUCT('W3'!$K$18:$AJ$1670*('W3'!$A$18:$A$1670=AF$5)*('W3'!$D$18:$D$1670=$B$42)*('W3'!$K$14:$AJ$14='Cover Page'!$D45))</f>
        <v>38605.11205237484</v>
      </c>
      <c r="AG45" s="457"/>
      <c r="AI45" s="457" cm="1">
        <f t="array" ref="AI45">SUMPRODUCT('W3'!$K$18:$AJ$1670*('W3'!$A$18:$A$1670=AI$5)*('W3'!$D$18:$D$1670=$B$42)*('W3'!$K$14:$AJ$14='Cover Page'!$D45))</f>
        <v>39264.246717462811</v>
      </c>
      <c r="AJ45" s="457"/>
    </row>
    <row r="46" spans="1:46" outlineLevel="1" x14ac:dyDescent="0.25">
      <c r="D46" s="542">
        <v>3</v>
      </c>
      <c r="E46" s="496" t="str">
        <f t="shared" si="24"/>
        <v>triệu VND</v>
      </c>
      <c r="F46" s="454"/>
      <c r="H46" s="457" cm="1">
        <f t="array" ref="H46">SUMPRODUCT('W3'!$K$18:$AJ$1670*('W3'!$A$18:$A$1670=H$5)*('W3'!$D$18:$D$1670=$B$42)*('W3'!$K$14:$AJ$14='Cover Page'!$D46))</f>
        <v>55601.309497709794</v>
      </c>
      <c r="I46" s="457"/>
      <c r="K46" s="457" cm="1">
        <f t="array" ref="K46">SUMPRODUCT('W3'!$K$18:$AJ$1670*('W3'!$A$18:$A$1670=K$5)*('W3'!$D$18:$D$1670=$B$42)*('W3'!$K$14:$AJ$14='Cover Page'!$D46))</f>
        <v>56215.795602428887</v>
      </c>
      <c r="L46" s="732"/>
      <c r="N46" s="457" cm="1">
        <f t="array" ref="N46">SUMPRODUCT('W3'!$K$18:$AJ$1670*('W3'!$A$18:$A$1670=N$5)*('W3'!$D$18:$D$1670=$B$42)*('W3'!$K$14:$AJ$14='Cover Page'!$D46))</f>
        <v>47246.865774397855</v>
      </c>
      <c r="O46" s="732"/>
      <c r="Q46" s="457" cm="1">
        <f t="array" ref="Q46">SUMPRODUCT('W3'!$K$18:$AJ$1670*('W3'!$A$18:$A$1670=Q$5)*('W3'!$D$18:$D$1670=$B$42)*('W3'!$K$14:$AJ$14='Cover Page'!$D46))</f>
        <v>47861.351879116948</v>
      </c>
      <c r="R46" s="732"/>
      <c r="T46" s="457" cm="1">
        <f t="array" ref="T46">SUMPRODUCT('W3'!$K$18:$AJ$1670*('W3'!$A$18:$A$1670=T$5)*('W3'!$D$18:$D$1670=$B$42)*('W3'!$K$14:$AJ$14='Cover Page'!$D46))</f>
        <v>36107.607476648642</v>
      </c>
      <c r="U46" s="457"/>
      <c r="W46" s="457" cm="1">
        <f t="array" ref="W46">SUMPRODUCT('W3'!$K$18:$AJ$1670*('W3'!$A$18:$A$1670=W$5)*('W3'!$D$18:$D$1670=$B$42)*('W3'!$K$14:$AJ$14='Cover Page'!$D46))</f>
        <v>36722.093581367728</v>
      </c>
      <c r="X46" s="457"/>
      <c r="Z46" s="457" cm="1">
        <f t="array" ref="Z46">SUMPRODUCT('W3'!$K$18:$AJ$1670*('W3'!$A$18:$A$1670=Z$5)*('W3'!$D$18:$D$1670=$B$42)*('W3'!$K$14:$AJ$14='Cover Page'!$D46))</f>
        <v>29417.150685151235</v>
      </c>
      <c r="AA46" s="457"/>
      <c r="AC46" s="457" cm="1">
        <f t="array" ref="AC46">SUMPRODUCT('W3'!$K$18:$AJ$1670*('W3'!$A$18:$A$1670=AC$5)*('W3'!$D$18:$D$1670=$B$42)*('W3'!$K$14:$AJ$14='Cover Page'!$D46))</f>
        <v>39296.330367639603</v>
      </c>
      <c r="AD46" s="457"/>
      <c r="AF46" s="457" cm="1">
        <f t="array" ref="AF46">SUMPRODUCT('W3'!$K$18:$AJ$1670*('W3'!$A$18:$A$1670=AF$5)*('W3'!$D$18:$D$1670=$B$42)*('W3'!$K$14:$AJ$14='Cover Page'!$D46))</f>
        <v>55601.309497709794</v>
      </c>
      <c r="AG46" s="457"/>
      <c r="AI46" s="457" cm="1">
        <f t="array" ref="AI46">SUMPRODUCT('W3'!$K$18:$AJ$1670*('W3'!$A$18:$A$1670=AI$5)*('W3'!$D$18:$D$1670=$B$42)*('W3'!$K$14:$AJ$14='Cover Page'!$D46))</f>
        <v>56215.795602428887</v>
      </c>
      <c r="AJ46" s="457"/>
    </row>
    <row r="47" spans="1:46" outlineLevel="1" x14ac:dyDescent="0.25">
      <c r="D47" s="542">
        <v>4</v>
      </c>
      <c r="E47" s="496" t="str">
        <f t="shared" si="24"/>
        <v>triệu VND</v>
      </c>
      <c r="F47" s="454"/>
      <c r="H47" s="457" cm="1">
        <f t="array" ref="H47">SUMPRODUCT('W3'!$K$18:$AJ$1670*('W3'!$A$18:$A$1670=H$5)*('W3'!$D$18:$D$1670=$B$42)*('W3'!$K$14:$AJ$14='Cover Page'!$D47))</f>
        <v>52064.439100370939</v>
      </c>
      <c r="I47" s="457"/>
      <c r="K47" s="457" cm="1">
        <f t="array" ref="K47">SUMPRODUCT('W3'!$K$18:$AJ$1670*('W3'!$A$18:$A$1670=K$5)*('W3'!$D$18:$D$1670=$B$42)*('W3'!$K$14:$AJ$14='Cover Page'!$D47))</f>
        <v>52637.301055435077</v>
      </c>
      <c r="L47" s="732"/>
      <c r="N47" s="457" cm="1">
        <f t="array" ref="N47">SUMPRODUCT('W3'!$K$18:$AJ$1670*('W3'!$A$18:$A$1670=N$5)*('W3'!$D$18:$D$1670=$B$42)*('W3'!$K$14:$AJ$14='Cover Page'!$D47))</f>
        <v>44120.139324320582</v>
      </c>
      <c r="O47" s="732"/>
      <c r="Q47" s="457" cm="1">
        <f t="array" ref="Q47">SUMPRODUCT('W3'!$K$18:$AJ$1670*('W3'!$A$18:$A$1670=Q$5)*('W3'!$D$18:$D$1670=$B$42)*('W3'!$K$14:$AJ$14='Cover Page'!$D47))</f>
        <v>44693.001279384713</v>
      </c>
      <c r="R47" s="732"/>
      <c r="T47" s="457" cm="1">
        <f t="array" ref="T47">SUMPRODUCT('W3'!$K$18:$AJ$1670*('W3'!$A$18:$A$1670=T$5)*('W3'!$D$18:$D$1670=$B$42)*('W3'!$K$14:$AJ$14='Cover Page'!$D47))</f>
        <v>33527.739622920068</v>
      </c>
      <c r="U47" s="457"/>
      <c r="W47" s="457" cm="1">
        <f t="array" ref="W47">SUMPRODUCT('W3'!$K$18:$AJ$1670*('W3'!$A$18:$A$1670=W$5)*('W3'!$D$18:$D$1670=$B$42)*('W3'!$K$14:$AJ$14='Cover Page'!$D47))</f>
        <v>34100.601577984198</v>
      </c>
      <c r="X47" s="457"/>
      <c r="Z47" s="457" cm="1">
        <f t="array" ref="Z47">SUMPRODUCT('W3'!$K$18:$AJ$1670*('W3'!$A$18:$A$1670=Z$5)*('W3'!$D$18:$D$1670=$B$42)*('W3'!$K$14:$AJ$14='Cover Page'!$D47))</f>
        <v>27165.736819303529</v>
      </c>
      <c r="AA47" s="457"/>
      <c r="AC47" s="457" cm="1">
        <f t="array" ref="AC47">SUMPRODUCT('W3'!$K$18:$AJ$1670*('W3'!$A$18:$A$1670=AC$5)*('W3'!$D$18:$D$1670=$B$42)*('W3'!$K$14:$AJ$14='Cover Page'!$D47))</f>
        <v>36548.461591406347</v>
      </c>
      <c r="AD47" s="457"/>
      <c r="AF47" s="457" cm="1">
        <f t="array" ref="AF47">SUMPRODUCT('W3'!$K$18:$AJ$1670*('W3'!$A$18:$A$1670=AF$5)*('W3'!$D$18:$D$1670=$B$42)*('W3'!$K$14:$AJ$14='Cover Page'!$D47))</f>
        <v>52064.439100370939</v>
      </c>
      <c r="AG47" s="457"/>
      <c r="AI47" s="457" cm="1">
        <f t="array" ref="AI47">SUMPRODUCT('W3'!$K$18:$AJ$1670*('W3'!$A$18:$A$1670=AI$5)*('W3'!$D$18:$D$1670=$B$42)*('W3'!$K$14:$AJ$14='Cover Page'!$D47))</f>
        <v>52637.301055435077</v>
      </c>
      <c r="AJ47" s="457"/>
    </row>
    <row r="48" spans="1:46" outlineLevel="1" x14ac:dyDescent="0.25">
      <c r="D48" s="542">
        <v>5</v>
      </c>
      <c r="E48" s="496" t="str">
        <f t="shared" si="24"/>
        <v>triệu VND</v>
      </c>
      <c r="F48" s="454"/>
      <c r="H48" s="457" cm="1">
        <f t="array" ref="H48">SUMPRODUCT('W3'!$K$18:$AJ$1670*('W3'!$A$18:$A$1670=H$5)*('W3'!$D$18:$D$1670=$B$42)*('W3'!$K$14:$AJ$14='Cover Page'!$D48))</f>
        <v>48720.869534269332</v>
      </c>
      <c r="I48" s="457"/>
      <c r="K48" s="457" cm="1">
        <f t="array" ref="K48">SUMPRODUCT('W3'!$K$18:$AJ$1670*('W3'!$A$18:$A$1670=K$5)*('W3'!$D$18:$D$1670=$B$42)*('W3'!$K$14:$AJ$14='Cover Page'!$D48))</f>
        <v>49254.926882417029</v>
      </c>
      <c r="L48" s="732"/>
      <c r="N48" s="457" cm="1">
        <f t="array" ref="N48">SUMPRODUCT('W3'!$K$18:$AJ$1670*('W3'!$A$18:$A$1670=N$5)*('W3'!$D$18:$D$1670=$B$42)*('W3'!$K$14:$AJ$14='Cover Page'!$D48))</f>
        <v>41166.578545912067</v>
      </c>
      <c r="O48" s="732"/>
      <c r="Q48" s="457" cm="1">
        <f t="array" ref="Q48">SUMPRODUCT('W3'!$K$18:$AJ$1670*('W3'!$A$18:$A$1670=Q$5)*('W3'!$D$18:$D$1670=$B$42)*('W3'!$K$14:$AJ$14='Cover Page'!$D48))</f>
        <v>41700.635894059764</v>
      </c>
      <c r="R48" s="732"/>
      <c r="T48" s="457" cm="1">
        <f t="array" ref="T48">SUMPRODUCT('W3'!$K$18:$AJ$1670*('W3'!$A$18:$A$1670=T$5)*('W3'!$D$18:$D$1670=$B$42)*('W3'!$K$14:$AJ$14='Cover Page'!$D48))</f>
        <v>31094.190561435604</v>
      </c>
      <c r="U48" s="457"/>
      <c r="W48" s="457" cm="1">
        <f t="array" ref="W48">SUMPRODUCT('W3'!$K$18:$AJ$1670*('W3'!$A$18:$A$1670=W$5)*('W3'!$D$18:$D$1670=$B$42)*('W3'!$K$14:$AJ$14='Cover Page'!$D48))</f>
        <v>31628.247909583304</v>
      </c>
      <c r="X48" s="457"/>
      <c r="Z48" s="457" cm="1">
        <f t="array" ref="Z48">SUMPRODUCT('W3'!$K$18:$AJ$1670*('W3'!$A$18:$A$1670=Z$5)*('W3'!$D$18:$D$1670=$B$42)*('W3'!$K$14:$AJ$14='Cover Page'!$D48))</f>
        <v>25044.516983891077</v>
      </c>
      <c r="AA48" s="457"/>
      <c r="AC48" s="457" cm="1">
        <f t="array" ref="AC48">SUMPRODUCT('W3'!$K$18:$AJ$1670*('W3'!$A$18:$A$1670=AC$5)*('W3'!$D$18:$D$1670=$B$42)*('W3'!$K$14:$AJ$14='Cover Page'!$D48))</f>
        <v>33955.935353592111</v>
      </c>
      <c r="AD48" s="457"/>
      <c r="AF48" s="457" cm="1">
        <f t="array" ref="AF48">SUMPRODUCT('W3'!$K$18:$AJ$1670*('W3'!$A$18:$A$1670=AF$5)*('W3'!$D$18:$D$1670=$B$42)*('W3'!$K$14:$AJ$14='Cover Page'!$D48))</f>
        <v>48720.869534269332</v>
      </c>
      <c r="AG48" s="457"/>
      <c r="AI48" s="457" cm="1">
        <f t="array" ref="AI48">SUMPRODUCT('W3'!$K$18:$AJ$1670*('W3'!$A$18:$A$1670=AI$5)*('W3'!$D$18:$D$1670=$B$42)*('W3'!$K$14:$AJ$14='Cover Page'!$D48))</f>
        <v>49254.926882417029</v>
      </c>
      <c r="AJ48" s="457"/>
    </row>
    <row r="49" spans="4:36" outlineLevel="1" x14ac:dyDescent="0.25">
      <c r="D49" s="542">
        <v>6</v>
      </c>
      <c r="E49" s="496" t="str">
        <f t="shared" si="24"/>
        <v>triệu VND</v>
      </c>
      <c r="F49" s="454"/>
      <c r="H49" s="457" cm="1">
        <f t="array" ref="H49">SUMPRODUCT('W3'!$K$18:$AJ$1670*('W3'!$A$18:$A$1670=H$5)*('W3'!$D$18:$D$1670=$B$42)*('W3'!$K$14:$AJ$14='Cover Page'!$D49))</f>
        <v>45560.518691746496</v>
      </c>
      <c r="I49" s="457"/>
      <c r="K49" s="457" cm="1">
        <f t="array" ref="K49">SUMPRODUCT('W3'!$K$18:$AJ$1670*('W3'!$A$18:$A$1670=K$5)*('W3'!$D$18:$D$1670=$B$42)*('W3'!$K$14:$AJ$14='Cover Page'!$D49))</f>
        <v>46058.399985117845</v>
      </c>
      <c r="L49" s="732"/>
      <c r="N49" s="457" cm="1">
        <f t="array" ref="N49">SUMPRODUCT('W3'!$K$18:$AJ$1670*('W3'!$A$18:$A$1670=N$5)*('W3'!$D$18:$D$1670=$B$42)*('W3'!$K$14:$AJ$14='Cover Page'!$D49))</f>
        <v>38377.089825074407</v>
      </c>
      <c r="O49" s="732"/>
      <c r="Q49" s="457" cm="1">
        <f t="array" ref="Q49">SUMPRODUCT('W3'!$K$18:$AJ$1670*('W3'!$A$18:$A$1670=Q$5)*('W3'!$D$18:$D$1670=$B$42)*('W3'!$K$14:$AJ$14='Cover Page'!$D49))</f>
        <v>38874.971118445756</v>
      </c>
      <c r="R49" s="732"/>
      <c r="T49" s="457" cm="1">
        <f t="array" ref="T49">SUMPRODUCT('W3'!$K$18:$AJ$1670*('W3'!$A$18:$A$1670=T$5)*('W3'!$D$18:$D$1670=$B$42)*('W3'!$K$14:$AJ$14='Cover Page'!$D49))</f>
        <v>28799.184669511666</v>
      </c>
      <c r="U49" s="457"/>
      <c r="W49" s="457" cm="1">
        <f t="array" ref="W49">SUMPRODUCT('W3'!$K$18:$AJ$1670*('W3'!$A$18:$A$1670=W$5)*('W3'!$D$18:$D$1670=$B$42)*('W3'!$K$14:$AJ$14='Cover Page'!$D49))</f>
        <v>29297.065962883011</v>
      </c>
      <c r="X49" s="457"/>
      <c r="Z49" s="457" cm="1">
        <f t="array" ref="Z49">SUMPRODUCT('W3'!$K$18:$AJ$1670*('W3'!$A$18:$A$1670=Z$5)*('W3'!$D$18:$D$1670=$B$42)*('W3'!$K$14:$AJ$14='Cover Page'!$D49))</f>
        <v>23046.507167698037</v>
      </c>
      <c r="AA49" s="457"/>
      <c r="AC49" s="457" cm="1">
        <f t="array" ref="AC49">SUMPRODUCT('W3'!$K$18:$AJ$1670*('W3'!$A$18:$A$1670=AC$5)*('W3'!$D$18:$D$1670=$B$42)*('W3'!$K$14:$AJ$14='Cover Page'!$D49))</f>
        <v>31510.480458519152</v>
      </c>
      <c r="AD49" s="457"/>
      <c r="AF49" s="457" cm="1">
        <f t="array" ref="AF49">SUMPRODUCT('W3'!$K$18:$AJ$1670*('W3'!$A$18:$A$1670=AF$5)*('W3'!$D$18:$D$1670=$B$42)*('W3'!$K$14:$AJ$14='Cover Page'!$D49))</f>
        <v>45560.518691746496</v>
      </c>
      <c r="AG49" s="457"/>
      <c r="AI49" s="457" cm="1">
        <f t="array" ref="AI49">SUMPRODUCT('W3'!$K$18:$AJ$1670*('W3'!$A$18:$A$1670=AI$5)*('W3'!$D$18:$D$1670=$B$42)*('W3'!$K$14:$AJ$14='Cover Page'!$D49))</f>
        <v>46058.399985117845</v>
      </c>
      <c r="AJ49" s="457"/>
    </row>
    <row r="50" spans="4:36" outlineLevel="1" x14ac:dyDescent="0.25">
      <c r="D50" s="542">
        <v>7</v>
      </c>
      <c r="E50" s="496" t="str">
        <f t="shared" si="24"/>
        <v>triệu VND</v>
      </c>
      <c r="F50" s="454"/>
      <c r="H50" s="457" cm="1">
        <f t="array" ref="H50">SUMPRODUCT('W3'!$K$18:$AJ$1670*('W3'!$A$18:$A$1670=H$5)*('W3'!$D$18:$D$1670=$B$42)*('W3'!$K$14:$AJ$14='Cover Page'!$D50))</f>
        <v>42573.823927480815</v>
      </c>
      <c r="I50" s="457"/>
      <c r="K50" s="457" cm="1">
        <f t="array" ref="K50">SUMPRODUCT('W3'!$K$18:$AJ$1670*('W3'!$A$18:$A$1670=K$5)*('W3'!$D$18:$D$1670=$B$42)*('W3'!$K$14:$AJ$14='Cover Page'!$D50))</f>
        <v>43037.979664966428</v>
      </c>
      <c r="L50" s="732"/>
      <c r="N50" s="457" cm="1">
        <f t="array" ref="N50">SUMPRODUCT('W3'!$K$18:$AJ$1670*('W3'!$A$18:$A$1670=N$5)*('W3'!$D$18:$D$1670=$B$42)*('W3'!$K$14:$AJ$14='Cover Page'!$D50))</f>
        <v>35743.050482022336</v>
      </c>
      <c r="O50" s="732"/>
      <c r="Q50" s="457" cm="1">
        <f t="array" ref="Q50">SUMPRODUCT('W3'!$K$18:$AJ$1670*('W3'!$A$18:$A$1670=Q$5)*('W3'!$D$18:$D$1670=$B$42)*('W3'!$K$14:$AJ$14='Cover Page'!$D50))</f>
        <v>36207.206219507949</v>
      </c>
      <c r="R50" s="732"/>
      <c r="T50" s="457" cm="1">
        <f t="array" ref="T50">SUMPRODUCT('W3'!$K$18:$AJ$1670*('W3'!$A$18:$A$1670=T$5)*('W3'!$D$18:$D$1670=$B$42)*('W3'!$K$14:$AJ$14='Cover Page'!$D50))</f>
        <v>26635.352554744324</v>
      </c>
      <c r="U50" s="457"/>
      <c r="W50" s="457" cm="1">
        <f t="array" ref="W50">SUMPRODUCT('W3'!$K$18:$AJ$1670*('W3'!$A$18:$A$1670=W$5)*('W3'!$D$18:$D$1670=$B$42)*('W3'!$K$14:$AJ$14='Cover Page'!$D50))</f>
        <v>27099.508292229941</v>
      </c>
      <c r="X50" s="457"/>
      <c r="Z50" s="457" cm="1">
        <f t="array" ref="Z50">SUMPRODUCT('W3'!$K$18:$AJ$1670*('W3'!$A$18:$A$1670=Z$5)*('W3'!$D$18:$D$1670=$B$42)*('W3'!$K$14:$AJ$14='Cover Page'!$D50))</f>
        <v>21165.090727278108</v>
      </c>
      <c r="AA50" s="457"/>
      <c r="AC50" s="457" cm="1">
        <f t="array" ref="AC50">SUMPRODUCT('W3'!$K$18:$AJ$1670*('W3'!$A$18:$A$1670=AC$5)*('W3'!$D$18:$D$1670=$B$42)*('W3'!$K$14:$AJ$14='Cover Page'!$D50))</f>
        <v>29204.25983097366</v>
      </c>
      <c r="AD50" s="457"/>
      <c r="AF50" s="457" cm="1">
        <f t="array" ref="AF50">SUMPRODUCT('W3'!$K$18:$AJ$1670*('W3'!$A$18:$A$1670=AF$5)*('W3'!$D$18:$D$1670=$B$42)*('W3'!$K$14:$AJ$14='Cover Page'!$D50))</f>
        <v>42573.823927480815</v>
      </c>
      <c r="AG50" s="457"/>
      <c r="AI50" s="457" cm="1">
        <f t="array" ref="AI50">SUMPRODUCT('W3'!$K$18:$AJ$1670*('W3'!$A$18:$A$1670=AI$5)*('W3'!$D$18:$D$1670=$B$42)*('W3'!$K$14:$AJ$14='Cover Page'!$D50))</f>
        <v>43037.979664966428</v>
      </c>
      <c r="AJ50" s="457"/>
    </row>
    <row r="51" spans="4:36" outlineLevel="1" x14ac:dyDescent="0.25">
      <c r="D51" s="542">
        <v>8</v>
      </c>
      <c r="E51" s="496" t="str">
        <f t="shared" si="24"/>
        <v>triệu VND</v>
      </c>
      <c r="F51" s="454"/>
      <c r="H51" s="457" cm="1">
        <f t="array" ref="H51">SUMPRODUCT('W3'!$K$18:$AJ$1670*('W3'!$A$18:$A$1670=H$5)*('W3'!$D$18:$D$1670=$B$42)*('W3'!$K$14:$AJ$14='Cover Page'!$D51))</f>
        <v>39751.715226932414</v>
      </c>
      <c r="I51" s="457"/>
      <c r="K51" s="457" cm="1">
        <f t="array" ref="K51">SUMPRODUCT('W3'!$K$18:$AJ$1670*('W3'!$A$18:$A$1670=K$5)*('W3'!$D$18:$D$1670=$B$42)*('W3'!$K$14:$AJ$14='Cover Page'!$D51))</f>
        <v>40184.429915170651</v>
      </c>
      <c r="L51" s="732"/>
      <c r="N51" s="457" cm="1">
        <f t="array" ref="N51">SUMPRODUCT('W3'!$K$18:$AJ$1670*('W3'!$A$18:$A$1670=N$5)*('W3'!$D$18:$D$1670=$B$42)*('W3'!$K$14:$AJ$14='Cover Page'!$D51))</f>
        <v>33256.284322109212</v>
      </c>
      <c r="O51" s="732"/>
      <c r="Q51" s="457" cm="1">
        <f t="array" ref="Q51">SUMPRODUCT('W3'!$K$18:$AJ$1670*('W3'!$A$18:$A$1670=Q$5)*('W3'!$D$18:$D$1670=$B$42)*('W3'!$K$14:$AJ$14='Cover Page'!$D51))</f>
        <v>33688.999010347448</v>
      </c>
      <c r="R51" s="732"/>
      <c r="T51" s="457" cm="1">
        <f t="array" ref="T51">SUMPRODUCT('W3'!$K$18:$AJ$1670*('W3'!$A$18:$A$1670=T$5)*('W3'!$D$18:$D$1670=$B$42)*('W3'!$K$14:$AJ$14='Cover Page'!$D51))</f>
        <v>24595.709782344897</v>
      </c>
      <c r="U51" s="457"/>
      <c r="W51" s="457" cm="1">
        <f t="array" ref="W51">SUMPRODUCT('W3'!$K$18:$AJ$1670*('W3'!$A$18:$A$1670=W$5)*('W3'!$D$18:$D$1670=$B$42)*('W3'!$K$14:$AJ$14='Cover Page'!$D51))</f>
        <v>25028.424470583137</v>
      </c>
      <c r="X51" s="457"/>
      <c r="Z51" s="457" cm="1">
        <f t="array" ref="Z51">SUMPRODUCT('W3'!$K$18:$AJ$1670*('W3'!$A$18:$A$1670=Z$5)*('W3'!$D$18:$D$1670=$B$42)*('W3'!$K$14:$AJ$14='Cover Page'!$D51))</f>
        <v>19393.999022164131</v>
      </c>
      <c r="AA51" s="457"/>
      <c r="AC51" s="457" cm="1">
        <f t="array" ref="AC51">SUMPRODUCT('W3'!$K$18:$AJ$1670*('W3'!$A$18:$A$1670=AC$5)*('W3'!$D$18:$D$1670=$B$42)*('W3'!$K$14:$AJ$14='Cover Page'!$D51))</f>
        <v>27029.847633112327</v>
      </c>
      <c r="AD51" s="457"/>
      <c r="AF51" s="457" cm="1">
        <f t="array" ref="AF51">SUMPRODUCT('W3'!$K$18:$AJ$1670*('W3'!$A$18:$A$1670=AF$5)*('W3'!$D$18:$D$1670=$B$42)*('W3'!$K$14:$AJ$14='Cover Page'!$D51))</f>
        <v>39751.715226932414</v>
      </c>
      <c r="AG51" s="457"/>
      <c r="AI51" s="457" cm="1">
        <f t="array" ref="AI51">SUMPRODUCT('W3'!$K$18:$AJ$1670*('W3'!$A$18:$A$1670=AI$5)*('W3'!$D$18:$D$1670=$B$42)*('W3'!$K$14:$AJ$14='Cover Page'!$D51))</f>
        <v>40184.429915170651</v>
      </c>
      <c r="AJ51" s="457"/>
    </row>
    <row r="52" spans="4:36" outlineLevel="1" x14ac:dyDescent="0.25">
      <c r="D52" s="542">
        <v>9</v>
      </c>
      <c r="E52" s="496" t="str">
        <f t="shared" si="24"/>
        <v>triệu VND</v>
      </c>
      <c r="F52" s="454"/>
      <c r="H52" s="457" cm="1">
        <f t="array" ref="H52">SUMPRODUCT('W3'!$K$18:$AJ$1670*('W3'!$A$18:$A$1670=H$5)*('W3'!$D$18:$D$1670=$B$42)*('W3'!$K$14:$AJ$14='Cover Page'!$D52))</f>
        <v>37085.589775120701</v>
      </c>
      <c r="I52" s="457"/>
      <c r="K52" s="457" cm="1">
        <f t="array" ref="K52">SUMPRODUCT('W3'!$K$18:$AJ$1670*('W3'!$A$18:$A$1670=K$5)*('W3'!$D$18:$D$1670=$B$42)*('W3'!$K$14:$AJ$14='Cover Page'!$D52))</f>
        <v>37488.993172505041</v>
      </c>
      <c r="L52" s="732"/>
      <c r="N52" s="457" cm="1">
        <f t="array" ref="N52">SUMPRODUCT('W3'!$K$18:$AJ$1670*('W3'!$A$18:$A$1670=N$5)*('W3'!$D$18:$D$1670=$B$42)*('W3'!$K$14:$AJ$14='Cover Page'!$D52))</f>
        <v>30909.038470028998</v>
      </c>
      <c r="O52" s="732"/>
      <c r="Q52" s="457" cm="1">
        <f t="array" ref="Q52">SUMPRODUCT('W3'!$K$18:$AJ$1670*('W3'!$A$18:$A$1670=Q$5)*('W3'!$D$18:$D$1670=$B$42)*('W3'!$K$14:$AJ$14='Cover Page'!$D52))</f>
        <v>31312.441867413327</v>
      </c>
      <c r="R52" s="732"/>
      <c r="T52" s="457" cm="1">
        <f t="array" ref="T52">SUMPRODUCT('W3'!$K$18:$AJ$1670*('W3'!$A$18:$A$1670=T$5)*('W3'!$D$18:$D$1670=$B$42)*('W3'!$K$14:$AJ$14='Cover Page'!$D52))</f>
        <v>22673.636729906739</v>
      </c>
      <c r="U52" s="457"/>
      <c r="W52" s="457" cm="1">
        <f t="array" ref="W52">SUMPRODUCT('W3'!$K$18:$AJ$1670*('W3'!$A$18:$A$1670=W$5)*('W3'!$D$18:$D$1670=$B$42)*('W3'!$K$14:$AJ$14='Cover Page'!$D52))</f>
        <v>23077.040127291068</v>
      </c>
      <c r="X52" s="457"/>
      <c r="Z52" s="457" cm="1">
        <f t="array" ref="Z52">SUMPRODUCT('W3'!$K$18:$AJ$1670*('W3'!$A$18:$A$1670=Z$5)*('W3'!$D$18:$D$1670=$B$42)*('W3'!$K$14:$AJ$14='Cover Page'!$D52))</f>
        <v>17727.293083845143</v>
      </c>
      <c r="AA52" s="457"/>
      <c r="AC52" s="457" cm="1">
        <f t="array" ref="AC52">SUMPRODUCT('W3'!$K$18:$AJ$1670*('W3'!$A$18:$A$1670=AC$5)*('W3'!$D$18:$D$1670=$B$42)*('W3'!$K$14:$AJ$14='Cover Page'!$D52))</f>
        <v>24980.207604198742</v>
      </c>
      <c r="AD52" s="457"/>
      <c r="AF52" s="457" cm="1">
        <f t="array" ref="AF52">SUMPRODUCT('W3'!$K$18:$AJ$1670*('W3'!$A$18:$A$1670=AF$5)*('W3'!$D$18:$D$1670=$B$42)*('W3'!$K$14:$AJ$14='Cover Page'!$D52))</f>
        <v>37085.589775120701</v>
      </c>
      <c r="AG52" s="457"/>
      <c r="AI52" s="457" cm="1">
        <f t="array" ref="AI52">SUMPRODUCT('W3'!$K$18:$AJ$1670*('W3'!$A$18:$A$1670=AI$5)*('W3'!$D$18:$D$1670=$B$42)*('W3'!$K$14:$AJ$14='Cover Page'!$D52))</f>
        <v>37488.993172505041</v>
      </c>
      <c r="AJ52" s="457"/>
    </row>
    <row r="53" spans="4:36" outlineLevel="1" x14ac:dyDescent="0.25">
      <c r="D53" s="542">
        <v>10</v>
      </c>
      <c r="E53" s="496" t="str">
        <f t="shared" si="24"/>
        <v>triệu VND</v>
      </c>
      <c r="F53" s="454"/>
      <c r="H53" s="457" cm="1">
        <f t="array" ref="H53">SUMPRODUCT('W3'!$K$18:$AJ$1670*('W3'!$A$18:$A$1670=H$5)*('W3'!$D$18:$D$1670=$B$42)*('W3'!$K$14:$AJ$14='Cover Page'!$D53))</f>
        <v>34567.287851507019</v>
      </c>
      <c r="I53" s="457"/>
      <c r="K53" s="457" cm="1">
        <f t="array" ref="K53">SUMPRODUCT('W3'!$K$18:$AJ$1670*('W3'!$A$18:$A$1670=K$5)*('W3'!$D$18:$D$1670=$B$42)*('W3'!$K$14:$AJ$14='Cover Page'!$D53))</f>
        <v>34943.365450545207</v>
      </c>
      <c r="L53" s="732"/>
      <c r="N53" s="457" cm="1">
        <f t="array" ref="N53">SUMPRODUCT('W3'!$K$18:$AJ$1670*('W3'!$A$18:$A$1670=N$5)*('W3'!$D$18:$D$1670=$B$42)*('W3'!$K$14:$AJ$14='Cover Page'!$D53))</f>
        <v>28693.961418906238</v>
      </c>
      <c r="O53" s="732"/>
      <c r="Q53" s="457" cm="1">
        <f t="array" ref="Q53">SUMPRODUCT('W3'!$K$18:$AJ$1670*('W3'!$A$18:$A$1670=Q$5)*('W3'!$D$18:$D$1670=$B$42)*('W3'!$K$14:$AJ$14='Cover Page'!$D53))</f>
        <v>29070.039017944426</v>
      </c>
      <c r="R53" s="732"/>
      <c r="T53" s="457" cm="1">
        <f t="array" ref="T53">SUMPRODUCT('W3'!$K$18:$AJ$1670*('W3'!$A$18:$A$1670=T$5)*('W3'!$D$18:$D$1670=$B$42)*('W3'!$K$14:$AJ$14='Cover Page'!$D53))</f>
        <v>20862.859508771886</v>
      </c>
      <c r="U53" s="457"/>
      <c r="W53" s="457" cm="1">
        <f t="array" ref="W53">SUMPRODUCT('W3'!$K$18:$AJ$1670*('W3'!$A$18:$A$1670=W$5)*('W3'!$D$18:$D$1670=$B$42)*('W3'!$K$14:$AJ$14='Cover Page'!$D53))</f>
        <v>21238.937107810074</v>
      </c>
      <c r="X53" s="457"/>
      <c r="Z53" s="457" cm="1">
        <f t="array" ref="Z53">SUMPRODUCT('W3'!$K$18:$AJ$1670*('W3'!$A$18:$A$1670=Z$5)*('W3'!$D$18:$D$1670=$B$42)*('W3'!$K$14:$AJ$14='Cover Page'!$D53))</f>
        <v>16159.346262279238</v>
      </c>
      <c r="AA53" s="457"/>
      <c r="AC53" s="457" cm="1">
        <f t="array" ref="AC53">SUMPRODUCT('W3'!$K$18:$AJ$1670*('W3'!$A$18:$A$1670=AC$5)*('W3'!$D$18:$D$1670=$B$42)*('W3'!$K$14:$AJ$14='Cover Page'!$D53))</f>
        <v>23048.672556550431</v>
      </c>
      <c r="AD53" s="457"/>
      <c r="AF53" s="457" cm="1">
        <f t="array" ref="AF53">SUMPRODUCT('W3'!$K$18:$AJ$1670*('W3'!$A$18:$A$1670=AF$5)*('W3'!$D$18:$D$1670=$B$42)*('W3'!$K$14:$AJ$14='Cover Page'!$D53))</f>
        <v>34567.287851507019</v>
      </c>
      <c r="AG53" s="457"/>
      <c r="AI53" s="457" cm="1">
        <f t="array" ref="AI53">SUMPRODUCT('W3'!$K$18:$AJ$1670*('W3'!$A$18:$A$1670=AI$5)*('W3'!$D$18:$D$1670=$B$42)*('W3'!$K$14:$AJ$14='Cover Page'!$D53))</f>
        <v>34943.365450545207</v>
      </c>
      <c r="AJ53" s="457"/>
    </row>
    <row r="54" spans="4:36" outlineLevel="1" x14ac:dyDescent="0.25">
      <c r="D54" s="542">
        <v>11</v>
      </c>
      <c r="E54" s="496" t="str">
        <f t="shared" si="24"/>
        <v>triệu VND</v>
      </c>
      <c r="F54" s="454"/>
      <c r="H54" s="457" cm="1">
        <f t="array" ref="H54">SUMPRODUCT('W3'!$K$18:$AJ$1670*('W3'!$A$18:$A$1670=H$5)*('W3'!$D$18:$D$1670=$B$42)*('W3'!$K$14:$AJ$14='Cover Page'!$D54))</f>
        <v>32189.069980766984</v>
      </c>
      <c r="I54" s="457"/>
      <c r="K54" s="457" cm="1">
        <f t="array" ref="K54">SUMPRODUCT('W3'!$K$18:$AJ$1670*('W3'!$A$18:$A$1670=K$5)*('W3'!$D$18:$D$1670=$B$42)*('W3'!$K$14:$AJ$14='Cover Page'!$D54))</f>
        <v>32539.672780384935</v>
      </c>
      <c r="L54" s="732"/>
      <c r="N54" s="457" cm="1">
        <f t="array" ref="N54">SUMPRODUCT('W3'!$K$18:$AJ$1670*('W3'!$A$18:$A$1670=N$5)*('W3'!$D$18:$D$1670=$B$42)*('W3'!$K$14:$AJ$14='Cover Page'!$D54))</f>
        <v>26604.082229519827</v>
      </c>
      <c r="O54" s="732"/>
      <c r="Q54" s="457" cm="1">
        <f t="array" ref="Q54">SUMPRODUCT('W3'!$K$18:$AJ$1670*('W3'!$A$18:$A$1670=Q$5)*('W3'!$D$18:$D$1670=$B$42)*('W3'!$K$14:$AJ$14='Cover Page'!$D54))</f>
        <v>26954.685029137778</v>
      </c>
      <c r="R54" s="732"/>
      <c r="T54" s="457" cm="1">
        <f t="array" ref="T54">SUMPRODUCT('W3'!$K$18:$AJ$1670*('W3'!$A$18:$A$1670=T$5)*('W3'!$D$18:$D$1670=$B$42)*('W3'!$K$14:$AJ$14='Cover Page'!$D54))</f>
        <v>19157.43189452359</v>
      </c>
      <c r="U54" s="457"/>
      <c r="W54" s="457" cm="1">
        <f t="array" ref="W54">SUMPRODUCT('W3'!$K$18:$AJ$1670*('W3'!$A$18:$A$1670=W$5)*('W3'!$D$18:$D$1670=$B$42)*('W3'!$K$14:$AJ$14='Cover Page'!$D54))</f>
        <v>19508.034694141545</v>
      </c>
      <c r="X54" s="457"/>
      <c r="Z54" s="457" cm="1">
        <f t="array" ref="Z54">SUMPRODUCT('W3'!$K$18:$AJ$1670*('W3'!$A$18:$A$1670=Z$5)*('W3'!$D$18:$D$1670=$B$42)*('W3'!$K$14:$AJ$14='Cover Page'!$D54))</f>
        <v>14684.827796838848</v>
      </c>
      <c r="AA54" s="457"/>
      <c r="AC54" s="457" cm="1">
        <f t="array" ref="AC54">SUMPRODUCT('W3'!$K$18:$AJ$1670*('W3'!$A$18:$A$1670=AC$5)*('W3'!$D$18:$D$1670=$B$42)*('W3'!$K$14:$AJ$14='Cover Page'!$D54))</f>
        <v>21228.92496479132</v>
      </c>
      <c r="AD54" s="457"/>
      <c r="AF54" s="457" cm="1">
        <f t="array" ref="AF54">SUMPRODUCT('W3'!$K$18:$AJ$1670*('W3'!$A$18:$A$1670=AF$5)*('W3'!$D$18:$D$1670=$B$42)*('W3'!$K$14:$AJ$14='Cover Page'!$D54))</f>
        <v>32189.069980766984</v>
      </c>
      <c r="AG54" s="457"/>
      <c r="AI54" s="457" cm="1">
        <f t="array" ref="AI54">SUMPRODUCT('W3'!$K$18:$AJ$1670*('W3'!$A$18:$A$1670=AI$5)*('W3'!$D$18:$D$1670=$B$42)*('W3'!$K$14:$AJ$14='Cover Page'!$D54))</f>
        <v>32539.672780384935</v>
      </c>
      <c r="AJ54" s="457"/>
    </row>
    <row r="55" spans="4:36" outlineLevel="1" x14ac:dyDescent="0.25">
      <c r="D55" s="542">
        <v>12</v>
      </c>
      <c r="E55" s="496" t="str">
        <f t="shared" si="24"/>
        <v>triệu VND</v>
      </c>
      <c r="F55" s="454"/>
      <c r="H55" s="457" cm="1">
        <f t="array" ref="H55">SUMPRODUCT('W3'!$K$18:$AJ$1670*('W3'!$A$18:$A$1670=H$5)*('W3'!$D$18:$D$1670=$B$42)*('W3'!$K$14:$AJ$14='Cover Page'!$D55))</f>
        <v>29943.595273027306</v>
      </c>
      <c r="I55" s="457"/>
      <c r="K55" s="457" cm="1">
        <f t="array" ref="K55">SUMPRODUCT('W3'!$K$18:$AJ$1670*('W3'!$A$18:$A$1670=K$5)*('W3'!$D$18:$D$1670=$B$42)*('W3'!$K$14:$AJ$14='Cover Page'!$D55))</f>
        <v>30270.448888914871</v>
      </c>
      <c r="L55" s="732"/>
      <c r="N55" s="457" cm="1">
        <f t="array" ref="N55">SUMPRODUCT('W3'!$K$18:$AJ$1670*('W3'!$A$18:$A$1670=N$5)*('W3'!$D$18:$D$1670=$B$42)*('W3'!$K$14:$AJ$14='Cover Page'!$D55))</f>
        <v>24632.790818426478</v>
      </c>
      <c r="O55" s="732"/>
      <c r="Q55" s="457" cm="1">
        <f t="array" ref="Q55">SUMPRODUCT('W3'!$K$18:$AJ$1670*('W3'!$A$18:$A$1670=Q$5)*('W3'!$D$18:$D$1670=$B$42)*('W3'!$K$14:$AJ$14='Cover Page'!$D55))</f>
        <v>24959.644434314039</v>
      </c>
      <c r="R55" s="732"/>
      <c r="T55" s="457" cm="1">
        <f t="array" ref="T55">SUMPRODUCT('W3'!$K$18:$AJ$1670*('W3'!$A$18:$A$1670=T$5)*('W3'!$D$18:$D$1670=$B$42)*('W3'!$K$14:$AJ$14='Cover Page'!$D55))</f>
        <v>17551.718212292049</v>
      </c>
      <c r="U55" s="457"/>
      <c r="W55" s="457" cm="1">
        <f t="array" ref="W55">SUMPRODUCT('W3'!$K$18:$AJ$1670*('W3'!$A$18:$A$1670=W$5)*('W3'!$D$18:$D$1670=$B$42)*('W3'!$K$14:$AJ$14='Cover Page'!$D55))</f>
        <v>17878.571828179611</v>
      </c>
      <c r="X55" s="457"/>
      <c r="Z55" s="457" cm="1">
        <f t="array" ref="Z55">SUMPRODUCT('W3'!$K$18:$AJ$1670*('W3'!$A$18:$A$1670=Z$5)*('W3'!$D$18:$D$1670=$B$42)*('W3'!$K$14:$AJ$14='Cover Page'!$D55))</f>
        <v>13298.687261535579</v>
      </c>
      <c r="AA55" s="457"/>
      <c r="AC55" s="457" cm="1">
        <f t="array" ref="AC55">SUMPRODUCT('W3'!$K$18:$AJ$1670*('W3'!$A$18:$A$1670=AC$5)*('W3'!$D$18:$D$1670=$B$42)*('W3'!$K$14:$AJ$14='Cover Page'!$D55))</f>
        <v>19514.978589001064</v>
      </c>
      <c r="AD55" s="457"/>
      <c r="AF55" s="457" cm="1">
        <f t="array" ref="AF55">SUMPRODUCT('W3'!$K$18:$AJ$1670*('W3'!$A$18:$A$1670=AF$5)*('W3'!$D$18:$D$1670=$B$42)*('W3'!$K$14:$AJ$14='Cover Page'!$D55))</f>
        <v>29943.595273027306</v>
      </c>
      <c r="AG55" s="457"/>
      <c r="AI55" s="457" cm="1">
        <f t="array" ref="AI55">SUMPRODUCT('W3'!$K$18:$AJ$1670*('W3'!$A$18:$A$1670=AI$5)*('W3'!$D$18:$D$1670=$B$42)*('W3'!$K$14:$AJ$14='Cover Page'!$D55))</f>
        <v>30270.448888914871</v>
      </c>
      <c r="AJ55" s="457"/>
    </row>
    <row r="56" spans="4:36" outlineLevel="1" x14ac:dyDescent="0.25">
      <c r="D56" s="542">
        <v>13</v>
      </c>
      <c r="E56" s="496" t="str">
        <f t="shared" si="24"/>
        <v>triệu VND</v>
      </c>
      <c r="F56" s="454"/>
      <c r="H56" s="457" cm="1">
        <f t="array" ref="H56">SUMPRODUCT('W3'!$K$18:$AJ$1670*('W3'!$A$18:$A$1670=H$5)*('W3'!$D$18:$D$1670=$B$42)*('W3'!$K$14:$AJ$14='Cover Page'!$D56))</f>
        <v>26132.189527479506</v>
      </c>
      <c r="I56" s="457"/>
      <c r="K56" s="457" cm="1">
        <f t="array" ref="K56">SUMPRODUCT('W3'!$K$18:$AJ$1670*('W3'!$A$18:$A$1670=K$5)*('W3'!$D$18:$D$1670=$B$42)*('W3'!$K$14:$AJ$14='Cover Page'!$D56))</f>
        <v>26436.902685318502</v>
      </c>
      <c r="L56" s="732"/>
      <c r="N56" s="457" cm="1">
        <f t="array" ref="N56">SUMPRODUCT('W3'!$K$18:$AJ$1670*('W3'!$A$18:$A$1670=N$5)*('W3'!$D$18:$D$1670=$B$42)*('W3'!$K$14:$AJ$14='Cover Page'!$D56))</f>
        <v>21082.107913834159</v>
      </c>
      <c r="O56" s="732"/>
      <c r="Q56" s="457" cm="1">
        <f t="array" ref="Q56">SUMPRODUCT('W3'!$K$18:$AJ$1670*('W3'!$A$18:$A$1670=Q$5)*('W3'!$D$18:$D$1670=$B$42)*('W3'!$K$14:$AJ$14='Cover Page'!$D56))</f>
        <v>21386.821071673152</v>
      </c>
      <c r="R56" s="732"/>
      <c r="T56" s="457" cm="1">
        <f t="array" ref="T56">SUMPRODUCT('W3'!$K$18:$AJ$1670*('W3'!$A$18:$A$1670=T$5)*('W3'!$D$18:$D$1670=$B$42)*('W3'!$K$14:$AJ$14='Cover Page'!$D56))</f>
        <v>14348.665762306991</v>
      </c>
      <c r="U56" s="457"/>
      <c r="W56" s="457" cm="1">
        <f t="array" ref="W56">SUMPRODUCT('W3'!$K$18:$AJ$1670*('W3'!$A$18:$A$1670=W$5)*('W3'!$D$18:$D$1670=$B$42)*('W3'!$K$14:$AJ$14='Cover Page'!$D56))</f>
        <v>14653.378920145984</v>
      </c>
      <c r="X56" s="457"/>
      <c r="Z56" s="457" cm="1">
        <f t="array" ref="Z56">SUMPRODUCT('W3'!$K$18:$AJ$1670*('W3'!$A$18:$A$1670=Z$5)*('W3'!$D$18:$D$1670=$B$42)*('W3'!$K$14:$AJ$14='Cover Page'!$D56))</f>
        <v>10304.428473910282</v>
      </c>
      <c r="AA56" s="457"/>
      <c r="AC56" s="457" cm="1">
        <f t="array" ref="AC56">SUMPRODUCT('W3'!$K$18:$AJ$1670*('W3'!$A$18:$A$1670=AC$5)*('W3'!$D$18:$D$1670=$B$42)*('W3'!$K$14:$AJ$14='Cover Page'!$D56))</f>
        <v>16209.449712417456</v>
      </c>
      <c r="AD56" s="457"/>
      <c r="AF56" s="457" cm="1">
        <f t="array" ref="AF56">SUMPRODUCT('W3'!$K$18:$AJ$1670*('W3'!$A$18:$A$1670=AF$5)*('W3'!$D$18:$D$1670=$B$42)*('W3'!$K$14:$AJ$14='Cover Page'!$D56))</f>
        <v>26132.189527479506</v>
      </c>
      <c r="AG56" s="457"/>
      <c r="AI56" s="457" cm="1">
        <f t="array" ref="AI56">SUMPRODUCT('W3'!$K$18:$AJ$1670*('W3'!$A$18:$A$1670=AI$5)*('W3'!$D$18:$D$1670=$B$42)*('W3'!$K$14:$AJ$14='Cover Page'!$D56))</f>
        <v>26436.902685318502</v>
      </c>
      <c r="AJ56" s="457"/>
    </row>
    <row r="57" spans="4:36" outlineLevel="1" x14ac:dyDescent="0.25">
      <c r="D57" s="542">
        <v>14</v>
      </c>
      <c r="E57" s="496" t="str">
        <f t="shared" si="24"/>
        <v>triệu VND</v>
      </c>
      <c r="F57" s="454"/>
      <c r="H57" s="457" cm="1">
        <f t="array" ref="H57">SUMPRODUCT('W3'!$K$18:$AJ$1670*('W3'!$A$18:$A$1670=H$5)*('W3'!$D$18:$D$1670=$B$42)*('W3'!$K$14:$AJ$14='Cover Page'!$D57))</f>
        <v>24246.264611177816</v>
      </c>
      <c r="I57" s="457"/>
      <c r="K57" s="457" cm="1">
        <f t="array" ref="K57">SUMPRODUCT('W3'!$K$18:$AJ$1670*('W3'!$A$18:$A$1670=K$5)*('W3'!$D$18:$D$1670=$B$42)*('W3'!$K$14:$AJ$14='Cover Page'!$D57))</f>
        <v>24530.337064554456</v>
      </c>
      <c r="L57" s="732"/>
      <c r="N57" s="457" cm="1">
        <f t="array" ref="N57">SUMPRODUCT('W3'!$K$18:$AJ$1670*('W3'!$A$18:$A$1670=N$5)*('W3'!$D$18:$D$1670=$B$42)*('W3'!$K$14:$AJ$14='Cover Page'!$D57))</f>
        <v>19444.106195726254</v>
      </c>
      <c r="O57" s="732"/>
      <c r="Q57" s="457" cm="1">
        <f t="array" ref="Q57">SUMPRODUCT('W3'!$K$18:$AJ$1670*('W3'!$A$18:$A$1670=Q$5)*('W3'!$D$18:$D$1670=$B$42)*('W3'!$K$14:$AJ$14='Cover Page'!$D57))</f>
        <v>19728.178649102898</v>
      </c>
      <c r="R57" s="732"/>
      <c r="T57" s="457" cm="1">
        <f t="array" ref="T57">SUMPRODUCT('W3'!$K$18:$AJ$1670*('W3'!$A$18:$A$1670=T$5)*('W3'!$D$18:$D$1670=$B$42)*('W3'!$K$14:$AJ$14='Cover Page'!$D57))</f>
        <v>13041.228308457545</v>
      </c>
      <c r="U57" s="457"/>
      <c r="W57" s="457" cm="1">
        <f t="array" ref="W57">SUMPRODUCT('W3'!$K$18:$AJ$1670*('W3'!$A$18:$A$1670=W$5)*('W3'!$D$18:$D$1670=$B$42)*('W3'!$K$14:$AJ$14='Cover Page'!$D57))</f>
        <v>13325.300761834187</v>
      </c>
      <c r="X57" s="457"/>
      <c r="Z57" s="457" cm="1">
        <f t="array" ref="Z57">SUMPRODUCT('W3'!$K$18:$AJ$1670*('W3'!$A$18:$A$1670=Z$5)*('W3'!$D$18:$D$1670=$B$42)*('W3'!$K$14:$AJ$14='Cover Page'!$D57))</f>
        <v>9195.5343941094179</v>
      </c>
      <c r="AA57" s="457"/>
      <c r="AC57" s="457" cm="1">
        <f t="array" ref="AC57">SUMPRODUCT('W3'!$K$18:$AJ$1670*('W3'!$A$18:$A$1670=AC$5)*('W3'!$D$18:$D$1670=$B$42)*('W3'!$K$14:$AJ$14='Cover Page'!$D57))</f>
        <v>14804.979511966421</v>
      </c>
      <c r="AD57" s="457"/>
      <c r="AF57" s="457" cm="1">
        <f t="array" ref="AF57">SUMPRODUCT('W3'!$K$18:$AJ$1670*('W3'!$A$18:$A$1670=AF$5)*('W3'!$D$18:$D$1670=$B$42)*('W3'!$K$14:$AJ$14='Cover Page'!$D57))</f>
        <v>24246.264611177816</v>
      </c>
      <c r="AG57" s="457"/>
      <c r="AI57" s="457" cm="1">
        <f t="array" ref="AI57">SUMPRODUCT('W3'!$K$18:$AJ$1670*('W3'!$A$18:$A$1670=AI$5)*('W3'!$D$18:$D$1670=$B$42)*('W3'!$K$14:$AJ$14='Cover Page'!$D57))</f>
        <v>24530.337064554456</v>
      </c>
      <c r="AJ57" s="457"/>
    </row>
    <row r="58" spans="4:36" outlineLevel="1" x14ac:dyDescent="0.25">
      <c r="D58" s="542">
        <v>15</v>
      </c>
      <c r="E58" s="496" t="str">
        <f t="shared" si="24"/>
        <v>triệu VND</v>
      </c>
      <c r="F58" s="454"/>
      <c r="H58" s="457" cm="1">
        <f t="array" ref="H58">SUMPRODUCT('W3'!$K$18:$AJ$1670*('W3'!$A$18:$A$1670=H$5)*('W3'!$D$18:$D$1670=$B$42)*('W3'!$K$14:$AJ$14='Cover Page'!$D58))</f>
        <v>22465.489305138799</v>
      </c>
      <c r="I58" s="457"/>
      <c r="K58" s="457" cm="1">
        <f t="array" ref="K58">SUMPRODUCT('W3'!$K$18:$AJ$1670*('W3'!$A$18:$A$1670=K$5)*('W3'!$D$18:$D$1670=$B$42)*('W3'!$K$14:$AJ$14='Cover Page'!$D58))</f>
        <v>22730.319217111504</v>
      </c>
      <c r="L58" s="732"/>
      <c r="N58" s="457" cm="1">
        <f t="array" ref="N58">SUMPRODUCT('W3'!$K$18:$AJ$1670*('W3'!$A$18:$A$1670=N$5)*('W3'!$D$18:$D$1670=$B$42)*('W3'!$K$14:$AJ$14='Cover Page'!$D58))</f>
        <v>17899.082816819497</v>
      </c>
      <c r="O58" s="732"/>
      <c r="Q58" s="457" cm="1">
        <f t="array" ref="Q58">SUMPRODUCT('W3'!$K$18:$AJ$1670*('W3'!$A$18:$A$1670=Q$5)*('W3'!$D$18:$D$1670=$B$42)*('W3'!$K$14:$AJ$14='Cover Page'!$D58))</f>
        <v>18163.912728792202</v>
      </c>
      <c r="R58" s="732"/>
      <c r="T58" s="457" cm="1">
        <f t="array" ref="T58">SUMPRODUCT('W3'!$K$18:$AJ$1670*('W3'!$A$18:$A$1670=T$5)*('W3'!$D$18:$D$1670=$B$42)*('W3'!$K$14:$AJ$14='Cover Page'!$D58))</f>
        <v>11810.540832393744</v>
      </c>
      <c r="U58" s="457"/>
      <c r="W58" s="457" cm="1">
        <f t="array" ref="W58">SUMPRODUCT('W3'!$K$18:$AJ$1670*('W3'!$A$18:$A$1670=W$5)*('W3'!$D$18:$D$1670=$B$42)*('W3'!$K$14:$AJ$14='Cover Page'!$D58))</f>
        <v>12075.370744366452</v>
      </c>
      <c r="X58" s="457"/>
      <c r="Z58" s="457" cm="1">
        <f t="array" ref="Z58">SUMPRODUCT('W3'!$K$18:$AJ$1670*('W3'!$A$18:$A$1670=Z$5)*('W3'!$D$18:$D$1670=$B$42)*('W3'!$K$14:$AJ$14='Cover Page'!$D58))</f>
        <v>8153.6432202565729</v>
      </c>
      <c r="AA58" s="457"/>
      <c r="AC58" s="457" cm="1">
        <f t="array" ref="AC58">SUMPRODUCT('W3'!$K$18:$AJ$1670*('W3'!$A$18:$A$1670=AC$5)*('W3'!$D$18:$D$1670=$B$42)*('W3'!$K$14:$AJ$14='Cover Page'!$D58))</f>
        <v>13482.407759949116</v>
      </c>
      <c r="AD58" s="457"/>
      <c r="AF58" s="457" cm="1">
        <f t="array" ref="AF58">SUMPRODUCT('W3'!$K$18:$AJ$1670*('W3'!$A$18:$A$1670=AF$5)*('W3'!$D$18:$D$1670=$B$42)*('W3'!$K$14:$AJ$14='Cover Page'!$D58))</f>
        <v>22465.489305138799</v>
      </c>
      <c r="AG58" s="457"/>
      <c r="AI58" s="457" cm="1">
        <f t="array" ref="AI58">SUMPRODUCT('W3'!$K$18:$AJ$1670*('W3'!$A$18:$A$1670=AI$5)*('W3'!$D$18:$D$1670=$B$42)*('W3'!$K$14:$AJ$14='Cover Page'!$D58))</f>
        <v>22730.319217111504</v>
      </c>
      <c r="AJ58" s="457"/>
    </row>
    <row r="59" spans="4:36" outlineLevel="1" x14ac:dyDescent="0.25">
      <c r="D59" s="542">
        <v>16</v>
      </c>
      <c r="E59" s="496" t="str">
        <f t="shared" si="24"/>
        <v>triệu VND</v>
      </c>
      <c r="F59" s="454"/>
      <c r="H59" s="457" cm="1">
        <f t="array" ref="H59">SUMPRODUCT('W3'!$K$18:$AJ$1670*('W3'!$A$18:$A$1670=H$5)*('W3'!$D$18:$D$1670=$B$42)*('W3'!$K$14:$AJ$14='Cover Page'!$D59))</f>
        <v>0</v>
      </c>
      <c r="I59" s="457"/>
      <c r="K59" s="457" cm="1">
        <f t="array" ref="K59">SUMPRODUCT('W3'!$K$18:$AJ$1670*('W3'!$A$18:$A$1670=K$5)*('W3'!$D$18:$D$1670=$B$42)*('W3'!$K$14:$AJ$14='Cover Page'!$D59))</f>
        <v>0</v>
      </c>
      <c r="L59" s="732"/>
      <c r="N59" s="457" cm="1">
        <f t="array" ref="N59">SUMPRODUCT('W3'!$K$18:$AJ$1670*('W3'!$A$18:$A$1670=N$5)*('W3'!$D$18:$D$1670=$B$42)*('W3'!$K$14:$AJ$14='Cover Page'!$D59))</f>
        <v>0</v>
      </c>
      <c r="O59" s="732"/>
      <c r="Q59" s="457" cm="1">
        <f t="array" ref="Q59">SUMPRODUCT('W3'!$K$18:$AJ$1670*('W3'!$A$18:$A$1670=Q$5)*('W3'!$D$18:$D$1670=$B$42)*('W3'!$K$14:$AJ$14='Cover Page'!$D59))</f>
        <v>0</v>
      </c>
      <c r="R59" s="732"/>
      <c r="T59" s="457" cm="1">
        <f t="array" ref="T59">SUMPRODUCT('W3'!$K$18:$AJ$1670*('W3'!$A$18:$A$1670=T$5)*('W3'!$D$18:$D$1670=$B$42)*('W3'!$K$14:$AJ$14='Cover Page'!$D59))</f>
        <v>0</v>
      </c>
      <c r="U59" s="457"/>
      <c r="W59" s="457" cm="1">
        <f t="array" ref="W59">SUMPRODUCT('W3'!$K$18:$AJ$1670*('W3'!$A$18:$A$1670=W$5)*('W3'!$D$18:$D$1670=$B$42)*('W3'!$K$14:$AJ$14='Cover Page'!$D59))</f>
        <v>0</v>
      </c>
      <c r="X59" s="457"/>
      <c r="Z59" s="457" cm="1">
        <f t="array" ref="Z59">SUMPRODUCT('W3'!$K$18:$AJ$1670*('W3'!$A$18:$A$1670=Z$5)*('W3'!$D$18:$D$1670=$B$42)*('W3'!$K$14:$AJ$14='Cover Page'!$D59))</f>
        <v>0</v>
      </c>
      <c r="AA59" s="457"/>
      <c r="AC59" s="457" cm="1">
        <f t="array" ref="AC59">SUMPRODUCT('W3'!$K$18:$AJ$1670*('W3'!$A$18:$A$1670=AC$5)*('W3'!$D$18:$D$1670=$B$42)*('W3'!$K$14:$AJ$14='Cover Page'!$D59))</f>
        <v>0</v>
      </c>
      <c r="AD59" s="457"/>
      <c r="AF59" s="457" cm="1">
        <f t="array" ref="AF59">SUMPRODUCT('W3'!$K$18:$AJ$1670*('W3'!$A$18:$A$1670=AF$5)*('W3'!$D$18:$D$1670=$B$42)*('W3'!$K$14:$AJ$14='Cover Page'!$D59))</f>
        <v>0</v>
      </c>
      <c r="AG59" s="457"/>
      <c r="AI59" s="457" cm="1">
        <f t="array" ref="AI59">SUMPRODUCT('W3'!$K$18:$AJ$1670*('W3'!$A$18:$A$1670=AI$5)*('W3'!$D$18:$D$1670=$B$42)*('W3'!$K$14:$AJ$14='Cover Page'!$D59))</f>
        <v>0</v>
      </c>
      <c r="AJ59" s="457"/>
    </row>
    <row r="60" spans="4:36" outlineLevel="1" x14ac:dyDescent="0.25">
      <c r="D60" s="542">
        <v>17</v>
      </c>
      <c r="E60" s="496" t="str">
        <f t="shared" si="24"/>
        <v>triệu VND</v>
      </c>
      <c r="F60" s="454"/>
      <c r="H60" s="457" cm="1">
        <f t="array" ref="H60">SUMPRODUCT('W3'!$K$18:$AJ$1670*('W3'!$A$18:$A$1670=H$5)*('W3'!$D$18:$D$1670=$B$42)*('W3'!$K$14:$AJ$14='Cover Page'!$D60))</f>
        <v>0</v>
      </c>
      <c r="I60" s="457"/>
      <c r="K60" s="457" cm="1">
        <f t="array" ref="K60">SUMPRODUCT('W3'!$K$18:$AJ$1670*('W3'!$A$18:$A$1670=K$5)*('W3'!$D$18:$D$1670=$B$42)*('W3'!$K$14:$AJ$14='Cover Page'!$D60))</f>
        <v>0</v>
      </c>
      <c r="L60" s="732"/>
      <c r="N60" s="457" cm="1">
        <f t="array" ref="N60">SUMPRODUCT('W3'!$K$18:$AJ$1670*('W3'!$A$18:$A$1670=N$5)*('W3'!$D$18:$D$1670=$B$42)*('W3'!$K$14:$AJ$14='Cover Page'!$D60))</f>
        <v>0</v>
      </c>
      <c r="O60" s="732"/>
      <c r="Q60" s="457" cm="1">
        <f t="array" ref="Q60">SUMPRODUCT('W3'!$K$18:$AJ$1670*('W3'!$A$18:$A$1670=Q$5)*('W3'!$D$18:$D$1670=$B$42)*('W3'!$K$14:$AJ$14='Cover Page'!$D60))</f>
        <v>0</v>
      </c>
      <c r="R60" s="732"/>
      <c r="T60" s="457" cm="1">
        <f t="array" ref="T60">SUMPRODUCT('W3'!$K$18:$AJ$1670*('W3'!$A$18:$A$1670=T$5)*('W3'!$D$18:$D$1670=$B$42)*('W3'!$K$14:$AJ$14='Cover Page'!$D60))</f>
        <v>0</v>
      </c>
      <c r="U60" s="457"/>
      <c r="W60" s="457" cm="1">
        <f t="array" ref="W60">SUMPRODUCT('W3'!$K$18:$AJ$1670*('W3'!$A$18:$A$1670=W$5)*('W3'!$D$18:$D$1670=$B$42)*('W3'!$K$14:$AJ$14='Cover Page'!$D60))</f>
        <v>0</v>
      </c>
      <c r="X60" s="457"/>
      <c r="Z60" s="457" cm="1">
        <f t="array" ref="Z60">SUMPRODUCT('W3'!$K$18:$AJ$1670*('W3'!$A$18:$A$1670=Z$5)*('W3'!$D$18:$D$1670=$B$42)*('W3'!$K$14:$AJ$14='Cover Page'!$D60))</f>
        <v>0</v>
      </c>
      <c r="AA60" s="457"/>
      <c r="AC60" s="457" cm="1">
        <f t="array" ref="AC60">SUMPRODUCT('W3'!$K$18:$AJ$1670*('W3'!$A$18:$A$1670=AC$5)*('W3'!$D$18:$D$1670=$B$42)*('W3'!$K$14:$AJ$14='Cover Page'!$D60))</f>
        <v>0</v>
      </c>
      <c r="AD60" s="457"/>
      <c r="AF60" s="457" cm="1">
        <f t="array" ref="AF60">SUMPRODUCT('W3'!$K$18:$AJ$1670*('W3'!$A$18:$A$1670=AF$5)*('W3'!$D$18:$D$1670=$B$42)*('W3'!$K$14:$AJ$14='Cover Page'!$D60))</f>
        <v>0</v>
      </c>
      <c r="AG60" s="457"/>
      <c r="AI60" s="457" cm="1">
        <f t="array" ref="AI60">SUMPRODUCT('W3'!$K$18:$AJ$1670*('W3'!$A$18:$A$1670=AI$5)*('W3'!$D$18:$D$1670=$B$42)*('W3'!$K$14:$AJ$14='Cover Page'!$D60))</f>
        <v>0</v>
      </c>
      <c r="AJ60" s="457"/>
    </row>
    <row r="61" spans="4:36" outlineLevel="1" x14ac:dyDescent="0.25">
      <c r="D61" s="542">
        <v>18</v>
      </c>
      <c r="E61" s="496" t="str">
        <f t="shared" si="24"/>
        <v>triệu VND</v>
      </c>
      <c r="F61" s="454"/>
      <c r="H61" s="457" cm="1">
        <f t="array" ref="H61">SUMPRODUCT('W3'!$K$18:$AJ$1670*('W3'!$A$18:$A$1670=H$5)*('W3'!$D$18:$D$1670=$B$42)*('W3'!$K$14:$AJ$14='Cover Page'!$D61))</f>
        <v>0</v>
      </c>
      <c r="I61" s="457"/>
      <c r="K61" s="457" cm="1">
        <f t="array" ref="K61">SUMPRODUCT('W3'!$K$18:$AJ$1670*('W3'!$A$18:$A$1670=K$5)*('W3'!$D$18:$D$1670=$B$42)*('W3'!$K$14:$AJ$14='Cover Page'!$D61))</f>
        <v>0</v>
      </c>
      <c r="L61" s="732"/>
      <c r="N61" s="457" cm="1">
        <f t="array" ref="N61">SUMPRODUCT('W3'!$K$18:$AJ$1670*('W3'!$A$18:$A$1670=N$5)*('W3'!$D$18:$D$1670=$B$42)*('W3'!$K$14:$AJ$14='Cover Page'!$D61))</f>
        <v>0</v>
      </c>
      <c r="O61" s="732"/>
      <c r="Q61" s="457" cm="1">
        <f t="array" ref="Q61">SUMPRODUCT('W3'!$K$18:$AJ$1670*('W3'!$A$18:$A$1670=Q$5)*('W3'!$D$18:$D$1670=$B$42)*('W3'!$K$14:$AJ$14='Cover Page'!$D61))</f>
        <v>0</v>
      </c>
      <c r="R61" s="732"/>
      <c r="T61" s="457" cm="1">
        <f t="array" ref="T61">SUMPRODUCT('W3'!$K$18:$AJ$1670*('W3'!$A$18:$A$1670=T$5)*('W3'!$D$18:$D$1670=$B$42)*('W3'!$K$14:$AJ$14='Cover Page'!$D61))</f>
        <v>0</v>
      </c>
      <c r="U61" s="457"/>
      <c r="W61" s="457" cm="1">
        <f t="array" ref="W61">SUMPRODUCT('W3'!$K$18:$AJ$1670*('W3'!$A$18:$A$1670=W$5)*('W3'!$D$18:$D$1670=$B$42)*('W3'!$K$14:$AJ$14='Cover Page'!$D61))</f>
        <v>0</v>
      </c>
      <c r="X61" s="457"/>
      <c r="Z61" s="457" cm="1">
        <f t="array" ref="Z61">SUMPRODUCT('W3'!$K$18:$AJ$1670*('W3'!$A$18:$A$1670=Z$5)*('W3'!$D$18:$D$1670=$B$42)*('W3'!$K$14:$AJ$14='Cover Page'!$D61))</f>
        <v>0</v>
      </c>
      <c r="AA61" s="457"/>
      <c r="AC61" s="457" cm="1">
        <f t="array" ref="AC61">SUMPRODUCT('W3'!$K$18:$AJ$1670*('W3'!$A$18:$A$1670=AC$5)*('W3'!$D$18:$D$1670=$B$42)*('W3'!$K$14:$AJ$14='Cover Page'!$D61))</f>
        <v>0</v>
      </c>
      <c r="AD61" s="457"/>
      <c r="AF61" s="457" cm="1">
        <f t="array" ref="AF61">SUMPRODUCT('W3'!$K$18:$AJ$1670*('W3'!$A$18:$A$1670=AF$5)*('W3'!$D$18:$D$1670=$B$42)*('W3'!$K$14:$AJ$14='Cover Page'!$D61))</f>
        <v>0</v>
      </c>
      <c r="AG61" s="457"/>
      <c r="AI61" s="457" cm="1">
        <f t="array" ref="AI61">SUMPRODUCT('W3'!$K$18:$AJ$1670*('W3'!$A$18:$A$1670=AI$5)*('W3'!$D$18:$D$1670=$B$42)*('W3'!$K$14:$AJ$14='Cover Page'!$D61))</f>
        <v>0</v>
      </c>
      <c r="AJ61" s="457"/>
    </row>
    <row r="62" spans="4:36" outlineLevel="1" x14ac:dyDescent="0.25">
      <c r="D62" s="542">
        <v>19</v>
      </c>
      <c r="E62" s="496" t="str">
        <f t="shared" si="24"/>
        <v>triệu VND</v>
      </c>
      <c r="F62" s="454"/>
      <c r="H62" s="457" cm="1">
        <f t="array" ref="H62">SUMPRODUCT('W3'!$K$18:$AJ$1670*('W3'!$A$18:$A$1670=H$5)*('W3'!$D$18:$D$1670=$B$42)*('W3'!$K$14:$AJ$14='Cover Page'!$D62))</f>
        <v>0</v>
      </c>
      <c r="I62" s="457"/>
      <c r="K62" s="457" cm="1">
        <f t="array" ref="K62">SUMPRODUCT('W3'!$K$18:$AJ$1670*('W3'!$A$18:$A$1670=K$5)*('W3'!$D$18:$D$1670=$B$42)*('W3'!$K$14:$AJ$14='Cover Page'!$D62))</f>
        <v>0</v>
      </c>
      <c r="L62" s="732"/>
      <c r="N62" s="457" cm="1">
        <f t="array" ref="N62">SUMPRODUCT('W3'!$K$18:$AJ$1670*('W3'!$A$18:$A$1670=N$5)*('W3'!$D$18:$D$1670=$B$42)*('W3'!$K$14:$AJ$14='Cover Page'!$D62))</f>
        <v>0</v>
      </c>
      <c r="O62" s="732"/>
      <c r="Q62" s="457" cm="1">
        <f t="array" ref="Q62">SUMPRODUCT('W3'!$K$18:$AJ$1670*('W3'!$A$18:$A$1670=Q$5)*('W3'!$D$18:$D$1670=$B$42)*('W3'!$K$14:$AJ$14='Cover Page'!$D62))</f>
        <v>0</v>
      </c>
      <c r="R62" s="732"/>
      <c r="T62" s="457" cm="1">
        <f t="array" ref="T62">SUMPRODUCT('W3'!$K$18:$AJ$1670*('W3'!$A$18:$A$1670=T$5)*('W3'!$D$18:$D$1670=$B$42)*('W3'!$K$14:$AJ$14='Cover Page'!$D62))</f>
        <v>0</v>
      </c>
      <c r="U62" s="457"/>
      <c r="W62" s="457" cm="1">
        <f t="array" ref="W62">SUMPRODUCT('W3'!$K$18:$AJ$1670*('W3'!$A$18:$A$1670=W$5)*('W3'!$D$18:$D$1670=$B$42)*('W3'!$K$14:$AJ$14='Cover Page'!$D62))</f>
        <v>0</v>
      </c>
      <c r="X62" s="457"/>
      <c r="Z62" s="457" cm="1">
        <f t="array" ref="Z62">SUMPRODUCT('W3'!$K$18:$AJ$1670*('W3'!$A$18:$A$1670=Z$5)*('W3'!$D$18:$D$1670=$B$42)*('W3'!$K$14:$AJ$14='Cover Page'!$D62))</f>
        <v>0</v>
      </c>
      <c r="AA62" s="457"/>
      <c r="AC62" s="457" cm="1">
        <f t="array" ref="AC62">SUMPRODUCT('W3'!$K$18:$AJ$1670*('W3'!$A$18:$A$1670=AC$5)*('W3'!$D$18:$D$1670=$B$42)*('W3'!$K$14:$AJ$14='Cover Page'!$D62))</f>
        <v>0</v>
      </c>
      <c r="AD62" s="457"/>
      <c r="AF62" s="457" cm="1">
        <f t="array" ref="AF62">SUMPRODUCT('W3'!$K$18:$AJ$1670*('W3'!$A$18:$A$1670=AF$5)*('W3'!$D$18:$D$1670=$B$42)*('W3'!$K$14:$AJ$14='Cover Page'!$D62))</f>
        <v>0</v>
      </c>
      <c r="AG62" s="457"/>
      <c r="AI62" s="457" cm="1">
        <f t="array" ref="AI62">SUMPRODUCT('W3'!$K$18:$AJ$1670*('W3'!$A$18:$A$1670=AI$5)*('W3'!$D$18:$D$1670=$B$42)*('W3'!$K$14:$AJ$14='Cover Page'!$D62))</f>
        <v>0</v>
      </c>
      <c r="AJ62" s="457"/>
    </row>
    <row r="63" spans="4:36" outlineLevel="1" x14ac:dyDescent="0.25">
      <c r="D63" s="542">
        <v>20</v>
      </c>
      <c r="E63" s="496" t="str">
        <f t="shared" si="24"/>
        <v>triệu VND</v>
      </c>
      <c r="F63" s="454"/>
      <c r="H63" s="457" cm="1">
        <f t="array" ref="H63">SUMPRODUCT('W3'!$K$18:$AJ$1670*('W3'!$A$18:$A$1670=H$5)*('W3'!$D$18:$D$1670=$B$42)*('W3'!$K$14:$AJ$14='Cover Page'!$D63))</f>
        <v>0</v>
      </c>
      <c r="I63" s="457"/>
      <c r="K63" s="457" cm="1">
        <f t="array" ref="K63">SUMPRODUCT('W3'!$K$18:$AJ$1670*('W3'!$A$18:$A$1670=K$5)*('W3'!$D$18:$D$1670=$B$42)*('W3'!$K$14:$AJ$14='Cover Page'!$D63))</f>
        <v>0</v>
      </c>
      <c r="L63" s="732"/>
      <c r="N63" s="457" cm="1">
        <f t="array" ref="N63">SUMPRODUCT('W3'!$K$18:$AJ$1670*('W3'!$A$18:$A$1670=N$5)*('W3'!$D$18:$D$1670=$B$42)*('W3'!$K$14:$AJ$14='Cover Page'!$D63))</f>
        <v>0</v>
      </c>
      <c r="O63" s="732"/>
      <c r="Q63" s="457" cm="1">
        <f t="array" ref="Q63">SUMPRODUCT('W3'!$K$18:$AJ$1670*('W3'!$A$18:$A$1670=Q$5)*('W3'!$D$18:$D$1670=$B$42)*('W3'!$K$14:$AJ$14='Cover Page'!$D63))</f>
        <v>0</v>
      </c>
      <c r="R63" s="732"/>
      <c r="T63" s="457" cm="1">
        <f t="array" ref="T63">SUMPRODUCT('W3'!$K$18:$AJ$1670*('W3'!$A$18:$A$1670=T$5)*('W3'!$D$18:$D$1670=$B$42)*('W3'!$K$14:$AJ$14='Cover Page'!$D63))</f>
        <v>0</v>
      </c>
      <c r="U63" s="457"/>
      <c r="W63" s="457" cm="1">
        <f t="array" ref="W63">SUMPRODUCT('W3'!$K$18:$AJ$1670*('W3'!$A$18:$A$1670=W$5)*('W3'!$D$18:$D$1670=$B$42)*('W3'!$K$14:$AJ$14='Cover Page'!$D63))</f>
        <v>0</v>
      </c>
      <c r="X63" s="457"/>
      <c r="Z63" s="457" cm="1">
        <f t="array" ref="Z63">SUMPRODUCT('W3'!$K$18:$AJ$1670*('W3'!$A$18:$A$1670=Z$5)*('W3'!$D$18:$D$1670=$B$42)*('W3'!$K$14:$AJ$14='Cover Page'!$D63))</f>
        <v>0</v>
      </c>
      <c r="AA63" s="457"/>
      <c r="AC63" s="457" cm="1">
        <f t="array" ref="AC63">SUMPRODUCT('W3'!$K$18:$AJ$1670*('W3'!$A$18:$A$1670=AC$5)*('W3'!$D$18:$D$1670=$B$42)*('W3'!$K$14:$AJ$14='Cover Page'!$D63))</f>
        <v>0</v>
      </c>
      <c r="AD63" s="457"/>
      <c r="AF63" s="457" cm="1">
        <f t="array" ref="AF63">SUMPRODUCT('W3'!$K$18:$AJ$1670*('W3'!$A$18:$A$1670=AF$5)*('W3'!$D$18:$D$1670=$B$42)*('W3'!$K$14:$AJ$14='Cover Page'!$D63))</f>
        <v>0</v>
      </c>
      <c r="AG63" s="457"/>
      <c r="AI63" s="457" cm="1">
        <f t="array" ref="AI63">SUMPRODUCT('W3'!$K$18:$AJ$1670*('W3'!$A$18:$A$1670=AI$5)*('W3'!$D$18:$D$1670=$B$42)*('W3'!$K$14:$AJ$14='Cover Page'!$D63))</f>
        <v>0</v>
      </c>
      <c r="AJ63" s="457"/>
    </row>
    <row r="64" spans="4:36" outlineLevel="1" x14ac:dyDescent="0.25">
      <c r="D64" s="542">
        <v>21</v>
      </c>
      <c r="E64" s="496" t="str">
        <f t="shared" si="24"/>
        <v>triệu VND</v>
      </c>
      <c r="F64" s="454"/>
      <c r="H64" s="457" cm="1">
        <f t="array" ref="H64">SUMPRODUCT('W3'!$K$18:$AJ$1670*('W3'!$A$18:$A$1670=H$5)*('W3'!$D$18:$D$1670=$B$42)*('W3'!$K$14:$AJ$14='Cover Page'!$D64))</f>
        <v>0</v>
      </c>
      <c r="I64" s="457"/>
      <c r="K64" s="457" cm="1">
        <f t="array" ref="K64">SUMPRODUCT('W3'!$K$18:$AJ$1670*('W3'!$A$18:$A$1670=K$5)*('W3'!$D$18:$D$1670=$B$42)*('W3'!$K$14:$AJ$14='Cover Page'!$D64))</f>
        <v>0</v>
      </c>
      <c r="L64" s="732"/>
      <c r="N64" s="457" cm="1">
        <f t="array" ref="N64">SUMPRODUCT('W3'!$K$18:$AJ$1670*('W3'!$A$18:$A$1670=N$5)*('W3'!$D$18:$D$1670=$B$42)*('W3'!$K$14:$AJ$14='Cover Page'!$D64))</f>
        <v>0</v>
      </c>
      <c r="O64" s="732"/>
      <c r="Q64" s="457" cm="1">
        <f t="array" ref="Q64">SUMPRODUCT('W3'!$K$18:$AJ$1670*('W3'!$A$18:$A$1670=Q$5)*('W3'!$D$18:$D$1670=$B$42)*('W3'!$K$14:$AJ$14='Cover Page'!$D64))</f>
        <v>0</v>
      </c>
      <c r="R64" s="732"/>
      <c r="T64" s="457" cm="1">
        <f t="array" ref="T64">SUMPRODUCT('W3'!$K$18:$AJ$1670*('W3'!$A$18:$A$1670=T$5)*('W3'!$D$18:$D$1670=$B$42)*('W3'!$K$14:$AJ$14='Cover Page'!$D64))</f>
        <v>0</v>
      </c>
      <c r="U64" s="457"/>
      <c r="W64" s="457" cm="1">
        <f t="array" ref="W64">SUMPRODUCT('W3'!$K$18:$AJ$1670*('W3'!$A$18:$A$1670=W$5)*('W3'!$D$18:$D$1670=$B$42)*('W3'!$K$14:$AJ$14='Cover Page'!$D64))</f>
        <v>0</v>
      </c>
      <c r="X64" s="457"/>
      <c r="Z64" s="457" cm="1">
        <f t="array" ref="Z64">SUMPRODUCT('W3'!$K$18:$AJ$1670*('W3'!$A$18:$A$1670=Z$5)*('W3'!$D$18:$D$1670=$B$42)*('W3'!$K$14:$AJ$14='Cover Page'!$D64))</f>
        <v>0</v>
      </c>
      <c r="AA64" s="457"/>
      <c r="AC64" s="457" cm="1">
        <f t="array" ref="AC64">SUMPRODUCT('W3'!$K$18:$AJ$1670*('W3'!$A$18:$A$1670=AC$5)*('W3'!$D$18:$D$1670=$B$42)*('W3'!$K$14:$AJ$14='Cover Page'!$D64))</f>
        <v>0</v>
      </c>
      <c r="AD64" s="457"/>
      <c r="AF64" s="457" cm="1">
        <f t="array" ref="AF64">SUMPRODUCT('W3'!$K$18:$AJ$1670*('W3'!$A$18:$A$1670=AF$5)*('W3'!$D$18:$D$1670=$B$42)*('W3'!$K$14:$AJ$14='Cover Page'!$D64))</f>
        <v>0</v>
      </c>
      <c r="AG64" s="457"/>
      <c r="AI64" s="457" cm="1">
        <f t="array" ref="AI64">SUMPRODUCT('W3'!$K$18:$AJ$1670*('W3'!$A$18:$A$1670=AI$5)*('W3'!$D$18:$D$1670=$B$42)*('W3'!$K$14:$AJ$14='Cover Page'!$D64))</f>
        <v>0</v>
      </c>
      <c r="AJ64" s="457"/>
    </row>
    <row r="65" spans="2:42" outlineLevel="1" x14ac:dyDescent="0.25">
      <c r="D65" s="542">
        <v>22</v>
      </c>
      <c r="E65" s="496" t="str">
        <f t="shared" si="24"/>
        <v>triệu VND</v>
      </c>
      <c r="F65" s="454"/>
      <c r="H65" s="457" cm="1">
        <f t="array" ref="H65">SUMPRODUCT('W3'!$K$18:$AJ$1670*('W3'!$A$18:$A$1670=H$5)*('W3'!$D$18:$D$1670=$B$42)*('W3'!$K$14:$AJ$14='Cover Page'!$D65))</f>
        <v>0</v>
      </c>
      <c r="I65" s="457"/>
      <c r="K65" s="457" cm="1">
        <f t="array" ref="K65">SUMPRODUCT('W3'!$K$18:$AJ$1670*('W3'!$A$18:$A$1670=K$5)*('W3'!$D$18:$D$1670=$B$42)*('W3'!$K$14:$AJ$14='Cover Page'!$D65))</f>
        <v>0</v>
      </c>
      <c r="L65" s="732"/>
      <c r="N65" s="457" cm="1">
        <f t="array" ref="N65">SUMPRODUCT('W3'!$K$18:$AJ$1670*('W3'!$A$18:$A$1670=N$5)*('W3'!$D$18:$D$1670=$B$42)*('W3'!$K$14:$AJ$14='Cover Page'!$D65))</f>
        <v>0</v>
      </c>
      <c r="O65" s="732"/>
      <c r="Q65" s="457" cm="1">
        <f t="array" ref="Q65">SUMPRODUCT('W3'!$K$18:$AJ$1670*('W3'!$A$18:$A$1670=Q$5)*('W3'!$D$18:$D$1670=$B$42)*('W3'!$K$14:$AJ$14='Cover Page'!$D65))</f>
        <v>0</v>
      </c>
      <c r="R65" s="732"/>
      <c r="T65" s="457" cm="1">
        <f t="array" ref="T65">SUMPRODUCT('W3'!$K$18:$AJ$1670*('W3'!$A$18:$A$1670=T$5)*('W3'!$D$18:$D$1670=$B$42)*('W3'!$K$14:$AJ$14='Cover Page'!$D65))</f>
        <v>0</v>
      </c>
      <c r="U65" s="457"/>
      <c r="W65" s="457" cm="1">
        <f t="array" ref="W65">SUMPRODUCT('W3'!$K$18:$AJ$1670*('W3'!$A$18:$A$1670=W$5)*('W3'!$D$18:$D$1670=$B$42)*('W3'!$K$14:$AJ$14='Cover Page'!$D65))</f>
        <v>0</v>
      </c>
      <c r="X65" s="457"/>
      <c r="Z65" s="457" cm="1">
        <f t="array" ref="Z65">SUMPRODUCT('W3'!$K$18:$AJ$1670*('W3'!$A$18:$A$1670=Z$5)*('W3'!$D$18:$D$1670=$B$42)*('W3'!$K$14:$AJ$14='Cover Page'!$D65))</f>
        <v>0</v>
      </c>
      <c r="AA65" s="457"/>
      <c r="AC65" s="457" cm="1">
        <f t="array" ref="AC65">SUMPRODUCT('W3'!$K$18:$AJ$1670*('W3'!$A$18:$A$1670=AC$5)*('W3'!$D$18:$D$1670=$B$42)*('W3'!$K$14:$AJ$14='Cover Page'!$D65))</f>
        <v>0</v>
      </c>
      <c r="AD65" s="457"/>
      <c r="AF65" s="457" cm="1">
        <f t="array" ref="AF65">SUMPRODUCT('W3'!$K$18:$AJ$1670*('W3'!$A$18:$A$1670=AF$5)*('W3'!$D$18:$D$1670=$B$42)*('W3'!$K$14:$AJ$14='Cover Page'!$D65))</f>
        <v>0</v>
      </c>
      <c r="AG65" s="457"/>
      <c r="AI65" s="457" cm="1">
        <f t="array" ref="AI65">SUMPRODUCT('W3'!$K$18:$AJ$1670*('W3'!$A$18:$A$1670=AI$5)*('W3'!$D$18:$D$1670=$B$42)*('W3'!$K$14:$AJ$14='Cover Page'!$D65))</f>
        <v>0</v>
      </c>
      <c r="AJ65" s="457"/>
    </row>
    <row r="66" spans="2:42" outlineLevel="1" x14ac:dyDescent="0.25">
      <c r="D66" s="542">
        <v>23</v>
      </c>
      <c r="E66" s="496" t="str">
        <f t="shared" si="24"/>
        <v>triệu VND</v>
      </c>
      <c r="F66" s="454"/>
      <c r="H66" s="457" cm="1">
        <f t="array" ref="H66">SUMPRODUCT('W3'!$K$18:$AJ$1670*('W3'!$A$18:$A$1670=H$5)*('W3'!$D$18:$D$1670=$B$42)*('W3'!$K$14:$AJ$14='Cover Page'!$D66))</f>
        <v>0</v>
      </c>
      <c r="I66" s="457"/>
      <c r="K66" s="457" cm="1">
        <f t="array" ref="K66">SUMPRODUCT('W3'!$K$18:$AJ$1670*('W3'!$A$18:$A$1670=K$5)*('W3'!$D$18:$D$1670=$B$42)*('W3'!$K$14:$AJ$14='Cover Page'!$D66))</f>
        <v>0</v>
      </c>
      <c r="L66" s="732"/>
      <c r="N66" s="457" cm="1">
        <f t="array" ref="N66">SUMPRODUCT('W3'!$K$18:$AJ$1670*('W3'!$A$18:$A$1670=N$5)*('W3'!$D$18:$D$1670=$B$42)*('W3'!$K$14:$AJ$14='Cover Page'!$D66))</f>
        <v>0</v>
      </c>
      <c r="O66" s="732"/>
      <c r="Q66" s="457" cm="1">
        <f t="array" ref="Q66">SUMPRODUCT('W3'!$K$18:$AJ$1670*('W3'!$A$18:$A$1670=Q$5)*('W3'!$D$18:$D$1670=$B$42)*('W3'!$K$14:$AJ$14='Cover Page'!$D66))</f>
        <v>0</v>
      </c>
      <c r="R66" s="732"/>
      <c r="T66" s="457" cm="1">
        <f t="array" ref="T66">SUMPRODUCT('W3'!$K$18:$AJ$1670*('W3'!$A$18:$A$1670=T$5)*('W3'!$D$18:$D$1670=$B$42)*('W3'!$K$14:$AJ$14='Cover Page'!$D66))</f>
        <v>0</v>
      </c>
      <c r="U66" s="457"/>
      <c r="W66" s="457" cm="1">
        <f t="array" ref="W66">SUMPRODUCT('W3'!$K$18:$AJ$1670*('W3'!$A$18:$A$1670=W$5)*('W3'!$D$18:$D$1670=$B$42)*('W3'!$K$14:$AJ$14='Cover Page'!$D66))</f>
        <v>0</v>
      </c>
      <c r="X66" s="457"/>
      <c r="Z66" s="457" cm="1">
        <f t="array" ref="Z66">SUMPRODUCT('W3'!$K$18:$AJ$1670*('W3'!$A$18:$A$1670=Z$5)*('W3'!$D$18:$D$1670=$B$42)*('W3'!$K$14:$AJ$14='Cover Page'!$D66))</f>
        <v>0</v>
      </c>
      <c r="AA66" s="457"/>
      <c r="AC66" s="457" cm="1">
        <f t="array" ref="AC66">SUMPRODUCT('W3'!$K$18:$AJ$1670*('W3'!$A$18:$A$1670=AC$5)*('W3'!$D$18:$D$1670=$B$42)*('W3'!$K$14:$AJ$14='Cover Page'!$D66))</f>
        <v>0</v>
      </c>
      <c r="AD66" s="457"/>
      <c r="AF66" s="457" cm="1">
        <f t="array" ref="AF66">SUMPRODUCT('W3'!$K$18:$AJ$1670*('W3'!$A$18:$A$1670=AF$5)*('W3'!$D$18:$D$1670=$B$42)*('W3'!$K$14:$AJ$14='Cover Page'!$D66))</f>
        <v>0</v>
      </c>
      <c r="AG66" s="457"/>
      <c r="AI66" s="457" cm="1">
        <f t="array" ref="AI66">SUMPRODUCT('W3'!$K$18:$AJ$1670*('W3'!$A$18:$A$1670=AI$5)*('W3'!$D$18:$D$1670=$B$42)*('W3'!$K$14:$AJ$14='Cover Page'!$D66))</f>
        <v>0</v>
      </c>
      <c r="AJ66" s="457"/>
    </row>
    <row r="67" spans="2:42" outlineLevel="1" x14ac:dyDescent="0.25">
      <c r="D67" s="542">
        <v>24</v>
      </c>
      <c r="E67" s="496" t="str">
        <f t="shared" si="24"/>
        <v>triệu VND</v>
      </c>
      <c r="F67" s="454"/>
      <c r="H67" s="457" cm="1">
        <f t="array" ref="H67">SUMPRODUCT('W3'!$K$18:$AJ$1670*('W3'!$A$18:$A$1670=H$5)*('W3'!$D$18:$D$1670=$B$42)*('W3'!$K$14:$AJ$14='Cover Page'!$D67))</f>
        <v>0</v>
      </c>
      <c r="I67" s="457"/>
      <c r="K67" s="457" cm="1">
        <f t="array" ref="K67">SUMPRODUCT('W3'!$K$18:$AJ$1670*('W3'!$A$18:$A$1670=K$5)*('W3'!$D$18:$D$1670=$B$42)*('W3'!$K$14:$AJ$14='Cover Page'!$D67))</f>
        <v>0</v>
      </c>
      <c r="L67" s="732"/>
      <c r="N67" s="457" cm="1">
        <f t="array" ref="N67">SUMPRODUCT('W3'!$K$18:$AJ$1670*('W3'!$A$18:$A$1670=N$5)*('W3'!$D$18:$D$1670=$B$42)*('W3'!$K$14:$AJ$14='Cover Page'!$D67))</f>
        <v>0</v>
      </c>
      <c r="O67" s="732"/>
      <c r="Q67" s="457" cm="1">
        <f t="array" ref="Q67">SUMPRODUCT('W3'!$K$18:$AJ$1670*('W3'!$A$18:$A$1670=Q$5)*('W3'!$D$18:$D$1670=$B$42)*('W3'!$K$14:$AJ$14='Cover Page'!$D67))</f>
        <v>0</v>
      </c>
      <c r="R67" s="732"/>
      <c r="T67" s="457" cm="1">
        <f t="array" ref="T67">SUMPRODUCT('W3'!$K$18:$AJ$1670*('W3'!$A$18:$A$1670=T$5)*('W3'!$D$18:$D$1670=$B$42)*('W3'!$K$14:$AJ$14='Cover Page'!$D67))</f>
        <v>0</v>
      </c>
      <c r="U67" s="457"/>
      <c r="W67" s="457" cm="1">
        <f t="array" ref="W67">SUMPRODUCT('W3'!$K$18:$AJ$1670*('W3'!$A$18:$A$1670=W$5)*('W3'!$D$18:$D$1670=$B$42)*('W3'!$K$14:$AJ$14='Cover Page'!$D67))</f>
        <v>0</v>
      </c>
      <c r="X67" s="457"/>
      <c r="Z67" s="457" cm="1">
        <f t="array" ref="Z67">SUMPRODUCT('W3'!$K$18:$AJ$1670*('W3'!$A$18:$A$1670=Z$5)*('W3'!$D$18:$D$1670=$B$42)*('W3'!$K$14:$AJ$14='Cover Page'!$D67))</f>
        <v>0</v>
      </c>
      <c r="AA67" s="457"/>
      <c r="AC67" s="457" cm="1">
        <f t="array" ref="AC67">SUMPRODUCT('W3'!$K$18:$AJ$1670*('W3'!$A$18:$A$1670=AC$5)*('W3'!$D$18:$D$1670=$B$42)*('W3'!$K$14:$AJ$14='Cover Page'!$D67))</f>
        <v>0</v>
      </c>
      <c r="AD67" s="457"/>
      <c r="AF67" s="457" cm="1">
        <f t="array" ref="AF67">SUMPRODUCT('W3'!$K$18:$AJ$1670*('W3'!$A$18:$A$1670=AF$5)*('W3'!$D$18:$D$1670=$B$42)*('W3'!$K$14:$AJ$14='Cover Page'!$D67))</f>
        <v>0</v>
      </c>
      <c r="AG67" s="457"/>
      <c r="AI67" s="457" cm="1">
        <f t="array" ref="AI67">SUMPRODUCT('W3'!$K$18:$AJ$1670*('W3'!$A$18:$A$1670=AI$5)*('W3'!$D$18:$D$1670=$B$42)*('W3'!$K$14:$AJ$14='Cover Page'!$D67))</f>
        <v>0</v>
      </c>
      <c r="AJ67" s="457"/>
    </row>
    <row r="68" spans="2:42" outlineLevel="1" x14ac:dyDescent="0.25">
      <c r="D68" s="542">
        <v>25</v>
      </c>
      <c r="E68" s="496" t="str">
        <f t="shared" si="24"/>
        <v>triệu VND</v>
      </c>
      <c r="F68" s="454"/>
      <c r="H68" s="457" cm="1">
        <f t="array" ref="H68">SUMPRODUCT('W3'!$K$18:$AJ$1670*('W3'!$A$18:$A$1670=H$5)*('W3'!$D$18:$D$1670=$B$42)*('W3'!$K$14:$AJ$14='Cover Page'!$D68))</f>
        <v>0</v>
      </c>
      <c r="I68" s="457"/>
      <c r="K68" s="457" cm="1">
        <f t="array" ref="K68">SUMPRODUCT('W3'!$K$18:$AJ$1670*('W3'!$A$18:$A$1670=K$5)*('W3'!$D$18:$D$1670=$B$42)*('W3'!$K$14:$AJ$14='Cover Page'!$D68))</f>
        <v>0</v>
      </c>
      <c r="L68" s="732"/>
      <c r="N68" s="457" cm="1">
        <f t="array" ref="N68">SUMPRODUCT('W3'!$K$18:$AJ$1670*('W3'!$A$18:$A$1670=N$5)*('W3'!$D$18:$D$1670=$B$42)*('W3'!$K$14:$AJ$14='Cover Page'!$D68))</f>
        <v>0</v>
      </c>
      <c r="O68" s="732"/>
      <c r="Q68" s="457" cm="1">
        <f t="array" ref="Q68">SUMPRODUCT('W3'!$K$18:$AJ$1670*('W3'!$A$18:$A$1670=Q$5)*('W3'!$D$18:$D$1670=$B$42)*('W3'!$K$14:$AJ$14='Cover Page'!$D68))</f>
        <v>0</v>
      </c>
      <c r="R68" s="732"/>
      <c r="T68" s="457" cm="1">
        <f t="array" ref="T68">SUMPRODUCT('W3'!$K$18:$AJ$1670*('W3'!$A$18:$A$1670=T$5)*('W3'!$D$18:$D$1670=$B$42)*('W3'!$K$14:$AJ$14='Cover Page'!$D68))</f>
        <v>0</v>
      </c>
      <c r="U68" s="457"/>
      <c r="W68" s="457" cm="1">
        <f t="array" ref="W68">SUMPRODUCT('W3'!$K$18:$AJ$1670*('W3'!$A$18:$A$1670=W$5)*('W3'!$D$18:$D$1670=$B$42)*('W3'!$K$14:$AJ$14='Cover Page'!$D68))</f>
        <v>0</v>
      </c>
      <c r="X68" s="457"/>
      <c r="Z68" s="457" cm="1">
        <f t="array" ref="Z68">SUMPRODUCT('W3'!$K$18:$AJ$1670*('W3'!$A$18:$A$1670=Z$5)*('W3'!$D$18:$D$1670=$B$42)*('W3'!$K$14:$AJ$14='Cover Page'!$D68))</f>
        <v>0</v>
      </c>
      <c r="AA68" s="457"/>
      <c r="AC68" s="457" cm="1">
        <f t="array" ref="AC68">SUMPRODUCT('W3'!$K$18:$AJ$1670*('W3'!$A$18:$A$1670=AC$5)*('W3'!$D$18:$D$1670=$B$42)*('W3'!$K$14:$AJ$14='Cover Page'!$D68))</f>
        <v>0</v>
      </c>
      <c r="AD68" s="457"/>
      <c r="AF68" s="457" cm="1">
        <f t="array" ref="AF68">SUMPRODUCT('W3'!$K$18:$AJ$1670*('W3'!$A$18:$A$1670=AF$5)*('W3'!$D$18:$D$1670=$B$42)*('W3'!$K$14:$AJ$14='Cover Page'!$D68))</f>
        <v>0</v>
      </c>
      <c r="AG68" s="457"/>
      <c r="AI68" s="457" cm="1">
        <f t="array" ref="AI68">SUMPRODUCT('W3'!$K$18:$AJ$1670*('W3'!$A$18:$A$1670=AI$5)*('W3'!$D$18:$D$1670=$B$42)*('W3'!$K$14:$AJ$14='Cover Page'!$D68))</f>
        <v>0</v>
      </c>
      <c r="AJ68" s="457"/>
    </row>
    <row r="70" spans="2:42" x14ac:dyDescent="0.25">
      <c r="I70" s="733" t="s">
        <v>723</v>
      </c>
      <c r="L70" s="733" t="s">
        <v>723</v>
      </c>
      <c r="O70" s="733" t="s">
        <v>723</v>
      </c>
      <c r="R70" s="733" t="s">
        <v>723</v>
      </c>
      <c r="U70" s="733" t="s">
        <v>723</v>
      </c>
      <c r="X70" s="733" t="s">
        <v>723</v>
      </c>
      <c r="AA70" s="733" t="s">
        <v>723</v>
      </c>
      <c r="AD70" s="733" t="s">
        <v>723</v>
      </c>
      <c r="AG70" s="733" t="s">
        <v>723</v>
      </c>
      <c r="AJ70" s="733" t="s">
        <v>723</v>
      </c>
    </row>
    <row r="71" spans="2:42" ht="15.75" thickBot="1" x14ac:dyDescent="0.3">
      <c r="B71" t="s">
        <v>488</v>
      </c>
      <c r="C71" s="20">
        <v>15</v>
      </c>
      <c r="D71" s="339" t="s">
        <v>488</v>
      </c>
      <c r="E71" s="342" t="str">
        <f t="shared" ref="E71:E123" si="30">IF(Currency="USD","USD","triệu VND")</f>
        <v>triệu VND</v>
      </c>
      <c r="F71" s="340"/>
      <c r="H71" s="341">
        <f>SUM(H72:H96)</f>
        <v>548996.37880777777</v>
      </c>
      <c r="I71" s="734">
        <f>IFERROR(H71/H98,0)</f>
        <v>0.11858117156278428</v>
      </c>
      <c r="K71" s="341">
        <f>SUM(K72:K96)</f>
        <v>416031.15168450959</v>
      </c>
      <c r="L71" s="734">
        <f>IFERROR(K71/K98,0)</f>
        <v>8.9861178101935849E-2</v>
      </c>
      <c r="N71" s="341">
        <f t="shared" ref="N71:W71" si="31">SUM(N72:N96)</f>
        <v>385594.86635778542</v>
      </c>
      <c r="O71" s="734">
        <f>IFERROR(N71/N98,0)</f>
        <v>8.7131071788758924E-2</v>
      </c>
      <c r="Q71" s="341">
        <f t="shared" si="31"/>
        <v>252629.63923451729</v>
      </c>
      <c r="R71" s="734">
        <f>IFERROR(Q71/Q98,0)</f>
        <v>5.7085540168179058E-2</v>
      </c>
      <c r="T71" s="341">
        <f t="shared" si="31"/>
        <v>167726.18309112891</v>
      </c>
      <c r="U71" s="734">
        <f>IFERROR(T71/T98,0)</f>
        <v>4.0385568299497243E-2</v>
      </c>
      <c r="W71" s="341">
        <f t="shared" si="31"/>
        <v>34760.955967860762</v>
      </c>
      <c r="X71" s="734">
        <f>IFERROR(W71/W98,0)</f>
        <v>8.3698378841252398E-3</v>
      </c>
      <c r="Z71" s="341">
        <f t="shared" ref="Z71" si="32">SUM(Z72:Z96)</f>
        <v>36869.983095252515</v>
      </c>
      <c r="AA71" s="734">
        <f>IFERROR(Z71/Z98,0)</f>
        <v>9.2416360250729013E-3</v>
      </c>
      <c r="AC71" s="341">
        <f t="shared" ref="AC71" si="33">SUM(AC72:AC96)</f>
        <v>85109.512761356556</v>
      </c>
      <c r="AD71" s="734">
        <f>IFERROR(AC71/AC98,0)</f>
        <v>2.0186990654556657E-2</v>
      </c>
      <c r="AF71" s="341">
        <f t="shared" ref="AF71" si="34">SUM(AF72:AF96)</f>
        <v>548996.37880777777</v>
      </c>
      <c r="AG71" s="734">
        <f>IFERROR(AF71/AF98,0)</f>
        <v>0.11858117156278428</v>
      </c>
      <c r="AI71" s="341">
        <f t="shared" ref="AI71" si="35">SUM(AI72:AI96)</f>
        <v>416031.15168450959</v>
      </c>
      <c r="AJ71" s="734">
        <f>IFERROR(AI71/AI98,0)</f>
        <v>8.9861178101935849E-2</v>
      </c>
      <c r="AO71" s="15"/>
      <c r="AP71" s="64"/>
    </row>
    <row r="72" spans="2:42" outlineLevel="1" x14ac:dyDescent="0.25">
      <c r="D72" s="538">
        <v>1</v>
      </c>
      <c r="E72" s="539" t="str">
        <f t="shared" si="30"/>
        <v>triệu VND</v>
      </c>
      <c r="F72" s="540"/>
      <c r="H72" s="541" cm="1">
        <f t="array" ref="H72">SUMPRODUCT('W3'!$K$18:$AJ$1670*('W3'!$A$18:$A$1670=H$5)*('W3'!$D$18:$D$1670=$B$71)*('W3'!$K$14:$AJ$14='Cover Page'!$D72))</f>
        <v>-10585.927709728085</v>
      </c>
      <c r="I72" s="735">
        <f>IFERROR(H72/H99,0)</f>
        <v>-7.5397647676655452E-2</v>
      </c>
      <c r="K72" s="541" cm="1">
        <f t="array" ref="K72">SUMPRODUCT('W3'!$K$18:$AJ$1670*('W3'!$A$18:$A$1670=K$5)*('W3'!$D$18:$D$1670=$B$71)*('W3'!$K$14:$AJ$14='Cover Page'!$D72))</f>
        <v>-21707.527709728085</v>
      </c>
      <c r="L72" s="735">
        <f>IFERROR(K72/K99,0)</f>
        <v>-0.15461058974408531</v>
      </c>
      <c r="N72" s="541" cm="1">
        <f t="array" ref="N72">SUMPRODUCT('W3'!$K$18:$AJ$1670*('W3'!$A$18:$A$1670=N$5)*('W3'!$D$18:$D$1670=$B$71)*('W3'!$K$14:$AJ$14='Cover Page'!$D72))</f>
        <v>-15541.267690528091</v>
      </c>
      <c r="O72" s="735">
        <f>IFERROR(N72/N99,0)</f>
        <v>-0.11580061603096267</v>
      </c>
      <c r="Q72" s="541" cm="1">
        <f t="array" ref="Q72">SUMPRODUCT('W3'!$K$18:$AJ$1670*('W3'!$A$18:$A$1670=Q$5)*('W3'!$D$18:$D$1670=$B$71)*('W3'!$K$14:$AJ$14='Cover Page'!$D72))</f>
        <v>-26662.867690528092</v>
      </c>
      <c r="R72" s="735">
        <f>IFERROR(Q72/Q99,0)</f>
        <v>-0.19866954003996623</v>
      </c>
      <c r="T72" s="541" cm="1">
        <f t="array" ref="T72">SUMPRODUCT('W3'!$K$18:$AJ$1670*('W3'!$A$18:$A$1670=T$5)*('W3'!$D$18:$D$1670=$B$71)*('W3'!$K$14:$AJ$14='Cover Page'!$D72))</f>
        <v>-22148.387664928079</v>
      </c>
      <c r="U72" s="735">
        <f>IFERROR(T72/T99,0)</f>
        <v>-0.17585311544282897</v>
      </c>
      <c r="W72" s="541" cm="1">
        <f t="array" ref="W72">SUMPRODUCT('W3'!$K$18:$AJ$1670*('W3'!$A$18:$A$1670=W$5)*('W3'!$D$18:$D$1670=$B$71)*('W3'!$K$14:$AJ$14='Cover Page'!$D72))</f>
        <v>-33269.987664928078</v>
      </c>
      <c r="X72" s="735">
        <f>IFERROR(W72/W99,0)</f>
        <v>-0.26415606725570157</v>
      </c>
      <c r="Z72" s="541" cm="1">
        <f t="array" ref="Z72">SUMPRODUCT('W3'!$K$18:$AJ$1670*('W3'!$A$18:$A$1670=Z$5)*('W3'!$D$18:$D$1670=$B$71)*('W3'!$K$14:$AJ$14='Cover Page'!$D72))</f>
        <v>-26116.75337863942</v>
      </c>
      <c r="AA72" s="735">
        <f>IFERROR(Z72/Z99,0)</f>
        <v>-0.21586275990034792</v>
      </c>
      <c r="AC72" s="541" cm="1">
        <f t="array" ref="AC72">SUMPRODUCT('W3'!$K$18:$AJ$1670*('W3'!$A$18:$A$1670=AC$5)*('W3'!$D$18:$D$1670=$B$71)*('W3'!$K$14:$AJ$14='Cover Page'!$D72))</f>
        <v>-31743.109408334574</v>
      </c>
      <c r="AD72" s="735">
        <f>IFERROR(AC72/AC99,0)</f>
        <v>-0.24827075183930736</v>
      </c>
      <c r="AF72" s="541" cm="1">
        <f t="array" ref="AF72">SUMPRODUCT('W3'!$K$18:$AJ$1670*('W3'!$A$18:$A$1670=AF$5)*('W3'!$D$18:$D$1670=$B$71)*('W3'!$K$14:$AJ$14='Cover Page'!$D72))</f>
        <v>-10585.927709728085</v>
      </c>
      <c r="AG72" s="735">
        <f>IFERROR(AF72/AF99,0)</f>
        <v>-7.5397647676655452E-2</v>
      </c>
      <c r="AI72" s="541" cm="1">
        <f t="array" ref="AI72">SUMPRODUCT('W3'!$K$18:$AJ$1670*('W3'!$A$18:$A$1670=AI$5)*('W3'!$D$18:$D$1670=$B$71)*('W3'!$K$14:$AJ$14='Cover Page'!$D72))</f>
        <v>-21707.527709728085</v>
      </c>
      <c r="AJ72" s="735">
        <f>IFERROR(AI72/AI99,0)</f>
        <v>-0.15461058974408531</v>
      </c>
      <c r="AL72" s="711" cm="1">
        <f t="array" ref="AL72:AL96">TRANSPOSE('W3'!L23:AJ23*'W3'!L24:AJ24)</f>
        <v>0.44</v>
      </c>
    </row>
    <row r="73" spans="2:42" outlineLevel="1" x14ac:dyDescent="0.25">
      <c r="D73" s="542">
        <v>2</v>
      </c>
      <c r="E73" s="496" t="str">
        <f t="shared" si="30"/>
        <v>triệu VND</v>
      </c>
      <c r="F73" s="454"/>
      <c r="H73" s="457" cm="1">
        <f t="array" ref="H73">SUMPRODUCT('W3'!$K$18:$AJ$1670*('W3'!$A$18:$A$1670=H$5)*('W3'!$D$18:$D$1670=$B$71)*('W3'!$K$14:$AJ$14='Cover Page'!$D73))</f>
        <v>8036.3006260685861</v>
      </c>
      <c r="I73" s="736">
        <f t="shared" ref="I73:I96" si="36">IFERROR(H73/H100,0)</f>
        <v>4.00826881564069E-2</v>
      </c>
      <c r="K73" s="457" cm="1">
        <f t="array" ref="K73">SUMPRODUCT('W3'!$K$18:$AJ$1670*('W3'!$A$18:$A$1670=K$5)*('W3'!$D$18:$D$1670=$B$71)*('W3'!$K$14:$AJ$14='Cover Page'!$D73))</f>
        <v>-2851.3069806894987</v>
      </c>
      <c r="L73" s="736">
        <f t="shared" ref="L73:O96" si="37">IFERROR(K73/K100,0)</f>
        <v>-1.4221475012324644E-2</v>
      </c>
      <c r="N73" s="457" cm="1">
        <f t="array" ref="N73">SUMPRODUCT('W3'!$K$18:$AJ$1670*('W3'!$A$18:$A$1670=N$5)*('W3'!$D$18:$D$1670=$B$71)*('W3'!$K$14:$AJ$14='Cover Page'!$D73))</f>
        <v>960.07513348618522</v>
      </c>
      <c r="O73" s="736">
        <f t="shared" si="37"/>
        <v>5.0095814559333691E-3</v>
      </c>
      <c r="Q73" s="457" cm="1">
        <f t="array" ref="Q73">SUMPRODUCT('W3'!$K$18:$AJ$1670*('W3'!$A$18:$A$1670=Q$5)*('W3'!$D$18:$D$1670=$B$71)*('W3'!$K$14:$AJ$14='Cover Page'!$D73))</f>
        <v>-9927.5324732719</v>
      </c>
      <c r="R73" s="736">
        <f t="shared" ref="R73" si="38">IFERROR(Q73/Q100,0)</f>
        <v>-5.1800927705201172E-2</v>
      </c>
      <c r="T73" s="457" cm="1">
        <f t="array" ref="T73">SUMPRODUCT('W3'!$K$18:$AJ$1670*('W3'!$A$18:$A$1670=T$5)*('W3'!$D$18:$D$1670=$B$71)*('W3'!$K$14:$AJ$14='Cover Page'!$D73))</f>
        <v>-8474.8921899570159</v>
      </c>
      <c r="U73" s="736">
        <f t="shared" ref="U73:U96" si="39">IFERROR(T73/T100,0)</f>
        <v>-4.7120937792857892E-2</v>
      </c>
      <c r="W73" s="457" cm="1">
        <f t="array" ref="W73">SUMPRODUCT('W3'!$K$18:$AJ$1670*('W3'!$A$18:$A$1670=W$5)*('W3'!$D$18:$D$1670=$B$71)*('W3'!$K$14:$AJ$14='Cover Page'!$D73))</f>
        <v>-19362.499796715099</v>
      </c>
      <c r="X73" s="736">
        <f t="shared" ref="X73:X96" si="40">IFERROR(W73/W100,0)</f>
        <v>-0.10765672624324714</v>
      </c>
      <c r="Z73" s="457" cm="1">
        <f t="array" ref="Z73">SUMPRODUCT('W3'!$K$18:$AJ$1670*('W3'!$A$18:$A$1670=Z$5)*('W3'!$D$18:$D$1670=$B$71)*('W3'!$K$14:$AJ$14='Cover Page'!$D73))</f>
        <v>-14141.718429136812</v>
      </c>
      <c r="AA73" s="736">
        <f t="shared" ref="AA73:AA96" si="41">IFERROR(Z73/Z100,0)</f>
        <v>-8.1852606931642272E-2</v>
      </c>
      <c r="AC73" s="457" cm="1">
        <f t="array" ref="AC73">SUMPRODUCT('W3'!$K$18:$AJ$1670*('W3'!$A$18:$A$1670=AC$5)*('W3'!$D$18:$D$1670=$B$71)*('W3'!$K$14:$AJ$14='Cover Page'!$D73))</f>
        <v>-17182.117646299583</v>
      </c>
      <c r="AD73" s="736">
        <f t="shared" ref="AD73:AD96" si="42">IFERROR(AC73/AC100,0)</f>
        <v>-9.4107573229095159E-2</v>
      </c>
      <c r="AF73" s="457" cm="1">
        <f t="array" ref="AF73">SUMPRODUCT('W3'!$K$18:$AJ$1670*('W3'!$A$18:$A$1670=AF$5)*('W3'!$D$18:$D$1670=$B$71)*('W3'!$K$14:$AJ$14='Cover Page'!$D73))</f>
        <v>8036.3006260685861</v>
      </c>
      <c r="AG73" s="736">
        <f t="shared" ref="AG73:AG96" si="43">IFERROR(AF73/AF100,0)</f>
        <v>4.00826881564069E-2</v>
      </c>
      <c r="AI73" s="457" cm="1">
        <f t="array" ref="AI73">SUMPRODUCT('W3'!$K$18:$AJ$1670*('W3'!$A$18:$A$1670=AI$5)*('W3'!$D$18:$D$1670=$B$71)*('W3'!$K$14:$AJ$14='Cover Page'!$D73))</f>
        <v>-2851.3069806894987</v>
      </c>
      <c r="AJ73" s="736">
        <f t="shared" ref="AJ73:AJ96" si="44">IFERROR(AI73/AI100,0)</f>
        <v>-1.4221475012324644E-2</v>
      </c>
      <c r="AL73" s="712">
        <v>0.61599999999999999</v>
      </c>
    </row>
    <row r="74" spans="2:42" outlineLevel="1" x14ac:dyDescent="0.25">
      <c r="D74" s="542">
        <v>3</v>
      </c>
      <c r="E74" s="496" t="str">
        <f t="shared" si="30"/>
        <v>triệu VND</v>
      </c>
      <c r="F74" s="454"/>
      <c r="H74" s="457" cm="1">
        <f t="array" ref="H74">SUMPRODUCT('W3'!$K$18:$AJ$1670*('W3'!$A$18:$A$1670=H$5)*('W3'!$D$18:$D$1670=$B$71)*('W3'!$K$14:$AJ$14='Cover Page'!$D74))</f>
        <v>32742.523437314085</v>
      </c>
      <c r="I74" s="736">
        <f t="shared" si="36"/>
        <v>0.11207549883383379</v>
      </c>
      <c r="K74" s="457" cm="1">
        <f t="array" ref="K74">SUMPRODUCT('W3'!$K$18:$AJ$1670*('W3'!$A$18:$A$1670=K$5)*('W3'!$D$18:$D$1670=$B$71)*('W3'!$K$14:$AJ$14='Cover Page'!$D74))</f>
        <v>22105.287691324858</v>
      </c>
      <c r="L74" s="736">
        <f t="shared" si="37"/>
        <v>7.5664942245937936E-2</v>
      </c>
      <c r="N74" s="457" cm="1">
        <f t="array" ref="N74">SUMPRODUCT('W3'!$K$18:$AJ$1670*('W3'!$A$18:$A$1670=N$5)*('W3'!$D$18:$D$1670=$B$71)*('W3'!$K$14:$AJ$14='Cover Page'!$D74))</f>
        <v>22431.452005265444</v>
      </c>
      <c r="O74" s="736">
        <f t="shared" si="37"/>
        <v>8.0325137241549188E-2</v>
      </c>
      <c r="Q74" s="457" cm="1">
        <f t="array" ref="Q74">SUMPRODUCT('W3'!$K$18:$AJ$1670*('W3'!$A$18:$A$1670=Q$5)*('W3'!$D$18:$D$1670=$B$71)*('W3'!$K$14:$AJ$14='Cover Page'!$D74))</f>
        <v>11794.216259276216</v>
      </c>
      <c r="R74" s="736">
        <f t="shared" ref="R74" si="45">IFERROR(Q74/Q101,0)</f>
        <v>4.2234093426519674E-2</v>
      </c>
      <c r="T74" s="457" cm="1">
        <f t="array" ref="T74">SUMPRODUCT('W3'!$K$18:$AJ$1670*('W3'!$A$18:$A$1670=T$5)*('W3'!$D$18:$D$1670=$B$71)*('W3'!$K$14:$AJ$14='Cover Page'!$D74))</f>
        <v>8683.356762533962</v>
      </c>
      <c r="U74" s="736">
        <f t="shared" si="39"/>
        <v>3.3133342962306647E-2</v>
      </c>
      <c r="W74" s="457" cm="1">
        <f t="array" ref="W74">SUMPRODUCT('W3'!$K$18:$AJ$1670*('W3'!$A$18:$A$1670=W$5)*('W3'!$D$18:$D$1670=$B$71)*('W3'!$K$14:$AJ$14='Cover Page'!$D74))</f>
        <v>-1953.8789834552679</v>
      </c>
      <c r="X74" s="736">
        <f t="shared" si="40"/>
        <v>-7.4554742176428301E-3</v>
      </c>
      <c r="Z74" s="457" cm="1">
        <f t="array" ref="Z74">SUMPRODUCT('W3'!$K$18:$AJ$1670*('W3'!$A$18:$A$1670=Z$5)*('W3'!$D$18:$D$1670=$B$71)*('W3'!$K$14:$AJ$14='Cover Page'!$D74))</f>
        <v>425.98138544340623</v>
      </c>
      <c r="AA74" s="736">
        <f t="shared" si="41"/>
        <v>1.6920719258544748E-3</v>
      </c>
      <c r="AC74" s="457" cm="1">
        <f t="array" ref="AC74">SUMPRODUCT('W3'!$K$18:$AJ$1670*('W3'!$A$18:$A$1670=AC$5)*('W3'!$D$18:$D$1670=$B$71)*('W3'!$K$14:$AJ$14='Cover Page'!$D74))</f>
        <v>1223.2492928645108</v>
      </c>
      <c r="AD74" s="736">
        <f t="shared" si="42"/>
        <v>4.597912768835177E-3</v>
      </c>
      <c r="AF74" s="457" cm="1">
        <f t="array" ref="AF74">SUMPRODUCT('W3'!$K$18:$AJ$1670*('W3'!$A$18:$A$1670=AF$5)*('W3'!$D$18:$D$1670=$B$71)*('W3'!$K$14:$AJ$14='Cover Page'!$D74))</f>
        <v>32742.523437314085</v>
      </c>
      <c r="AG74" s="736">
        <f t="shared" si="43"/>
        <v>0.11207549883383379</v>
      </c>
      <c r="AI74" s="457" cm="1">
        <f t="array" ref="AI74">SUMPRODUCT('W3'!$K$18:$AJ$1670*('W3'!$A$18:$A$1670=AI$5)*('W3'!$D$18:$D$1670=$B$71)*('W3'!$K$14:$AJ$14='Cover Page'!$D74))</f>
        <v>22105.287691324858</v>
      </c>
      <c r="AJ74" s="736">
        <f t="shared" si="44"/>
        <v>7.5664942245937936E-2</v>
      </c>
      <c r="AL74" s="712">
        <v>0.88</v>
      </c>
    </row>
    <row r="75" spans="2:42" outlineLevel="1" x14ac:dyDescent="0.25">
      <c r="D75" s="542">
        <v>4</v>
      </c>
      <c r="E75" s="496" t="str">
        <f t="shared" si="30"/>
        <v>triệu VND</v>
      </c>
      <c r="F75" s="454"/>
      <c r="H75" s="457" cm="1">
        <f t="array" ref="H75">SUMPRODUCT('W3'!$K$18:$AJ$1670*('W3'!$A$18:$A$1670=H$5)*('W3'!$D$18:$D$1670=$B$71)*('W3'!$K$14:$AJ$14='Cover Page'!$D75))</f>
        <v>33583.434655129611</v>
      </c>
      <c r="I75" s="736">
        <f t="shared" si="36"/>
        <v>0.1126998847907652</v>
      </c>
      <c r="K75" s="457" cm="1">
        <f t="array" ref="K75">SUMPRODUCT('W3'!$K$18:$AJ$1670*('W3'!$A$18:$A$1670=K$5)*('W3'!$D$18:$D$1670=$B$71)*('W3'!$K$14:$AJ$14='Cover Page'!$D75))</f>
        <v>23214.096800163064</v>
      </c>
      <c r="L75" s="736">
        <f t="shared" si="37"/>
        <v>7.7902277172249873E-2</v>
      </c>
      <c r="N75" s="457" cm="1">
        <f t="array" ref="N75">SUMPRODUCT('W3'!$K$18:$AJ$1670*('W3'!$A$18:$A$1670=N$5)*('W3'!$D$18:$D$1670=$B$71)*('W3'!$K$14:$AJ$14='Cover Page'!$D75))</f>
        <v>23066.141794439987</v>
      </c>
      <c r="O75" s="736">
        <f t="shared" si="37"/>
        <v>8.0978341011877411E-2</v>
      </c>
      <c r="Q75" s="457" cm="1">
        <f t="array" ref="Q75">SUMPRODUCT('W3'!$K$18:$AJ$1670*('W3'!$A$18:$A$1670=Q$5)*('W3'!$D$18:$D$1670=$B$71)*('W3'!$K$14:$AJ$14='Cover Page'!$D75))</f>
        <v>12696.803939473444</v>
      </c>
      <c r="R75" s="736">
        <f t="shared" ref="R75" si="46">IFERROR(Q75/Q102,0)</f>
        <v>4.4574689964815221E-2</v>
      </c>
      <c r="T75" s="457" cm="1">
        <f t="array" ref="T75">SUMPRODUCT('W3'!$K$18:$AJ$1670*('W3'!$A$18:$A$1670=T$5)*('W3'!$D$18:$D$1670=$B$71)*('W3'!$K$14:$AJ$14='Cover Page'!$D75))</f>
        <v>9043.084646853782</v>
      </c>
      <c r="U75" s="736">
        <f t="shared" si="39"/>
        <v>3.3829379766754424E-2</v>
      </c>
      <c r="W75" s="457" cm="1">
        <f t="array" ref="W75">SUMPRODUCT('W3'!$K$18:$AJ$1670*('W3'!$A$18:$A$1670=W$5)*('W3'!$D$18:$D$1670=$B$71)*('W3'!$K$14:$AJ$14='Cover Page'!$D75))</f>
        <v>-1326.2532081127633</v>
      </c>
      <c r="X75" s="736">
        <f t="shared" si="40"/>
        <v>-4.9613959391315325E-3</v>
      </c>
      <c r="Z75" s="457" cm="1">
        <f t="array" ref="Z75">SUMPRODUCT('W3'!$K$18:$AJ$1670*('W3'!$A$18:$A$1670=Z$5)*('W3'!$D$18:$D$1670=$B$71)*('W3'!$K$14:$AJ$14='Cover Page'!$D75))</f>
        <v>620.5617622214603</v>
      </c>
      <c r="AA75" s="736">
        <f t="shared" si="41"/>
        <v>2.4166460015726593E-3</v>
      </c>
      <c r="AC75" s="457" cm="1">
        <f t="array" ref="AC75">SUMPRODUCT('W3'!$K$18:$AJ$1670*('W3'!$A$18:$A$1670=AC$5)*('W3'!$D$18:$D$1670=$B$71)*('W3'!$K$14:$AJ$14='Cover Page'!$D75))</f>
        <v>1914.4176337335259</v>
      </c>
      <c r="AD75" s="736">
        <f t="shared" si="42"/>
        <v>7.0547603991868955E-3</v>
      </c>
      <c r="AF75" s="457" cm="1">
        <f t="array" ref="AF75">SUMPRODUCT('W3'!$K$18:$AJ$1670*('W3'!$A$18:$A$1670=AF$5)*('W3'!$D$18:$D$1670=$B$71)*('W3'!$K$14:$AJ$14='Cover Page'!$D75))</f>
        <v>33583.434655129611</v>
      </c>
      <c r="AG75" s="736">
        <f t="shared" si="43"/>
        <v>0.1126998847907652</v>
      </c>
      <c r="AI75" s="457" cm="1">
        <f t="array" ref="AI75">SUMPRODUCT('W3'!$K$18:$AJ$1670*('W3'!$A$18:$A$1670=AI$5)*('W3'!$D$18:$D$1670=$B$71)*('W3'!$K$14:$AJ$14='Cover Page'!$D75))</f>
        <v>23214.096800163064</v>
      </c>
      <c r="AJ75" s="736">
        <f t="shared" si="44"/>
        <v>7.7902277172249873E-2</v>
      </c>
      <c r="AL75" s="712">
        <v>0.88</v>
      </c>
    </row>
    <row r="76" spans="2:42" outlineLevel="1" x14ac:dyDescent="0.25">
      <c r="D76" s="542">
        <v>5</v>
      </c>
      <c r="E76" s="496" t="str">
        <f t="shared" si="30"/>
        <v>triệu VND</v>
      </c>
      <c r="F76" s="454"/>
      <c r="H76" s="457" cm="1">
        <f t="array" ref="H76">SUMPRODUCT('W3'!$K$18:$AJ$1670*('W3'!$A$18:$A$1670=H$5)*('W3'!$D$18:$D$1670=$B$71)*('W3'!$K$14:$AJ$14='Cover Page'!$D76))</f>
        <v>34418.296458477809</v>
      </c>
      <c r="I76" s="736">
        <f t="shared" si="36"/>
        <v>0.11323679295701297</v>
      </c>
      <c r="K76" s="457" cm="1">
        <f t="array" ref="K76">SUMPRODUCT('W3'!$K$18:$AJ$1670*('W3'!$A$18:$A$1670=K$5)*('W3'!$D$18:$D$1670=$B$71)*('W3'!$K$14:$AJ$14='Cover Page'!$D76))</f>
        <v>24335.60934690549</v>
      </c>
      <c r="L76" s="736">
        <f t="shared" si="37"/>
        <v>8.0064577293148226E-2</v>
      </c>
      <c r="N76" s="457" cm="1">
        <f t="array" ref="N76">SUMPRODUCT('W3'!$K$18:$AJ$1670*('W3'!$A$18:$A$1670=N$5)*('W3'!$D$18:$D$1670=$B$71)*('W3'!$K$14:$AJ$14='Cover Page'!$D76))</f>
        <v>23690.657740574472</v>
      </c>
      <c r="O76" s="736">
        <f t="shared" si="37"/>
        <v>8.1540029555029162E-2</v>
      </c>
      <c r="Q76" s="457" cm="1">
        <f t="array" ref="Q76">SUMPRODUCT('W3'!$K$18:$AJ$1670*('W3'!$A$18:$A$1670=Q$5)*('W3'!$D$18:$D$1670=$B$71)*('W3'!$K$14:$AJ$14='Cover Page'!$D76))</f>
        <v>13607.970629002155</v>
      </c>
      <c r="R76" s="736">
        <f t="shared" ref="R76" si="47">IFERROR(Q76/Q103,0)</f>
        <v>4.6836788552832222E-2</v>
      </c>
      <c r="T76" s="457" cm="1">
        <f t="array" ref="T76">SUMPRODUCT('W3'!$K$18:$AJ$1670*('W3'!$A$18:$A$1670=T$5)*('W3'!$D$18:$D$1670=$B$71)*('W3'!$K$14:$AJ$14='Cover Page'!$D76))</f>
        <v>9387.1394500365477</v>
      </c>
      <c r="U76" s="736">
        <f t="shared" si="39"/>
        <v>3.4427900345522705E-2</v>
      </c>
      <c r="W76" s="457" cm="1">
        <f t="array" ref="W76">SUMPRODUCT('W3'!$K$18:$AJ$1670*('W3'!$A$18:$A$1670=W$5)*('W3'!$D$18:$D$1670=$B$71)*('W3'!$K$14:$AJ$14='Cover Page'!$D76))</f>
        <v>-695.54766153576793</v>
      </c>
      <c r="X76" s="736">
        <f t="shared" si="40"/>
        <v>-2.5509630174740342E-3</v>
      </c>
      <c r="Z76" s="457" cm="1">
        <f t="array" ref="Z76">SUMPRODUCT('W3'!$K$18:$AJ$1670*('W3'!$A$18:$A$1670=Z$5)*('W3'!$D$18:$D$1670=$B$71)*('W3'!$K$14:$AJ$14='Cover Page'!$D76))</f>
        <v>796.16610771152193</v>
      </c>
      <c r="AA76" s="736">
        <f t="shared" si="41"/>
        <v>3.0397057196620814E-3</v>
      </c>
      <c r="AC76" s="457" cm="1">
        <f t="array" ref="AC76">SUMPRODUCT('W3'!$K$18:$AJ$1670*('W3'!$A$18:$A$1670=AC$5)*('W3'!$D$18:$D$1670=$B$71)*('W3'!$K$14:$AJ$14='Cover Page'!$D76))</f>
        <v>2609.9365971473048</v>
      </c>
      <c r="AD76" s="736">
        <f t="shared" si="42"/>
        <v>9.4292112986304154E-3</v>
      </c>
      <c r="AF76" s="457" cm="1">
        <f t="array" ref="AF76">SUMPRODUCT('W3'!$K$18:$AJ$1670*('W3'!$A$18:$A$1670=AF$5)*('W3'!$D$18:$D$1670=$B$71)*('W3'!$K$14:$AJ$14='Cover Page'!$D76))</f>
        <v>34418.296458477809</v>
      </c>
      <c r="AG76" s="736">
        <f t="shared" si="43"/>
        <v>0.11323679295701297</v>
      </c>
      <c r="AI76" s="457" cm="1">
        <f t="array" ref="AI76">SUMPRODUCT('W3'!$K$18:$AJ$1670*('W3'!$A$18:$A$1670=AI$5)*('W3'!$D$18:$D$1670=$B$71)*('W3'!$K$14:$AJ$14='Cover Page'!$D76))</f>
        <v>24335.60934690549</v>
      </c>
      <c r="AJ76" s="736">
        <f t="shared" si="44"/>
        <v>8.0064577293148226E-2</v>
      </c>
      <c r="AL76" s="712">
        <v>0.88</v>
      </c>
    </row>
    <row r="77" spans="2:42" outlineLevel="1" x14ac:dyDescent="0.25">
      <c r="D77" s="542">
        <v>6</v>
      </c>
      <c r="E77" s="496" t="str">
        <f t="shared" si="30"/>
        <v>triệu VND</v>
      </c>
      <c r="F77" s="454"/>
      <c r="H77" s="457" cm="1">
        <f t="array" ref="H77">SUMPRODUCT('W3'!$K$18:$AJ$1670*('W3'!$A$18:$A$1670=H$5)*('W3'!$D$18:$D$1670=$B$71)*('W3'!$K$14:$AJ$14='Cover Page'!$D77))</f>
        <v>35246.381612042525</v>
      </c>
      <c r="I77" s="736">
        <f t="shared" si="36"/>
        <v>0.11368745832389546</v>
      </c>
      <c r="K77" s="457" cm="1">
        <f t="array" ref="K77">SUMPRODUCT('W3'!$K$18:$AJ$1670*('W3'!$A$18:$A$1670=K$5)*('W3'!$D$18:$D$1670=$B$71)*('W3'!$K$14:$AJ$14='Cover Page'!$D77))</f>
        <v>25470.410795902091</v>
      </c>
      <c r="L77" s="736">
        <f t="shared" si="37"/>
        <v>8.2154993886301861E-2</v>
      </c>
      <c r="N77" s="457" cm="1">
        <f t="array" ref="N77">SUMPRODUCT('W3'!$K$18:$AJ$1670*('W3'!$A$18:$A$1670=N$5)*('W3'!$D$18:$D$1670=$B$71)*('W3'!$K$14:$AJ$14='Cover Page'!$D77))</f>
        <v>24304.190119781022</v>
      </c>
      <c r="O77" s="736">
        <f t="shared" si="37"/>
        <v>8.2011494861921316E-2</v>
      </c>
      <c r="Q77" s="457" cm="1">
        <f t="array" ref="Q77">SUMPRODUCT('W3'!$K$18:$AJ$1670*('W3'!$A$18:$A$1670=Q$5)*('W3'!$D$18:$D$1670=$B$71)*('W3'!$K$14:$AJ$14='Cover Page'!$D77))</f>
        <v>14528.219303640584</v>
      </c>
      <c r="R77" s="736">
        <f t="shared" ref="R77" si="48">IFERROR(Q77/Q104,0)</f>
        <v>4.9023685911823378E-2</v>
      </c>
      <c r="T77" s="457" cm="1">
        <f t="array" ref="T77">SUMPRODUCT('W3'!$K$18:$AJ$1670*('W3'!$A$18:$A$1670=T$5)*('W3'!$D$18:$D$1670=$B$71)*('W3'!$K$14:$AJ$14='Cover Page'!$D77))</f>
        <v>9714.6014634324238</v>
      </c>
      <c r="U77" s="736">
        <f t="shared" si="39"/>
        <v>3.4930281410244131E-2</v>
      </c>
      <c r="W77" s="457" cm="1">
        <f t="array" ref="W77">SUMPRODUCT('W3'!$K$18:$AJ$1670*('W3'!$A$18:$A$1670=W$5)*('W3'!$D$18:$D$1670=$B$71)*('W3'!$K$14:$AJ$14='Cover Page'!$D77))</f>
        <v>-61.369352708011867</v>
      </c>
      <c r="X77" s="736">
        <f t="shared" si="40"/>
        <v>-2.2066255297497039E-4</v>
      </c>
      <c r="Z77" s="457" cm="1">
        <f t="array" ref="Z77">SUMPRODUCT('W3'!$K$18:$AJ$1670*('W3'!$A$18:$A$1670=Z$5)*('W3'!$D$18:$D$1670=$B$71)*('W3'!$K$14:$AJ$14='Cover Page'!$D77))</f>
        <v>951.80865426091486</v>
      </c>
      <c r="AA77" s="736">
        <f t="shared" si="41"/>
        <v>3.5626842364627912E-3</v>
      </c>
      <c r="AC77" s="457" cm="1">
        <f t="array" ref="AC77">SUMPRODUCT('W3'!$K$18:$AJ$1670*('W3'!$A$18:$A$1670=AC$5)*('W3'!$D$18:$D$1670=$B$71)*('W3'!$K$14:$AJ$14='Cover Page'!$D77))</f>
        <v>3310.2245911488312</v>
      </c>
      <c r="AD77" s="736">
        <f t="shared" si="42"/>
        <v>1.1724725927637701E-2</v>
      </c>
      <c r="AF77" s="457" cm="1">
        <f t="array" ref="AF77">SUMPRODUCT('W3'!$K$18:$AJ$1670*('W3'!$A$18:$A$1670=AF$5)*('W3'!$D$18:$D$1670=$B$71)*('W3'!$K$14:$AJ$14='Cover Page'!$D77))</f>
        <v>35246.381612042525</v>
      </c>
      <c r="AG77" s="736">
        <f t="shared" si="43"/>
        <v>0.11368745832389546</v>
      </c>
      <c r="AI77" s="457" cm="1">
        <f t="array" ref="AI77">SUMPRODUCT('W3'!$K$18:$AJ$1670*('W3'!$A$18:$A$1670=AI$5)*('W3'!$D$18:$D$1670=$B$71)*('W3'!$K$14:$AJ$14='Cover Page'!$D77))</f>
        <v>25470.410795902091</v>
      </c>
      <c r="AJ77" s="736">
        <f t="shared" si="44"/>
        <v>8.2154993886301861E-2</v>
      </c>
      <c r="AL77" s="712">
        <v>0.88</v>
      </c>
    </row>
    <row r="78" spans="2:42" outlineLevel="1" x14ac:dyDescent="0.25">
      <c r="D78" s="542">
        <v>7</v>
      </c>
      <c r="E78" s="496" t="str">
        <f t="shared" si="30"/>
        <v>triệu VND</v>
      </c>
      <c r="F78" s="454"/>
      <c r="H78" s="457" cm="1">
        <f t="array" ref="H78">SUMPRODUCT('W3'!$K$18:$AJ$1670*('W3'!$A$18:$A$1670=H$5)*('W3'!$D$18:$D$1670=$B$71)*('W3'!$K$14:$AJ$14='Cover Page'!$D78))</f>
        <v>36066.955622893809</v>
      </c>
      <c r="I78" s="736">
        <f t="shared" si="36"/>
        <v>0.11405316247000173</v>
      </c>
      <c r="K78" s="457" cm="1">
        <f t="array" ref="K78">SUMPRODUCT('W3'!$K$18:$AJ$1670*('W3'!$A$18:$A$1670=K$5)*('W3'!$D$18:$D$1670=$B$71)*('W3'!$K$14:$AJ$14='Cover Page'!$D78))</f>
        <v>26619.17124286541</v>
      </c>
      <c r="L78" s="736">
        <f t="shared" si="37"/>
        <v>8.417679313782167E-2</v>
      </c>
      <c r="N78" s="457" cm="1">
        <f t="array" ref="N78">SUMPRODUCT('W3'!$K$18:$AJ$1670*('W3'!$A$18:$A$1670=N$5)*('W3'!$D$18:$D$1670=$B$71)*('W3'!$K$14:$AJ$14='Cover Page'!$D78))</f>
        <v>24905.920300787129</v>
      </c>
      <c r="O78" s="736">
        <f t="shared" si="37"/>
        <v>8.239407766092495E-2</v>
      </c>
      <c r="Q78" s="457" cm="1">
        <f t="array" ref="Q78">SUMPRODUCT('W3'!$K$18:$AJ$1670*('W3'!$A$18:$A$1670=Q$5)*('W3'!$D$18:$D$1670=$B$71)*('W3'!$K$14:$AJ$14='Cover Page'!$D78))</f>
        <v>15458.135920758732</v>
      </c>
      <c r="R78" s="736">
        <f t="shared" ref="R78" si="49">IFERROR(Q78/Q105,0)</f>
        <v>5.1138798974951979E-2</v>
      </c>
      <c r="T78" s="457" cm="1">
        <f t="array" ref="T78">SUMPRODUCT('W3'!$K$18:$AJ$1670*('W3'!$A$18:$A$1670=T$5)*('W3'!$D$18:$D$1670=$B$71)*('W3'!$K$14:$AJ$14='Cover Page'!$D78))</f>
        <v>10024.539871311514</v>
      </c>
      <c r="U78" s="736">
        <f t="shared" si="39"/>
        <v>3.5337951605903604E-2</v>
      </c>
      <c r="W78" s="457" cm="1">
        <f t="array" ref="W78">SUMPRODUCT('W3'!$K$18:$AJ$1670*('W3'!$A$18:$A$1670=W$5)*('W3'!$D$18:$D$1670=$B$71)*('W3'!$K$14:$AJ$14='Cover Page'!$D78))</f>
        <v>576.75549128311684</v>
      </c>
      <c r="X78" s="736">
        <f t="shared" si="40"/>
        <v>2.0331464487192909E-3</v>
      </c>
      <c r="Z78" s="457" cm="1">
        <f t="array" ref="Z78">SUMPRODUCT('W3'!$K$18:$AJ$1670*('W3'!$A$18:$A$1670=Z$5)*('W3'!$D$18:$D$1670=$B$71)*('W3'!$K$14:$AJ$14='Cover Page'!$D78))</f>
        <v>1086.491205956554</v>
      </c>
      <c r="AA78" s="736">
        <f t="shared" si="41"/>
        <v>3.9870687709157521E-3</v>
      </c>
      <c r="AC78" s="457" cm="1">
        <f t="array" ref="AC78">SUMPRODUCT('W3'!$K$18:$AJ$1670*('W3'!$A$18:$A$1670=AC$5)*('W3'!$D$18:$D$1670=$B$71)*('W3'!$K$14:$AJ$14='Cover Page'!$D78))</f>
        <v>4015.7813140170651</v>
      </c>
      <c r="AD78" s="736">
        <f t="shared" si="42"/>
        <v>1.3944890929187635E-2</v>
      </c>
      <c r="AF78" s="457" cm="1">
        <f t="array" ref="AF78">SUMPRODUCT('W3'!$K$18:$AJ$1670*('W3'!$A$18:$A$1670=AF$5)*('W3'!$D$18:$D$1670=$B$71)*('W3'!$K$14:$AJ$14='Cover Page'!$D78))</f>
        <v>36066.955622893809</v>
      </c>
      <c r="AG78" s="736">
        <f t="shared" si="43"/>
        <v>0.11405316247000173</v>
      </c>
      <c r="AI78" s="457" cm="1">
        <f t="array" ref="AI78">SUMPRODUCT('W3'!$K$18:$AJ$1670*('W3'!$A$18:$A$1670=AI$5)*('W3'!$D$18:$D$1670=$B$71)*('W3'!$K$14:$AJ$14='Cover Page'!$D78))</f>
        <v>26619.17124286541</v>
      </c>
      <c r="AJ78" s="736">
        <f t="shared" si="44"/>
        <v>8.417679313782167E-2</v>
      </c>
      <c r="AL78" s="712">
        <v>0.88</v>
      </c>
    </row>
    <row r="79" spans="2:42" outlineLevel="1" x14ac:dyDescent="0.25">
      <c r="D79" s="542">
        <v>8</v>
      </c>
      <c r="E79" s="496" t="str">
        <f t="shared" si="30"/>
        <v>triệu VND</v>
      </c>
      <c r="F79" s="454"/>
      <c r="H79" s="457" cm="1">
        <f t="array" ref="H79">SUMPRODUCT('W3'!$K$18:$AJ$1670*('W3'!$A$18:$A$1670=H$5)*('W3'!$D$18:$D$1670=$B$71)*('W3'!$K$14:$AJ$14='Cover Page'!$D79))</f>
        <v>36879.279591651539</v>
      </c>
      <c r="I79" s="736">
        <f t="shared" si="36"/>
        <v>0.11433523889329149</v>
      </c>
      <c r="K79" s="457" cm="1">
        <f t="array" ref="K79">SUMPRODUCT('W3'!$K$18:$AJ$1670*('W3'!$A$18:$A$1670=K$5)*('W3'!$D$18:$D$1670=$B$71)*('W3'!$K$14:$AJ$14='Cover Page'!$D79))</f>
        <v>27782.654698263112</v>
      </c>
      <c r="L79" s="736">
        <f t="shared" si="37"/>
        <v>8.6133365325683345E-2</v>
      </c>
      <c r="N79" s="457" cm="1">
        <f t="array" ref="N79">SUMPRODUCT('W3'!$K$18:$AJ$1670*('W3'!$A$18:$A$1670=N$5)*('W3'!$D$18:$D$1670=$B$71)*('W3'!$K$14:$AJ$14='Cover Page'!$D79))</f>
        <v>25495.023563102728</v>
      </c>
      <c r="O79" s="736">
        <f t="shared" si="37"/>
        <v>8.2689172996058866E-2</v>
      </c>
      <c r="Q79" s="457" cm="1">
        <f t="array" ref="Q79">SUMPRODUCT('W3'!$K$18:$AJ$1670*('W3'!$A$18:$A$1670=Q$5)*('W3'!$D$18:$D$1670=$B$71)*('W3'!$K$14:$AJ$14='Cover Page'!$D79))</f>
        <v>16398.398669714294</v>
      </c>
      <c r="R79" s="736">
        <f t="shared" ref="R79" si="50">IFERROR(Q79/Q106,0)</f>
        <v>5.3185674494561089E-2</v>
      </c>
      <c r="T79" s="457" cm="1">
        <f t="array" ref="T79">SUMPRODUCT('W3'!$K$18:$AJ$1670*('W3'!$A$18:$A$1670=T$5)*('W3'!$D$18:$D$1670=$B$71)*('W3'!$K$14:$AJ$14='Cover Page'!$D79))</f>
        <v>10316.015525037563</v>
      </c>
      <c r="U79" s="736">
        <f t="shared" si="39"/>
        <v>3.5652397454816652E-2</v>
      </c>
      <c r="W79" s="457" cm="1">
        <f t="array" ref="W79">SUMPRODUCT('W3'!$K$18:$AJ$1670*('W3'!$A$18:$A$1670=W$5)*('W3'!$D$18:$D$1670=$B$71)*('W3'!$K$14:$AJ$14='Cover Page'!$D79))</f>
        <v>1219.3906316491309</v>
      </c>
      <c r="X79" s="736">
        <f t="shared" si="40"/>
        <v>4.2142433138764052E-3</v>
      </c>
      <c r="Z79" s="457" cm="1">
        <f t="array" ref="Z79">SUMPRODUCT('W3'!$K$18:$AJ$1670*('W3'!$A$18:$A$1670=Z$5)*('W3'!$D$18:$D$1670=$B$71)*('W3'!$K$14:$AJ$14='Cover Page'!$D79))</f>
        <v>1199.2058863755781</v>
      </c>
      <c r="AA79" s="736">
        <f t="shared" si="41"/>
        <v>4.3144067922442101E-3</v>
      </c>
      <c r="AC79" s="457" cm="1">
        <f t="array" ref="AC79">SUMPRODUCT('W3'!$K$18:$AJ$1670*('W3'!$A$18:$A$1670=AC$5)*('W3'!$D$18:$D$1670=$B$71)*('W3'!$K$14:$AJ$14='Cover Page'!$D79))</f>
        <v>4727.1969708377028</v>
      </c>
      <c r="AD79" s="736">
        <f t="shared" si="42"/>
        <v>1.6093429213208926E-2</v>
      </c>
      <c r="AF79" s="457" cm="1">
        <f t="array" ref="AF79">SUMPRODUCT('W3'!$K$18:$AJ$1670*('W3'!$A$18:$A$1670=AF$5)*('W3'!$D$18:$D$1670=$B$71)*('W3'!$K$14:$AJ$14='Cover Page'!$D79))</f>
        <v>36879.279591651539</v>
      </c>
      <c r="AG79" s="736">
        <f t="shared" si="43"/>
        <v>0.11433523889329149</v>
      </c>
      <c r="AI79" s="457" cm="1">
        <f t="array" ref="AI79">SUMPRODUCT('W3'!$K$18:$AJ$1670*('W3'!$A$18:$A$1670=AI$5)*('W3'!$D$18:$D$1670=$B$71)*('W3'!$K$14:$AJ$14='Cover Page'!$D79))</f>
        <v>27782.654698263112</v>
      </c>
      <c r="AJ79" s="736">
        <f t="shared" si="44"/>
        <v>8.6133365325683345E-2</v>
      </c>
      <c r="AL79" s="712">
        <v>0.88</v>
      </c>
    </row>
    <row r="80" spans="2:42" outlineLevel="1" x14ac:dyDescent="0.25">
      <c r="D80" s="542">
        <v>9</v>
      </c>
      <c r="E80" s="496" t="str">
        <f t="shared" si="30"/>
        <v>triệu VND</v>
      </c>
      <c r="F80" s="454"/>
      <c r="H80" s="457" cm="1">
        <f t="array" ref="H80">SUMPRODUCT('W3'!$K$18:$AJ$1670*('W3'!$A$18:$A$1670=H$5)*('W3'!$D$18:$D$1670=$B$71)*('W3'!$K$14:$AJ$14='Cover Page'!$D80))</f>
        <v>37682.613454725222</v>
      </c>
      <c r="I80" s="736">
        <f t="shared" si="36"/>
        <v>0.11453507862641261</v>
      </c>
      <c r="K80" s="457" cm="1">
        <f t="array" ref="K80">SUMPRODUCT('W3'!$K$18:$AJ$1670*('W3'!$A$18:$A$1670=K$5)*('W3'!$D$18:$D$1670=$B$71)*('W3'!$K$14:$AJ$14='Cover Page'!$D80))</f>
        <v>28961.729212041573</v>
      </c>
      <c r="L80" s="736">
        <f t="shared" si="37"/>
        <v>8.8028234465306165E-2</v>
      </c>
      <c r="N80" s="457" cm="1">
        <f t="array" ref="N80">SUMPRODUCT('W3'!$K$18:$AJ$1670*('W3'!$A$18:$A$1670=N$5)*('W3'!$D$18:$D$1670=$B$71)*('W3'!$K$14:$AJ$14='Cover Page'!$D80))</f>
        <v>26070.672305605422</v>
      </c>
      <c r="O80" s="736">
        <f t="shared" si="37"/>
        <v>8.2898236101477854E-2</v>
      </c>
      <c r="Q80" s="457" cm="1">
        <f t="array" ref="Q80">SUMPRODUCT('W3'!$K$18:$AJ$1670*('W3'!$A$18:$A$1670=Q$5)*('W3'!$D$18:$D$1670=$B$71)*('W3'!$K$14:$AJ$14='Cover Page'!$D80))</f>
        <v>17349.788062921773</v>
      </c>
      <c r="R80" s="736">
        <f t="shared" ref="R80" si="51">IFERROR(Q80/Q107,0)</f>
        <v>5.516799913293572E-2</v>
      </c>
      <c r="T80" s="457" cm="1">
        <f t="array" ref="T80">SUMPRODUCT('W3'!$K$18:$AJ$1670*('W3'!$A$18:$A$1670=T$5)*('W3'!$D$18:$D$1670=$B$71)*('W3'!$K$14:$AJ$14='Cover Page'!$D80))</f>
        <v>10588.084106779053</v>
      </c>
      <c r="U80" s="736">
        <f t="shared" si="39"/>
        <v>3.5875169616329007E-2</v>
      </c>
      <c r="W80" s="457" cm="1">
        <f t="array" ref="W80">SUMPRODUCT('W3'!$K$18:$AJ$1670*('W3'!$A$18:$A$1670=W$5)*('W3'!$D$18:$D$1670=$B$71)*('W3'!$K$14:$AJ$14='Cover Page'!$D80))</f>
        <v>1867.199864095403</v>
      </c>
      <c r="X80" s="736">
        <f t="shared" si="40"/>
        <v>6.32655645312838E-3</v>
      </c>
      <c r="Z80" s="457" cm="1">
        <f t="array" ref="Z80">SUMPRODUCT('W3'!$K$18:$AJ$1670*('W3'!$A$18:$A$1670=Z$5)*('W3'!$D$18:$D$1670=$B$71)*('W3'!$K$14:$AJ$14='Cover Page'!$D80))</f>
        <v>1288.9382753437385</v>
      </c>
      <c r="AA80" s="736">
        <f t="shared" si="41"/>
        <v>4.5463125362965985E-3</v>
      </c>
      <c r="AC80" s="457" cm="1">
        <f t="array" ref="AC80">SUMPRODUCT('W3'!$K$18:$AJ$1670*('W3'!$A$18:$A$1670=AC$5)*('W3'!$D$18:$D$1670=$B$71)*('W3'!$K$14:$AJ$14='Cover Page'!$D80))</f>
        <v>5445.1623300677638</v>
      </c>
      <c r="AD80" s="736">
        <f t="shared" si="42"/>
        <v>1.8174210548520069E-2</v>
      </c>
      <c r="AF80" s="457" cm="1">
        <f t="array" ref="AF80">SUMPRODUCT('W3'!$K$18:$AJ$1670*('W3'!$A$18:$A$1670=AF$5)*('W3'!$D$18:$D$1670=$B$71)*('W3'!$K$14:$AJ$14='Cover Page'!$D80))</f>
        <v>37682.613454725222</v>
      </c>
      <c r="AG80" s="736">
        <f t="shared" si="43"/>
        <v>0.11453507862641261</v>
      </c>
      <c r="AI80" s="457" cm="1">
        <f t="array" ref="AI80">SUMPRODUCT('W3'!$K$18:$AJ$1670*('W3'!$A$18:$A$1670=AI$5)*('W3'!$D$18:$D$1670=$B$71)*('W3'!$K$14:$AJ$14='Cover Page'!$D80))</f>
        <v>28961.729212041573</v>
      </c>
      <c r="AJ80" s="736">
        <f t="shared" si="44"/>
        <v>8.8028234465306165E-2</v>
      </c>
      <c r="AL80" s="712">
        <v>0.88</v>
      </c>
    </row>
    <row r="81" spans="4:38" outlineLevel="1" x14ac:dyDescent="0.25">
      <c r="D81" s="542">
        <v>10</v>
      </c>
      <c r="E81" s="496" t="str">
        <f t="shared" si="30"/>
        <v>triệu VND</v>
      </c>
      <c r="F81" s="454"/>
      <c r="H81" s="457" cm="1">
        <f t="array" ref="H81">SUMPRODUCT('W3'!$K$18:$AJ$1670*('W3'!$A$18:$A$1670=H$5)*('W3'!$D$18:$D$1670=$B$71)*('W3'!$K$14:$AJ$14='Cover Page'!$D81))</f>
        <v>38476.219655050663</v>
      </c>
      <c r="I81" s="736">
        <f t="shared" si="36"/>
        <v>0.11465413615109128</v>
      </c>
      <c r="K81" s="457" cm="1">
        <f t="array" ref="K81">SUMPRODUCT('W3'!$K$18:$AJ$1670*('W3'!$A$18:$A$1670=K$5)*('W3'!$D$18:$D$1670=$B$71)*('W3'!$K$14:$AJ$14='Cover Page'!$D81))</f>
        <v>30157.377908621031</v>
      </c>
      <c r="L81" s="736">
        <f t="shared" si="37"/>
        <v>8.9865068442114213E-2</v>
      </c>
      <c r="N81" s="457" cm="1">
        <f t="array" ref="N81">SUMPRODUCT('W3'!$K$18:$AJ$1670*('W3'!$A$18:$A$1670=N$5)*('W3'!$D$18:$D$1670=$B$71)*('W3'!$K$14:$AJ$14='Cover Page'!$D81))</f>
        <v>26632.039682948453</v>
      </c>
      <c r="O81" s="736">
        <f t="shared" si="37"/>
        <v>8.3022788588833954E-2</v>
      </c>
      <c r="Q81" s="457" cm="1">
        <f t="array" ref="Q81">SUMPRODUCT('W3'!$K$18:$AJ$1670*('W3'!$A$18:$A$1670=Q$5)*('W3'!$D$18:$D$1670=$B$71)*('W3'!$K$14:$AJ$14='Cover Page'!$D81))</f>
        <v>18313.197936518816</v>
      </c>
      <c r="R81" s="736">
        <f t="shared" ref="R81" si="52">IFERROR(Q81/Q108,0)</f>
        <v>5.7089610062519468E-2</v>
      </c>
      <c r="T81" s="457" cm="1">
        <f t="array" ref="T81">SUMPRODUCT('W3'!$K$18:$AJ$1670*('W3'!$A$18:$A$1670=T$5)*('W3'!$D$18:$D$1670=$B$71)*('W3'!$K$14:$AJ$14='Cover Page'!$D81))</f>
        <v>10839.799720145529</v>
      </c>
      <c r="U81" s="736">
        <f t="shared" si="39"/>
        <v>3.6007889479905096E-2</v>
      </c>
      <c r="W81" s="457" cm="1">
        <f t="array" ref="W81">SUMPRODUCT('W3'!$K$18:$AJ$1670*('W3'!$A$18:$A$1670=W$5)*('W3'!$D$18:$D$1670=$B$71)*('W3'!$K$14:$AJ$14='Cover Page'!$D81))</f>
        <v>2520.9579737158961</v>
      </c>
      <c r="X81" s="736">
        <f t="shared" si="40"/>
        <v>8.3741746567831225E-3</v>
      </c>
      <c r="Z81" s="457" cm="1">
        <f t="array" ref="Z81">SUMPRODUCT('W3'!$K$18:$AJ$1670*('W3'!$A$18:$A$1670=Z$5)*('W3'!$D$18:$D$1670=$B$71)*('W3'!$K$14:$AJ$14='Cover Page'!$D81))</f>
        <v>1354.6709720815534</v>
      </c>
      <c r="AA81" s="736">
        <f t="shared" si="41"/>
        <v>4.6844738689526605E-3</v>
      </c>
      <c r="AC81" s="457" cm="1">
        <f t="array" ref="AC81">SUMPRODUCT('W3'!$K$18:$AJ$1670*('W3'!$A$18:$A$1670=AC$5)*('W3'!$D$18:$D$1670=$B$71)*('W3'!$K$14:$AJ$14='Cover Page'!$D81))</f>
        <v>6170.4796890077187</v>
      </c>
      <c r="AD81" s="736">
        <f t="shared" si="42"/>
        <v>2.0191262689528346E-2</v>
      </c>
      <c r="AF81" s="457" cm="1">
        <f t="array" ref="AF81">SUMPRODUCT('W3'!$K$18:$AJ$1670*('W3'!$A$18:$A$1670=AF$5)*('W3'!$D$18:$D$1670=$B$71)*('W3'!$K$14:$AJ$14='Cover Page'!$D81))</f>
        <v>38476.219655050663</v>
      </c>
      <c r="AG81" s="736">
        <f t="shared" si="43"/>
        <v>0.11465413615109128</v>
      </c>
      <c r="AI81" s="457" cm="1">
        <f t="array" ref="AI81">SUMPRODUCT('W3'!$K$18:$AJ$1670*('W3'!$A$18:$A$1670=AI$5)*('W3'!$D$18:$D$1670=$B$71)*('W3'!$K$14:$AJ$14='Cover Page'!$D81))</f>
        <v>30157.377908621031</v>
      </c>
      <c r="AJ81" s="736">
        <f t="shared" si="44"/>
        <v>8.9865068442114213E-2</v>
      </c>
      <c r="AL81" s="712">
        <v>0.88</v>
      </c>
    </row>
    <row r="82" spans="4:38" outlineLevel="1" x14ac:dyDescent="0.25">
      <c r="D82" s="542">
        <v>11</v>
      </c>
      <c r="E82" s="496" t="str">
        <f t="shared" si="30"/>
        <v>triệu VND</v>
      </c>
      <c r="F82" s="454"/>
      <c r="H82" s="457" cm="1">
        <f t="array" ref="H82">SUMPRODUCT('W3'!$K$18:$AJ$1670*('W3'!$A$18:$A$1670=H$5)*('W3'!$D$18:$D$1670=$B$71)*('W3'!$K$14:$AJ$14='Cover Page'!$D82))</f>
        <v>39259.367281876133</v>
      </c>
      <c r="I82" s="736">
        <f t="shared" si="36"/>
        <v>0.11469393562826123</v>
      </c>
      <c r="K82" s="457" cm="1">
        <f t="array" ref="K82">SUMPRODUCT('W3'!$K$18:$AJ$1670*('W3'!$A$18:$A$1670=K$5)*('W3'!$D$18:$D$1670=$B$71)*('W3'!$K$14:$AJ$14='Cover Page'!$D82))</f>
        <v>31370.71100643836</v>
      </c>
      <c r="L82" s="736">
        <f t="shared" si="37"/>
        <v>9.164768965714426E-2</v>
      </c>
      <c r="N82" s="457" cm="1">
        <f t="array" ref="N82">SUMPRODUCT('W3'!$K$18:$AJ$1670*('W3'!$A$18:$A$1670=N$5)*('W3'!$D$18:$D$1670=$B$71)*('W3'!$K$14:$AJ$14='Cover Page'!$D82))</f>
        <v>27178.303710331907</v>
      </c>
      <c r="O82" s="736">
        <f t="shared" si="37"/>
        <v>8.3064424964950284E-2</v>
      </c>
      <c r="Q82" s="457" cm="1">
        <f t="array" ref="Q82">SUMPRODUCT('W3'!$K$18:$AJ$1670*('W3'!$A$18:$A$1670=Q$5)*('W3'!$D$18:$D$1670=$B$71)*('W3'!$K$14:$AJ$14='Cover Page'!$D82))</f>
        <v>19289.647434894137</v>
      </c>
      <c r="R82" s="736">
        <f t="shared" ref="R82" si="53">IFERROR(Q82/Q109,0)</f>
        <v>5.8954506102858704E-2</v>
      </c>
      <c r="T82" s="457" cm="1">
        <f t="array" ref="T82">SUMPRODUCT('W3'!$K$18:$AJ$1670*('W3'!$A$18:$A$1670=T$5)*('W3'!$D$18:$D$1670=$B$71)*('W3'!$K$14:$AJ$14='Cover Page'!$D82))</f>
        <v>11070.218948272895</v>
      </c>
      <c r="U82" s="736">
        <f t="shared" si="39"/>
        <v>3.6052256110192901E-2</v>
      </c>
      <c r="W82" s="457" cm="1">
        <f t="array" ref="W82">SUMPRODUCT('W3'!$K$18:$AJ$1670*('W3'!$A$18:$A$1670=W$5)*('W3'!$D$18:$D$1670=$B$71)*('W3'!$K$14:$AJ$14='Cover Page'!$D82))</f>
        <v>3181.5626728351231</v>
      </c>
      <c r="X82" s="736">
        <f t="shared" si="40"/>
        <v>1.0361358962062523E-2</v>
      </c>
      <c r="Z82" s="457" cm="1">
        <f t="array" ref="Z82">SUMPRODUCT('W3'!$K$18:$AJ$1670*('W3'!$A$18:$A$1670=Z$5)*('W3'!$D$18:$D$1670=$B$71)*('W3'!$K$14:$AJ$14='Cover Page'!$D82))</f>
        <v>1395.3876252476127</v>
      </c>
      <c r="AA82" s="736">
        <f t="shared" si="41"/>
        <v>4.7306595159299792E-3</v>
      </c>
      <c r="AC82" s="457" cm="1">
        <f t="array" ref="AC82">SUMPRODUCT('W3'!$K$18:$AJ$1670*('W3'!$A$18:$A$1670=AC$5)*('W3'!$D$18:$D$1670=$B$71)*('W3'!$K$14:$AJ$14='Cover Page'!$D82))</f>
        <v>6904.0748224328272</v>
      </c>
      <c r="AD82" s="736">
        <f t="shared" si="42"/>
        <v>2.2148783066319202E-2</v>
      </c>
      <c r="AF82" s="457" cm="1">
        <f t="array" ref="AF82">SUMPRODUCT('W3'!$K$18:$AJ$1670*('W3'!$A$18:$A$1670=AF$5)*('W3'!$D$18:$D$1670=$B$71)*('W3'!$K$14:$AJ$14='Cover Page'!$D82))</f>
        <v>39259.367281876133</v>
      </c>
      <c r="AG82" s="736">
        <f t="shared" si="43"/>
        <v>0.11469393562826123</v>
      </c>
      <c r="AI82" s="457" cm="1">
        <f t="array" ref="AI82">SUMPRODUCT('W3'!$K$18:$AJ$1670*('W3'!$A$18:$A$1670=AI$5)*('W3'!$D$18:$D$1670=$B$71)*('W3'!$K$14:$AJ$14='Cover Page'!$D82))</f>
        <v>31370.71100643836</v>
      </c>
      <c r="AJ82" s="736">
        <f t="shared" si="44"/>
        <v>9.164768965714426E-2</v>
      </c>
      <c r="AL82" s="712">
        <v>0.88</v>
      </c>
    </row>
    <row r="83" spans="4:38" outlineLevel="1" x14ac:dyDescent="0.25">
      <c r="D83" s="542">
        <v>12</v>
      </c>
      <c r="E83" s="496" t="str">
        <f t="shared" si="30"/>
        <v>triệu VND</v>
      </c>
      <c r="F83" s="454"/>
      <c r="H83" s="457" cm="1">
        <f t="array" ref="H83">SUMPRODUCT('W3'!$K$18:$AJ$1670*('W3'!$A$18:$A$1670=H$5)*('W3'!$D$18:$D$1670=$B$71)*('W3'!$K$14:$AJ$14='Cover Page'!$D83))</f>
        <v>40031.336723525128</v>
      </c>
      <c r="I83" s="736">
        <f t="shared" si="36"/>
        <v>0.11465607746144423</v>
      </c>
      <c r="K83" s="457" cm="1">
        <f t="array" ref="K83">SUMPRODUCT('W3'!$K$18:$AJ$1670*('W3'!$A$18:$A$1670=K$5)*('W3'!$D$18:$D$1670=$B$71)*('W3'!$K$14:$AJ$14='Cover Page'!$D83))</f>
        <v>32602.978902048621</v>
      </c>
      <c r="L83" s="736">
        <f t="shared" si="37"/>
        <v>9.3380086213067676E-2</v>
      </c>
      <c r="N83" s="457" cm="1">
        <f t="array" ref="N83">SUMPRODUCT('W3'!$K$18:$AJ$1670*('W3'!$A$18:$A$1670=N$5)*('W3'!$D$18:$D$1670=$B$71)*('W3'!$K$14:$AJ$14='Cover Page'!$D83))</f>
        <v>27708.651880549965</v>
      </c>
      <c r="O83" s="736">
        <f t="shared" si="37"/>
        <v>8.3024819498126207E-2</v>
      </c>
      <c r="Q83" s="457" cm="1">
        <f t="array" ref="Q83">SUMPRODUCT('W3'!$K$18:$AJ$1670*('W3'!$A$18:$A$1670=Q$5)*('W3'!$D$18:$D$1670=$B$71)*('W3'!$K$14:$AJ$14='Cover Page'!$D83))</f>
        <v>20280.294059073462</v>
      </c>
      <c r="R83" s="736">
        <f t="shared" ref="R83" si="54">IFERROR(Q83/Q110,0)</f>
        <v>6.0766859422901512E-2</v>
      </c>
      <c r="T83" s="457" cm="1">
        <f t="array" ref="T83">SUMPRODUCT('W3'!$K$18:$AJ$1670*('W3'!$A$18:$A$1670=T$5)*('W3'!$D$18:$D$1670=$B$71)*('W3'!$K$14:$AJ$14='Cover Page'!$D83))</f>
        <v>11278.405423249771</v>
      </c>
      <c r="U83" s="736">
        <f t="shared" si="39"/>
        <v>3.6010053563577067E-2</v>
      </c>
      <c r="W83" s="457" cm="1">
        <f t="array" ref="W83">SUMPRODUCT('W3'!$K$18:$AJ$1670*('W3'!$A$18:$A$1670=W$5)*('W3'!$D$18:$D$1670=$B$71)*('W3'!$K$14:$AJ$14='Cover Page'!$D83))</f>
        <v>3850.047601773264</v>
      </c>
      <c r="X83" s="736">
        <f t="shared" si="40"/>
        <v>1.229255512276386E-2</v>
      </c>
      <c r="Z83" s="457" cm="1">
        <f t="array" ref="Z83">SUMPRODUCT('W3'!$K$18:$AJ$1670*('W3'!$A$18:$A$1670=Z$5)*('W3'!$D$18:$D$1670=$B$71)*('W3'!$K$14:$AJ$14='Cover Page'!$D83))</f>
        <v>1410.077473763982</v>
      </c>
      <c r="AA83" s="736">
        <f t="shared" si="41"/>
        <v>4.686726679315998E-3</v>
      </c>
      <c r="AC83" s="457" cm="1">
        <f t="array" ref="AC83">SUMPRODUCT('W3'!$K$18:$AJ$1670*('W3'!$A$18:$A$1670=AC$5)*('W3'!$D$18:$D$1670=$B$71)*('W3'!$K$14:$AJ$14='Cover Page'!$D83))</f>
        <v>7647.0099943628538</v>
      </c>
      <c r="AD83" s="736">
        <f t="shared" si="42"/>
        <v>2.4051151068174435E-2</v>
      </c>
      <c r="AF83" s="457" cm="1">
        <f t="array" ref="AF83">SUMPRODUCT('W3'!$K$18:$AJ$1670*('W3'!$A$18:$A$1670=AF$5)*('W3'!$D$18:$D$1670=$B$71)*('W3'!$K$14:$AJ$14='Cover Page'!$D83))</f>
        <v>40031.336723525128</v>
      </c>
      <c r="AG83" s="736">
        <f t="shared" si="43"/>
        <v>0.11465607746144423</v>
      </c>
      <c r="AI83" s="457" cm="1">
        <f t="array" ref="AI83">SUMPRODUCT('W3'!$K$18:$AJ$1670*('W3'!$A$18:$A$1670=AI$5)*('W3'!$D$18:$D$1670=$B$71)*('W3'!$K$14:$AJ$14='Cover Page'!$D83))</f>
        <v>32602.978902048621</v>
      </c>
      <c r="AJ83" s="736">
        <f t="shared" si="44"/>
        <v>9.3380086213067676E-2</v>
      </c>
      <c r="AL83" s="712">
        <v>0.88</v>
      </c>
    </row>
    <row r="84" spans="4:38" outlineLevel="1" x14ac:dyDescent="0.25">
      <c r="D84" s="542">
        <v>13</v>
      </c>
      <c r="E84" s="496" t="str">
        <f t="shared" si="30"/>
        <v>triệu VND</v>
      </c>
      <c r="F84" s="454"/>
      <c r="H84" s="457" cm="1">
        <f t="array" ref="H84">SUMPRODUCT('W3'!$K$18:$AJ$1670*('W3'!$A$18:$A$1670=H$5)*('W3'!$D$18:$D$1670=$B$71)*('W3'!$K$14:$AJ$14='Cover Page'!$D84))</f>
        <v>61643.411014037672</v>
      </c>
      <c r="I84" s="736">
        <f t="shared" si="36"/>
        <v>0.1730945834991226</v>
      </c>
      <c r="K84" s="457" cm="1">
        <f t="array" ref="K84">SUMPRODUCT('W3'!$K$18:$AJ$1670*('W3'!$A$18:$A$1670=K$5)*('W3'!$D$18:$D$1670=$B$71)*('W3'!$K$14:$AJ$14='Cover Page'!$D84))</f>
        <v>54707.57253829977</v>
      </c>
      <c r="L84" s="736">
        <f t="shared" si="37"/>
        <v>0.15361876195670915</v>
      </c>
      <c r="N84" s="457" cm="1">
        <f t="array" ref="N84">SUMPRODUCT('W3'!$K$18:$AJ$1670*('W3'!$A$18:$A$1670=N$5)*('W3'!$D$18:$D$1670=$B$71)*('W3'!$K$14:$AJ$14='Cover Page'!$D84))</f>
        <v>49074.272474203077</v>
      </c>
      <c r="O84" s="736">
        <f t="shared" si="37"/>
        <v>0.14416048735292838</v>
      </c>
      <c r="Q84" s="457" cm="1">
        <f t="array" ref="Q84">SUMPRODUCT('W3'!$K$18:$AJ$1670*('W3'!$A$18:$A$1670=Q$5)*('W3'!$D$18:$D$1670=$B$71)*('W3'!$K$14:$AJ$14='Cover Page'!$D84))</f>
        <v>42138.433998465167</v>
      </c>
      <c r="R84" s="736">
        <f t="shared" ref="R84" si="55">IFERROR(Q84/Q111,0)</f>
        <v>0.1237857817393266</v>
      </c>
      <c r="T84" s="457" cm="1">
        <f t="array" ref="T84">SUMPRODUCT('W3'!$K$18:$AJ$1670*('W3'!$A$18:$A$1670=T$5)*('W3'!$D$18:$D$1670=$B$71)*('W3'!$K$14:$AJ$14='Cover Page'!$D84))</f>
        <v>32315.421087756848</v>
      </c>
      <c r="U84" s="736">
        <f t="shared" si="39"/>
        <v>0.10115461767115308</v>
      </c>
      <c r="W84" s="457" cm="1">
        <f t="array" ref="W84">SUMPRODUCT('W3'!$K$18:$AJ$1670*('W3'!$A$18:$A$1670=W$5)*('W3'!$D$18:$D$1670=$B$71)*('W3'!$K$14:$AJ$14='Cover Page'!$D84))</f>
        <v>25379.582612018941</v>
      </c>
      <c r="X84" s="736">
        <f t="shared" si="40"/>
        <v>7.9443865787806919E-2</v>
      </c>
      <c r="Z84" s="457" cm="1">
        <f t="array" ref="Z84">SUMPRODUCT('W3'!$K$18:$AJ$1670*('W3'!$A$18:$A$1670=Z$5)*('W3'!$D$18:$D$1670=$B$71)*('W3'!$K$14:$AJ$14='Cover Page'!$D84))</f>
        <v>22249.726579281316</v>
      </c>
      <c r="AA84" s="736">
        <f t="shared" si="41"/>
        <v>7.2502195666978742E-2</v>
      </c>
      <c r="AC84" s="457" cm="1">
        <f t="array" ref="AC84">SUMPRODUCT('W3'!$K$18:$AJ$1670*('W3'!$A$18:$A$1670=AC$5)*('W3'!$D$18:$D$1670=$B$71)*('W3'!$K$14:$AJ$14='Cover Page'!$D84))</f>
        <v>29252.484252460396</v>
      </c>
      <c r="AD84" s="736">
        <f t="shared" si="42"/>
        <v>9.0200052609817782E-2</v>
      </c>
      <c r="AF84" s="457" cm="1">
        <f t="array" ref="AF84">SUMPRODUCT('W3'!$K$18:$AJ$1670*('W3'!$A$18:$A$1670=AF$5)*('W3'!$D$18:$D$1670=$B$71)*('W3'!$K$14:$AJ$14='Cover Page'!$D84))</f>
        <v>61643.411014037672</v>
      </c>
      <c r="AG84" s="736">
        <f t="shared" si="43"/>
        <v>0.1730945834991226</v>
      </c>
      <c r="AI84" s="457" cm="1">
        <f t="array" ref="AI84">SUMPRODUCT('W3'!$K$18:$AJ$1670*('W3'!$A$18:$A$1670=AI$5)*('W3'!$D$18:$D$1670=$B$71)*('W3'!$K$14:$AJ$14='Cover Page'!$D84))</f>
        <v>54707.57253829977</v>
      </c>
      <c r="AJ84" s="736">
        <f t="shared" si="44"/>
        <v>0.15361876195670915</v>
      </c>
      <c r="AL84" s="712">
        <v>0.88</v>
      </c>
    </row>
    <row r="85" spans="4:38" outlineLevel="1" x14ac:dyDescent="0.25">
      <c r="D85" s="542">
        <v>14</v>
      </c>
      <c r="E85" s="496" t="str">
        <f t="shared" si="30"/>
        <v>triệu VND</v>
      </c>
      <c r="F85" s="454"/>
      <c r="H85" s="457" cm="1">
        <f t="array" ref="H85">SUMPRODUCT('W3'!$K$18:$AJ$1670*('W3'!$A$18:$A$1670=H$5)*('W3'!$D$18:$D$1670=$B$71)*('W3'!$K$14:$AJ$14='Cover Page'!$D85))</f>
        <v>62390.937125178942</v>
      </c>
      <c r="I85" s="736">
        <f t="shared" si="36"/>
        <v>0.17175846610701348</v>
      </c>
      <c r="K85" s="457" cm="1">
        <f t="array" ref="K85">SUMPRODUCT('W3'!$K$18:$AJ$1670*('W3'!$A$18:$A$1670=K$5)*('W3'!$D$18:$D$1670=$B$71)*('W3'!$K$14:$AJ$14='Cover Page'!$D85))</f>
        <v>55982.094349381281</v>
      </c>
      <c r="L85" s="736">
        <f t="shared" si="37"/>
        <v>0.15411531061980754</v>
      </c>
      <c r="N85" s="457" cm="1">
        <f t="array" ref="N85">SUMPRODUCT('W3'!$K$18:$AJ$1670*('W3'!$A$18:$A$1670=N$5)*('W3'!$D$18:$D$1670=$B$71)*('W3'!$K$14:$AJ$14='Cover Page'!$D85))</f>
        <v>49570.415814547618</v>
      </c>
      <c r="O85" s="736">
        <f t="shared" si="37"/>
        <v>0.14276270300426028</v>
      </c>
      <c r="Q85" s="457" cm="1">
        <f t="array" ref="Q85">SUMPRODUCT('W3'!$K$18:$AJ$1670*('W3'!$A$18:$A$1670=Q$5)*('W3'!$D$18:$D$1670=$B$71)*('W3'!$K$14:$AJ$14='Cover Page'!$D85))</f>
        <v>43161.573038749957</v>
      </c>
      <c r="R85" s="736">
        <f t="shared" ref="R85" si="56">IFERROR(Q85/Q112,0)</f>
        <v>0.12430524803302946</v>
      </c>
      <c r="T85" s="457" cm="1">
        <f t="array" ref="T85">SUMPRODUCT('W3'!$K$18:$AJ$1670*('W3'!$A$18:$A$1670=T$5)*('W3'!$D$18:$D$1670=$B$71)*('W3'!$K$14:$AJ$14='Cover Page'!$D85))</f>
        <v>32476.387400372609</v>
      </c>
      <c r="U85" s="736">
        <f t="shared" si="39"/>
        <v>9.9665175332408762E-2</v>
      </c>
      <c r="W85" s="457" cm="1">
        <f t="array" ref="W85">SUMPRODUCT('W3'!$K$18:$AJ$1670*('W3'!$A$18:$A$1670=W$5)*('W3'!$D$18:$D$1670=$B$71)*('W3'!$K$14:$AJ$14='Cover Page'!$D85))</f>
        <v>26067.544624574948</v>
      </c>
      <c r="X85" s="736">
        <f t="shared" si="40"/>
        <v>7.9997395445031663E-2</v>
      </c>
      <c r="Z85" s="457" cm="1">
        <f t="array" ref="Z85">SUMPRODUCT('W3'!$K$18:$AJ$1670*('W3'!$A$18:$A$1670=Z$5)*('W3'!$D$18:$D$1670=$B$71)*('W3'!$K$14:$AJ$14='Cover Page'!$D85))</f>
        <v>22209.379001727517</v>
      </c>
      <c r="AA85" s="736">
        <f t="shared" si="41"/>
        <v>7.09516867010236E-2</v>
      </c>
      <c r="AC85" s="457" cm="1">
        <f t="array" ref="AC85">SUMPRODUCT('W3'!$K$18:$AJ$1670*('W3'!$A$18:$A$1670=AC$5)*('W3'!$D$18:$D$1670=$B$71)*('W3'!$K$14:$AJ$14='Cover Page'!$D85))</f>
        <v>30017.904297825091</v>
      </c>
      <c r="AD85" s="736">
        <f t="shared" si="42"/>
        <v>9.0745319387688345E-2</v>
      </c>
      <c r="AF85" s="457" cm="1">
        <f t="array" ref="AF85">SUMPRODUCT('W3'!$K$18:$AJ$1670*('W3'!$A$18:$A$1670=AF$5)*('W3'!$D$18:$D$1670=$B$71)*('W3'!$K$14:$AJ$14='Cover Page'!$D85))</f>
        <v>62390.937125178942</v>
      </c>
      <c r="AG85" s="736">
        <f t="shared" si="43"/>
        <v>0.17175846610701348</v>
      </c>
      <c r="AI85" s="457" cm="1">
        <f t="array" ref="AI85">SUMPRODUCT('W3'!$K$18:$AJ$1670*('W3'!$A$18:$A$1670=AI$5)*('W3'!$D$18:$D$1670=$B$71)*('W3'!$K$14:$AJ$14='Cover Page'!$D85))</f>
        <v>55982.094349381281</v>
      </c>
      <c r="AJ85" s="736">
        <f t="shared" si="44"/>
        <v>0.15411531061980754</v>
      </c>
      <c r="AL85" s="712">
        <v>0.88</v>
      </c>
    </row>
    <row r="86" spans="4:38" outlineLevel="1" x14ac:dyDescent="0.25">
      <c r="D86" s="542">
        <v>15</v>
      </c>
      <c r="E86" s="496" t="str">
        <f t="shared" si="30"/>
        <v>triệu VND</v>
      </c>
      <c r="F86" s="454"/>
      <c r="H86" s="457" cm="1">
        <f t="array" ref="H86">SUMPRODUCT('W3'!$K$18:$AJ$1670*('W3'!$A$18:$A$1670=H$5)*('W3'!$D$18:$D$1670=$B$71)*('W3'!$K$14:$AJ$14='Cover Page'!$D86))</f>
        <v>63125.249259534059</v>
      </c>
      <c r="I86" s="736">
        <f t="shared" si="36"/>
        <v>0.1703725322346609</v>
      </c>
      <c r="K86" s="457" cm="1">
        <f t="array" ref="K86">SUMPRODUCT('W3'!$K$18:$AJ$1670*('W3'!$A$18:$A$1670=K$5)*('W3'!$D$18:$D$1670=$B$71)*('W3'!$K$14:$AJ$14='Cover Page'!$D86))</f>
        <v>57280.291882672493</v>
      </c>
      <c r="L86" s="736">
        <f t="shared" si="37"/>
        <v>0.15459722519380731</v>
      </c>
      <c r="N86" s="457" cm="1">
        <f t="array" ref="N86">SUMPRODUCT('W3'!$K$18:$AJ$1670*('W3'!$A$18:$A$1670=N$5)*('W3'!$D$18:$D$1670=$B$71)*('W3'!$K$14:$AJ$14='Cover Page'!$D86))</f>
        <v>50048.317522690122</v>
      </c>
      <c r="O86" s="736">
        <f t="shared" si="37"/>
        <v>0.14131280295318377</v>
      </c>
      <c r="Q86" s="457" cm="1">
        <f t="array" ref="Q86">SUMPRODUCT('W3'!$K$18:$AJ$1670*('W3'!$A$18:$A$1670=Q$5)*('W3'!$D$18:$D$1670=$B$71)*('W3'!$K$14:$AJ$14='Cover Page'!$D86))</f>
        <v>44203.360145828548</v>
      </c>
      <c r="R86" s="736">
        <f t="shared" ref="R86" si="57">IFERROR(Q86/Q113,0)</f>
        <v>0.1248094048181369</v>
      </c>
      <c r="T86" s="457" cm="1">
        <f t="array" ref="T86">SUMPRODUCT('W3'!$K$18:$AJ$1670*('W3'!$A$18:$A$1670=T$5)*('W3'!$D$18:$D$1670=$B$71)*('W3'!$K$14:$AJ$14='Cover Page'!$D86))</f>
        <v>32612.408540231503</v>
      </c>
      <c r="U86" s="736">
        <f t="shared" si="39"/>
        <v>9.8120199868146629E-2</v>
      </c>
      <c r="W86" s="457" cm="1">
        <f t="array" ref="W86">SUMPRODUCT('W3'!$K$18:$AJ$1670*('W3'!$A$18:$A$1670=W$5)*('W3'!$D$18:$D$1670=$B$71)*('W3'!$K$14:$AJ$14='Cover Page'!$D86))</f>
        <v>26767.451163369929</v>
      </c>
      <c r="X86" s="736">
        <f t="shared" si="40"/>
        <v>8.0534611691457356E-2</v>
      </c>
      <c r="Z86" s="457" cm="1">
        <f t="array" ref="Z86">SUMPRODUCT('W3'!$K$18:$AJ$1670*('W3'!$A$18:$A$1670=Z$5)*('W3'!$D$18:$D$1670=$B$71)*('W3'!$K$14:$AJ$14='Cover Page'!$D86))</f>
        <v>22140.059973613592</v>
      </c>
      <c r="AA86" s="736">
        <f t="shared" si="41"/>
        <v>6.934336777037059E-2</v>
      </c>
      <c r="AC86" s="457" cm="1">
        <f t="array" ref="AC86">SUMPRODUCT('W3'!$K$18:$AJ$1670*('W3'!$A$18:$A$1670=AC$5)*('W3'!$D$18:$D$1670=$B$71)*('W3'!$K$14:$AJ$14='Cover Page'!$D86))</f>
        <v>30796.818030085138</v>
      </c>
      <c r="AD86" s="736">
        <f t="shared" si="42"/>
        <v>9.1274516275127421E-2</v>
      </c>
      <c r="AF86" s="457" cm="1">
        <f t="array" ref="AF86">SUMPRODUCT('W3'!$K$18:$AJ$1670*('W3'!$A$18:$A$1670=AF$5)*('W3'!$D$18:$D$1670=$B$71)*('W3'!$K$14:$AJ$14='Cover Page'!$D86))</f>
        <v>63125.249259534059</v>
      </c>
      <c r="AG86" s="736">
        <f t="shared" si="43"/>
        <v>0.1703725322346609</v>
      </c>
      <c r="AI86" s="457" cm="1">
        <f t="array" ref="AI86">SUMPRODUCT('W3'!$K$18:$AJ$1670*('W3'!$A$18:$A$1670=AI$5)*('W3'!$D$18:$D$1670=$B$71)*('W3'!$K$14:$AJ$14='Cover Page'!$D86))</f>
        <v>57280.291882672493</v>
      </c>
      <c r="AJ86" s="736">
        <f t="shared" si="44"/>
        <v>0.15459722519380731</v>
      </c>
      <c r="AL86" s="712">
        <v>0.88</v>
      </c>
    </row>
    <row r="87" spans="4:38" outlineLevel="1" x14ac:dyDescent="0.25">
      <c r="D87" s="542">
        <v>16</v>
      </c>
      <c r="E87" s="496" t="str">
        <f t="shared" si="30"/>
        <v>triệu VND</v>
      </c>
      <c r="F87" s="454"/>
      <c r="H87" s="457" cm="1">
        <f t="array" ref="H87">SUMPRODUCT('W3'!$K$18:$AJ$1670*('W3'!$A$18:$A$1670=H$5)*('W3'!$D$18:$D$1670=$B$71)*('W3'!$K$14:$AJ$14='Cover Page'!$D87))</f>
        <v>0</v>
      </c>
      <c r="I87" s="736">
        <f t="shared" si="36"/>
        <v>0</v>
      </c>
      <c r="K87" s="457" cm="1">
        <f t="array" ref="K87">SUMPRODUCT('W3'!$K$18:$AJ$1670*('W3'!$A$18:$A$1670=K$5)*('W3'!$D$18:$D$1670=$B$71)*('W3'!$K$14:$AJ$14='Cover Page'!$D87))</f>
        <v>0</v>
      </c>
      <c r="L87" s="736">
        <f t="shared" si="37"/>
        <v>0</v>
      </c>
      <c r="N87" s="457" cm="1">
        <f t="array" ref="N87">SUMPRODUCT('W3'!$K$18:$AJ$1670*('W3'!$A$18:$A$1670=N$5)*('W3'!$D$18:$D$1670=$B$71)*('W3'!$K$14:$AJ$14='Cover Page'!$D87))</f>
        <v>0</v>
      </c>
      <c r="O87" s="736">
        <f t="shared" si="37"/>
        <v>0</v>
      </c>
      <c r="Q87" s="457" cm="1">
        <f t="array" ref="Q87">SUMPRODUCT('W3'!$K$18:$AJ$1670*('W3'!$A$18:$A$1670=Q$5)*('W3'!$D$18:$D$1670=$B$71)*('W3'!$K$14:$AJ$14='Cover Page'!$D87))</f>
        <v>0</v>
      </c>
      <c r="R87" s="736">
        <f t="shared" ref="R87" si="58">IFERROR(Q87/Q114,0)</f>
        <v>0</v>
      </c>
      <c r="T87" s="457" cm="1">
        <f t="array" ref="T87">SUMPRODUCT('W3'!$K$18:$AJ$1670*('W3'!$A$18:$A$1670=T$5)*('W3'!$D$18:$D$1670=$B$71)*('W3'!$K$14:$AJ$14='Cover Page'!$D87))</f>
        <v>0</v>
      </c>
      <c r="U87" s="736">
        <f t="shared" si="39"/>
        <v>0</v>
      </c>
      <c r="W87" s="457" cm="1">
        <f t="array" ref="W87">SUMPRODUCT('W3'!$K$18:$AJ$1670*('W3'!$A$18:$A$1670=W$5)*('W3'!$D$18:$D$1670=$B$71)*('W3'!$K$14:$AJ$14='Cover Page'!$D87))</f>
        <v>0</v>
      </c>
      <c r="X87" s="736">
        <f t="shared" si="40"/>
        <v>0</v>
      </c>
      <c r="Z87" s="457" cm="1">
        <f t="array" ref="Z87">SUMPRODUCT('W3'!$K$18:$AJ$1670*('W3'!$A$18:$A$1670=Z$5)*('W3'!$D$18:$D$1670=$B$71)*('W3'!$K$14:$AJ$14='Cover Page'!$D87))</f>
        <v>0</v>
      </c>
      <c r="AA87" s="736">
        <f t="shared" si="41"/>
        <v>0</v>
      </c>
      <c r="AC87" s="457" cm="1">
        <f t="array" ref="AC87">SUMPRODUCT('W3'!$K$18:$AJ$1670*('W3'!$A$18:$A$1670=AC$5)*('W3'!$D$18:$D$1670=$B$71)*('W3'!$K$14:$AJ$14='Cover Page'!$D87))</f>
        <v>0</v>
      </c>
      <c r="AD87" s="736">
        <f t="shared" si="42"/>
        <v>0</v>
      </c>
      <c r="AF87" s="457" cm="1">
        <f t="array" ref="AF87">SUMPRODUCT('W3'!$K$18:$AJ$1670*('W3'!$A$18:$A$1670=AF$5)*('W3'!$D$18:$D$1670=$B$71)*('W3'!$K$14:$AJ$14='Cover Page'!$D87))</f>
        <v>0</v>
      </c>
      <c r="AG87" s="736">
        <f t="shared" si="43"/>
        <v>0</v>
      </c>
      <c r="AI87" s="457" cm="1">
        <f t="array" ref="AI87">SUMPRODUCT('W3'!$K$18:$AJ$1670*('W3'!$A$18:$A$1670=AI$5)*('W3'!$D$18:$D$1670=$B$71)*('W3'!$K$14:$AJ$14='Cover Page'!$D87))</f>
        <v>0</v>
      </c>
      <c r="AJ87" s="736">
        <f t="shared" si="44"/>
        <v>0</v>
      </c>
      <c r="AL87" s="712">
        <v>0</v>
      </c>
    </row>
    <row r="88" spans="4:38" outlineLevel="1" x14ac:dyDescent="0.25">
      <c r="D88" s="542">
        <v>17</v>
      </c>
      <c r="E88" s="496" t="str">
        <f t="shared" si="30"/>
        <v>triệu VND</v>
      </c>
      <c r="F88" s="454"/>
      <c r="H88" s="457" cm="1">
        <f t="array" ref="H88">SUMPRODUCT('W3'!$K$18:$AJ$1670*('W3'!$A$18:$A$1670=H$5)*('W3'!$D$18:$D$1670=$B$71)*('W3'!$K$14:$AJ$14='Cover Page'!$D88))</f>
        <v>0</v>
      </c>
      <c r="I88" s="736">
        <f t="shared" si="36"/>
        <v>0</v>
      </c>
      <c r="K88" s="457" cm="1">
        <f t="array" ref="K88">SUMPRODUCT('W3'!$K$18:$AJ$1670*('W3'!$A$18:$A$1670=K$5)*('W3'!$D$18:$D$1670=$B$71)*('W3'!$K$14:$AJ$14='Cover Page'!$D88))</f>
        <v>0</v>
      </c>
      <c r="L88" s="736">
        <f t="shared" si="37"/>
        <v>0</v>
      </c>
      <c r="N88" s="457" cm="1">
        <f t="array" ref="N88">SUMPRODUCT('W3'!$K$18:$AJ$1670*('W3'!$A$18:$A$1670=N$5)*('W3'!$D$18:$D$1670=$B$71)*('W3'!$K$14:$AJ$14='Cover Page'!$D88))</f>
        <v>0</v>
      </c>
      <c r="O88" s="736">
        <f t="shared" si="37"/>
        <v>0</v>
      </c>
      <c r="Q88" s="457" cm="1">
        <f t="array" ref="Q88">SUMPRODUCT('W3'!$K$18:$AJ$1670*('W3'!$A$18:$A$1670=Q$5)*('W3'!$D$18:$D$1670=$B$71)*('W3'!$K$14:$AJ$14='Cover Page'!$D88))</f>
        <v>0</v>
      </c>
      <c r="R88" s="736">
        <f t="shared" ref="R88" si="59">IFERROR(Q88/Q115,0)</f>
        <v>0</v>
      </c>
      <c r="T88" s="457" cm="1">
        <f t="array" ref="T88">SUMPRODUCT('W3'!$K$18:$AJ$1670*('W3'!$A$18:$A$1670=T$5)*('W3'!$D$18:$D$1670=$B$71)*('W3'!$K$14:$AJ$14='Cover Page'!$D88))</f>
        <v>0</v>
      </c>
      <c r="U88" s="736">
        <f t="shared" si="39"/>
        <v>0</v>
      </c>
      <c r="W88" s="457" cm="1">
        <f t="array" ref="W88">SUMPRODUCT('W3'!$K$18:$AJ$1670*('W3'!$A$18:$A$1670=W$5)*('W3'!$D$18:$D$1670=$B$71)*('W3'!$K$14:$AJ$14='Cover Page'!$D88))</f>
        <v>0</v>
      </c>
      <c r="X88" s="736">
        <f t="shared" si="40"/>
        <v>0</v>
      </c>
      <c r="Z88" s="457" cm="1">
        <f t="array" ref="Z88">SUMPRODUCT('W3'!$K$18:$AJ$1670*('W3'!$A$18:$A$1670=Z$5)*('W3'!$D$18:$D$1670=$B$71)*('W3'!$K$14:$AJ$14='Cover Page'!$D88))</f>
        <v>0</v>
      </c>
      <c r="AA88" s="736">
        <f t="shared" si="41"/>
        <v>0</v>
      </c>
      <c r="AC88" s="457" cm="1">
        <f t="array" ref="AC88">SUMPRODUCT('W3'!$K$18:$AJ$1670*('W3'!$A$18:$A$1670=AC$5)*('W3'!$D$18:$D$1670=$B$71)*('W3'!$K$14:$AJ$14='Cover Page'!$D88))</f>
        <v>0</v>
      </c>
      <c r="AD88" s="736">
        <f t="shared" si="42"/>
        <v>0</v>
      </c>
      <c r="AF88" s="457" cm="1">
        <f t="array" ref="AF88">SUMPRODUCT('W3'!$K$18:$AJ$1670*('W3'!$A$18:$A$1670=AF$5)*('W3'!$D$18:$D$1670=$B$71)*('W3'!$K$14:$AJ$14='Cover Page'!$D88))</f>
        <v>0</v>
      </c>
      <c r="AG88" s="736">
        <f t="shared" si="43"/>
        <v>0</v>
      </c>
      <c r="AI88" s="457" cm="1">
        <f t="array" ref="AI88">SUMPRODUCT('W3'!$K$18:$AJ$1670*('W3'!$A$18:$A$1670=AI$5)*('W3'!$D$18:$D$1670=$B$71)*('W3'!$K$14:$AJ$14='Cover Page'!$D88))</f>
        <v>0</v>
      </c>
      <c r="AJ88" s="736">
        <f t="shared" si="44"/>
        <v>0</v>
      </c>
      <c r="AL88" s="712">
        <v>0</v>
      </c>
    </row>
    <row r="89" spans="4:38" outlineLevel="1" x14ac:dyDescent="0.25">
      <c r="D89" s="542">
        <v>18</v>
      </c>
      <c r="E89" s="496" t="str">
        <f t="shared" si="30"/>
        <v>triệu VND</v>
      </c>
      <c r="F89" s="454"/>
      <c r="H89" s="457" cm="1">
        <f t="array" ref="H89">SUMPRODUCT('W3'!$K$18:$AJ$1670*('W3'!$A$18:$A$1670=H$5)*('W3'!$D$18:$D$1670=$B$71)*('W3'!$K$14:$AJ$14='Cover Page'!$D89))</f>
        <v>0</v>
      </c>
      <c r="I89" s="736">
        <f t="shared" si="36"/>
        <v>0</v>
      </c>
      <c r="K89" s="457" cm="1">
        <f t="array" ref="K89">SUMPRODUCT('W3'!$K$18:$AJ$1670*('W3'!$A$18:$A$1670=K$5)*('W3'!$D$18:$D$1670=$B$71)*('W3'!$K$14:$AJ$14='Cover Page'!$D89))</f>
        <v>0</v>
      </c>
      <c r="L89" s="736">
        <f t="shared" si="37"/>
        <v>0</v>
      </c>
      <c r="N89" s="457" cm="1">
        <f t="array" ref="N89">SUMPRODUCT('W3'!$K$18:$AJ$1670*('W3'!$A$18:$A$1670=N$5)*('W3'!$D$18:$D$1670=$B$71)*('W3'!$K$14:$AJ$14='Cover Page'!$D89))</f>
        <v>0</v>
      </c>
      <c r="O89" s="736">
        <f t="shared" si="37"/>
        <v>0</v>
      </c>
      <c r="Q89" s="457" cm="1">
        <f t="array" ref="Q89">SUMPRODUCT('W3'!$K$18:$AJ$1670*('W3'!$A$18:$A$1670=Q$5)*('W3'!$D$18:$D$1670=$B$71)*('W3'!$K$14:$AJ$14='Cover Page'!$D89))</f>
        <v>0</v>
      </c>
      <c r="R89" s="736">
        <f t="shared" ref="R89" si="60">IFERROR(Q89/Q116,0)</f>
        <v>0</v>
      </c>
      <c r="T89" s="457" cm="1">
        <f t="array" ref="T89">SUMPRODUCT('W3'!$K$18:$AJ$1670*('W3'!$A$18:$A$1670=T$5)*('W3'!$D$18:$D$1670=$B$71)*('W3'!$K$14:$AJ$14='Cover Page'!$D89))</f>
        <v>0</v>
      </c>
      <c r="U89" s="736">
        <f t="shared" si="39"/>
        <v>0</v>
      </c>
      <c r="W89" s="457" cm="1">
        <f t="array" ref="W89">SUMPRODUCT('W3'!$K$18:$AJ$1670*('W3'!$A$18:$A$1670=W$5)*('W3'!$D$18:$D$1670=$B$71)*('W3'!$K$14:$AJ$14='Cover Page'!$D89))</f>
        <v>0</v>
      </c>
      <c r="X89" s="736">
        <f t="shared" si="40"/>
        <v>0</v>
      </c>
      <c r="Z89" s="457" cm="1">
        <f t="array" ref="Z89">SUMPRODUCT('W3'!$K$18:$AJ$1670*('W3'!$A$18:$A$1670=Z$5)*('W3'!$D$18:$D$1670=$B$71)*('W3'!$K$14:$AJ$14='Cover Page'!$D89))</f>
        <v>0</v>
      </c>
      <c r="AA89" s="736">
        <f t="shared" si="41"/>
        <v>0</v>
      </c>
      <c r="AC89" s="457" cm="1">
        <f t="array" ref="AC89">SUMPRODUCT('W3'!$K$18:$AJ$1670*('W3'!$A$18:$A$1670=AC$5)*('W3'!$D$18:$D$1670=$B$71)*('W3'!$K$14:$AJ$14='Cover Page'!$D89))</f>
        <v>0</v>
      </c>
      <c r="AD89" s="736">
        <f t="shared" si="42"/>
        <v>0</v>
      </c>
      <c r="AF89" s="457" cm="1">
        <f t="array" ref="AF89">SUMPRODUCT('W3'!$K$18:$AJ$1670*('W3'!$A$18:$A$1670=AF$5)*('W3'!$D$18:$D$1670=$B$71)*('W3'!$K$14:$AJ$14='Cover Page'!$D89))</f>
        <v>0</v>
      </c>
      <c r="AG89" s="736">
        <f t="shared" si="43"/>
        <v>0</v>
      </c>
      <c r="AI89" s="457" cm="1">
        <f t="array" ref="AI89">SUMPRODUCT('W3'!$K$18:$AJ$1670*('W3'!$A$18:$A$1670=AI$5)*('W3'!$D$18:$D$1670=$B$71)*('W3'!$K$14:$AJ$14='Cover Page'!$D89))</f>
        <v>0</v>
      </c>
      <c r="AJ89" s="736">
        <f t="shared" si="44"/>
        <v>0</v>
      </c>
      <c r="AL89" s="712">
        <v>0</v>
      </c>
    </row>
    <row r="90" spans="4:38" outlineLevel="1" x14ac:dyDescent="0.25">
      <c r="D90" s="542">
        <v>19</v>
      </c>
      <c r="E90" s="496" t="str">
        <f t="shared" si="30"/>
        <v>triệu VND</v>
      </c>
      <c r="F90" s="454"/>
      <c r="H90" s="457" cm="1">
        <f t="array" ref="H90">SUMPRODUCT('W3'!$K$18:$AJ$1670*('W3'!$A$18:$A$1670=H$5)*('W3'!$D$18:$D$1670=$B$71)*('W3'!$K$14:$AJ$14='Cover Page'!$D90))</f>
        <v>0</v>
      </c>
      <c r="I90" s="736">
        <f t="shared" si="36"/>
        <v>0</v>
      </c>
      <c r="K90" s="457" cm="1">
        <f t="array" ref="K90">SUMPRODUCT('W3'!$K$18:$AJ$1670*('W3'!$A$18:$A$1670=K$5)*('W3'!$D$18:$D$1670=$B$71)*('W3'!$K$14:$AJ$14='Cover Page'!$D90))</f>
        <v>0</v>
      </c>
      <c r="L90" s="736">
        <f t="shared" si="37"/>
        <v>0</v>
      </c>
      <c r="N90" s="457" cm="1">
        <f t="array" ref="N90">SUMPRODUCT('W3'!$K$18:$AJ$1670*('W3'!$A$18:$A$1670=N$5)*('W3'!$D$18:$D$1670=$B$71)*('W3'!$K$14:$AJ$14='Cover Page'!$D90))</f>
        <v>0</v>
      </c>
      <c r="O90" s="736">
        <f t="shared" si="37"/>
        <v>0</v>
      </c>
      <c r="Q90" s="457" cm="1">
        <f t="array" ref="Q90">SUMPRODUCT('W3'!$K$18:$AJ$1670*('W3'!$A$18:$A$1670=Q$5)*('W3'!$D$18:$D$1670=$B$71)*('W3'!$K$14:$AJ$14='Cover Page'!$D90))</f>
        <v>0</v>
      </c>
      <c r="R90" s="736">
        <f t="shared" ref="R90" si="61">IFERROR(Q90/Q117,0)</f>
        <v>0</v>
      </c>
      <c r="T90" s="457" cm="1">
        <f t="array" ref="T90">SUMPRODUCT('W3'!$K$18:$AJ$1670*('W3'!$A$18:$A$1670=T$5)*('W3'!$D$18:$D$1670=$B$71)*('W3'!$K$14:$AJ$14='Cover Page'!$D90))</f>
        <v>0</v>
      </c>
      <c r="U90" s="736">
        <f t="shared" si="39"/>
        <v>0</v>
      </c>
      <c r="W90" s="457" cm="1">
        <f t="array" ref="W90">SUMPRODUCT('W3'!$K$18:$AJ$1670*('W3'!$A$18:$A$1670=W$5)*('W3'!$D$18:$D$1670=$B$71)*('W3'!$K$14:$AJ$14='Cover Page'!$D90))</f>
        <v>0</v>
      </c>
      <c r="X90" s="736">
        <f t="shared" si="40"/>
        <v>0</v>
      </c>
      <c r="Z90" s="457" cm="1">
        <f t="array" ref="Z90">SUMPRODUCT('W3'!$K$18:$AJ$1670*('W3'!$A$18:$A$1670=Z$5)*('W3'!$D$18:$D$1670=$B$71)*('W3'!$K$14:$AJ$14='Cover Page'!$D90))</f>
        <v>0</v>
      </c>
      <c r="AA90" s="736">
        <f t="shared" si="41"/>
        <v>0</v>
      </c>
      <c r="AC90" s="457" cm="1">
        <f t="array" ref="AC90">SUMPRODUCT('W3'!$K$18:$AJ$1670*('W3'!$A$18:$A$1670=AC$5)*('W3'!$D$18:$D$1670=$B$71)*('W3'!$K$14:$AJ$14='Cover Page'!$D90))</f>
        <v>0</v>
      </c>
      <c r="AD90" s="736">
        <f t="shared" si="42"/>
        <v>0</v>
      </c>
      <c r="AF90" s="457" cm="1">
        <f t="array" ref="AF90">SUMPRODUCT('W3'!$K$18:$AJ$1670*('W3'!$A$18:$A$1670=AF$5)*('W3'!$D$18:$D$1670=$B$71)*('W3'!$K$14:$AJ$14='Cover Page'!$D90))</f>
        <v>0</v>
      </c>
      <c r="AG90" s="736">
        <f t="shared" si="43"/>
        <v>0</v>
      </c>
      <c r="AI90" s="457" cm="1">
        <f t="array" ref="AI90">SUMPRODUCT('W3'!$K$18:$AJ$1670*('W3'!$A$18:$A$1670=AI$5)*('W3'!$D$18:$D$1670=$B$71)*('W3'!$K$14:$AJ$14='Cover Page'!$D90))</f>
        <v>0</v>
      </c>
      <c r="AJ90" s="736">
        <f t="shared" si="44"/>
        <v>0</v>
      </c>
      <c r="AL90" s="712">
        <v>0</v>
      </c>
    </row>
    <row r="91" spans="4:38" outlineLevel="1" x14ac:dyDescent="0.25">
      <c r="D91" s="542">
        <v>20</v>
      </c>
      <c r="E91" s="496" t="str">
        <f t="shared" si="30"/>
        <v>triệu VND</v>
      </c>
      <c r="F91" s="454"/>
      <c r="H91" s="457" cm="1">
        <f t="array" ref="H91">SUMPRODUCT('W3'!$K$18:$AJ$1670*('W3'!$A$18:$A$1670=H$5)*('W3'!$D$18:$D$1670=$B$71)*('W3'!$K$14:$AJ$14='Cover Page'!$D91))</f>
        <v>0</v>
      </c>
      <c r="I91" s="736">
        <f t="shared" si="36"/>
        <v>0</v>
      </c>
      <c r="K91" s="457" cm="1">
        <f t="array" ref="K91">SUMPRODUCT('W3'!$K$18:$AJ$1670*('W3'!$A$18:$A$1670=K$5)*('W3'!$D$18:$D$1670=$B$71)*('W3'!$K$14:$AJ$14='Cover Page'!$D91))</f>
        <v>0</v>
      </c>
      <c r="L91" s="736">
        <f t="shared" si="37"/>
        <v>0</v>
      </c>
      <c r="N91" s="457" cm="1">
        <f t="array" ref="N91">SUMPRODUCT('W3'!$K$18:$AJ$1670*('W3'!$A$18:$A$1670=N$5)*('W3'!$D$18:$D$1670=$B$71)*('W3'!$K$14:$AJ$14='Cover Page'!$D91))</f>
        <v>0</v>
      </c>
      <c r="O91" s="736">
        <f t="shared" si="37"/>
        <v>0</v>
      </c>
      <c r="Q91" s="457" cm="1">
        <f t="array" ref="Q91">SUMPRODUCT('W3'!$K$18:$AJ$1670*('W3'!$A$18:$A$1670=Q$5)*('W3'!$D$18:$D$1670=$B$71)*('W3'!$K$14:$AJ$14='Cover Page'!$D91))</f>
        <v>0</v>
      </c>
      <c r="R91" s="736">
        <f t="shared" ref="R91" si="62">IFERROR(Q91/Q118,0)</f>
        <v>0</v>
      </c>
      <c r="T91" s="457" cm="1">
        <f t="array" ref="T91">SUMPRODUCT('W3'!$K$18:$AJ$1670*('W3'!$A$18:$A$1670=T$5)*('W3'!$D$18:$D$1670=$B$71)*('W3'!$K$14:$AJ$14='Cover Page'!$D91))</f>
        <v>0</v>
      </c>
      <c r="U91" s="736">
        <f t="shared" si="39"/>
        <v>0</v>
      </c>
      <c r="W91" s="457" cm="1">
        <f t="array" ref="W91">SUMPRODUCT('W3'!$K$18:$AJ$1670*('W3'!$A$18:$A$1670=W$5)*('W3'!$D$18:$D$1670=$B$71)*('W3'!$K$14:$AJ$14='Cover Page'!$D91))</f>
        <v>0</v>
      </c>
      <c r="X91" s="736">
        <f t="shared" si="40"/>
        <v>0</v>
      </c>
      <c r="Z91" s="457" cm="1">
        <f t="array" ref="Z91">SUMPRODUCT('W3'!$K$18:$AJ$1670*('W3'!$A$18:$A$1670=Z$5)*('W3'!$D$18:$D$1670=$B$71)*('W3'!$K$14:$AJ$14='Cover Page'!$D91))</f>
        <v>0</v>
      </c>
      <c r="AA91" s="736">
        <f t="shared" si="41"/>
        <v>0</v>
      </c>
      <c r="AC91" s="457" cm="1">
        <f t="array" ref="AC91">SUMPRODUCT('W3'!$K$18:$AJ$1670*('W3'!$A$18:$A$1670=AC$5)*('W3'!$D$18:$D$1670=$B$71)*('W3'!$K$14:$AJ$14='Cover Page'!$D91))</f>
        <v>0</v>
      </c>
      <c r="AD91" s="736">
        <f t="shared" si="42"/>
        <v>0</v>
      </c>
      <c r="AF91" s="457" cm="1">
        <f t="array" ref="AF91">SUMPRODUCT('W3'!$K$18:$AJ$1670*('W3'!$A$18:$A$1670=AF$5)*('W3'!$D$18:$D$1670=$B$71)*('W3'!$K$14:$AJ$14='Cover Page'!$D91))</f>
        <v>0</v>
      </c>
      <c r="AG91" s="736">
        <f t="shared" si="43"/>
        <v>0</v>
      </c>
      <c r="AI91" s="457" cm="1">
        <f t="array" ref="AI91">SUMPRODUCT('W3'!$K$18:$AJ$1670*('W3'!$A$18:$A$1670=AI$5)*('W3'!$D$18:$D$1670=$B$71)*('W3'!$K$14:$AJ$14='Cover Page'!$D91))</f>
        <v>0</v>
      </c>
      <c r="AJ91" s="736">
        <f t="shared" si="44"/>
        <v>0</v>
      </c>
      <c r="AL91" s="712">
        <v>0</v>
      </c>
    </row>
    <row r="92" spans="4:38" outlineLevel="1" x14ac:dyDescent="0.25">
      <c r="D92" s="542">
        <v>21</v>
      </c>
      <c r="E92" s="496" t="str">
        <f t="shared" si="30"/>
        <v>triệu VND</v>
      </c>
      <c r="F92" s="454"/>
      <c r="H92" s="457" cm="1">
        <f t="array" ref="H92">SUMPRODUCT('W3'!$K$18:$AJ$1670*('W3'!$A$18:$A$1670=H$5)*('W3'!$D$18:$D$1670=$B$71)*('W3'!$K$14:$AJ$14='Cover Page'!$D92))</f>
        <v>0</v>
      </c>
      <c r="I92" s="736">
        <f t="shared" si="36"/>
        <v>0</v>
      </c>
      <c r="K92" s="457" cm="1">
        <f t="array" ref="K92">SUMPRODUCT('W3'!$K$18:$AJ$1670*('W3'!$A$18:$A$1670=K$5)*('W3'!$D$18:$D$1670=$B$71)*('W3'!$K$14:$AJ$14='Cover Page'!$D92))</f>
        <v>0</v>
      </c>
      <c r="L92" s="736">
        <f t="shared" si="37"/>
        <v>0</v>
      </c>
      <c r="N92" s="457" cm="1">
        <f t="array" ref="N92">SUMPRODUCT('W3'!$K$18:$AJ$1670*('W3'!$A$18:$A$1670=N$5)*('W3'!$D$18:$D$1670=$B$71)*('W3'!$K$14:$AJ$14='Cover Page'!$D92))</f>
        <v>0</v>
      </c>
      <c r="O92" s="736">
        <f t="shared" si="37"/>
        <v>0</v>
      </c>
      <c r="Q92" s="457" cm="1">
        <f t="array" ref="Q92">SUMPRODUCT('W3'!$K$18:$AJ$1670*('W3'!$A$18:$A$1670=Q$5)*('W3'!$D$18:$D$1670=$B$71)*('W3'!$K$14:$AJ$14='Cover Page'!$D92))</f>
        <v>0</v>
      </c>
      <c r="R92" s="736">
        <f t="shared" ref="R92" si="63">IFERROR(Q92/Q119,0)</f>
        <v>0</v>
      </c>
      <c r="T92" s="457" cm="1">
        <f t="array" ref="T92">SUMPRODUCT('W3'!$K$18:$AJ$1670*('W3'!$A$18:$A$1670=T$5)*('W3'!$D$18:$D$1670=$B$71)*('W3'!$K$14:$AJ$14='Cover Page'!$D92))</f>
        <v>0</v>
      </c>
      <c r="U92" s="736">
        <f t="shared" si="39"/>
        <v>0</v>
      </c>
      <c r="W92" s="457" cm="1">
        <f t="array" ref="W92">SUMPRODUCT('W3'!$K$18:$AJ$1670*('W3'!$A$18:$A$1670=W$5)*('W3'!$D$18:$D$1670=$B$71)*('W3'!$K$14:$AJ$14='Cover Page'!$D92))</f>
        <v>0</v>
      </c>
      <c r="X92" s="736">
        <f t="shared" si="40"/>
        <v>0</v>
      </c>
      <c r="Z92" s="457" cm="1">
        <f t="array" ref="Z92">SUMPRODUCT('W3'!$K$18:$AJ$1670*('W3'!$A$18:$A$1670=Z$5)*('W3'!$D$18:$D$1670=$B$71)*('W3'!$K$14:$AJ$14='Cover Page'!$D92))</f>
        <v>0</v>
      </c>
      <c r="AA92" s="736">
        <f t="shared" si="41"/>
        <v>0</v>
      </c>
      <c r="AC92" s="457" cm="1">
        <f t="array" ref="AC92">SUMPRODUCT('W3'!$K$18:$AJ$1670*('W3'!$A$18:$A$1670=AC$5)*('W3'!$D$18:$D$1670=$B$71)*('W3'!$K$14:$AJ$14='Cover Page'!$D92))</f>
        <v>0</v>
      </c>
      <c r="AD92" s="736">
        <f t="shared" si="42"/>
        <v>0</v>
      </c>
      <c r="AF92" s="457" cm="1">
        <f t="array" ref="AF92">SUMPRODUCT('W3'!$K$18:$AJ$1670*('W3'!$A$18:$A$1670=AF$5)*('W3'!$D$18:$D$1670=$B$71)*('W3'!$K$14:$AJ$14='Cover Page'!$D92))</f>
        <v>0</v>
      </c>
      <c r="AG92" s="736">
        <f t="shared" si="43"/>
        <v>0</v>
      </c>
      <c r="AI92" s="457" cm="1">
        <f t="array" ref="AI92">SUMPRODUCT('W3'!$K$18:$AJ$1670*('W3'!$A$18:$A$1670=AI$5)*('W3'!$D$18:$D$1670=$B$71)*('W3'!$K$14:$AJ$14='Cover Page'!$D92))</f>
        <v>0</v>
      </c>
      <c r="AJ92" s="736">
        <f t="shared" si="44"/>
        <v>0</v>
      </c>
      <c r="AL92" s="712">
        <v>0</v>
      </c>
    </row>
    <row r="93" spans="4:38" outlineLevel="1" x14ac:dyDescent="0.25">
      <c r="D93" s="542">
        <v>22</v>
      </c>
      <c r="E93" s="496" t="str">
        <f t="shared" si="30"/>
        <v>triệu VND</v>
      </c>
      <c r="F93" s="454"/>
      <c r="H93" s="457" cm="1">
        <f t="array" ref="H93">SUMPRODUCT('W3'!$K$18:$AJ$1670*('W3'!$A$18:$A$1670=H$5)*('W3'!$D$18:$D$1670=$B$71)*('W3'!$K$14:$AJ$14='Cover Page'!$D93))</f>
        <v>0</v>
      </c>
      <c r="I93" s="736">
        <f t="shared" si="36"/>
        <v>0</v>
      </c>
      <c r="K93" s="457" cm="1">
        <f t="array" ref="K93">SUMPRODUCT('W3'!$K$18:$AJ$1670*('W3'!$A$18:$A$1670=K$5)*('W3'!$D$18:$D$1670=$B$71)*('W3'!$K$14:$AJ$14='Cover Page'!$D93))</f>
        <v>0</v>
      </c>
      <c r="L93" s="736">
        <f t="shared" si="37"/>
        <v>0</v>
      </c>
      <c r="N93" s="457" cm="1">
        <f t="array" ref="N93">SUMPRODUCT('W3'!$K$18:$AJ$1670*('W3'!$A$18:$A$1670=N$5)*('W3'!$D$18:$D$1670=$B$71)*('W3'!$K$14:$AJ$14='Cover Page'!$D93))</f>
        <v>0</v>
      </c>
      <c r="O93" s="736">
        <f t="shared" si="37"/>
        <v>0</v>
      </c>
      <c r="Q93" s="457" cm="1">
        <f t="array" ref="Q93">SUMPRODUCT('W3'!$K$18:$AJ$1670*('W3'!$A$18:$A$1670=Q$5)*('W3'!$D$18:$D$1670=$B$71)*('W3'!$K$14:$AJ$14='Cover Page'!$D93))</f>
        <v>0</v>
      </c>
      <c r="R93" s="736">
        <f t="shared" ref="R93" si="64">IFERROR(Q93/Q120,0)</f>
        <v>0</v>
      </c>
      <c r="T93" s="457" cm="1">
        <f t="array" ref="T93">SUMPRODUCT('W3'!$K$18:$AJ$1670*('W3'!$A$18:$A$1670=T$5)*('W3'!$D$18:$D$1670=$B$71)*('W3'!$K$14:$AJ$14='Cover Page'!$D93))</f>
        <v>0</v>
      </c>
      <c r="U93" s="736">
        <f t="shared" si="39"/>
        <v>0</v>
      </c>
      <c r="W93" s="457" cm="1">
        <f t="array" ref="W93">SUMPRODUCT('W3'!$K$18:$AJ$1670*('W3'!$A$18:$A$1670=W$5)*('W3'!$D$18:$D$1670=$B$71)*('W3'!$K$14:$AJ$14='Cover Page'!$D93))</f>
        <v>0</v>
      </c>
      <c r="X93" s="736">
        <f t="shared" si="40"/>
        <v>0</v>
      </c>
      <c r="Z93" s="457" cm="1">
        <f t="array" ref="Z93">SUMPRODUCT('W3'!$K$18:$AJ$1670*('W3'!$A$18:$A$1670=Z$5)*('W3'!$D$18:$D$1670=$B$71)*('W3'!$K$14:$AJ$14='Cover Page'!$D93))</f>
        <v>0</v>
      </c>
      <c r="AA93" s="736">
        <f t="shared" si="41"/>
        <v>0</v>
      </c>
      <c r="AC93" s="457" cm="1">
        <f t="array" ref="AC93">SUMPRODUCT('W3'!$K$18:$AJ$1670*('W3'!$A$18:$A$1670=AC$5)*('W3'!$D$18:$D$1670=$B$71)*('W3'!$K$14:$AJ$14='Cover Page'!$D93))</f>
        <v>0</v>
      </c>
      <c r="AD93" s="736">
        <f t="shared" si="42"/>
        <v>0</v>
      </c>
      <c r="AF93" s="457" cm="1">
        <f t="array" ref="AF93">SUMPRODUCT('W3'!$K$18:$AJ$1670*('W3'!$A$18:$A$1670=AF$5)*('W3'!$D$18:$D$1670=$B$71)*('W3'!$K$14:$AJ$14='Cover Page'!$D93))</f>
        <v>0</v>
      </c>
      <c r="AG93" s="736">
        <f t="shared" si="43"/>
        <v>0</v>
      </c>
      <c r="AI93" s="457" cm="1">
        <f t="array" ref="AI93">SUMPRODUCT('W3'!$K$18:$AJ$1670*('W3'!$A$18:$A$1670=AI$5)*('W3'!$D$18:$D$1670=$B$71)*('W3'!$K$14:$AJ$14='Cover Page'!$D93))</f>
        <v>0</v>
      </c>
      <c r="AJ93" s="736">
        <f t="shared" si="44"/>
        <v>0</v>
      </c>
      <c r="AL93" s="712">
        <v>0</v>
      </c>
    </row>
    <row r="94" spans="4:38" outlineLevel="1" x14ac:dyDescent="0.25">
      <c r="D94" s="542">
        <v>23</v>
      </c>
      <c r="E94" s="496" t="str">
        <f t="shared" si="30"/>
        <v>triệu VND</v>
      </c>
      <c r="F94" s="454"/>
      <c r="H94" s="457" cm="1">
        <f t="array" ref="H94">SUMPRODUCT('W3'!$K$18:$AJ$1670*('W3'!$A$18:$A$1670=H$5)*('W3'!$D$18:$D$1670=$B$71)*('W3'!$K$14:$AJ$14='Cover Page'!$D94))</f>
        <v>0</v>
      </c>
      <c r="I94" s="736">
        <f t="shared" si="36"/>
        <v>0</v>
      </c>
      <c r="K94" s="457" cm="1">
        <f t="array" ref="K94">SUMPRODUCT('W3'!$K$18:$AJ$1670*('W3'!$A$18:$A$1670=K$5)*('W3'!$D$18:$D$1670=$B$71)*('W3'!$K$14:$AJ$14='Cover Page'!$D94))</f>
        <v>0</v>
      </c>
      <c r="L94" s="736">
        <f t="shared" si="37"/>
        <v>0</v>
      </c>
      <c r="N94" s="457" cm="1">
        <f t="array" ref="N94">SUMPRODUCT('W3'!$K$18:$AJ$1670*('W3'!$A$18:$A$1670=N$5)*('W3'!$D$18:$D$1670=$B$71)*('W3'!$K$14:$AJ$14='Cover Page'!$D94))</f>
        <v>0</v>
      </c>
      <c r="O94" s="736">
        <f t="shared" si="37"/>
        <v>0</v>
      </c>
      <c r="Q94" s="457" cm="1">
        <f t="array" ref="Q94">SUMPRODUCT('W3'!$K$18:$AJ$1670*('W3'!$A$18:$A$1670=Q$5)*('W3'!$D$18:$D$1670=$B$71)*('W3'!$K$14:$AJ$14='Cover Page'!$D94))</f>
        <v>0</v>
      </c>
      <c r="R94" s="736">
        <f t="shared" ref="R94" si="65">IFERROR(Q94/Q121,0)</f>
        <v>0</v>
      </c>
      <c r="T94" s="457" cm="1">
        <f t="array" ref="T94">SUMPRODUCT('W3'!$K$18:$AJ$1670*('W3'!$A$18:$A$1670=T$5)*('W3'!$D$18:$D$1670=$B$71)*('W3'!$K$14:$AJ$14='Cover Page'!$D94))</f>
        <v>0</v>
      </c>
      <c r="U94" s="736">
        <f t="shared" si="39"/>
        <v>0</v>
      </c>
      <c r="W94" s="457" cm="1">
        <f t="array" ref="W94">SUMPRODUCT('W3'!$K$18:$AJ$1670*('W3'!$A$18:$A$1670=W$5)*('W3'!$D$18:$D$1670=$B$71)*('W3'!$K$14:$AJ$14='Cover Page'!$D94))</f>
        <v>0</v>
      </c>
      <c r="X94" s="736">
        <f t="shared" si="40"/>
        <v>0</v>
      </c>
      <c r="Z94" s="457" cm="1">
        <f t="array" ref="Z94">SUMPRODUCT('W3'!$K$18:$AJ$1670*('W3'!$A$18:$A$1670=Z$5)*('W3'!$D$18:$D$1670=$B$71)*('W3'!$K$14:$AJ$14='Cover Page'!$D94))</f>
        <v>0</v>
      </c>
      <c r="AA94" s="736">
        <f t="shared" si="41"/>
        <v>0</v>
      </c>
      <c r="AC94" s="457" cm="1">
        <f t="array" ref="AC94">SUMPRODUCT('W3'!$K$18:$AJ$1670*('W3'!$A$18:$A$1670=AC$5)*('W3'!$D$18:$D$1670=$B$71)*('W3'!$K$14:$AJ$14='Cover Page'!$D94))</f>
        <v>0</v>
      </c>
      <c r="AD94" s="736">
        <f t="shared" si="42"/>
        <v>0</v>
      </c>
      <c r="AF94" s="457" cm="1">
        <f t="array" ref="AF94">SUMPRODUCT('W3'!$K$18:$AJ$1670*('W3'!$A$18:$A$1670=AF$5)*('W3'!$D$18:$D$1670=$B$71)*('W3'!$K$14:$AJ$14='Cover Page'!$D94))</f>
        <v>0</v>
      </c>
      <c r="AG94" s="736">
        <f t="shared" si="43"/>
        <v>0</v>
      </c>
      <c r="AI94" s="457" cm="1">
        <f t="array" ref="AI94">SUMPRODUCT('W3'!$K$18:$AJ$1670*('W3'!$A$18:$A$1670=AI$5)*('W3'!$D$18:$D$1670=$B$71)*('W3'!$K$14:$AJ$14='Cover Page'!$D94))</f>
        <v>0</v>
      </c>
      <c r="AJ94" s="736">
        <f t="shared" si="44"/>
        <v>0</v>
      </c>
      <c r="AL94" s="712">
        <v>0</v>
      </c>
    </row>
    <row r="95" spans="4:38" outlineLevel="1" x14ac:dyDescent="0.25">
      <c r="D95" s="542">
        <v>24</v>
      </c>
      <c r="E95" s="496" t="str">
        <f t="shared" si="30"/>
        <v>triệu VND</v>
      </c>
      <c r="F95" s="454"/>
      <c r="H95" s="457" cm="1">
        <f t="array" ref="H95">SUMPRODUCT('W3'!$K$18:$AJ$1670*('W3'!$A$18:$A$1670=H$5)*('W3'!$D$18:$D$1670=$B$71)*('W3'!$K$14:$AJ$14='Cover Page'!$D95))</f>
        <v>0</v>
      </c>
      <c r="I95" s="736">
        <f t="shared" si="36"/>
        <v>0</v>
      </c>
      <c r="K95" s="457" cm="1">
        <f t="array" ref="K95">SUMPRODUCT('W3'!$K$18:$AJ$1670*('W3'!$A$18:$A$1670=K$5)*('W3'!$D$18:$D$1670=$B$71)*('W3'!$K$14:$AJ$14='Cover Page'!$D95))</f>
        <v>0</v>
      </c>
      <c r="L95" s="736">
        <f t="shared" si="37"/>
        <v>0</v>
      </c>
      <c r="N95" s="457" cm="1">
        <f t="array" ref="N95">SUMPRODUCT('W3'!$K$18:$AJ$1670*('W3'!$A$18:$A$1670=N$5)*('W3'!$D$18:$D$1670=$B$71)*('W3'!$K$14:$AJ$14='Cover Page'!$D95))</f>
        <v>0</v>
      </c>
      <c r="O95" s="736">
        <f t="shared" si="37"/>
        <v>0</v>
      </c>
      <c r="Q95" s="457" cm="1">
        <f t="array" ref="Q95">SUMPRODUCT('W3'!$K$18:$AJ$1670*('W3'!$A$18:$A$1670=Q$5)*('W3'!$D$18:$D$1670=$B$71)*('W3'!$K$14:$AJ$14='Cover Page'!$D95))</f>
        <v>0</v>
      </c>
      <c r="R95" s="736">
        <f t="shared" ref="R95" si="66">IFERROR(Q95/Q122,0)</f>
        <v>0</v>
      </c>
      <c r="T95" s="457" cm="1">
        <f t="array" ref="T95">SUMPRODUCT('W3'!$K$18:$AJ$1670*('W3'!$A$18:$A$1670=T$5)*('W3'!$D$18:$D$1670=$B$71)*('W3'!$K$14:$AJ$14='Cover Page'!$D95))</f>
        <v>0</v>
      </c>
      <c r="U95" s="736">
        <f t="shared" si="39"/>
        <v>0</v>
      </c>
      <c r="W95" s="457" cm="1">
        <f t="array" ref="W95">SUMPRODUCT('W3'!$K$18:$AJ$1670*('W3'!$A$18:$A$1670=W$5)*('W3'!$D$18:$D$1670=$B$71)*('W3'!$K$14:$AJ$14='Cover Page'!$D95))</f>
        <v>0</v>
      </c>
      <c r="X95" s="736">
        <f t="shared" si="40"/>
        <v>0</v>
      </c>
      <c r="Z95" s="457" cm="1">
        <f t="array" ref="Z95">SUMPRODUCT('W3'!$K$18:$AJ$1670*('W3'!$A$18:$A$1670=Z$5)*('W3'!$D$18:$D$1670=$B$71)*('W3'!$K$14:$AJ$14='Cover Page'!$D95))</f>
        <v>0</v>
      </c>
      <c r="AA95" s="736">
        <f t="shared" si="41"/>
        <v>0</v>
      </c>
      <c r="AC95" s="457" cm="1">
        <f t="array" ref="AC95">SUMPRODUCT('W3'!$K$18:$AJ$1670*('W3'!$A$18:$A$1670=AC$5)*('W3'!$D$18:$D$1670=$B$71)*('W3'!$K$14:$AJ$14='Cover Page'!$D95))</f>
        <v>0</v>
      </c>
      <c r="AD95" s="736">
        <f t="shared" si="42"/>
        <v>0</v>
      </c>
      <c r="AF95" s="457" cm="1">
        <f t="array" ref="AF95">SUMPRODUCT('W3'!$K$18:$AJ$1670*('W3'!$A$18:$A$1670=AF$5)*('W3'!$D$18:$D$1670=$B$71)*('W3'!$K$14:$AJ$14='Cover Page'!$D95))</f>
        <v>0</v>
      </c>
      <c r="AG95" s="736">
        <f t="shared" si="43"/>
        <v>0</v>
      </c>
      <c r="AI95" s="457" cm="1">
        <f t="array" ref="AI95">SUMPRODUCT('W3'!$K$18:$AJ$1670*('W3'!$A$18:$A$1670=AI$5)*('W3'!$D$18:$D$1670=$B$71)*('W3'!$K$14:$AJ$14='Cover Page'!$D95))</f>
        <v>0</v>
      </c>
      <c r="AJ95" s="736">
        <f t="shared" si="44"/>
        <v>0</v>
      </c>
      <c r="AL95" s="712">
        <v>0</v>
      </c>
    </row>
    <row r="96" spans="4:38" outlineLevel="1" x14ac:dyDescent="0.25">
      <c r="D96" s="542">
        <v>25</v>
      </c>
      <c r="E96" s="496" t="str">
        <f t="shared" si="30"/>
        <v>triệu VND</v>
      </c>
      <c r="F96" s="454"/>
      <c r="H96" s="457" cm="1">
        <f t="array" ref="H96">SUMPRODUCT('W3'!$K$18:$AJ$1670*('W3'!$A$18:$A$1670=H$5)*('W3'!$D$18:$D$1670=$B$71)*('W3'!$K$14:$AJ$14='Cover Page'!$D96))</f>
        <v>0</v>
      </c>
      <c r="I96" s="736">
        <f t="shared" si="36"/>
        <v>0</v>
      </c>
      <c r="K96" s="457" cm="1">
        <f t="array" ref="K96">SUMPRODUCT('W3'!$K$18:$AJ$1670*('W3'!$A$18:$A$1670=K$5)*('W3'!$D$18:$D$1670=$B$71)*('W3'!$K$14:$AJ$14='Cover Page'!$D96))</f>
        <v>0</v>
      </c>
      <c r="L96" s="736">
        <f t="shared" si="37"/>
        <v>0</v>
      </c>
      <c r="N96" s="457" cm="1">
        <f t="array" ref="N96">SUMPRODUCT('W3'!$K$18:$AJ$1670*('W3'!$A$18:$A$1670=N$5)*('W3'!$D$18:$D$1670=$B$71)*('W3'!$K$14:$AJ$14='Cover Page'!$D96))</f>
        <v>0</v>
      </c>
      <c r="O96" s="736">
        <f t="shared" si="37"/>
        <v>0</v>
      </c>
      <c r="Q96" s="457" cm="1">
        <f t="array" ref="Q96">SUMPRODUCT('W3'!$K$18:$AJ$1670*('W3'!$A$18:$A$1670=Q$5)*('W3'!$D$18:$D$1670=$B$71)*('W3'!$K$14:$AJ$14='Cover Page'!$D96))</f>
        <v>0</v>
      </c>
      <c r="R96" s="736">
        <f t="shared" ref="R96" si="67">IFERROR(Q96/Q123,0)</f>
        <v>0</v>
      </c>
      <c r="T96" s="457" cm="1">
        <f t="array" ref="T96">SUMPRODUCT('W3'!$K$18:$AJ$1670*('W3'!$A$18:$A$1670=T$5)*('W3'!$D$18:$D$1670=$B$71)*('W3'!$K$14:$AJ$14='Cover Page'!$D96))</f>
        <v>0</v>
      </c>
      <c r="U96" s="736">
        <f t="shared" si="39"/>
        <v>0</v>
      </c>
      <c r="W96" s="457" cm="1">
        <f t="array" ref="W96">SUMPRODUCT('W3'!$K$18:$AJ$1670*('W3'!$A$18:$A$1670=W$5)*('W3'!$D$18:$D$1670=$B$71)*('W3'!$K$14:$AJ$14='Cover Page'!$D96))</f>
        <v>0</v>
      </c>
      <c r="X96" s="736">
        <f t="shared" si="40"/>
        <v>0</v>
      </c>
      <c r="Z96" s="457" cm="1">
        <f t="array" ref="Z96">SUMPRODUCT('W3'!$K$18:$AJ$1670*('W3'!$A$18:$A$1670=Z$5)*('W3'!$D$18:$D$1670=$B$71)*('W3'!$K$14:$AJ$14='Cover Page'!$D96))</f>
        <v>0</v>
      </c>
      <c r="AA96" s="736">
        <f t="shared" si="41"/>
        <v>0</v>
      </c>
      <c r="AC96" s="457" cm="1">
        <f t="array" ref="AC96">SUMPRODUCT('W3'!$K$18:$AJ$1670*('W3'!$A$18:$A$1670=AC$5)*('W3'!$D$18:$D$1670=$B$71)*('W3'!$K$14:$AJ$14='Cover Page'!$D96))</f>
        <v>0</v>
      </c>
      <c r="AD96" s="736">
        <f t="shared" si="42"/>
        <v>0</v>
      </c>
      <c r="AF96" s="457" cm="1">
        <f t="array" ref="AF96">SUMPRODUCT('W3'!$K$18:$AJ$1670*('W3'!$A$18:$A$1670=AF$5)*('W3'!$D$18:$D$1670=$B$71)*('W3'!$K$14:$AJ$14='Cover Page'!$D96))</f>
        <v>0</v>
      </c>
      <c r="AG96" s="736">
        <f t="shared" si="43"/>
        <v>0</v>
      </c>
      <c r="AI96" s="457" cm="1">
        <f t="array" ref="AI96">SUMPRODUCT('W3'!$K$18:$AJ$1670*('W3'!$A$18:$A$1670=AI$5)*('W3'!$D$18:$D$1670=$B$71)*('W3'!$K$14:$AJ$14='Cover Page'!$D96))</f>
        <v>0</v>
      </c>
      <c r="AJ96" s="736">
        <f t="shared" si="44"/>
        <v>0</v>
      </c>
      <c r="AL96" s="712">
        <v>0</v>
      </c>
    </row>
    <row r="98" spans="2:42" ht="15.75" thickBot="1" x14ac:dyDescent="0.3">
      <c r="B98" t="s">
        <v>722</v>
      </c>
      <c r="C98" s="20">
        <v>16</v>
      </c>
      <c r="D98" s="339" t="s">
        <v>721</v>
      </c>
      <c r="E98" s="342" t="str">
        <f t="shared" si="30"/>
        <v>triệu VND</v>
      </c>
      <c r="F98" s="340"/>
      <c r="H98" s="341">
        <f>SUM(H99:H123)</f>
        <v>4629709.5194164515</v>
      </c>
      <c r="I98" s="344"/>
      <c r="K98" s="341">
        <f>SUM(K99:K123)</f>
        <v>4629709.5194164515</v>
      </c>
      <c r="L98" s="730"/>
      <c r="N98" s="341">
        <f t="shared" ref="N98:W98" si="68">SUM(N99:N123)</f>
        <v>4425457.6288539618</v>
      </c>
      <c r="O98" s="730"/>
      <c r="Q98" s="341">
        <f t="shared" si="68"/>
        <v>4425457.6288539618</v>
      </c>
      <c r="R98" s="730"/>
      <c r="T98" s="341">
        <f t="shared" si="68"/>
        <v>4153121.7747706408</v>
      </c>
      <c r="U98" s="341"/>
      <c r="W98" s="341">
        <f t="shared" si="68"/>
        <v>4153121.7747706408</v>
      </c>
      <c r="X98" s="341"/>
      <c r="Z98" s="341">
        <f t="shared" ref="Z98" si="69">SUM(Z99:Z123)</f>
        <v>3989551.5247757952</v>
      </c>
      <c r="AA98" s="341"/>
      <c r="AC98" s="341">
        <f t="shared" ref="AC98" si="70">SUM(AC99:AC123)</f>
        <v>4216057.4707625099</v>
      </c>
      <c r="AD98" s="341"/>
      <c r="AF98" s="341">
        <f t="shared" ref="AF98" si="71">SUM(AF99:AF123)</f>
        <v>4629709.5194164515</v>
      </c>
      <c r="AG98" s="341"/>
      <c r="AI98" s="341">
        <f t="shared" ref="AI98" si="72">SUM(AI99:AI123)</f>
        <v>4629709.5194164515</v>
      </c>
      <c r="AJ98" s="341"/>
      <c r="AO98" s="15"/>
      <c r="AP98" s="64"/>
    </row>
    <row r="99" spans="2:42" hidden="1" outlineLevel="1" x14ac:dyDescent="0.25">
      <c r="D99" s="538">
        <v>1</v>
      </c>
      <c r="E99" s="539" t="str">
        <f t="shared" si="30"/>
        <v>triệu VND</v>
      </c>
      <c r="F99" s="540"/>
      <c r="H99" s="541" cm="1">
        <f t="array" ref="H99">SUMPRODUCT('W3'!$K$18:$AJ$1670*('W3'!$A$18:$A$1670=H$5)*('W3'!$D$18:$D$1670=$B$98)*('W3'!$K$14:$AJ$14='Cover Page'!$D99))</f>
        <v>140401.29945600001</v>
      </c>
      <c r="I99" s="741"/>
      <c r="K99" s="541" cm="1">
        <f t="array" ref="K99">SUMPRODUCT('W3'!$K$18:$AJ$1670*('W3'!$A$18:$A$1670=K$5)*('W3'!$D$18:$D$1670=$B$98)*('W3'!$K$14:$AJ$14='Cover Page'!$D99))</f>
        <v>140401.29945600001</v>
      </c>
      <c r="L99" s="731"/>
      <c r="N99" s="541" cm="1">
        <f t="array" ref="N99">SUMPRODUCT('W3'!$K$18:$AJ$1670*('W3'!$A$18:$A$1670=N$5)*('W3'!$D$18:$D$1670=$B$98)*('W3'!$K$14:$AJ$14='Cover Page'!$D99))</f>
        <v>134207.12448</v>
      </c>
      <c r="O99" s="731"/>
      <c r="Q99" s="541" cm="1">
        <f t="array" ref="Q99">SUMPRODUCT('W3'!$K$18:$AJ$1670*('W3'!$A$18:$A$1670=Q$5)*('W3'!$D$18:$D$1670=$B$98)*('W3'!$K$14:$AJ$14='Cover Page'!$D99))</f>
        <v>134207.12448</v>
      </c>
      <c r="R99" s="731"/>
      <c r="T99" s="541" cm="1">
        <f t="array" ref="T99">SUMPRODUCT('W3'!$K$18:$AJ$1670*('W3'!$A$18:$A$1670=T$5)*('W3'!$D$18:$D$1670=$B$98)*('W3'!$K$14:$AJ$14='Cover Page'!$D99))</f>
        <v>125948.22451200002</v>
      </c>
      <c r="U99" s="541"/>
      <c r="W99" s="541" cm="1">
        <f t="array" ref="W99">SUMPRODUCT('W3'!$K$18:$AJ$1670*('W3'!$A$18:$A$1670=W$5)*('W3'!$D$18:$D$1670=$B$98)*('W3'!$K$14:$AJ$14='Cover Page'!$D99))</f>
        <v>125948.22451200002</v>
      </c>
      <c r="X99" s="541"/>
      <c r="Z99" s="541" cm="1">
        <f t="array" ref="Z99">SUMPRODUCT('W3'!$K$18:$AJ$1670*('W3'!$A$18:$A$1670=Z$5)*('W3'!$D$18:$D$1670=$B$98)*('W3'!$K$14:$AJ$14='Cover Page'!$D99))</f>
        <v>120987.76736986084</v>
      </c>
      <c r="AA99" s="541"/>
      <c r="AC99" s="541" cm="1">
        <f t="array" ref="AC99">SUMPRODUCT('W3'!$K$18:$AJ$1670*('W3'!$A$18:$A$1670=AC$5)*('W3'!$D$18:$D$1670=$B$98)*('W3'!$K$14:$AJ$14='Cover Page'!$D99))</f>
        <v>127856.8223327419</v>
      </c>
      <c r="AD99" s="541"/>
      <c r="AF99" s="541" cm="1">
        <f t="array" ref="AF99">SUMPRODUCT('W3'!$K$18:$AJ$1670*('W3'!$A$18:$A$1670=AF$5)*('W3'!$D$18:$D$1670=$B$98)*('W3'!$K$14:$AJ$14='Cover Page'!$D99))</f>
        <v>140401.29945600001</v>
      </c>
      <c r="AG99" s="541"/>
      <c r="AI99" s="541" cm="1">
        <f t="array" ref="AI99">SUMPRODUCT('W3'!$K$18:$AJ$1670*('W3'!$A$18:$A$1670=AI$5)*('W3'!$D$18:$D$1670=$B$98)*('W3'!$K$14:$AJ$14='Cover Page'!$D99))</f>
        <v>140401.29945600001</v>
      </c>
      <c r="AJ99" s="541"/>
      <c r="AL99" s="711"/>
    </row>
    <row r="100" spans="2:42" hidden="1" outlineLevel="1" x14ac:dyDescent="0.25">
      <c r="D100" s="542">
        <v>2</v>
      </c>
      <c r="E100" s="496" t="str">
        <f t="shared" si="30"/>
        <v>triệu VND</v>
      </c>
      <c r="F100" s="454"/>
      <c r="H100" s="457" cm="1">
        <f t="array" ref="H100">SUMPRODUCT('W3'!$K$18:$AJ$1670*('W3'!$A$18:$A$1670=H$5)*('W3'!$D$18:$D$1670=$B$98)*('W3'!$K$14:$AJ$14='Cover Page'!$D100))</f>
        <v>200493.05562316801</v>
      </c>
      <c r="I100" s="741"/>
      <c r="K100" s="457" cm="1">
        <f t="array" ref="K100">SUMPRODUCT('W3'!$K$18:$AJ$1670*('W3'!$A$18:$A$1670=K$5)*('W3'!$D$18:$D$1670=$B$98)*('W3'!$K$14:$AJ$14='Cover Page'!$D100))</f>
        <v>200493.05562316801</v>
      </c>
      <c r="L100" s="732"/>
      <c r="N100" s="457" cm="1">
        <f t="array" ref="N100">SUMPRODUCT('W3'!$K$18:$AJ$1670*('W3'!$A$18:$A$1670=N$5)*('W3'!$D$18:$D$1670=$B$98)*('W3'!$K$14:$AJ$14='Cover Page'!$D100))</f>
        <v>191647.77375744001</v>
      </c>
      <c r="O100" s="732"/>
      <c r="Q100" s="457" cm="1">
        <f t="array" ref="Q100">SUMPRODUCT('W3'!$K$18:$AJ$1670*('W3'!$A$18:$A$1670=Q$5)*('W3'!$D$18:$D$1670=$B$98)*('W3'!$K$14:$AJ$14='Cover Page'!$D100))</f>
        <v>191647.77375744001</v>
      </c>
      <c r="R100" s="732"/>
      <c r="T100" s="457" cm="1">
        <f t="array" ref="T100">SUMPRODUCT('W3'!$K$18:$AJ$1670*('W3'!$A$18:$A$1670=T$5)*('W3'!$D$18:$D$1670=$B$98)*('W3'!$K$14:$AJ$14='Cover Page'!$D100))</f>
        <v>179854.06460313601</v>
      </c>
      <c r="U100" s="457"/>
      <c r="W100" s="457" cm="1">
        <f t="array" ref="W100">SUMPRODUCT('W3'!$K$18:$AJ$1670*('W3'!$A$18:$A$1670=W$5)*('W3'!$D$18:$D$1670=$B$98)*('W3'!$K$14:$AJ$14='Cover Page'!$D100))</f>
        <v>179854.06460313601</v>
      </c>
      <c r="X100" s="457"/>
      <c r="Z100" s="457" cm="1">
        <f t="array" ref="Z100">SUMPRODUCT('W3'!$K$18:$AJ$1670*('W3'!$A$18:$A$1670=Z$5)*('W3'!$D$18:$D$1670=$B$98)*('W3'!$K$14:$AJ$14='Cover Page'!$D100))</f>
        <v>172770.53180416126</v>
      </c>
      <c r="AA100" s="457"/>
      <c r="AC100" s="457" cm="1">
        <f t="array" ref="AC100">SUMPRODUCT('W3'!$K$18:$AJ$1670*('W3'!$A$18:$A$1670=AC$5)*('W3'!$D$18:$D$1670=$B$98)*('W3'!$K$14:$AJ$14='Cover Page'!$D100))</f>
        <v>182579.54229115541</v>
      </c>
      <c r="AD100" s="457"/>
      <c r="AF100" s="457" cm="1">
        <f t="array" ref="AF100">SUMPRODUCT('W3'!$K$18:$AJ$1670*('W3'!$A$18:$A$1670=AF$5)*('W3'!$D$18:$D$1670=$B$98)*('W3'!$K$14:$AJ$14='Cover Page'!$D100))</f>
        <v>200493.05562316801</v>
      </c>
      <c r="AG100" s="457"/>
      <c r="AI100" s="457" cm="1">
        <f t="array" ref="AI100">SUMPRODUCT('W3'!$K$18:$AJ$1670*('W3'!$A$18:$A$1670=AI$5)*('W3'!$D$18:$D$1670=$B$98)*('W3'!$K$14:$AJ$14='Cover Page'!$D100))</f>
        <v>200493.05562316801</v>
      </c>
      <c r="AJ100" s="457"/>
      <c r="AL100" s="712"/>
    </row>
    <row r="101" spans="2:42" hidden="1" outlineLevel="1" x14ac:dyDescent="0.25">
      <c r="D101" s="542">
        <v>3</v>
      </c>
      <c r="E101" s="496" t="str">
        <f t="shared" si="30"/>
        <v>triệu VND</v>
      </c>
      <c r="F101" s="454"/>
      <c r="H101" s="457" cm="1">
        <f t="array" ref="H101">SUMPRODUCT('W3'!$K$18:$AJ$1670*('W3'!$A$18:$A$1670=H$5)*('W3'!$D$18:$D$1670=$B$98)*('W3'!$K$14:$AJ$14='Cover Page'!$D101))</f>
        <v>292147.02390804479</v>
      </c>
      <c r="I101" s="741"/>
      <c r="K101" s="457" cm="1">
        <f t="array" ref="K101">SUMPRODUCT('W3'!$K$18:$AJ$1670*('W3'!$A$18:$A$1670=K$5)*('W3'!$D$18:$D$1670=$B$98)*('W3'!$K$14:$AJ$14='Cover Page'!$D101))</f>
        <v>292147.02390804479</v>
      </c>
      <c r="L101" s="732"/>
      <c r="N101" s="457" cm="1">
        <f t="array" ref="N101">SUMPRODUCT('W3'!$K$18:$AJ$1670*('W3'!$A$18:$A$1670=N$5)*('W3'!$D$18:$D$1670=$B$98)*('W3'!$K$14:$AJ$14='Cover Page'!$D101))</f>
        <v>279258.18461798399</v>
      </c>
      <c r="O101" s="732"/>
      <c r="Q101" s="457" cm="1">
        <f t="array" ref="Q101">SUMPRODUCT('W3'!$K$18:$AJ$1670*('W3'!$A$18:$A$1670=Q$5)*('W3'!$D$18:$D$1670=$B$98)*('W3'!$K$14:$AJ$14='Cover Page'!$D101))</f>
        <v>279258.18461798399</v>
      </c>
      <c r="R101" s="732"/>
      <c r="T101" s="457" cm="1">
        <f t="array" ref="T101">SUMPRODUCT('W3'!$K$18:$AJ$1670*('W3'!$A$18:$A$1670=T$5)*('W3'!$D$18:$D$1670=$B$98)*('W3'!$K$14:$AJ$14='Cover Page'!$D101))</f>
        <v>262073.06556456964</v>
      </c>
      <c r="U101" s="457"/>
      <c r="W101" s="457" cm="1">
        <f t="array" ref="W101">SUMPRODUCT('W3'!$K$18:$AJ$1670*('W3'!$A$18:$A$1670=W$5)*('W3'!$D$18:$D$1670=$B$98)*('W3'!$K$14:$AJ$14='Cover Page'!$D101))</f>
        <v>262073.06556456964</v>
      </c>
      <c r="X101" s="457"/>
      <c r="Z101" s="457" cm="1">
        <f t="array" ref="Z101">SUMPRODUCT('W3'!$K$18:$AJ$1670*('W3'!$A$18:$A$1670=Z$5)*('W3'!$D$18:$D$1670=$B$98)*('W3'!$K$14:$AJ$14='Cover Page'!$D101))</f>
        <v>251751.34634320645</v>
      </c>
      <c r="AA101" s="457"/>
      <c r="AC101" s="457" cm="1">
        <f t="array" ref="AC101">SUMPRODUCT('W3'!$K$18:$AJ$1670*('W3'!$A$18:$A$1670=AC$5)*('W3'!$D$18:$D$1670=$B$98)*('W3'!$K$14:$AJ$14='Cover Page'!$D101))</f>
        <v>266044.47590996936</v>
      </c>
      <c r="AD101" s="457"/>
      <c r="AF101" s="457" cm="1">
        <f t="array" ref="AF101">SUMPRODUCT('W3'!$K$18:$AJ$1670*('W3'!$A$18:$A$1670=AF$5)*('W3'!$D$18:$D$1670=$B$98)*('W3'!$K$14:$AJ$14='Cover Page'!$D101))</f>
        <v>292147.02390804479</v>
      </c>
      <c r="AG101" s="457"/>
      <c r="AI101" s="457" cm="1">
        <f t="array" ref="AI101">SUMPRODUCT('W3'!$K$18:$AJ$1670*('W3'!$A$18:$A$1670=AI$5)*('W3'!$D$18:$D$1670=$B$98)*('W3'!$K$14:$AJ$14='Cover Page'!$D101))</f>
        <v>292147.02390804479</v>
      </c>
      <c r="AJ101" s="457"/>
      <c r="AL101" s="712"/>
    </row>
    <row r="102" spans="2:42" hidden="1" outlineLevel="1" x14ac:dyDescent="0.25">
      <c r="D102" s="542">
        <v>4</v>
      </c>
      <c r="E102" s="496" t="str">
        <f t="shared" si="30"/>
        <v>triệu VND</v>
      </c>
      <c r="F102" s="454"/>
      <c r="H102" s="457" cm="1">
        <f t="array" ref="H102">SUMPRODUCT('W3'!$K$18:$AJ$1670*('W3'!$A$18:$A$1670=H$5)*('W3'!$D$18:$D$1670=$B$98)*('W3'!$K$14:$AJ$14='Cover Page'!$D102))</f>
        <v>297989.96438620571</v>
      </c>
      <c r="I102" s="741"/>
      <c r="K102" s="457" cm="1">
        <f t="array" ref="K102">SUMPRODUCT('W3'!$K$18:$AJ$1670*('W3'!$A$18:$A$1670=K$5)*('W3'!$D$18:$D$1670=$B$98)*('W3'!$K$14:$AJ$14='Cover Page'!$D102))</f>
        <v>297989.96438620571</v>
      </c>
      <c r="L102" s="732"/>
      <c r="N102" s="457" cm="1">
        <f t="array" ref="N102">SUMPRODUCT('W3'!$K$18:$AJ$1670*('W3'!$A$18:$A$1670=N$5)*('W3'!$D$18:$D$1670=$B$98)*('W3'!$K$14:$AJ$14='Cover Page'!$D102))</f>
        <v>284843.34831034369</v>
      </c>
      <c r="O102" s="732"/>
      <c r="Q102" s="457" cm="1">
        <f t="array" ref="Q102">SUMPRODUCT('W3'!$K$18:$AJ$1670*('W3'!$A$18:$A$1670=Q$5)*('W3'!$D$18:$D$1670=$B$98)*('W3'!$K$14:$AJ$14='Cover Page'!$D102))</f>
        <v>284843.34831034369</v>
      </c>
      <c r="R102" s="732"/>
      <c r="T102" s="457" cm="1">
        <f t="array" ref="T102">SUMPRODUCT('W3'!$K$18:$AJ$1670*('W3'!$A$18:$A$1670=T$5)*('W3'!$D$18:$D$1670=$B$98)*('W3'!$K$14:$AJ$14='Cover Page'!$D102))</f>
        <v>267314.52687586093</v>
      </c>
      <c r="U102" s="457"/>
      <c r="W102" s="457" cm="1">
        <f t="array" ref="W102">SUMPRODUCT('W3'!$K$18:$AJ$1670*('W3'!$A$18:$A$1670=W$5)*('W3'!$D$18:$D$1670=$B$98)*('W3'!$K$14:$AJ$14='Cover Page'!$D102))</f>
        <v>267314.52687586093</v>
      </c>
      <c r="X102" s="457"/>
      <c r="Z102" s="457" cm="1">
        <f t="array" ref="Z102">SUMPRODUCT('W3'!$K$18:$AJ$1670*('W3'!$A$18:$A$1670=Z$5)*('W3'!$D$18:$D$1670=$B$98)*('W3'!$K$14:$AJ$14='Cover Page'!$D102))</f>
        <v>256786.37327007053</v>
      </c>
      <c r="AA102" s="457"/>
      <c r="AC102" s="457" cm="1">
        <f t="array" ref="AC102">SUMPRODUCT('W3'!$K$18:$AJ$1670*('W3'!$A$18:$A$1670=AC$5)*('W3'!$D$18:$D$1670=$B$98)*('W3'!$K$14:$AJ$14='Cover Page'!$D102))</f>
        <v>271365.36542816879</v>
      </c>
      <c r="AD102" s="457"/>
      <c r="AF102" s="457" cm="1">
        <f t="array" ref="AF102">SUMPRODUCT('W3'!$K$18:$AJ$1670*('W3'!$A$18:$A$1670=AF$5)*('W3'!$D$18:$D$1670=$B$98)*('W3'!$K$14:$AJ$14='Cover Page'!$D102))</f>
        <v>297989.96438620571</v>
      </c>
      <c r="AG102" s="457"/>
      <c r="AI102" s="457" cm="1">
        <f t="array" ref="AI102">SUMPRODUCT('W3'!$K$18:$AJ$1670*('W3'!$A$18:$A$1670=AI$5)*('W3'!$D$18:$D$1670=$B$98)*('W3'!$K$14:$AJ$14='Cover Page'!$D102))</f>
        <v>297989.96438620571</v>
      </c>
      <c r="AJ102" s="457"/>
      <c r="AL102" s="712"/>
    </row>
    <row r="103" spans="2:42" hidden="1" outlineLevel="1" x14ac:dyDescent="0.25">
      <c r="D103" s="542">
        <v>5</v>
      </c>
      <c r="E103" s="496" t="str">
        <f t="shared" si="30"/>
        <v>triệu VND</v>
      </c>
      <c r="F103" s="454"/>
      <c r="H103" s="457" cm="1">
        <f t="array" ref="H103">SUMPRODUCT('W3'!$K$18:$AJ$1670*('W3'!$A$18:$A$1670=H$5)*('W3'!$D$18:$D$1670=$B$98)*('W3'!$K$14:$AJ$14='Cover Page'!$D103))</f>
        <v>303949.76367392979</v>
      </c>
      <c r="I103" s="741"/>
      <c r="K103" s="457" cm="1">
        <f t="array" ref="K103">SUMPRODUCT('W3'!$K$18:$AJ$1670*('W3'!$A$18:$A$1670=K$5)*('W3'!$D$18:$D$1670=$B$98)*('W3'!$K$14:$AJ$14='Cover Page'!$D103))</f>
        <v>303949.76367392979</v>
      </c>
      <c r="L103" s="732"/>
      <c r="N103" s="457" cm="1">
        <f t="array" ref="N103">SUMPRODUCT('W3'!$K$18:$AJ$1670*('W3'!$A$18:$A$1670=N$5)*('W3'!$D$18:$D$1670=$B$98)*('W3'!$K$14:$AJ$14='Cover Page'!$D103))</f>
        <v>290540.21527655062</v>
      </c>
      <c r="O103" s="732"/>
      <c r="Q103" s="457" cm="1">
        <f t="array" ref="Q103">SUMPRODUCT('W3'!$K$18:$AJ$1670*('W3'!$A$18:$A$1670=Q$5)*('W3'!$D$18:$D$1670=$B$98)*('W3'!$K$14:$AJ$14='Cover Page'!$D103))</f>
        <v>290540.21527655062</v>
      </c>
      <c r="R103" s="732"/>
      <c r="T103" s="457" cm="1">
        <f t="array" ref="T103">SUMPRODUCT('W3'!$K$18:$AJ$1670*('W3'!$A$18:$A$1670=T$5)*('W3'!$D$18:$D$1670=$B$98)*('W3'!$K$14:$AJ$14='Cover Page'!$D103))</f>
        <v>272660.81741337822</v>
      </c>
      <c r="U103" s="457"/>
      <c r="W103" s="457" cm="1">
        <f t="array" ref="W103">SUMPRODUCT('W3'!$K$18:$AJ$1670*('W3'!$A$18:$A$1670=W$5)*('W3'!$D$18:$D$1670=$B$98)*('W3'!$K$14:$AJ$14='Cover Page'!$D103))</f>
        <v>272660.81741337822</v>
      </c>
      <c r="X103" s="457"/>
      <c r="Z103" s="457" cm="1">
        <f t="array" ref="Z103">SUMPRODUCT('W3'!$K$18:$AJ$1670*('W3'!$A$18:$A$1670=Z$5)*('W3'!$D$18:$D$1670=$B$98)*('W3'!$K$14:$AJ$14='Cover Page'!$D103))</f>
        <v>261922.10073547193</v>
      </c>
      <c r="AA103" s="457"/>
      <c r="AC103" s="457" cm="1">
        <f t="array" ref="AC103">SUMPRODUCT('W3'!$K$18:$AJ$1670*('W3'!$A$18:$A$1670=AC$5)*('W3'!$D$18:$D$1670=$B$98)*('W3'!$K$14:$AJ$14='Cover Page'!$D103))</f>
        <v>276792.67273673206</v>
      </c>
      <c r="AD103" s="457"/>
      <c r="AF103" s="457" cm="1">
        <f t="array" ref="AF103">SUMPRODUCT('W3'!$K$18:$AJ$1670*('W3'!$A$18:$A$1670=AF$5)*('W3'!$D$18:$D$1670=$B$98)*('W3'!$K$14:$AJ$14='Cover Page'!$D103))</f>
        <v>303949.76367392979</v>
      </c>
      <c r="AG103" s="457"/>
      <c r="AI103" s="457" cm="1">
        <f t="array" ref="AI103">SUMPRODUCT('W3'!$K$18:$AJ$1670*('W3'!$A$18:$A$1670=AI$5)*('W3'!$D$18:$D$1670=$B$98)*('W3'!$K$14:$AJ$14='Cover Page'!$D103))</f>
        <v>303949.76367392979</v>
      </c>
      <c r="AJ103" s="457"/>
      <c r="AL103" s="712"/>
    </row>
    <row r="104" spans="2:42" hidden="1" outlineLevel="1" x14ac:dyDescent="0.25">
      <c r="D104" s="542">
        <v>6</v>
      </c>
      <c r="E104" s="496" t="str">
        <f t="shared" si="30"/>
        <v>triệu VND</v>
      </c>
      <c r="F104" s="454"/>
      <c r="H104" s="457" cm="1">
        <f t="array" ref="H104">SUMPRODUCT('W3'!$K$18:$AJ$1670*('W3'!$A$18:$A$1670=H$5)*('W3'!$D$18:$D$1670=$B$98)*('W3'!$K$14:$AJ$14='Cover Page'!$D104))</f>
        <v>310028.75894740841</v>
      </c>
      <c r="I104" s="741"/>
      <c r="K104" s="457" cm="1">
        <f t="array" ref="K104">SUMPRODUCT('W3'!$K$18:$AJ$1670*('W3'!$A$18:$A$1670=K$5)*('W3'!$D$18:$D$1670=$B$98)*('W3'!$K$14:$AJ$14='Cover Page'!$D104))</f>
        <v>310028.75894740841</v>
      </c>
      <c r="L104" s="732"/>
      <c r="N104" s="457" cm="1">
        <f t="array" ref="N104">SUMPRODUCT('W3'!$K$18:$AJ$1670*('W3'!$A$18:$A$1670=N$5)*('W3'!$D$18:$D$1670=$B$98)*('W3'!$K$14:$AJ$14='Cover Page'!$D104))</f>
        <v>296351.01958208153</v>
      </c>
      <c r="O104" s="732"/>
      <c r="Q104" s="457" cm="1">
        <f t="array" ref="Q104">SUMPRODUCT('W3'!$K$18:$AJ$1670*('W3'!$A$18:$A$1670=Q$5)*('W3'!$D$18:$D$1670=$B$98)*('W3'!$K$14:$AJ$14='Cover Page'!$D104))</f>
        <v>296351.01958208153</v>
      </c>
      <c r="R104" s="732"/>
      <c r="T104" s="457" cm="1">
        <f t="array" ref="T104">SUMPRODUCT('W3'!$K$18:$AJ$1670*('W3'!$A$18:$A$1670=T$5)*('W3'!$D$18:$D$1670=$B$98)*('W3'!$K$14:$AJ$14='Cover Page'!$D104))</f>
        <v>278114.03376164578</v>
      </c>
      <c r="U104" s="457"/>
      <c r="W104" s="457" cm="1">
        <f t="array" ref="W104">SUMPRODUCT('W3'!$K$18:$AJ$1670*('W3'!$A$18:$A$1670=W$5)*('W3'!$D$18:$D$1670=$B$98)*('W3'!$K$14:$AJ$14='Cover Page'!$D104))</f>
        <v>278114.03376164578</v>
      </c>
      <c r="X104" s="457"/>
      <c r="Z104" s="457" cm="1">
        <f t="array" ref="Z104">SUMPRODUCT('W3'!$K$18:$AJ$1670*('W3'!$A$18:$A$1670=Z$5)*('W3'!$D$18:$D$1670=$B$98)*('W3'!$K$14:$AJ$14='Cover Page'!$D104))</f>
        <v>267160.5427501814</v>
      </c>
      <c r="AA104" s="457"/>
      <c r="AC104" s="457" cm="1">
        <f t="array" ref="AC104">SUMPRODUCT('W3'!$K$18:$AJ$1670*('W3'!$A$18:$A$1670=AC$5)*('W3'!$D$18:$D$1670=$B$98)*('W3'!$K$14:$AJ$14='Cover Page'!$D104))</f>
        <v>282328.52619146684</v>
      </c>
      <c r="AD104" s="457"/>
      <c r="AF104" s="457" cm="1">
        <f t="array" ref="AF104">SUMPRODUCT('W3'!$K$18:$AJ$1670*('W3'!$A$18:$A$1670=AF$5)*('W3'!$D$18:$D$1670=$B$98)*('W3'!$K$14:$AJ$14='Cover Page'!$D104))</f>
        <v>310028.75894740841</v>
      </c>
      <c r="AG104" s="457"/>
      <c r="AI104" s="457" cm="1">
        <f t="array" ref="AI104">SUMPRODUCT('W3'!$K$18:$AJ$1670*('W3'!$A$18:$A$1670=AI$5)*('W3'!$D$18:$D$1670=$B$98)*('W3'!$K$14:$AJ$14='Cover Page'!$D104))</f>
        <v>310028.75894740841</v>
      </c>
      <c r="AJ104" s="457"/>
      <c r="AL104" s="712"/>
    </row>
    <row r="105" spans="2:42" hidden="1" outlineLevel="1" x14ac:dyDescent="0.25">
      <c r="D105" s="542">
        <v>7</v>
      </c>
      <c r="E105" s="496" t="str">
        <f t="shared" si="30"/>
        <v>triệu VND</v>
      </c>
      <c r="F105" s="454"/>
      <c r="H105" s="457" cm="1">
        <f t="array" ref="H105">SUMPRODUCT('W3'!$K$18:$AJ$1670*('W3'!$A$18:$A$1670=H$5)*('W3'!$D$18:$D$1670=$B$98)*('W3'!$K$14:$AJ$14='Cover Page'!$D105))</f>
        <v>316229.33412635658</v>
      </c>
      <c r="I105" s="741"/>
      <c r="K105" s="457" cm="1">
        <f t="array" ref="K105">SUMPRODUCT('W3'!$K$18:$AJ$1670*('W3'!$A$18:$A$1670=K$5)*('W3'!$D$18:$D$1670=$B$98)*('W3'!$K$14:$AJ$14='Cover Page'!$D105))</f>
        <v>316229.33412635658</v>
      </c>
      <c r="L105" s="732"/>
      <c r="N105" s="457" cm="1">
        <f t="array" ref="N105">SUMPRODUCT('W3'!$K$18:$AJ$1670*('W3'!$A$18:$A$1670=N$5)*('W3'!$D$18:$D$1670=$B$98)*('W3'!$K$14:$AJ$14='Cover Page'!$D105))</f>
        <v>302278.03997372324</v>
      </c>
      <c r="O105" s="732"/>
      <c r="Q105" s="457" cm="1">
        <f t="array" ref="Q105">SUMPRODUCT('W3'!$K$18:$AJ$1670*('W3'!$A$18:$A$1670=Q$5)*('W3'!$D$18:$D$1670=$B$98)*('W3'!$K$14:$AJ$14='Cover Page'!$D105))</f>
        <v>302278.03997372324</v>
      </c>
      <c r="R105" s="732"/>
      <c r="T105" s="457" cm="1">
        <f t="array" ref="T105">SUMPRODUCT('W3'!$K$18:$AJ$1670*('W3'!$A$18:$A$1670=T$5)*('W3'!$D$18:$D$1670=$B$98)*('W3'!$K$14:$AJ$14='Cover Page'!$D105))</f>
        <v>283676.31443687872</v>
      </c>
      <c r="U105" s="457"/>
      <c r="W105" s="457" cm="1">
        <f t="array" ref="W105">SUMPRODUCT('W3'!$K$18:$AJ$1670*('W3'!$A$18:$A$1670=W$5)*('W3'!$D$18:$D$1670=$B$98)*('W3'!$K$14:$AJ$14='Cover Page'!$D105))</f>
        <v>283676.31443687872</v>
      </c>
      <c r="X105" s="457"/>
      <c r="Z105" s="457" cm="1">
        <f t="array" ref="Z105">SUMPRODUCT('W3'!$K$18:$AJ$1670*('W3'!$A$18:$A$1670=Z$5)*('W3'!$D$18:$D$1670=$B$98)*('W3'!$K$14:$AJ$14='Cover Page'!$D105))</f>
        <v>272503.75360518502</v>
      </c>
      <c r="AA105" s="457"/>
      <c r="AC105" s="457" cm="1">
        <f t="array" ref="AC105">SUMPRODUCT('W3'!$K$18:$AJ$1670*('W3'!$A$18:$A$1670=AC$5)*('W3'!$D$18:$D$1670=$B$98)*('W3'!$K$14:$AJ$14='Cover Page'!$D105))</f>
        <v>287975.09671529615</v>
      </c>
      <c r="AD105" s="457"/>
      <c r="AF105" s="457" cm="1">
        <f t="array" ref="AF105">SUMPRODUCT('W3'!$K$18:$AJ$1670*('W3'!$A$18:$A$1670=AF$5)*('W3'!$D$18:$D$1670=$B$98)*('W3'!$K$14:$AJ$14='Cover Page'!$D105))</f>
        <v>316229.33412635658</v>
      </c>
      <c r="AG105" s="457"/>
      <c r="AI105" s="457" cm="1">
        <f t="array" ref="AI105">SUMPRODUCT('W3'!$K$18:$AJ$1670*('W3'!$A$18:$A$1670=AI$5)*('W3'!$D$18:$D$1670=$B$98)*('W3'!$K$14:$AJ$14='Cover Page'!$D105))</f>
        <v>316229.33412635658</v>
      </c>
      <c r="AJ105" s="457"/>
      <c r="AL105" s="712"/>
    </row>
    <row r="106" spans="2:42" hidden="1" outlineLevel="1" x14ac:dyDescent="0.25">
      <c r="D106" s="542">
        <v>8</v>
      </c>
      <c r="E106" s="496" t="str">
        <f t="shared" si="30"/>
        <v>triệu VND</v>
      </c>
      <c r="F106" s="454"/>
      <c r="H106" s="457" cm="1">
        <f t="array" ref="H106">SUMPRODUCT('W3'!$K$18:$AJ$1670*('W3'!$A$18:$A$1670=H$5)*('W3'!$D$18:$D$1670=$B$98)*('W3'!$K$14:$AJ$14='Cover Page'!$D106))</f>
        <v>322553.92080888367</v>
      </c>
      <c r="I106" s="741"/>
      <c r="K106" s="457" cm="1">
        <f t="array" ref="K106">SUMPRODUCT('W3'!$K$18:$AJ$1670*('W3'!$A$18:$A$1670=K$5)*('W3'!$D$18:$D$1670=$B$98)*('W3'!$K$14:$AJ$14='Cover Page'!$D106))</f>
        <v>322553.92080888367</v>
      </c>
      <c r="L106" s="732"/>
      <c r="N106" s="457" cm="1">
        <f t="array" ref="N106">SUMPRODUCT('W3'!$K$18:$AJ$1670*('W3'!$A$18:$A$1670=N$5)*('W3'!$D$18:$D$1670=$B$98)*('W3'!$K$14:$AJ$14='Cover Page'!$D106))</f>
        <v>308323.60077319766</v>
      </c>
      <c r="O106" s="732"/>
      <c r="Q106" s="457" cm="1">
        <f t="array" ref="Q106">SUMPRODUCT('W3'!$K$18:$AJ$1670*('W3'!$A$18:$A$1670=Q$5)*('W3'!$D$18:$D$1670=$B$98)*('W3'!$K$14:$AJ$14='Cover Page'!$D106))</f>
        <v>308323.60077319766</v>
      </c>
      <c r="R106" s="732"/>
      <c r="T106" s="457" cm="1">
        <f t="array" ref="T106">SUMPRODUCT('W3'!$K$18:$AJ$1670*('W3'!$A$18:$A$1670=T$5)*('W3'!$D$18:$D$1670=$B$98)*('W3'!$K$14:$AJ$14='Cover Page'!$D106))</f>
        <v>289349.8407256162</v>
      </c>
      <c r="U106" s="457"/>
      <c r="W106" s="457" cm="1">
        <f t="array" ref="W106">SUMPRODUCT('W3'!$K$18:$AJ$1670*('W3'!$A$18:$A$1670=W$5)*('W3'!$D$18:$D$1670=$B$98)*('W3'!$K$14:$AJ$14='Cover Page'!$D106))</f>
        <v>289349.8407256162</v>
      </c>
      <c r="X106" s="457"/>
      <c r="Z106" s="457" cm="1">
        <f t="array" ref="Z106">SUMPRODUCT('W3'!$K$18:$AJ$1670*('W3'!$A$18:$A$1670=Z$5)*('W3'!$D$18:$D$1670=$B$98)*('W3'!$K$14:$AJ$14='Cover Page'!$D106))</f>
        <v>277953.82867728872</v>
      </c>
      <c r="AA106" s="457"/>
      <c r="AC106" s="457" cm="1">
        <f t="array" ref="AC106">SUMPRODUCT('W3'!$K$18:$AJ$1670*('W3'!$A$18:$A$1670=AC$5)*('W3'!$D$18:$D$1670=$B$98)*('W3'!$K$14:$AJ$14='Cover Page'!$D106))</f>
        <v>293734.59864960192</v>
      </c>
      <c r="AD106" s="457"/>
      <c r="AF106" s="457" cm="1">
        <f t="array" ref="AF106">SUMPRODUCT('W3'!$K$18:$AJ$1670*('W3'!$A$18:$A$1670=AF$5)*('W3'!$D$18:$D$1670=$B$98)*('W3'!$K$14:$AJ$14='Cover Page'!$D106))</f>
        <v>322553.92080888367</v>
      </c>
      <c r="AG106" s="457"/>
      <c r="AI106" s="457" cm="1">
        <f t="array" ref="AI106">SUMPRODUCT('W3'!$K$18:$AJ$1670*('W3'!$A$18:$A$1670=AI$5)*('W3'!$D$18:$D$1670=$B$98)*('W3'!$K$14:$AJ$14='Cover Page'!$D106))</f>
        <v>322553.92080888367</v>
      </c>
      <c r="AJ106" s="457"/>
      <c r="AL106" s="712"/>
    </row>
    <row r="107" spans="2:42" hidden="1" outlineLevel="1" x14ac:dyDescent="0.25">
      <c r="D107" s="542">
        <v>9</v>
      </c>
      <c r="E107" s="496" t="str">
        <f t="shared" si="30"/>
        <v>triệu VND</v>
      </c>
      <c r="F107" s="454"/>
      <c r="H107" s="457" cm="1">
        <f t="array" ref="H107">SUMPRODUCT('W3'!$K$18:$AJ$1670*('W3'!$A$18:$A$1670=H$5)*('W3'!$D$18:$D$1670=$B$98)*('W3'!$K$14:$AJ$14='Cover Page'!$D107))</f>
        <v>329004.99922506133</v>
      </c>
      <c r="I107" s="741"/>
      <c r="K107" s="457" cm="1">
        <f t="array" ref="K107">SUMPRODUCT('W3'!$K$18:$AJ$1670*('W3'!$A$18:$A$1670=K$5)*('W3'!$D$18:$D$1670=$B$98)*('W3'!$K$14:$AJ$14='Cover Page'!$D107))</f>
        <v>329004.99922506133</v>
      </c>
      <c r="L107" s="732"/>
      <c r="N107" s="457" cm="1">
        <f t="array" ref="N107">SUMPRODUCT('W3'!$K$18:$AJ$1670*('W3'!$A$18:$A$1670=N$5)*('W3'!$D$18:$D$1670=$B$98)*('W3'!$K$14:$AJ$14='Cover Page'!$D107))</f>
        <v>314490.07278866158</v>
      </c>
      <c r="O107" s="732"/>
      <c r="Q107" s="457" cm="1">
        <f t="array" ref="Q107">SUMPRODUCT('W3'!$K$18:$AJ$1670*('W3'!$A$18:$A$1670=Q$5)*('W3'!$D$18:$D$1670=$B$98)*('W3'!$K$14:$AJ$14='Cover Page'!$D107))</f>
        <v>314490.07278866158</v>
      </c>
      <c r="R107" s="732"/>
      <c r="T107" s="457" cm="1">
        <f t="array" ref="T107">SUMPRODUCT('W3'!$K$18:$AJ$1670*('W3'!$A$18:$A$1670=T$5)*('W3'!$D$18:$D$1670=$B$98)*('W3'!$K$14:$AJ$14='Cover Page'!$D107))</f>
        <v>295136.83754012862</v>
      </c>
      <c r="U107" s="457"/>
      <c r="W107" s="457" cm="1">
        <f t="array" ref="W107">SUMPRODUCT('W3'!$K$18:$AJ$1670*('W3'!$A$18:$A$1670=W$5)*('W3'!$D$18:$D$1670=$B$98)*('W3'!$K$14:$AJ$14='Cover Page'!$D107))</f>
        <v>295136.83754012862</v>
      </c>
      <c r="X107" s="457"/>
      <c r="Z107" s="457" cm="1">
        <f t="array" ref="Z107">SUMPRODUCT('W3'!$K$18:$AJ$1670*('W3'!$A$18:$A$1670=Z$5)*('W3'!$D$18:$D$1670=$B$98)*('W3'!$K$14:$AJ$14='Cover Page'!$D107))</f>
        <v>283512.90525083448</v>
      </c>
      <c r="AA107" s="457"/>
      <c r="AC107" s="457" cm="1">
        <f t="array" ref="AC107">SUMPRODUCT('W3'!$K$18:$AJ$1670*('W3'!$A$18:$A$1670=AC$5)*('W3'!$D$18:$D$1670=$B$98)*('W3'!$K$14:$AJ$14='Cover Page'!$D107))</f>
        <v>299609.29062259407</v>
      </c>
      <c r="AD107" s="457"/>
      <c r="AF107" s="457" cm="1">
        <f t="array" ref="AF107">SUMPRODUCT('W3'!$K$18:$AJ$1670*('W3'!$A$18:$A$1670=AF$5)*('W3'!$D$18:$D$1670=$B$98)*('W3'!$K$14:$AJ$14='Cover Page'!$D107))</f>
        <v>329004.99922506133</v>
      </c>
      <c r="AG107" s="457"/>
      <c r="AI107" s="457" cm="1">
        <f t="array" ref="AI107">SUMPRODUCT('W3'!$K$18:$AJ$1670*('W3'!$A$18:$A$1670=AI$5)*('W3'!$D$18:$D$1670=$B$98)*('W3'!$K$14:$AJ$14='Cover Page'!$D107))</f>
        <v>329004.99922506133</v>
      </c>
      <c r="AJ107" s="457"/>
      <c r="AL107" s="712"/>
    </row>
    <row r="108" spans="2:42" hidden="1" outlineLevel="1" x14ac:dyDescent="0.25">
      <c r="D108" s="542">
        <v>10</v>
      </c>
      <c r="E108" s="496" t="str">
        <f t="shared" si="30"/>
        <v>triệu VND</v>
      </c>
      <c r="F108" s="454"/>
      <c r="H108" s="457" cm="1">
        <f t="array" ref="H108">SUMPRODUCT('W3'!$K$18:$AJ$1670*('W3'!$A$18:$A$1670=H$5)*('W3'!$D$18:$D$1670=$B$98)*('W3'!$K$14:$AJ$14='Cover Page'!$D108))</f>
        <v>335585.09920956258</v>
      </c>
      <c r="I108" s="741"/>
      <c r="K108" s="457" cm="1">
        <f t="array" ref="K108">SUMPRODUCT('W3'!$K$18:$AJ$1670*('W3'!$A$18:$A$1670=K$5)*('W3'!$D$18:$D$1670=$B$98)*('W3'!$K$14:$AJ$14='Cover Page'!$D108))</f>
        <v>335585.09920956258</v>
      </c>
      <c r="L108" s="732"/>
      <c r="N108" s="457" cm="1">
        <f t="array" ref="N108">SUMPRODUCT('W3'!$K$18:$AJ$1670*('W3'!$A$18:$A$1670=N$5)*('W3'!$D$18:$D$1670=$B$98)*('W3'!$K$14:$AJ$14='Cover Page'!$D108))</f>
        <v>320779.87424443482</v>
      </c>
      <c r="O108" s="732"/>
      <c r="Q108" s="457" cm="1">
        <f t="array" ref="Q108">SUMPRODUCT('W3'!$K$18:$AJ$1670*('W3'!$A$18:$A$1670=Q$5)*('W3'!$D$18:$D$1670=$B$98)*('W3'!$K$14:$AJ$14='Cover Page'!$D108))</f>
        <v>320779.87424443482</v>
      </c>
      <c r="R108" s="732"/>
      <c r="T108" s="457" cm="1">
        <f t="array" ref="T108">SUMPRODUCT('W3'!$K$18:$AJ$1670*('W3'!$A$18:$A$1670=T$5)*('W3'!$D$18:$D$1670=$B$98)*('W3'!$K$14:$AJ$14='Cover Page'!$D108))</f>
        <v>301039.57429093117</v>
      </c>
      <c r="U108" s="457"/>
      <c r="W108" s="457" cm="1">
        <f t="array" ref="W108">SUMPRODUCT('W3'!$K$18:$AJ$1670*('W3'!$A$18:$A$1670=W$5)*('W3'!$D$18:$D$1670=$B$98)*('W3'!$K$14:$AJ$14='Cover Page'!$D108))</f>
        <v>301039.57429093117</v>
      </c>
      <c r="X108" s="457"/>
      <c r="Z108" s="457" cm="1">
        <f t="array" ref="Z108">SUMPRODUCT('W3'!$K$18:$AJ$1670*('W3'!$A$18:$A$1670=Z$5)*('W3'!$D$18:$D$1670=$B$98)*('W3'!$K$14:$AJ$14='Cover Page'!$D108))</f>
        <v>289183.1633558512</v>
      </c>
      <c r="AA108" s="457"/>
      <c r="AC108" s="457" cm="1">
        <f t="array" ref="AC108">SUMPRODUCT('W3'!$K$18:$AJ$1670*('W3'!$A$18:$A$1670=AC$5)*('W3'!$D$18:$D$1670=$B$98)*('W3'!$K$14:$AJ$14='Cover Page'!$D108))</f>
        <v>305601.47643504594</v>
      </c>
      <c r="AD108" s="457"/>
      <c r="AF108" s="457" cm="1">
        <f t="array" ref="AF108">SUMPRODUCT('W3'!$K$18:$AJ$1670*('W3'!$A$18:$A$1670=AF$5)*('W3'!$D$18:$D$1670=$B$98)*('W3'!$K$14:$AJ$14='Cover Page'!$D108))</f>
        <v>335585.09920956258</v>
      </c>
      <c r="AG108" s="457"/>
      <c r="AI108" s="457" cm="1">
        <f t="array" ref="AI108">SUMPRODUCT('W3'!$K$18:$AJ$1670*('W3'!$A$18:$A$1670=AI$5)*('W3'!$D$18:$D$1670=$B$98)*('W3'!$K$14:$AJ$14='Cover Page'!$D108))</f>
        <v>335585.09920956258</v>
      </c>
      <c r="AJ108" s="457"/>
      <c r="AL108" s="712"/>
    </row>
    <row r="109" spans="2:42" hidden="1" outlineLevel="1" x14ac:dyDescent="0.25">
      <c r="D109" s="542">
        <v>11</v>
      </c>
      <c r="E109" s="496" t="str">
        <f t="shared" si="30"/>
        <v>triệu VND</v>
      </c>
      <c r="F109" s="454"/>
      <c r="H109" s="457" cm="1">
        <f t="array" ref="H109">SUMPRODUCT('W3'!$K$18:$AJ$1670*('W3'!$A$18:$A$1670=H$5)*('W3'!$D$18:$D$1670=$B$98)*('W3'!$K$14:$AJ$14='Cover Page'!$D109))</f>
        <v>342296.80119375384</v>
      </c>
      <c r="I109" s="741"/>
      <c r="K109" s="457" cm="1">
        <f t="array" ref="K109">SUMPRODUCT('W3'!$K$18:$AJ$1670*('W3'!$A$18:$A$1670=K$5)*('W3'!$D$18:$D$1670=$B$98)*('W3'!$K$14:$AJ$14='Cover Page'!$D109))</f>
        <v>342296.80119375384</v>
      </c>
      <c r="L109" s="732"/>
      <c r="N109" s="457" cm="1">
        <f t="array" ref="N109">SUMPRODUCT('W3'!$K$18:$AJ$1670*('W3'!$A$18:$A$1670=N$5)*('W3'!$D$18:$D$1670=$B$98)*('W3'!$K$14:$AJ$14='Cover Page'!$D109))</f>
        <v>327195.47172932356</v>
      </c>
      <c r="O109" s="732"/>
      <c r="Q109" s="457" cm="1">
        <f t="array" ref="Q109">SUMPRODUCT('W3'!$K$18:$AJ$1670*('W3'!$A$18:$A$1670=Q$5)*('W3'!$D$18:$D$1670=$B$98)*('W3'!$K$14:$AJ$14='Cover Page'!$D109))</f>
        <v>327195.47172932356</v>
      </c>
      <c r="R109" s="732"/>
      <c r="T109" s="457" cm="1">
        <f t="array" ref="T109">SUMPRODUCT('W3'!$K$18:$AJ$1670*('W3'!$A$18:$A$1670=T$5)*('W3'!$D$18:$D$1670=$B$98)*('W3'!$K$14:$AJ$14='Cover Page'!$D109))</f>
        <v>307060.36577674979</v>
      </c>
      <c r="U109" s="457"/>
      <c r="W109" s="457" cm="1">
        <f t="array" ref="W109">SUMPRODUCT('W3'!$K$18:$AJ$1670*('W3'!$A$18:$A$1670=W$5)*('W3'!$D$18:$D$1670=$B$98)*('W3'!$K$14:$AJ$14='Cover Page'!$D109))</f>
        <v>307060.36577674979</v>
      </c>
      <c r="X109" s="457"/>
      <c r="Z109" s="457" cm="1">
        <f t="array" ref="Z109">SUMPRODUCT('W3'!$K$18:$AJ$1670*('W3'!$A$18:$A$1670=Z$5)*('W3'!$D$18:$D$1670=$B$98)*('W3'!$K$14:$AJ$14='Cover Page'!$D109))</f>
        <v>294966.82662296819</v>
      </c>
      <c r="AA109" s="457"/>
      <c r="AC109" s="457" cm="1">
        <f t="array" ref="AC109">SUMPRODUCT('W3'!$K$18:$AJ$1670*('W3'!$A$18:$A$1670=AC$5)*('W3'!$D$18:$D$1670=$B$98)*('W3'!$K$14:$AJ$14='Cover Page'!$D109))</f>
        <v>311713.50596374692</v>
      </c>
      <c r="AD109" s="457"/>
      <c r="AF109" s="457" cm="1">
        <f t="array" ref="AF109">SUMPRODUCT('W3'!$K$18:$AJ$1670*('W3'!$A$18:$A$1670=AF$5)*('W3'!$D$18:$D$1670=$B$98)*('W3'!$K$14:$AJ$14='Cover Page'!$D109))</f>
        <v>342296.80119375384</v>
      </c>
      <c r="AG109" s="457"/>
      <c r="AI109" s="457" cm="1">
        <f t="array" ref="AI109">SUMPRODUCT('W3'!$K$18:$AJ$1670*('W3'!$A$18:$A$1670=AI$5)*('W3'!$D$18:$D$1670=$B$98)*('W3'!$K$14:$AJ$14='Cover Page'!$D109))</f>
        <v>342296.80119375384</v>
      </c>
      <c r="AJ109" s="457"/>
      <c r="AL109" s="712"/>
    </row>
    <row r="110" spans="2:42" hidden="1" outlineLevel="1" x14ac:dyDescent="0.25">
      <c r="D110" s="542">
        <v>12</v>
      </c>
      <c r="E110" s="496" t="str">
        <f t="shared" si="30"/>
        <v>triệu VND</v>
      </c>
      <c r="F110" s="454"/>
      <c r="H110" s="457" cm="1">
        <f t="array" ref="H110">SUMPRODUCT('W3'!$K$18:$AJ$1670*('W3'!$A$18:$A$1670=H$5)*('W3'!$D$18:$D$1670=$B$98)*('W3'!$K$14:$AJ$14='Cover Page'!$D110))</f>
        <v>349142.73721762892</v>
      </c>
      <c r="I110" s="741"/>
      <c r="K110" s="457" cm="1">
        <f t="array" ref="K110">SUMPRODUCT('W3'!$K$18:$AJ$1670*('W3'!$A$18:$A$1670=K$5)*('W3'!$D$18:$D$1670=$B$98)*('W3'!$K$14:$AJ$14='Cover Page'!$D110))</f>
        <v>349142.73721762892</v>
      </c>
      <c r="L110" s="732"/>
      <c r="N110" s="457" cm="1">
        <f t="array" ref="N110">SUMPRODUCT('W3'!$K$18:$AJ$1670*('W3'!$A$18:$A$1670=N$5)*('W3'!$D$18:$D$1670=$B$98)*('W3'!$K$14:$AJ$14='Cover Page'!$D110))</f>
        <v>333739.38116390997</v>
      </c>
      <c r="O110" s="732"/>
      <c r="Q110" s="457" cm="1">
        <f t="array" ref="Q110">SUMPRODUCT('W3'!$K$18:$AJ$1670*('W3'!$A$18:$A$1670=Q$5)*('W3'!$D$18:$D$1670=$B$98)*('W3'!$K$14:$AJ$14='Cover Page'!$D110))</f>
        <v>333739.38116390997</v>
      </c>
      <c r="R110" s="732"/>
      <c r="T110" s="457" cm="1">
        <f t="array" ref="T110">SUMPRODUCT('W3'!$K$18:$AJ$1670*('W3'!$A$18:$A$1670=T$5)*('W3'!$D$18:$D$1670=$B$98)*('W3'!$K$14:$AJ$14='Cover Page'!$D110))</f>
        <v>313201.57309228473</v>
      </c>
      <c r="U110" s="457"/>
      <c r="W110" s="457" cm="1">
        <f t="array" ref="W110">SUMPRODUCT('W3'!$K$18:$AJ$1670*('W3'!$A$18:$A$1670=W$5)*('W3'!$D$18:$D$1670=$B$98)*('W3'!$K$14:$AJ$14='Cover Page'!$D110))</f>
        <v>313201.57309228473</v>
      </c>
      <c r="X110" s="457"/>
      <c r="Z110" s="457" cm="1">
        <f t="array" ref="Z110">SUMPRODUCT('W3'!$K$18:$AJ$1670*('W3'!$A$18:$A$1670=Z$5)*('W3'!$D$18:$D$1670=$B$98)*('W3'!$K$14:$AJ$14='Cover Page'!$D110))</f>
        <v>300866.16315542749</v>
      </c>
      <c r="AA110" s="457"/>
      <c r="AC110" s="457" cm="1">
        <f t="array" ref="AC110">SUMPRODUCT('W3'!$K$18:$AJ$1670*('W3'!$A$18:$A$1670=AC$5)*('W3'!$D$18:$D$1670=$B$98)*('W3'!$K$14:$AJ$14='Cover Page'!$D110))</f>
        <v>317947.77608302172</v>
      </c>
      <c r="AD110" s="457"/>
      <c r="AF110" s="457" cm="1">
        <f t="array" ref="AF110">SUMPRODUCT('W3'!$K$18:$AJ$1670*('W3'!$A$18:$A$1670=AF$5)*('W3'!$D$18:$D$1670=$B$98)*('W3'!$K$14:$AJ$14='Cover Page'!$D110))</f>
        <v>349142.73721762892</v>
      </c>
      <c r="AG110" s="457"/>
      <c r="AI110" s="457" cm="1">
        <f t="array" ref="AI110">SUMPRODUCT('W3'!$K$18:$AJ$1670*('W3'!$A$18:$A$1670=AI$5)*('W3'!$D$18:$D$1670=$B$98)*('W3'!$K$14:$AJ$14='Cover Page'!$D110))</f>
        <v>349142.73721762892</v>
      </c>
      <c r="AJ110" s="457"/>
      <c r="AL110" s="712"/>
    </row>
    <row r="111" spans="2:42" hidden="1" outlineLevel="1" x14ac:dyDescent="0.25">
      <c r="D111" s="542">
        <v>13</v>
      </c>
      <c r="E111" s="496" t="str">
        <f t="shared" si="30"/>
        <v>triệu VND</v>
      </c>
      <c r="F111" s="454"/>
      <c r="H111" s="457" cm="1">
        <f t="array" ref="H111">SUMPRODUCT('W3'!$K$18:$AJ$1670*('W3'!$A$18:$A$1670=H$5)*('W3'!$D$18:$D$1670=$B$98)*('W3'!$K$14:$AJ$14='Cover Page'!$D111))</f>
        <v>356125.5919619815</v>
      </c>
      <c r="I111" s="741"/>
      <c r="K111" s="457" cm="1">
        <f t="array" ref="K111">SUMPRODUCT('W3'!$K$18:$AJ$1670*('W3'!$A$18:$A$1670=K$5)*('W3'!$D$18:$D$1670=$B$98)*('W3'!$K$14:$AJ$14='Cover Page'!$D111))</f>
        <v>356125.5919619815</v>
      </c>
      <c r="L111" s="732"/>
      <c r="N111" s="457" cm="1">
        <f t="array" ref="N111">SUMPRODUCT('W3'!$K$18:$AJ$1670*('W3'!$A$18:$A$1670=N$5)*('W3'!$D$18:$D$1670=$B$98)*('W3'!$K$14:$AJ$14='Cover Page'!$D111))</f>
        <v>340414.16878718825</v>
      </c>
      <c r="O111" s="732"/>
      <c r="Q111" s="457" cm="1">
        <f t="array" ref="Q111">SUMPRODUCT('W3'!$K$18:$AJ$1670*('W3'!$A$18:$A$1670=Q$5)*('W3'!$D$18:$D$1670=$B$98)*('W3'!$K$14:$AJ$14='Cover Page'!$D111))</f>
        <v>340414.16878718825</v>
      </c>
      <c r="R111" s="732"/>
      <c r="T111" s="457" cm="1">
        <f t="array" ref="T111">SUMPRODUCT('W3'!$K$18:$AJ$1670*('W3'!$A$18:$A$1670=T$5)*('W3'!$D$18:$D$1670=$B$98)*('W3'!$K$14:$AJ$14='Cover Page'!$D111))</f>
        <v>319465.60455413046</v>
      </c>
      <c r="U111" s="457"/>
      <c r="W111" s="457" cm="1">
        <f t="array" ref="W111">SUMPRODUCT('W3'!$K$18:$AJ$1670*('W3'!$A$18:$A$1670=W$5)*('W3'!$D$18:$D$1670=$B$98)*('W3'!$K$14:$AJ$14='Cover Page'!$D111))</f>
        <v>319465.60455413046</v>
      </c>
      <c r="X111" s="457"/>
      <c r="Z111" s="457" cm="1">
        <f t="array" ref="Z111">SUMPRODUCT('W3'!$K$18:$AJ$1670*('W3'!$A$18:$A$1670=Z$5)*('W3'!$D$18:$D$1670=$B$98)*('W3'!$K$14:$AJ$14='Cover Page'!$D111))</f>
        <v>306883.48641853605</v>
      </c>
      <c r="AA111" s="457"/>
      <c r="AC111" s="457" cm="1">
        <f t="array" ref="AC111">SUMPRODUCT('W3'!$K$18:$AJ$1670*('W3'!$A$18:$A$1670=AC$5)*('W3'!$D$18:$D$1670=$B$98)*('W3'!$K$14:$AJ$14='Cover Page'!$D111))</f>
        <v>324306.73160468228</v>
      </c>
      <c r="AD111" s="457"/>
      <c r="AF111" s="457" cm="1">
        <f t="array" ref="AF111">SUMPRODUCT('W3'!$K$18:$AJ$1670*('W3'!$A$18:$A$1670=AF$5)*('W3'!$D$18:$D$1670=$B$98)*('W3'!$K$14:$AJ$14='Cover Page'!$D111))</f>
        <v>356125.5919619815</v>
      </c>
      <c r="AG111" s="457"/>
      <c r="AI111" s="457" cm="1">
        <f t="array" ref="AI111">SUMPRODUCT('W3'!$K$18:$AJ$1670*('W3'!$A$18:$A$1670=AI$5)*('W3'!$D$18:$D$1670=$B$98)*('W3'!$K$14:$AJ$14='Cover Page'!$D111))</f>
        <v>356125.5919619815</v>
      </c>
      <c r="AJ111" s="457"/>
      <c r="AL111" s="712"/>
    </row>
    <row r="112" spans="2:42" hidden="1" outlineLevel="1" x14ac:dyDescent="0.25">
      <c r="D112" s="542">
        <v>14</v>
      </c>
      <c r="E112" s="496" t="str">
        <f t="shared" si="30"/>
        <v>triệu VND</v>
      </c>
      <c r="F112" s="454"/>
      <c r="H112" s="457" cm="1">
        <f t="array" ref="H112">SUMPRODUCT('W3'!$K$18:$AJ$1670*('W3'!$A$18:$A$1670=H$5)*('W3'!$D$18:$D$1670=$B$98)*('W3'!$K$14:$AJ$14='Cover Page'!$D112))</f>
        <v>363248.10380122106</v>
      </c>
      <c r="I112" s="741"/>
      <c r="K112" s="457" cm="1">
        <f t="array" ref="K112">SUMPRODUCT('W3'!$K$18:$AJ$1670*('W3'!$A$18:$A$1670=K$5)*('W3'!$D$18:$D$1670=$B$98)*('W3'!$K$14:$AJ$14='Cover Page'!$D112))</f>
        <v>363248.10380122106</v>
      </c>
      <c r="L112" s="732"/>
      <c r="N112" s="457" cm="1">
        <f t="array" ref="N112">SUMPRODUCT('W3'!$K$18:$AJ$1670*('W3'!$A$18:$A$1670=N$5)*('W3'!$D$18:$D$1670=$B$98)*('W3'!$K$14:$AJ$14='Cover Page'!$D112))</f>
        <v>347222.45216293191</v>
      </c>
      <c r="O112" s="732"/>
      <c r="Q112" s="457" cm="1">
        <f t="array" ref="Q112">SUMPRODUCT('W3'!$K$18:$AJ$1670*('W3'!$A$18:$A$1670=Q$5)*('W3'!$D$18:$D$1670=$B$98)*('W3'!$K$14:$AJ$14='Cover Page'!$D112))</f>
        <v>347222.45216293191</v>
      </c>
      <c r="R112" s="732"/>
      <c r="T112" s="457" cm="1">
        <f t="array" ref="T112">SUMPRODUCT('W3'!$K$18:$AJ$1670*('W3'!$A$18:$A$1670=T$5)*('W3'!$D$18:$D$1670=$B$98)*('W3'!$K$14:$AJ$14='Cover Page'!$D112))</f>
        <v>325854.91664521315</v>
      </c>
      <c r="U112" s="457"/>
      <c r="W112" s="457" cm="1">
        <f t="array" ref="W112">SUMPRODUCT('W3'!$K$18:$AJ$1670*('W3'!$A$18:$A$1670=W$5)*('W3'!$D$18:$D$1670=$B$98)*('W3'!$K$14:$AJ$14='Cover Page'!$D112))</f>
        <v>325854.91664521315</v>
      </c>
      <c r="X112" s="457"/>
      <c r="Z112" s="457" cm="1">
        <f t="array" ref="Z112">SUMPRODUCT('W3'!$K$18:$AJ$1670*('W3'!$A$18:$A$1670=Z$5)*('W3'!$D$18:$D$1670=$B$98)*('W3'!$K$14:$AJ$14='Cover Page'!$D112))</f>
        <v>313021.15614690678</v>
      </c>
      <c r="AA112" s="457"/>
      <c r="AC112" s="457" cm="1">
        <f t="array" ref="AC112">SUMPRODUCT('W3'!$K$18:$AJ$1670*('W3'!$A$18:$A$1670=AC$5)*('W3'!$D$18:$D$1670=$B$98)*('W3'!$K$14:$AJ$14='Cover Page'!$D112))</f>
        <v>330792.86623677582</v>
      </c>
      <c r="AD112" s="457"/>
      <c r="AF112" s="457" cm="1">
        <f t="array" ref="AF112">SUMPRODUCT('W3'!$K$18:$AJ$1670*('W3'!$A$18:$A$1670=AF$5)*('W3'!$D$18:$D$1670=$B$98)*('W3'!$K$14:$AJ$14='Cover Page'!$D112))</f>
        <v>363248.10380122106</v>
      </c>
      <c r="AG112" s="457"/>
      <c r="AI112" s="457" cm="1">
        <f t="array" ref="AI112">SUMPRODUCT('W3'!$K$18:$AJ$1670*('W3'!$A$18:$A$1670=AI$5)*('W3'!$D$18:$D$1670=$B$98)*('W3'!$K$14:$AJ$14='Cover Page'!$D112))</f>
        <v>363248.10380122106</v>
      </c>
      <c r="AJ112" s="457"/>
      <c r="AL112" s="712"/>
    </row>
    <row r="113" spans="4:38" hidden="1" outlineLevel="1" x14ac:dyDescent="0.25">
      <c r="D113" s="542">
        <v>15</v>
      </c>
      <c r="E113" s="496" t="str">
        <f t="shared" si="30"/>
        <v>triệu VND</v>
      </c>
      <c r="F113" s="454"/>
      <c r="H113" s="457" cm="1">
        <f t="array" ref="H113">SUMPRODUCT('W3'!$K$18:$AJ$1670*('W3'!$A$18:$A$1670=H$5)*('W3'!$D$18:$D$1670=$B$98)*('W3'!$K$14:$AJ$14='Cover Page'!$D113))</f>
        <v>370513.06587724556</v>
      </c>
      <c r="I113" s="741"/>
      <c r="K113" s="457" cm="1">
        <f t="array" ref="K113">SUMPRODUCT('W3'!$K$18:$AJ$1670*('W3'!$A$18:$A$1670=K$5)*('W3'!$D$18:$D$1670=$B$98)*('W3'!$K$14:$AJ$14='Cover Page'!$D113))</f>
        <v>370513.06587724556</v>
      </c>
      <c r="L113" s="732"/>
      <c r="N113" s="457" cm="1">
        <f t="array" ref="N113">SUMPRODUCT('W3'!$K$18:$AJ$1670*('W3'!$A$18:$A$1670=N$5)*('W3'!$D$18:$D$1670=$B$98)*('W3'!$K$14:$AJ$14='Cover Page'!$D113))</f>
        <v>354166.90120619064</v>
      </c>
      <c r="O113" s="732"/>
      <c r="Q113" s="457" cm="1">
        <f t="array" ref="Q113">SUMPRODUCT('W3'!$K$18:$AJ$1670*('W3'!$A$18:$A$1670=Q$5)*('W3'!$D$18:$D$1670=$B$98)*('W3'!$K$14:$AJ$14='Cover Page'!$D113))</f>
        <v>354166.90120619064</v>
      </c>
      <c r="R113" s="732"/>
      <c r="T113" s="457" cm="1">
        <f t="array" ref="T113">SUMPRODUCT('W3'!$K$18:$AJ$1670*('W3'!$A$18:$A$1670=T$5)*('W3'!$D$18:$D$1670=$B$98)*('W3'!$K$14:$AJ$14='Cover Page'!$D113))</f>
        <v>332372.01497811737</v>
      </c>
      <c r="U113" s="457"/>
      <c r="W113" s="457" cm="1">
        <f t="array" ref="W113">SUMPRODUCT('W3'!$K$18:$AJ$1670*('W3'!$A$18:$A$1670=W$5)*('W3'!$D$18:$D$1670=$B$98)*('W3'!$K$14:$AJ$14='Cover Page'!$D113))</f>
        <v>332372.01497811737</v>
      </c>
      <c r="X113" s="457"/>
      <c r="Z113" s="457" cm="1">
        <f t="array" ref="Z113">SUMPRODUCT('W3'!$K$18:$AJ$1670*('W3'!$A$18:$A$1670=Z$5)*('W3'!$D$18:$D$1670=$B$98)*('W3'!$K$14:$AJ$14='Cover Page'!$D113))</f>
        <v>319281.57926984498</v>
      </c>
      <c r="AA113" s="457"/>
      <c r="AC113" s="457" cm="1">
        <f t="array" ref="AC113">SUMPRODUCT('W3'!$K$18:$AJ$1670*('W3'!$A$18:$A$1670=AC$5)*('W3'!$D$18:$D$1670=$B$98)*('W3'!$K$14:$AJ$14='Cover Page'!$D113))</f>
        <v>337408.72356151138</v>
      </c>
      <c r="AD113" s="457"/>
      <c r="AF113" s="457" cm="1">
        <f t="array" ref="AF113">SUMPRODUCT('W3'!$K$18:$AJ$1670*('W3'!$A$18:$A$1670=AF$5)*('W3'!$D$18:$D$1670=$B$98)*('W3'!$K$14:$AJ$14='Cover Page'!$D113))</f>
        <v>370513.06587724556</v>
      </c>
      <c r="AG113" s="457"/>
      <c r="AI113" s="457" cm="1">
        <f t="array" ref="AI113">SUMPRODUCT('W3'!$K$18:$AJ$1670*('W3'!$A$18:$A$1670=AI$5)*('W3'!$D$18:$D$1670=$B$98)*('W3'!$K$14:$AJ$14='Cover Page'!$D113))</f>
        <v>370513.06587724556</v>
      </c>
      <c r="AJ113" s="457"/>
      <c r="AL113" s="712"/>
    </row>
    <row r="114" spans="4:38" hidden="1" outlineLevel="1" x14ac:dyDescent="0.25">
      <c r="D114" s="542">
        <v>16</v>
      </c>
      <c r="E114" s="496" t="str">
        <f t="shared" si="30"/>
        <v>triệu VND</v>
      </c>
      <c r="F114" s="454"/>
      <c r="H114" s="457" cm="1">
        <f t="array" ref="H114">SUMPRODUCT('W3'!$K$18:$AJ$1670*('W3'!$A$18:$A$1670=H$5)*('W3'!$D$18:$D$1670=$B$98)*('W3'!$K$14:$AJ$14='Cover Page'!$D114))</f>
        <v>0</v>
      </c>
      <c r="I114" s="741"/>
      <c r="K114" s="457" cm="1">
        <f t="array" ref="K114">SUMPRODUCT('W3'!$K$18:$AJ$1670*('W3'!$A$18:$A$1670=K$5)*('W3'!$D$18:$D$1670=$B$98)*('W3'!$K$14:$AJ$14='Cover Page'!$D114))</f>
        <v>0</v>
      </c>
      <c r="L114" s="732"/>
      <c r="N114" s="457" cm="1">
        <f t="array" ref="N114">SUMPRODUCT('W3'!$K$18:$AJ$1670*('W3'!$A$18:$A$1670=N$5)*('W3'!$D$18:$D$1670=$B$98)*('W3'!$K$14:$AJ$14='Cover Page'!$D114))</f>
        <v>0</v>
      </c>
      <c r="O114" s="732"/>
      <c r="Q114" s="457" cm="1">
        <f t="array" ref="Q114">SUMPRODUCT('W3'!$K$18:$AJ$1670*('W3'!$A$18:$A$1670=Q$5)*('W3'!$D$18:$D$1670=$B$98)*('W3'!$K$14:$AJ$14='Cover Page'!$D114))</f>
        <v>0</v>
      </c>
      <c r="R114" s="732"/>
      <c r="T114" s="457" cm="1">
        <f t="array" ref="T114">SUMPRODUCT('W3'!$K$18:$AJ$1670*('W3'!$A$18:$A$1670=T$5)*('W3'!$D$18:$D$1670=$B$98)*('W3'!$K$14:$AJ$14='Cover Page'!$D114))</f>
        <v>0</v>
      </c>
      <c r="U114" s="457"/>
      <c r="W114" s="457" cm="1">
        <f t="array" ref="W114">SUMPRODUCT('W3'!$K$18:$AJ$1670*('W3'!$A$18:$A$1670=W$5)*('W3'!$D$18:$D$1670=$B$98)*('W3'!$K$14:$AJ$14='Cover Page'!$D114))</f>
        <v>0</v>
      </c>
      <c r="X114" s="457"/>
      <c r="Z114" s="457" cm="1">
        <f t="array" ref="Z114">SUMPRODUCT('W3'!$K$18:$AJ$1670*('W3'!$A$18:$A$1670=Z$5)*('W3'!$D$18:$D$1670=$B$98)*('W3'!$K$14:$AJ$14='Cover Page'!$D114))</f>
        <v>0</v>
      </c>
      <c r="AA114" s="457"/>
      <c r="AC114" s="457" cm="1">
        <f t="array" ref="AC114">SUMPRODUCT('W3'!$K$18:$AJ$1670*('W3'!$A$18:$A$1670=AC$5)*('W3'!$D$18:$D$1670=$B$98)*('W3'!$K$14:$AJ$14='Cover Page'!$D114))</f>
        <v>0</v>
      </c>
      <c r="AD114" s="457"/>
      <c r="AF114" s="457" cm="1">
        <f t="array" ref="AF114">SUMPRODUCT('W3'!$K$18:$AJ$1670*('W3'!$A$18:$A$1670=AF$5)*('W3'!$D$18:$D$1670=$B$98)*('W3'!$K$14:$AJ$14='Cover Page'!$D114))</f>
        <v>0</v>
      </c>
      <c r="AG114" s="457"/>
      <c r="AI114" s="457" cm="1">
        <f t="array" ref="AI114">SUMPRODUCT('W3'!$K$18:$AJ$1670*('W3'!$A$18:$A$1670=AI$5)*('W3'!$D$18:$D$1670=$B$98)*('W3'!$K$14:$AJ$14='Cover Page'!$D114))</f>
        <v>0</v>
      </c>
      <c r="AJ114" s="457"/>
      <c r="AL114" s="712"/>
    </row>
    <row r="115" spans="4:38" hidden="1" outlineLevel="1" x14ac:dyDescent="0.25">
      <c r="D115" s="542">
        <v>17</v>
      </c>
      <c r="E115" s="496" t="str">
        <f t="shared" si="30"/>
        <v>triệu VND</v>
      </c>
      <c r="F115" s="454"/>
      <c r="H115" s="457" cm="1">
        <f t="array" ref="H115">SUMPRODUCT('W3'!$K$18:$AJ$1670*('W3'!$A$18:$A$1670=H$5)*('W3'!$D$18:$D$1670=$B$98)*('W3'!$K$14:$AJ$14='Cover Page'!$D115))</f>
        <v>0</v>
      </c>
      <c r="I115" s="741"/>
      <c r="K115" s="457" cm="1">
        <f t="array" ref="K115">SUMPRODUCT('W3'!$K$18:$AJ$1670*('W3'!$A$18:$A$1670=K$5)*('W3'!$D$18:$D$1670=$B$98)*('W3'!$K$14:$AJ$14='Cover Page'!$D115))</f>
        <v>0</v>
      </c>
      <c r="L115" s="732"/>
      <c r="N115" s="457" cm="1">
        <f t="array" ref="N115">SUMPRODUCT('W3'!$K$18:$AJ$1670*('W3'!$A$18:$A$1670=N$5)*('W3'!$D$18:$D$1670=$B$98)*('W3'!$K$14:$AJ$14='Cover Page'!$D115))</f>
        <v>0</v>
      </c>
      <c r="O115" s="732"/>
      <c r="Q115" s="457" cm="1">
        <f t="array" ref="Q115">SUMPRODUCT('W3'!$K$18:$AJ$1670*('W3'!$A$18:$A$1670=Q$5)*('W3'!$D$18:$D$1670=$B$98)*('W3'!$K$14:$AJ$14='Cover Page'!$D115))</f>
        <v>0</v>
      </c>
      <c r="R115" s="732"/>
      <c r="T115" s="457" cm="1">
        <f t="array" ref="T115">SUMPRODUCT('W3'!$K$18:$AJ$1670*('W3'!$A$18:$A$1670=T$5)*('W3'!$D$18:$D$1670=$B$98)*('W3'!$K$14:$AJ$14='Cover Page'!$D115))</f>
        <v>0</v>
      </c>
      <c r="U115" s="457"/>
      <c r="W115" s="457" cm="1">
        <f t="array" ref="W115">SUMPRODUCT('W3'!$K$18:$AJ$1670*('W3'!$A$18:$A$1670=W$5)*('W3'!$D$18:$D$1670=$B$98)*('W3'!$K$14:$AJ$14='Cover Page'!$D115))</f>
        <v>0</v>
      </c>
      <c r="X115" s="457"/>
      <c r="Z115" s="457" cm="1">
        <f t="array" ref="Z115">SUMPRODUCT('W3'!$K$18:$AJ$1670*('W3'!$A$18:$A$1670=Z$5)*('W3'!$D$18:$D$1670=$B$98)*('W3'!$K$14:$AJ$14='Cover Page'!$D115))</f>
        <v>0</v>
      </c>
      <c r="AA115" s="457"/>
      <c r="AC115" s="457" cm="1">
        <f t="array" ref="AC115">SUMPRODUCT('W3'!$K$18:$AJ$1670*('W3'!$A$18:$A$1670=AC$5)*('W3'!$D$18:$D$1670=$B$98)*('W3'!$K$14:$AJ$14='Cover Page'!$D115))</f>
        <v>0</v>
      </c>
      <c r="AD115" s="457"/>
      <c r="AF115" s="457" cm="1">
        <f t="array" ref="AF115">SUMPRODUCT('W3'!$K$18:$AJ$1670*('W3'!$A$18:$A$1670=AF$5)*('W3'!$D$18:$D$1670=$B$98)*('W3'!$K$14:$AJ$14='Cover Page'!$D115))</f>
        <v>0</v>
      </c>
      <c r="AG115" s="457"/>
      <c r="AI115" s="457" cm="1">
        <f t="array" ref="AI115">SUMPRODUCT('W3'!$K$18:$AJ$1670*('W3'!$A$18:$A$1670=AI$5)*('W3'!$D$18:$D$1670=$B$98)*('W3'!$K$14:$AJ$14='Cover Page'!$D115))</f>
        <v>0</v>
      </c>
      <c r="AJ115" s="457"/>
      <c r="AL115" s="712"/>
    </row>
    <row r="116" spans="4:38" hidden="1" outlineLevel="1" x14ac:dyDescent="0.25">
      <c r="D116" s="542">
        <v>18</v>
      </c>
      <c r="E116" s="496" t="str">
        <f t="shared" si="30"/>
        <v>triệu VND</v>
      </c>
      <c r="F116" s="454"/>
      <c r="H116" s="457" cm="1">
        <f t="array" ref="H116">SUMPRODUCT('W3'!$K$18:$AJ$1670*('W3'!$A$18:$A$1670=H$5)*('W3'!$D$18:$D$1670=$B$98)*('W3'!$K$14:$AJ$14='Cover Page'!$D116))</f>
        <v>0</v>
      </c>
      <c r="I116" s="741"/>
      <c r="K116" s="457" cm="1">
        <f t="array" ref="K116">SUMPRODUCT('W3'!$K$18:$AJ$1670*('W3'!$A$18:$A$1670=K$5)*('W3'!$D$18:$D$1670=$B$98)*('W3'!$K$14:$AJ$14='Cover Page'!$D116))</f>
        <v>0</v>
      </c>
      <c r="L116" s="732"/>
      <c r="N116" s="457" cm="1">
        <f t="array" ref="N116">SUMPRODUCT('W3'!$K$18:$AJ$1670*('W3'!$A$18:$A$1670=N$5)*('W3'!$D$18:$D$1670=$B$98)*('W3'!$K$14:$AJ$14='Cover Page'!$D116))</f>
        <v>0</v>
      </c>
      <c r="O116" s="732"/>
      <c r="Q116" s="457" cm="1">
        <f t="array" ref="Q116">SUMPRODUCT('W3'!$K$18:$AJ$1670*('W3'!$A$18:$A$1670=Q$5)*('W3'!$D$18:$D$1670=$B$98)*('W3'!$K$14:$AJ$14='Cover Page'!$D116))</f>
        <v>0</v>
      </c>
      <c r="R116" s="732"/>
      <c r="T116" s="457" cm="1">
        <f t="array" ref="T116">SUMPRODUCT('W3'!$K$18:$AJ$1670*('W3'!$A$18:$A$1670=T$5)*('W3'!$D$18:$D$1670=$B$98)*('W3'!$K$14:$AJ$14='Cover Page'!$D116))</f>
        <v>0</v>
      </c>
      <c r="U116" s="457"/>
      <c r="W116" s="457" cm="1">
        <f t="array" ref="W116">SUMPRODUCT('W3'!$K$18:$AJ$1670*('W3'!$A$18:$A$1670=W$5)*('W3'!$D$18:$D$1670=$B$98)*('W3'!$K$14:$AJ$14='Cover Page'!$D116))</f>
        <v>0</v>
      </c>
      <c r="X116" s="457"/>
      <c r="Z116" s="457" cm="1">
        <f t="array" ref="Z116">SUMPRODUCT('W3'!$K$18:$AJ$1670*('W3'!$A$18:$A$1670=Z$5)*('W3'!$D$18:$D$1670=$B$98)*('W3'!$K$14:$AJ$14='Cover Page'!$D116))</f>
        <v>0</v>
      </c>
      <c r="AA116" s="457"/>
      <c r="AC116" s="457" cm="1">
        <f t="array" ref="AC116">SUMPRODUCT('W3'!$K$18:$AJ$1670*('W3'!$A$18:$A$1670=AC$5)*('W3'!$D$18:$D$1670=$B$98)*('W3'!$K$14:$AJ$14='Cover Page'!$D116))</f>
        <v>0</v>
      </c>
      <c r="AD116" s="457"/>
      <c r="AF116" s="457" cm="1">
        <f t="array" ref="AF116">SUMPRODUCT('W3'!$K$18:$AJ$1670*('W3'!$A$18:$A$1670=AF$5)*('W3'!$D$18:$D$1670=$B$98)*('W3'!$K$14:$AJ$14='Cover Page'!$D116))</f>
        <v>0</v>
      </c>
      <c r="AG116" s="457"/>
      <c r="AI116" s="457" cm="1">
        <f t="array" ref="AI116">SUMPRODUCT('W3'!$K$18:$AJ$1670*('W3'!$A$18:$A$1670=AI$5)*('W3'!$D$18:$D$1670=$B$98)*('W3'!$K$14:$AJ$14='Cover Page'!$D116))</f>
        <v>0</v>
      </c>
      <c r="AJ116" s="457"/>
      <c r="AL116" s="712"/>
    </row>
    <row r="117" spans="4:38" hidden="1" outlineLevel="1" x14ac:dyDescent="0.25">
      <c r="D117" s="542">
        <v>19</v>
      </c>
      <c r="E117" s="496" t="str">
        <f t="shared" si="30"/>
        <v>triệu VND</v>
      </c>
      <c r="F117" s="454"/>
      <c r="H117" s="457" cm="1">
        <f t="array" ref="H117">SUMPRODUCT('W3'!$K$18:$AJ$1670*('W3'!$A$18:$A$1670=H$5)*('W3'!$D$18:$D$1670=$B$98)*('W3'!$K$14:$AJ$14='Cover Page'!$D117))</f>
        <v>0</v>
      </c>
      <c r="I117" s="741"/>
      <c r="K117" s="457" cm="1">
        <f t="array" ref="K117">SUMPRODUCT('W3'!$K$18:$AJ$1670*('W3'!$A$18:$A$1670=K$5)*('W3'!$D$18:$D$1670=$B$98)*('W3'!$K$14:$AJ$14='Cover Page'!$D117))</f>
        <v>0</v>
      </c>
      <c r="L117" s="732"/>
      <c r="N117" s="457" cm="1">
        <f t="array" ref="N117">SUMPRODUCT('W3'!$K$18:$AJ$1670*('W3'!$A$18:$A$1670=N$5)*('W3'!$D$18:$D$1670=$B$98)*('W3'!$K$14:$AJ$14='Cover Page'!$D117))</f>
        <v>0</v>
      </c>
      <c r="O117" s="732"/>
      <c r="Q117" s="457" cm="1">
        <f t="array" ref="Q117">SUMPRODUCT('W3'!$K$18:$AJ$1670*('W3'!$A$18:$A$1670=Q$5)*('W3'!$D$18:$D$1670=$B$98)*('W3'!$K$14:$AJ$14='Cover Page'!$D117))</f>
        <v>0</v>
      </c>
      <c r="R117" s="732"/>
      <c r="T117" s="457" cm="1">
        <f t="array" ref="T117">SUMPRODUCT('W3'!$K$18:$AJ$1670*('W3'!$A$18:$A$1670=T$5)*('W3'!$D$18:$D$1670=$B$98)*('W3'!$K$14:$AJ$14='Cover Page'!$D117))</f>
        <v>0</v>
      </c>
      <c r="U117" s="457"/>
      <c r="W117" s="457" cm="1">
        <f t="array" ref="W117">SUMPRODUCT('W3'!$K$18:$AJ$1670*('W3'!$A$18:$A$1670=W$5)*('W3'!$D$18:$D$1670=$B$98)*('W3'!$K$14:$AJ$14='Cover Page'!$D117))</f>
        <v>0</v>
      </c>
      <c r="X117" s="457"/>
      <c r="Z117" s="457" cm="1">
        <f t="array" ref="Z117">SUMPRODUCT('W3'!$K$18:$AJ$1670*('W3'!$A$18:$A$1670=Z$5)*('W3'!$D$18:$D$1670=$B$98)*('W3'!$K$14:$AJ$14='Cover Page'!$D117))</f>
        <v>0</v>
      </c>
      <c r="AA117" s="457"/>
      <c r="AC117" s="457" cm="1">
        <f t="array" ref="AC117">SUMPRODUCT('W3'!$K$18:$AJ$1670*('W3'!$A$18:$A$1670=AC$5)*('W3'!$D$18:$D$1670=$B$98)*('W3'!$K$14:$AJ$14='Cover Page'!$D117))</f>
        <v>0</v>
      </c>
      <c r="AD117" s="457"/>
      <c r="AF117" s="457" cm="1">
        <f t="array" ref="AF117">SUMPRODUCT('W3'!$K$18:$AJ$1670*('W3'!$A$18:$A$1670=AF$5)*('W3'!$D$18:$D$1670=$B$98)*('W3'!$K$14:$AJ$14='Cover Page'!$D117))</f>
        <v>0</v>
      </c>
      <c r="AG117" s="457"/>
      <c r="AI117" s="457" cm="1">
        <f t="array" ref="AI117">SUMPRODUCT('W3'!$K$18:$AJ$1670*('W3'!$A$18:$A$1670=AI$5)*('W3'!$D$18:$D$1670=$B$98)*('W3'!$K$14:$AJ$14='Cover Page'!$D117))</f>
        <v>0</v>
      </c>
      <c r="AJ117" s="457"/>
      <c r="AL117" s="712"/>
    </row>
    <row r="118" spans="4:38" hidden="1" outlineLevel="1" x14ac:dyDescent="0.25">
      <c r="D118" s="542">
        <v>20</v>
      </c>
      <c r="E118" s="496" t="str">
        <f t="shared" si="30"/>
        <v>triệu VND</v>
      </c>
      <c r="F118" s="454"/>
      <c r="H118" s="457" cm="1">
        <f t="array" ref="H118">SUMPRODUCT('W3'!$K$18:$AJ$1670*('W3'!$A$18:$A$1670=H$5)*('W3'!$D$18:$D$1670=$B$98)*('W3'!$K$14:$AJ$14='Cover Page'!$D118))</f>
        <v>0</v>
      </c>
      <c r="I118" s="741"/>
      <c r="K118" s="457" cm="1">
        <f t="array" ref="K118">SUMPRODUCT('W3'!$K$18:$AJ$1670*('W3'!$A$18:$A$1670=K$5)*('W3'!$D$18:$D$1670=$B$98)*('W3'!$K$14:$AJ$14='Cover Page'!$D118))</f>
        <v>0</v>
      </c>
      <c r="L118" s="732"/>
      <c r="N118" s="457" cm="1">
        <f t="array" ref="N118">SUMPRODUCT('W3'!$K$18:$AJ$1670*('W3'!$A$18:$A$1670=N$5)*('W3'!$D$18:$D$1670=$B$98)*('W3'!$K$14:$AJ$14='Cover Page'!$D118))</f>
        <v>0</v>
      </c>
      <c r="O118" s="732"/>
      <c r="Q118" s="457" cm="1">
        <f t="array" ref="Q118">SUMPRODUCT('W3'!$K$18:$AJ$1670*('W3'!$A$18:$A$1670=Q$5)*('W3'!$D$18:$D$1670=$B$98)*('W3'!$K$14:$AJ$14='Cover Page'!$D118))</f>
        <v>0</v>
      </c>
      <c r="R118" s="732"/>
      <c r="T118" s="457" cm="1">
        <f t="array" ref="T118">SUMPRODUCT('W3'!$K$18:$AJ$1670*('W3'!$A$18:$A$1670=T$5)*('W3'!$D$18:$D$1670=$B$98)*('W3'!$K$14:$AJ$14='Cover Page'!$D118))</f>
        <v>0</v>
      </c>
      <c r="U118" s="457"/>
      <c r="W118" s="457" cm="1">
        <f t="array" ref="W118">SUMPRODUCT('W3'!$K$18:$AJ$1670*('W3'!$A$18:$A$1670=W$5)*('W3'!$D$18:$D$1670=$B$98)*('W3'!$K$14:$AJ$14='Cover Page'!$D118))</f>
        <v>0</v>
      </c>
      <c r="X118" s="457"/>
      <c r="Z118" s="457" cm="1">
        <f t="array" ref="Z118">SUMPRODUCT('W3'!$K$18:$AJ$1670*('W3'!$A$18:$A$1670=Z$5)*('W3'!$D$18:$D$1670=$B$98)*('W3'!$K$14:$AJ$14='Cover Page'!$D118))</f>
        <v>0</v>
      </c>
      <c r="AA118" s="457"/>
      <c r="AC118" s="457" cm="1">
        <f t="array" ref="AC118">SUMPRODUCT('W3'!$K$18:$AJ$1670*('W3'!$A$18:$A$1670=AC$5)*('W3'!$D$18:$D$1670=$B$98)*('W3'!$K$14:$AJ$14='Cover Page'!$D118))</f>
        <v>0</v>
      </c>
      <c r="AD118" s="457"/>
      <c r="AF118" s="457" cm="1">
        <f t="array" ref="AF118">SUMPRODUCT('W3'!$K$18:$AJ$1670*('W3'!$A$18:$A$1670=AF$5)*('W3'!$D$18:$D$1670=$B$98)*('W3'!$K$14:$AJ$14='Cover Page'!$D118))</f>
        <v>0</v>
      </c>
      <c r="AG118" s="457"/>
      <c r="AI118" s="457" cm="1">
        <f t="array" ref="AI118">SUMPRODUCT('W3'!$K$18:$AJ$1670*('W3'!$A$18:$A$1670=AI$5)*('W3'!$D$18:$D$1670=$B$98)*('W3'!$K$14:$AJ$14='Cover Page'!$D118))</f>
        <v>0</v>
      </c>
      <c r="AJ118" s="457"/>
      <c r="AL118" s="712"/>
    </row>
    <row r="119" spans="4:38" hidden="1" outlineLevel="1" x14ac:dyDescent="0.25">
      <c r="D119" s="542">
        <v>21</v>
      </c>
      <c r="E119" s="496" t="str">
        <f t="shared" si="30"/>
        <v>triệu VND</v>
      </c>
      <c r="F119" s="454"/>
      <c r="H119" s="457" cm="1">
        <f t="array" ref="H119">SUMPRODUCT('W3'!$K$18:$AJ$1670*('W3'!$A$18:$A$1670=H$5)*('W3'!$D$18:$D$1670=$B$98)*('W3'!$K$14:$AJ$14='Cover Page'!$D119))</f>
        <v>0</v>
      </c>
      <c r="I119" s="741"/>
      <c r="K119" s="457" cm="1">
        <f t="array" ref="K119">SUMPRODUCT('W3'!$K$18:$AJ$1670*('W3'!$A$18:$A$1670=K$5)*('W3'!$D$18:$D$1670=$B$98)*('W3'!$K$14:$AJ$14='Cover Page'!$D119))</f>
        <v>0</v>
      </c>
      <c r="L119" s="732"/>
      <c r="N119" s="457" cm="1">
        <f t="array" ref="N119">SUMPRODUCT('W3'!$K$18:$AJ$1670*('W3'!$A$18:$A$1670=N$5)*('W3'!$D$18:$D$1670=$B$98)*('W3'!$K$14:$AJ$14='Cover Page'!$D119))</f>
        <v>0</v>
      </c>
      <c r="O119" s="732"/>
      <c r="Q119" s="457" cm="1">
        <f t="array" ref="Q119">SUMPRODUCT('W3'!$K$18:$AJ$1670*('W3'!$A$18:$A$1670=Q$5)*('W3'!$D$18:$D$1670=$B$98)*('W3'!$K$14:$AJ$14='Cover Page'!$D119))</f>
        <v>0</v>
      </c>
      <c r="R119" s="732"/>
      <c r="T119" s="457" cm="1">
        <f t="array" ref="T119">SUMPRODUCT('W3'!$K$18:$AJ$1670*('W3'!$A$18:$A$1670=T$5)*('W3'!$D$18:$D$1670=$B$98)*('W3'!$K$14:$AJ$14='Cover Page'!$D119))</f>
        <v>0</v>
      </c>
      <c r="U119" s="457"/>
      <c r="W119" s="457" cm="1">
        <f t="array" ref="W119">SUMPRODUCT('W3'!$K$18:$AJ$1670*('W3'!$A$18:$A$1670=W$5)*('W3'!$D$18:$D$1670=$B$98)*('W3'!$K$14:$AJ$14='Cover Page'!$D119))</f>
        <v>0</v>
      </c>
      <c r="X119" s="457"/>
      <c r="Z119" s="457" cm="1">
        <f t="array" ref="Z119">SUMPRODUCT('W3'!$K$18:$AJ$1670*('W3'!$A$18:$A$1670=Z$5)*('W3'!$D$18:$D$1670=$B$98)*('W3'!$K$14:$AJ$14='Cover Page'!$D119))</f>
        <v>0</v>
      </c>
      <c r="AA119" s="457"/>
      <c r="AC119" s="457" cm="1">
        <f t="array" ref="AC119">SUMPRODUCT('W3'!$K$18:$AJ$1670*('W3'!$A$18:$A$1670=AC$5)*('W3'!$D$18:$D$1670=$B$98)*('W3'!$K$14:$AJ$14='Cover Page'!$D119))</f>
        <v>0</v>
      </c>
      <c r="AD119" s="457"/>
      <c r="AF119" s="457" cm="1">
        <f t="array" ref="AF119">SUMPRODUCT('W3'!$K$18:$AJ$1670*('W3'!$A$18:$A$1670=AF$5)*('W3'!$D$18:$D$1670=$B$98)*('W3'!$K$14:$AJ$14='Cover Page'!$D119))</f>
        <v>0</v>
      </c>
      <c r="AG119" s="457"/>
      <c r="AI119" s="457" cm="1">
        <f t="array" ref="AI119">SUMPRODUCT('W3'!$K$18:$AJ$1670*('W3'!$A$18:$A$1670=AI$5)*('W3'!$D$18:$D$1670=$B$98)*('W3'!$K$14:$AJ$14='Cover Page'!$D119))</f>
        <v>0</v>
      </c>
      <c r="AJ119" s="457"/>
      <c r="AL119" s="712"/>
    </row>
    <row r="120" spans="4:38" hidden="1" outlineLevel="1" x14ac:dyDescent="0.25">
      <c r="D120" s="542">
        <v>22</v>
      </c>
      <c r="E120" s="496" t="str">
        <f t="shared" si="30"/>
        <v>triệu VND</v>
      </c>
      <c r="F120" s="454"/>
      <c r="H120" s="457" cm="1">
        <f t="array" ref="H120">SUMPRODUCT('W3'!$K$18:$AJ$1670*('W3'!$A$18:$A$1670=H$5)*('W3'!$D$18:$D$1670=$B$98)*('W3'!$K$14:$AJ$14='Cover Page'!$D120))</f>
        <v>0</v>
      </c>
      <c r="I120" s="741"/>
      <c r="K120" s="457" cm="1">
        <f t="array" ref="K120">SUMPRODUCT('W3'!$K$18:$AJ$1670*('W3'!$A$18:$A$1670=K$5)*('W3'!$D$18:$D$1670=$B$98)*('W3'!$K$14:$AJ$14='Cover Page'!$D120))</f>
        <v>0</v>
      </c>
      <c r="L120" s="732"/>
      <c r="N120" s="457" cm="1">
        <f t="array" ref="N120">SUMPRODUCT('W3'!$K$18:$AJ$1670*('W3'!$A$18:$A$1670=N$5)*('W3'!$D$18:$D$1670=$B$98)*('W3'!$K$14:$AJ$14='Cover Page'!$D120))</f>
        <v>0</v>
      </c>
      <c r="O120" s="732"/>
      <c r="Q120" s="457" cm="1">
        <f t="array" ref="Q120">SUMPRODUCT('W3'!$K$18:$AJ$1670*('W3'!$A$18:$A$1670=Q$5)*('W3'!$D$18:$D$1670=$B$98)*('W3'!$K$14:$AJ$14='Cover Page'!$D120))</f>
        <v>0</v>
      </c>
      <c r="R120" s="732"/>
      <c r="T120" s="457" cm="1">
        <f t="array" ref="T120">SUMPRODUCT('W3'!$K$18:$AJ$1670*('W3'!$A$18:$A$1670=T$5)*('W3'!$D$18:$D$1670=$B$98)*('W3'!$K$14:$AJ$14='Cover Page'!$D120))</f>
        <v>0</v>
      </c>
      <c r="U120" s="457"/>
      <c r="W120" s="457" cm="1">
        <f t="array" ref="W120">SUMPRODUCT('W3'!$K$18:$AJ$1670*('W3'!$A$18:$A$1670=W$5)*('W3'!$D$18:$D$1670=$B$98)*('W3'!$K$14:$AJ$14='Cover Page'!$D120))</f>
        <v>0</v>
      </c>
      <c r="X120" s="457"/>
      <c r="Z120" s="457" cm="1">
        <f t="array" ref="Z120">SUMPRODUCT('W3'!$K$18:$AJ$1670*('W3'!$A$18:$A$1670=Z$5)*('W3'!$D$18:$D$1670=$B$98)*('W3'!$K$14:$AJ$14='Cover Page'!$D120))</f>
        <v>0</v>
      </c>
      <c r="AA120" s="457"/>
      <c r="AC120" s="457" cm="1">
        <f t="array" ref="AC120">SUMPRODUCT('W3'!$K$18:$AJ$1670*('W3'!$A$18:$A$1670=AC$5)*('W3'!$D$18:$D$1670=$B$98)*('W3'!$K$14:$AJ$14='Cover Page'!$D120))</f>
        <v>0</v>
      </c>
      <c r="AD120" s="457"/>
      <c r="AF120" s="457" cm="1">
        <f t="array" ref="AF120">SUMPRODUCT('W3'!$K$18:$AJ$1670*('W3'!$A$18:$A$1670=AF$5)*('W3'!$D$18:$D$1670=$B$98)*('W3'!$K$14:$AJ$14='Cover Page'!$D120))</f>
        <v>0</v>
      </c>
      <c r="AG120" s="457"/>
      <c r="AI120" s="457" cm="1">
        <f t="array" ref="AI120">SUMPRODUCT('W3'!$K$18:$AJ$1670*('W3'!$A$18:$A$1670=AI$5)*('W3'!$D$18:$D$1670=$B$98)*('W3'!$K$14:$AJ$14='Cover Page'!$D120))</f>
        <v>0</v>
      </c>
      <c r="AJ120" s="457"/>
      <c r="AL120" s="712"/>
    </row>
    <row r="121" spans="4:38" hidden="1" outlineLevel="1" x14ac:dyDescent="0.25">
      <c r="D121" s="542">
        <v>23</v>
      </c>
      <c r="E121" s="496" t="str">
        <f t="shared" si="30"/>
        <v>triệu VND</v>
      </c>
      <c r="F121" s="454"/>
      <c r="H121" s="457" cm="1">
        <f t="array" ref="H121">SUMPRODUCT('W3'!$K$18:$AJ$1670*('W3'!$A$18:$A$1670=H$5)*('W3'!$D$18:$D$1670=$B$98)*('W3'!$K$14:$AJ$14='Cover Page'!$D121))</f>
        <v>0</v>
      </c>
      <c r="I121" s="741"/>
      <c r="K121" s="457" cm="1">
        <f t="array" ref="K121">SUMPRODUCT('W3'!$K$18:$AJ$1670*('W3'!$A$18:$A$1670=K$5)*('W3'!$D$18:$D$1670=$B$98)*('W3'!$K$14:$AJ$14='Cover Page'!$D121))</f>
        <v>0</v>
      </c>
      <c r="L121" s="732"/>
      <c r="N121" s="457" cm="1">
        <f t="array" ref="N121">SUMPRODUCT('W3'!$K$18:$AJ$1670*('W3'!$A$18:$A$1670=N$5)*('W3'!$D$18:$D$1670=$B$98)*('W3'!$K$14:$AJ$14='Cover Page'!$D121))</f>
        <v>0</v>
      </c>
      <c r="O121" s="732"/>
      <c r="Q121" s="457" cm="1">
        <f t="array" ref="Q121">SUMPRODUCT('W3'!$K$18:$AJ$1670*('W3'!$A$18:$A$1670=Q$5)*('W3'!$D$18:$D$1670=$B$98)*('W3'!$K$14:$AJ$14='Cover Page'!$D121))</f>
        <v>0</v>
      </c>
      <c r="R121" s="732"/>
      <c r="T121" s="457" cm="1">
        <f t="array" ref="T121">SUMPRODUCT('W3'!$K$18:$AJ$1670*('W3'!$A$18:$A$1670=T$5)*('W3'!$D$18:$D$1670=$B$98)*('W3'!$K$14:$AJ$14='Cover Page'!$D121))</f>
        <v>0</v>
      </c>
      <c r="U121" s="457"/>
      <c r="W121" s="457" cm="1">
        <f t="array" ref="W121">SUMPRODUCT('W3'!$K$18:$AJ$1670*('W3'!$A$18:$A$1670=W$5)*('W3'!$D$18:$D$1670=$B$98)*('W3'!$K$14:$AJ$14='Cover Page'!$D121))</f>
        <v>0</v>
      </c>
      <c r="X121" s="457"/>
      <c r="Z121" s="457" cm="1">
        <f t="array" ref="Z121">SUMPRODUCT('W3'!$K$18:$AJ$1670*('W3'!$A$18:$A$1670=Z$5)*('W3'!$D$18:$D$1670=$B$98)*('W3'!$K$14:$AJ$14='Cover Page'!$D121))</f>
        <v>0</v>
      </c>
      <c r="AA121" s="457"/>
      <c r="AC121" s="457" cm="1">
        <f t="array" ref="AC121">SUMPRODUCT('W3'!$K$18:$AJ$1670*('W3'!$A$18:$A$1670=AC$5)*('W3'!$D$18:$D$1670=$B$98)*('W3'!$K$14:$AJ$14='Cover Page'!$D121))</f>
        <v>0</v>
      </c>
      <c r="AD121" s="457"/>
      <c r="AF121" s="457" cm="1">
        <f t="array" ref="AF121">SUMPRODUCT('W3'!$K$18:$AJ$1670*('W3'!$A$18:$A$1670=AF$5)*('W3'!$D$18:$D$1670=$B$98)*('W3'!$K$14:$AJ$14='Cover Page'!$D121))</f>
        <v>0</v>
      </c>
      <c r="AG121" s="457"/>
      <c r="AI121" s="457" cm="1">
        <f t="array" ref="AI121">SUMPRODUCT('W3'!$K$18:$AJ$1670*('W3'!$A$18:$A$1670=AI$5)*('W3'!$D$18:$D$1670=$B$98)*('W3'!$K$14:$AJ$14='Cover Page'!$D121))</f>
        <v>0</v>
      </c>
      <c r="AJ121" s="457"/>
      <c r="AL121" s="712"/>
    </row>
    <row r="122" spans="4:38" hidden="1" outlineLevel="1" x14ac:dyDescent="0.25">
      <c r="D122" s="542">
        <v>24</v>
      </c>
      <c r="E122" s="496" t="str">
        <f t="shared" si="30"/>
        <v>triệu VND</v>
      </c>
      <c r="F122" s="454"/>
      <c r="H122" s="457" cm="1">
        <f t="array" ref="H122">SUMPRODUCT('W3'!$K$18:$AJ$1670*('W3'!$A$18:$A$1670=H$5)*('W3'!$D$18:$D$1670=$B$98)*('W3'!$K$14:$AJ$14='Cover Page'!$D122))</f>
        <v>0</v>
      </c>
      <c r="I122" s="741"/>
      <c r="K122" s="457" cm="1">
        <f t="array" ref="K122">SUMPRODUCT('W3'!$K$18:$AJ$1670*('W3'!$A$18:$A$1670=K$5)*('W3'!$D$18:$D$1670=$B$98)*('W3'!$K$14:$AJ$14='Cover Page'!$D122))</f>
        <v>0</v>
      </c>
      <c r="L122" s="732"/>
      <c r="N122" s="457" cm="1">
        <f t="array" ref="N122">SUMPRODUCT('W3'!$K$18:$AJ$1670*('W3'!$A$18:$A$1670=N$5)*('W3'!$D$18:$D$1670=$B$98)*('W3'!$K$14:$AJ$14='Cover Page'!$D122))</f>
        <v>0</v>
      </c>
      <c r="O122" s="732"/>
      <c r="Q122" s="457" cm="1">
        <f t="array" ref="Q122">SUMPRODUCT('W3'!$K$18:$AJ$1670*('W3'!$A$18:$A$1670=Q$5)*('W3'!$D$18:$D$1670=$B$98)*('W3'!$K$14:$AJ$14='Cover Page'!$D122))</f>
        <v>0</v>
      </c>
      <c r="R122" s="732"/>
      <c r="T122" s="457" cm="1">
        <f t="array" ref="T122">SUMPRODUCT('W3'!$K$18:$AJ$1670*('W3'!$A$18:$A$1670=T$5)*('W3'!$D$18:$D$1670=$B$98)*('W3'!$K$14:$AJ$14='Cover Page'!$D122))</f>
        <v>0</v>
      </c>
      <c r="U122" s="457"/>
      <c r="W122" s="457" cm="1">
        <f t="array" ref="W122">SUMPRODUCT('W3'!$K$18:$AJ$1670*('W3'!$A$18:$A$1670=W$5)*('W3'!$D$18:$D$1670=$B$98)*('W3'!$K$14:$AJ$14='Cover Page'!$D122))</f>
        <v>0</v>
      </c>
      <c r="X122" s="457"/>
      <c r="Z122" s="457" cm="1">
        <f t="array" ref="Z122">SUMPRODUCT('W3'!$K$18:$AJ$1670*('W3'!$A$18:$A$1670=Z$5)*('W3'!$D$18:$D$1670=$B$98)*('W3'!$K$14:$AJ$14='Cover Page'!$D122))</f>
        <v>0</v>
      </c>
      <c r="AA122" s="457"/>
      <c r="AC122" s="457" cm="1">
        <f t="array" ref="AC122">SUMPRODUCT('W3'!$K$18:$AJ$1670*('W3'!$A$18:$A$1670=AC$5)*('W3'!$D$18:$D$1670=$B$98)*('W3'!$K$14:$AJ$14='Cover Page'!$D122))</f>
        <v>0</v>
      </c>
      <c r="AD122" s="457"/>
      <c r="AF122" s="457" cm="1">
        <f t="array" ref="AF122">SUMPRODUCT('W3'!$K$18:$AJ$1670*('W3'!$A$18:$A$1670=AF$5)*('W3'!$D$18:$D$1670=$B$98)*('W3'!$K$14:$AJ$14='Cover Page'!$D122))</f>
        <v>0</v>
      </c>
      <c r="AG122" s="457"/>
      <c r="AI122" s="457" cm="1">
        <f t="array" ref="AI122">SUMPRODUCT('W3'!$K$18:$AJ$1670*('W3'!$A$18:$A$1670=AI$5)*('W3'!$D$18:$D$1670=$B$98)*('W3'!$K$14:$AJ$14='Cover Page'!$D122))</f>
        <v>0</v>
      </c>
      <c r="AJ122" s="457"/>
      <c r="AL122" s="712"/>
    </row>
    <row r="123" spans="4:38" hidden="1" outlineLevel="1" x14ac:dyDescent="0.25">
      <c r="D123" s="542">
        <v>25</v>
      </c>
      <c r="E123" s="496" t="str">
        <f t="shared" si="30"/>
        <v>triệu VND</v>
      </c>
      <c r="F123" s="454"/>
      <c r="H123" s="457" cm="1">
        <f t="array" ref="H123">SUMPRODUCT('W3'!$K$18:$AJ$1670*('W3'!$A$18:$A$1670=H$5)*('W3'!$D$18:$D$1670=$B$98)*('W3'!$K$14:$AJ$14='Cover Page'!$D123))</f>
        <v>0</v>
      </c>
      <c r="I123" s="741"/>
      <c r="K123" s="457" cm="1">
        <f t="array" ref="K123">SUMPRODUCT('W3'!$K$18:$AJ$1670*('W3'!$A$18:$A$1670=K$5)*('W3'!$D$18:$D$1670=$B$98)*('W3'!$K$14:$AJ$14='Cover Page'!$D123))</f>
        <v>0</v>
      </c>
      <c r="L123" s="732"/>
      <c r="N123" s="457" cm="1">
        <f t="array" ref="N123">SUMPRODUCT('W3'!$K$18:$AJ$1670*('W3'!$A$18:$A$1670=N$5)*('W3'!$D$18:$D$1670=$B$98)*('W3'!$K$14:$AJ$14='Cover Page'!$D123))</f>
        <v>0</v>
      </c>
      <c r="O123" s="732"/>
      <c r="Q123" s="457" cm="1">
        <f t="array" ref="Q123">SUMPRODUCT('W3'!$K$18:$AJ$1670*('W3'!$A$18:$A$1670=Q$5)*('W3'!$D$18:$D$1670=$B$98)*('W3'!$K$14:$AJ$14='Cover Page'!$D123))</f>
        <v>0</v>
      </c>
      <c r="R123" s="732"/>
      <c r="T123" s="457" cm="1">
        <f t="array" ref="T123">SUMPRODUCT('W3'!$K$18:$AJ$1670*('W3'!$A$18:$A$1670=T$5)*('W3'!$D$18:$D$1670=$B$98)*('W3'!$K$14:$AJ$14='Cover Page'!$D123))</f>
        <v>0</v>
      </c>
      <c r="U123" s="457"/>
      <c r="W123" s="457" cm="1">
        <f t="array" ref="W123">SUMPRODUCT('W3'!$K$18:$AJ$1670*('W3'!$A$18:$A$1670=W$5)*('W3'!$D$18:$D$1670=$B$98)*('W3'!$K$14:$AJ$14='Cover Page'!$D123))</f>
        <v>0</v>
      </c>
      <c r="X123" s="457"/>
      <c r="Z123" s="457" cm="1">
        <f t="array" ref="Z123">SUMPRODUCT('W3'!$K$18:$AJ$1670*('W3'!$A$18:$A$1670=Z$5)*('W3'!$D$18:$D$1670=$B$98)*('W3'!$K$14:$AJ$14='Cover Page'!$D123))</f>
        <v>0</v>
      </c>
      <c r="AA123" s="457"/>
      <c r="AC123" s="457" cm="1">
        <f t="array" ref="AC123">SUMPRODUCT('W3'!$K$18:$AJ$1670*('W3'!$A$18:$A$1670=AC$5)*('W3'!$D$18:$D$1670=$B$98)*('W3'!$K$14:$AJ$14='Cover Page'!$D123))</f>
        <v>0</v>
      </c>
      <c r="AD123" s="457"/>
      <c r="AF123" s="457" cm="1">
        <f t="array" ref="AF123">SUMPRODUCT('W3'!$K$18:$AJ$1670*('W3'!$A$18:$A$1670=AF$5)*('W3'!$D$18:$D$1670=$B$98)*('W3'!$K$14:$AJ$14='Cover Page'!$D123))</f>
        <v>0</v>
      </c>
      <c r="AG123" s="457"/>
      <c r="AI123" s="457" cm="1">
        <f t="array" ref="AI123">SUMPRODUCT('W3'!$K$18:$AJ$1670*('W3'!$A$18:$A$1670=AI$5)*('W3'!$D$18:$D$1670=$B$98)*('W3'!$K$14:$AJ$14='Cover Page'!$D123))</f>
        <v>0</v>
      </c>
      <c r="AJ123" s="457"/>
      <c r="AL123" s="712"/>
    </row>
    <row r="124" spans="4:38" collapsed="1" x14ac:dyDescent="0.25"/>
  </sheetData>
  <mergeCells count="11">
    <mergeCell ref="Z4:AA4"/>
    <mergeCell ref="AC4:AD4"/>
    <mergeCell ref="AF4:AG4"/>
    <mergeCell ref="AI4:AJ4"/>
    <mergeCell ref="D4:E4"/>
    <mergeCell ref="H4:I4"/>
    <mergeCell ref="W4:X4"/>
    <mergeCell ref="T4:U4"/>
    <mergeCell ref="K4:L4"/>
    <mergeCell ref="N4:O4"/>
    <mergeCell ref="Q4:R4"/>
  </mergeCells>
  <phoneticPr fontId="12" type="noConversion"/>
  <conditionalFormatting sqref="K72:K96 N72:N96 Q72:Q96">
    <cfRule type="expression" dxfId="6" priority="7">
      <formula>K72&lt;0</formula>
    </cfRule>
  </conditionalFormatting>
  <conditionalFormatting sqref="T72:T96">
    <cfRule type="expression" dxfId="5" priority="6">
      <formula>T72&lt;0</formula>
    </cfRule>
  </conditionalFormatting>
  <conditionalFormatting sqref="W72:W96">
    <cfRule type="expression" dxfId="4" priority="5">
      <formula>W72&lt;0</formula>
    </cfRule>
  </conditionalFormatting>
  <conditionalFormatting sqref="Z72:Z96">
    <cfRule type="expression" dxfId="3" priority="4">
      <formula>Z72&lt;0</formula>
    </cfRule>
  </conditionalFormatting>
  <conditionalFormatting sqref="AC72:AC96">
    <cfRule type="expression" dxfId="2" priority="3">
      <formula>AC72&lt;0</formula>
    </cfRule>
  </conditionalFormatting>
  <conditionalFormatting sqref="AF72:AF96">
    <cfRule type="expression" dxfId="1" priority="2">
      <formula>AF72&lt;0</formula>
    </cfRule>
  </conditionalFormatting>
  <conditionalFormatting sqref="AI72:AI96">
    <cfRule type="expression" dxfId="0" priority="1">
      <formula>AI72&lt;0</formula>
    </cfRule>
  </conditionalFormatting>
  <dataValidations disablePrompts="1" count="1">
    <dataValidation type="list" allowBlank="1" showInputMessage="1" showErrorMessage="1" sqref="A33" xr:uid="{D74D54DD-F031-4039-9672-D5DC52E0C674}">
      <formula1>"USD,VND"</formula1>
    </dataValidation>
  </dataValidations>
  <pageMargins left="0.7" right="0.7" top="0.75" bottom="0.75" header="0.3" footer="0.3"/>
  <ignoredErrors>
    <ignoredError sqref="A13:C17" numberStoredAsText="1"/>
    <ignoredError sqref="R71:R96" formula="1"/>
  </ignoredErrors>
  <drawing r:id="rId1"/>
  <legacy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FAEF-32D7-45D5-B025-5C7CA12C74E0}">
  <dimension ref="A1:NE68"/>
  <sheetViews>
    <sheetView showGridLines="0" zoomScale="85" zoomScaleNormal="85" workbookViewId="0">
      <pane xSplit="6" ySplit="9" topLeftCell="G10" activePane="bottomRight" state="frozen"/>
      <selection pane="topRight" activeCell="H1" sqref="H1"/>
      <selection pane="bottomLeft" activeCell="A10" sqref="A10"/>
      <selection pane="bottomRight" activeCell="AH60" sqref="AH60"/>
    </sheetView>
  </sheetViews>
  <sheetFormatPr defaultRowHeight="15" outlineLevelRow="1" outlineLevelCol="1" x14ac:dyDescent="0.25"/>
  <cols>
    <col min="1" max="1" width="11.125" hidden="1" customWidth="1" outlineLevel="1"/>
    <col min="2" max="2" width="14.375" hidden="1" customWidth="1" outlineLevel="1"/>
    <col min="3" max="3" width="6.5" customWidth="1" collapsed="1"/>
    <col min="4" max="4" width="43.75" customWidth="1"/>
    <col min="5" max="5" width="10.75" customWidth="1"/>
    <col min="6" max="6" width="1.125" customWidth="1"/>
    <col min="7" max="7" width="11.5" customWidth="1"/>
    <col min="8" max="8" width="16.75" customWidth="1"/>
    <col min="9" max="9" width="21.125" customWidth="1"/>
    <col min="10" max="10" width="19.75" customWidth="1"/>
    <col min="11" max="11" width="1.125" customWidth="1"/>
    <col min="12" max="12" width="10.125" customWidth="1"/>
    <col min="13" max="13" width="18.125" customWidth="1"/>
    <col min="14" max="14" width="20.75" bestFit="1" customWidth="1" collapsed="1"/>
    <col min="15" max="15" width="19.5" bestFit="1" customWidth="1"/>
    <col min="16" max="16" width="1.125" customWidth="1"/>
    <col min="17" max="17" width="11.125" customWidth="1"/>
    <col min="18" max="18" width="16.5" bestFit="1" customWidth="1"/>
    <col min="19" max="19" width="20.75" customWidth="1" collapsed="1"/>
    <col min="20" max="20" width="19.5" customWidth="1"/>
    <col min="21" max="21" width="1.125" customWidth="1"/>
    <col min="22" max="22" width="11.125" customWidth="1"/>
    <col min="23" max="23" width="15.5" bestFit="1" customWidth="1"/>
    <col min="24" max="24" width="20.75" customWidth="1" collapsed="1"/>
    <col min="25" max="25" width="19.5" customWidth="1"/>
    <col min="26" max="26" width="1.125" customWidth="1"/>
    <col min="27" max="27" width="11.125" customWidth="1"/>
    <col min="28" max="28" width="15.5" bestFit="1" customWidth="1"/>
    <col min="29" max="29" width="20.75" customWidth="1" collapsed="1"/>
    <col min="30" max="30" width="19.5" customWidth="1"/>
    <col min="31" max="31" width="1.125" customWidth="1"/>
    <col min="32" max="32" width="11.125" customWidth="1"/>
    <col min="33" max="33" width="15.5" bestFit="1" customWidth="1"/>
    <col min="34" max="34" width="20.75" customWidth="1" collapsed="1"/>
    <col min="35" max="35" width="19.5" customWidth="1"/>
    <col min="36" max="36" width="1.125" customWidth="1"/>
    <col min="37" max="37" width="8.875" bestFit="1" customWidth="1"/>
    <col min="38" max="38" width="15.5" bestFit="1" customWidth="1"/>
    <col min="39" max="39" width="18.625" bestFit="1" customWidth="1"/>
    <col min="40" max="40" width="17.5" bestFit="1" customWidth="1"/>
    <col min="41" max="41" width="1.125" customWidth="1"/>
    <col min="42" max="42" width="8.875" bestFit="1" customWidth="1"/>
    <col min="43" max="43" width="15.5" bestFit="1" customWidth="1"/>
    <col min="44" max="44" width="18.625" bestFit="1" customWidth="1"/>
    <col min="45" max="45" width="17.5" bestFit="1" customWidth="1"/>
    <col min="46" max="46" width="1.125" customWidth="1"/>
    <col min="47" max="47" width="8.875" bestFit="1" customWidth="1"/>
    <col min="48" max="48" width="15.5" bestFit="1" customWidth="1"/>
    <col min="49" max="49" width="18.625" bestFit="1" customWidth="1"/>
    <col min="50" max="50" width="17.5" bestFit="1" customWidth="1"/>
    <col min="51" max="51" width="1.125" customWidth="1"/>
    <col min="52" max="52" width="8.875" bestFit="1" customWidth="1"/>
    <col min="53" max="53" width="15.5" bestFit="1" customWidth="1"/>
    <col min="54" max="54" width="18.625" bestFit="1" customWidth="1"/>
    <col min="55" max="55" width="17.5" bestFit="1" customWidth="1"/>
    <col min="56" max="56" width="1.125" customWidth="1"/>
    <col min="57" max="57" width="17.75" bestFit="1" customWidth="1"/>
    <col min="58" max="58" width="23.375" bestFit="1" customWidth="1"/>
    <col min="59" max="59" width="50.5" customWidth="1"/>
    <col min="60" max="60" width="1.375" customWidth="1"/>
    <col min="61" max="61" width="19.75" customWidth="1"/>
    <col min="62" max="70" width="19.75" hidden="1" customWidth="1" outlineLevel="1"/>
    <col min="71" max="89" width="18.375" hidden="1" customWidth="1" outlineLevel="1"/>
    <col min="90" max="90" width="18.375" customWidth="1" collapsed="1"/>
    <col min="91" max="91" width="3.5" customWidth="1"/>
    <col min="92" max="92" width="19.75" bestFit="1" customWidth="1"/>
    <col min="93" max="101" width="19.75" hidden="1" customWidth="1" outlineLevel="1"/>
    <col min="102" max="120" width="18.375" hidden="1" customWidth="1" outlineLevel="1"/>
    <col min="121" max="121" width="18.375" customWidth="1" collapsed="1"/>
    <col min="122" max="122" width="3.5" customWidth="1"/>
    <col min="123" max="123" width="17.125" bestFit="1" customWidth="1"/>
    <col min="124" max="137" width="17.125" hidden="1" customWidth="1" outlineLevel="1"/>
    <col min="138" max="151" width="15.875" hidden="1" customWidth="1" outlineLevel="1"/>
    <col min="152" max="152" width="15.875" customWidth="1" collapsed="1"/>
    <col min="153" max="153" width="3.5" customWidth="1"/>
    <col min="154" max="154" width="17.125" bestFit="1" customWidth="1"/>
    <col min="155" max="168" width="17.125" hidden="1" customWidth="1" outlineLevel="1"/>
    <col min="169" max="182" width="15.875" hidden="1" customWidth="1" outlineLevel="1"/>
    <col min="183" max="183" width="15.875" customWidth="1" collapsed="1"/>
    <col min="184" max="184" width="3.5" customWidth="1"/>
    <col min="185" max="185" width="17.125" bestFit="1" customWidth="1"/>
    <col min="186" max="199" width="17.125" hidden="1" customWidth="1" outlineLevel="1"/>
    <col min="200" max="213" width="15.875" hidden="1" customWidth="1" outlineLevel="1"/>
    <col min="214" max="214" width="15.875" customWidth="1" collapsed="1"/>
    <col min="215" max="215" width="3.5" customWidth="1"/>
    <col min="216" max="216" width="19.75" customWidth="1"/>
    <col min="217" max="225" width="19.75" hidden="1" customWidth="1" outlineLevel="1"/>
    <col min="226" max="244" width="18.375" hidden="1" customWidth="1" outlineLevel="1"/>
    <col min="245" max="245" width="18.375" customWidth="1" collapsed="1"/>
    <col min="246" max="246" width="1.375" customWidth="1"/>
    <col min="247" max="247" width="19.75" customWidth="1"/>
    <col min="248" max="256" width="19.75" hidden="1" customWidth="1" outlineLevel="1"/>
    <col min="257" max="275" width="18.375" hidden="1" customWidth="1" outlineLevel="1"/>
    <col min="276" max="276" width="18.375" customWidth="1" collapsed="1"/>
    <col min="277" max="277" width="2.375" customWidth="1"/>
    <col min="278" max="278" width="19.75" customWidth="1"/>
    <col min="279" max="287" width="19.75" hidden="1" customWidth="1" outlineLevel="1"/>
    <col min="288" max="306" width="18.375" hidden="1" customWidth="1" outlineLevel="1"/>
    <col min="307" max="307" width="18.375" customWidth="1" collapsed="1"/>
    <col min="308" max="308" width="2.75" customWidth="1"/>
    <col min="309" max="309" width="19.75" customWidth="1"/>
    <col min="310" max="318" width="19.75" hidden="1" customWidth="1" outlineLevel="1"/>
    <col min="319" max="337" width="18.375" hidden="1" customWidth="1" outlineLevel="1"/>
    <col min="338" max="338" width="18.375" customWidth="1" collapsed="1"/>
    <col min="339" max="339" width="2.5" customWidth="1"/>
    <col min="340" max="340" width="19.75" customWidth="1"/>
    <col min="341" max="349" width="19.75" hidden="1" customWidth="1" outlineLevel="1"/>
    <col min="350" max="368" width="18.375" hidden="1" customWidth="1" outlineLevel="1"/>
    <col min="369" max="369" width="18.375" customWidth="1" collapsed="1"/>
  </cols>
  <sheetData>
    <row r="1" spans="1:369" outlineLevel="1" x14ac:dyDescent="0.25">
      <c r="D1" s="34" t="s">
        <v>0</v>
      </c>
    </row>
    <row r="2" spans="1:369" outlineLevel="1" x14ac:dyDescent="0.25">
      <c r="D2" s="34" t="s">
        <v>1</v>
      </c>
    </row>
    <row r="3" spans="1:369" ht="19.5" outlineLevel="1" x14ac:dyDescent="0.3">
      <c r="D3" s="35" t="s">
        <v>44</v>
      </c>
      <c r="M3" s="70"/>
      <c r="N3" s="15"/>
      <c r="O3" s="64"/>
    </row>
    <row r="4" spans="1:369" ht="26.25" outlineLevel="1" x14ac:dyDescent="0.4">
      <c r="D4" s="36" t="s">
        <v>43</v>
      </c>
      <c r="I4" s="15"/>
    </row>
    <row r="5" spans="1:369" x14ac:dyDescent="0.25">
      <c r="D5" s="216" t="str">
        <f>Currency</f>
        <v>VND</v>
      </c>
      <c r="N5" s="41" t="s">
        <v>604</v>
      </c>
      <c r="S5" s="41" t="s">
        <v>560</v>
      </c>
      <c r="X5" s="41" t="s">
        <v>560</v>
      </c>
      <c r="AC5" s="41" t="s">
        <v>560</v>
      </c>
      <c r="AH5" s="41" t="s">
        <v>560</v>
      </c>
    </row>
    <row r="6" spans="1:369" ht="19.5" x14ac:dyDescent="0.3">
      <c r="D6" s="15">
        <f>IF(D5="VND",1,EXR)</f>
        <v>1</v>
      </c>
      <c r="F6" s="1"/>
      <c r="G6" s="1"/>
      <c r="I6" s="694" t="s">
        <v>404</v>
      </c>
      <c r="J6" s="217" t="s">
        <v>406</v>
      </c>
      <c r="K6" s="1"/>
      <c r="L6" s="1"/>
      <c r="M6" s="1"/>
      <c r="N6" s="694" t="s">
        <v>405</v>
      </c>
      <c r="O6" s="226">
        <f>Opt2_CAPEX</f>
        <v>0</v>
      </c>
      <c r="P6" s="1"/>
      <c r="Q6" s="1"/>
      <c r="R6" s="1"/>
      <c r="S6" s="694" t="s">
        <v>407</v>
      </c>
      <c r="T6" s="226">
        <f>Opt3_CAPEX</f>
        <v>0</v>
      </c>
      <c r="U6" s="1"/>
      <c r="V6" s="1"/>
      <c r="W6" s="1"/>
      <c r="X6" s="694" t="s">
        <v>692</v>
      </c>
      <c r="Y6" s="226">
        <f>Opt4_CAPEX</f>
        <v>0</v>
      </c>
      <c r="Z6" s="1"/>
      <c r="AA6" s="1"/>
      <c r="AB6" s="1"/>
      <c r="AC6" s="694" t="s">
        <v>693</v>
      </c>
      <c r="AD6" s="226">
        <f>Opt5_CAPEX</f>
        <v>0</v>
      </c>
      <c r="AE6" s="1"/>
      <c r="AF6" s="1"/>
      <c r="AG6" s="1"/>
      <c r="AH6" s="694" t="s">
        <v>694</v>
      </c>
      <c r="AI6" s="226">
        <f>Opt6_CAPEX</f>
        <v>0</v>
      </c>
      <c r="AJ6" s="1"/>
      <c r="AK6" s="1"/>
      <c r="AL6" s="1"/>
      <c r="AM6" s="694" t="s">
        <v>855</v>
      </c>
      <c r="AN6" s="226">
        <f>Opt7_CAPEX</f>
        <v>0</v>
      </c>
      <c r="AO6" s="1"/>
      <c r="AP6" s="1"/>
      <c r="AQ6" s="1"/>
      <c r="AR6" s="694" t="s">
        <v>856</v>
      </c>
      <c r="AS6" s="226">
        <f>Opt8_CAPEX</f>
        <v>0</v>
      </c>
      <c r="AT6" s="1"/>
      <c r="AU6" s="1"/>
      <c r="AV6" s="1"/>
      <c r="AW6" s="694" t="s">
        <v>857</v>
      </c>
      <c r="AX6" s="226">
        <f>Opt9_CAPEX</f>
        <v>0</v>
      </c>
      <c r="AY6" s="1"/>
      <c r="AZ6" s="1"/>
      <c r="BA6" s="1"/>
      <c r="BB6" s="694" t="s">
        <v>858</v>
      </c>
      <c r="BC6" s="226">
        <f>Opt10_CAPEX</f>
        <v>0</v>
      </c>
      <c r="BD6" s="1"/>
    </row>
    <row r="7" spans="1:369" s="229" customFormat="1" ht="34.5" customHeight="1" x14ac:dyDescent="0.25">
      <c r="A7"/>
      <c r="B7"/>
      <c r="C7" s="1142" t="s">
        <v>2</v>
      </c>
      <c r="D7" s="1142" t="s">
        <v>29</v>
      </c>
      <c r="E7" s="227" t="s">
        <v>38</v>
      </c>
      <c r="F7" s="231"/>
      <c r="G7" s="227" t="s">
        <v>36</v>
      </c>
      <c r="H7" s="227" t="s">
        <v>39</v>
      </c>
      <c r="I7" s="227" t="s">
        <v>28</v>
      </c>
      <c r="J7" s="227" t="s">
        <v>190</v>
      </c>
      <c r="K7" s="231"/>
      <c r="L7" s="227" t="s">
        <v>36</v>
      </c>
      <c r="M7" s="227" t="s">
        <v>39</v>
      </c>
      <c r="N7" s="227" t="s">
        <v>28</v>
      </c>
      <c r="O7" s="227" t="s">
        <v>190</v>
      </c>
      <c r="P7" s="228"/>
      <c r="Q7" s="227" t="s">
        <v>36</v>
      </c>
      <c r="R7" s="227" t="s">
        <v>39</v>
      </c>
      <c r="S7" s="227" t="s">
        <v>28</v>
      </c>
      <c r="T7" s="227" t="s">
        <v>190</v>
      </c>
      <c r="U7" s="228"/>
      <c r="V7" s="227" t="s">
        <v>36</v>
      </c>
      <c r="W7" s="227" t="s">
        <v>39</v>
      </c>
      <c r="X7" s="227" t="s">
        <v>28</v>
      </c>
      <c r="Y7" s="227" t="s">
        <v>190</v>
      </c>
      <c r="Z7" s="228"/>
      <c r="AA7" s="227" t="s">
        <v>36</v>
      </c>
      <c r="AB7" s="227" t="s">
        <v>39</v>
      </c>
      <c r="AC7" s="227" t="s">
        <v>28</v>
      </c>
      <c r="AD7" s="227" t="s">
        <v>190</v>
      </c>
      <c r="AE7" s="228"/>
      <c r="AF7" s="227" t="s">
        <v>36</v>
      </c>
      <c r="AG7" s="227" t="s">
        <v>39</v>
      </c>
      <c r="AH7" s="227" t="s">
        <v>28</v>
      </c>
      <c r="AI7" s="227" t="s">
        <v>190</v>
      </c>
      <c r="AJ7" s="228"/>
      <c r="AK7" s="227" t="s">
        <v>36</v>
      </c>
      <c r="AL7" s="227" t="s">
        <v>39</v>
      </c>
      <c r="AM7" s="227" t="s">
        <v>28</v>
      </c>
      <c r="AN7" s="227" t="s">
        <v>190</v>
      </c>
      <c r="AO7" s="228"/>
      <c r="AP7" s="227" t="s">
        <v>36</v>
      </c>
      <c r="AQ7" s="227" t="s">
        <v>39</v>
      </c>
      <c r="AR7" s="227" t="s">
        <v>28</v>
      </c>
      <c r="AS7" s="227" t="s">
        <v>190</v>
      </c>
      <c r="AT7" s="228"/>
      <c r="AU7" s="227" t="s">
        <v>36</v>
      </c>
      <c r="AV7" s="227" t="s">
        <v>39</v>
      </c>
      <c r="AW7" s="227" t="s">
        <v>28</v>
      </c>
      <c r="AX7" s="227" t="s">
        <v>190</v>
      </c>
      <c r="AY7" s="228"/>
      <c r="AZ7" s="227" t="s">
        <v>36</v>
      </c>
      <c r="BA7" s="227" t="s">
        <v>39</v>
      </c>
      <c r="BB7" s="227" t="s">
        <v>28</v>
      </c>
      <c r="BC7" s="227" t="s">
        <v>190</v>
      </c>
      <c r="BD7" s="228"/>
      <c r="BE7" s="1142" t="s">
        <v>446</v>
      </c>
      <c r="BF7" s="1142" t="s">
        <v>548</v>
      </c>
      <c r="BG7" s="215" t="s">
        <v>341</v>
      </c>
      <c r="BH7" s="215"/>
      <c r="BI7" s="687" t="s">
        <v>404</v>
      </c>
      <c r="BJ7" s="687" t="str">
        <f>BI7</f>
        <v>Option 1</v>
      </c>
      <c r="BK7" s="687" t="str">
        <f t="shared" ref="BK7:CL7" si="0">BJ7</f>
        <v>Option 1</v>
      </c>
      <c r="BL7" s="687" t="str">
        <f t="shared" si="0"/>
        <v>Option 1</v>
      </c>
      <c r="BM7" s="687" t="str">
        <f t="shared" si="0"/>
        <v>Option 1</v>
      </c>
      <c r="BN7" s="687" t="str">
        <f t="shared" si="0"/>
        <v>Option 1</v>
      </c>
      <c r="BO7" s="687" t="str">
        <f t="shared" si="0"/>
        <v>Option 1</v>
      </c>
      <c r="BP7" s="687" t="str">
        <f t="shared" si="0"/>
        <v>Option 1</v>
      </c>
      <c r="BQ7" s="687" t="str">
        <f t="shared" si="0"/>
        <v>Option 1</v>
      </c>
      <c r="BR7" s="687" t="str">
        <f t="shared" si="0"/>
        <v>Option 1</v>
      </c>
      <c r="BS7" s="687" t="str">
        <f t="shared" si="0"/>
        <v>Option 1</v>
      </c>
      <c r="BT7" s="687" t="str">
        <f t="shared" si="0"/>
        <v>Option 1</v>
      </c>
      <c r="BU7" s="687" t="str">
        <f t="shared" si="0"/>
        <v>Option 1</v>
      </c>
      <c r="BV7" s="687" t="str">
        <f t="shared" si="0"/>
        <v>Option 1</v>
      </c>
      <c r="BW7" s="687" t="str">
        <f t="shared" si="0"/>
        <v>Option 1</v>
      </c>
      <c r="BX7" s="687" t="str">
        <f t="shared" si="0"/>
        <v>Option 1</v>
      </c>
      <c r="BY7" s="687" t="str">
        <f t="shared" si="0"/>
        <v>Option 1</v>
      </c>
      <c r="BZ7" s="687" t="str">
        <f t="shared" si="0"/>
        <v>Option 1</v>
      </c>
      <c r="CA7" s="687" t="str">
        <f t="shared" si="0"/>
        <v>Option 1</v>
      </c>
      <c r="CB7" s="687" t="str">
        <f t="shared" si="0"/>
        <v>Option 1</v>
      </c>
      <c r="CC7" s="687" t="str">
        <f t="shared" si="0"/>
        <v>Option 1</v>
      </c>
      <c r="CD7" s="687" t="str">
        <f t="shared" si="0"/>
        <v>Option 1</v>
      </c>
      <c r="CE7" s="687" t="str">
        <f t="shared" si="0"/>
        <v>Option 1</v>
      </c>
      <c r="CF7" s="687" t="str">
        <f t="shared" si="0"/>
        <v>Option 1</v>
      </c>
      <c r="CG7" s="687" t="str">
        <f t="shared" si="0"/>
        <v>Option 1</v>
      </c>
      <c r="CH7" s="687" t="str">
        <f t="shared" si="0"/>
        <v>Option 1</v>
      </c>
      <c r="CI7" s="687" t="str">
        <f t="shared" si="0"/>
        <v>Option 1</v>
      </c>
      <c r="CJ7" s="687" t="str">
        <f t="shared" si="0"/>
        <v>Option 1</v>
      </c>
      <c r="CK7" s="687" t="str">
        <f t="shared" si="0"/>
        <v>Option 1</v>
      </c>
      <c r="CL7" s="687" t="str">
        <f t="shared" si="0"/>
        <v>Option 1</v>
      </c>
      <c r="CM7" s="215"/>
      <c r="CN7" s="688" t="s">
        <v>405</v>
      </c>
      <c r="CO7" s="688" t="str">
        <f>CN7</f>
        <v>Option 2</v>
      </c>
      <c r="CP7" s="688" t="str">
        <f t="shared" ref="CP7:DQ7" si="1">CO7</f>
        <v>Option 2</v>
      </c>
      <c r="CQ7" s="688" t="str">
        <f t="shared" si="1"/>
        <v>Option 2</v>
      </c>
      <c r="CR7" s="688" t="str">
        <f t="shared" si="1"/>
        <v>Option 2</v>
      </c>
      <c r="CS7" s="688" t="str">
        <f t="shared" si="1"/>
        <v>Option 2</v>
      </c>
      <c r="CT7" s="688" t="str">
        <f t="shared" si="1"/>
        <v>Option 2</v>
      </c>
      <c r="CU7" s="688" t="str">
        <f t="shared" si="1"/>
        <v>Option 2</v>
      </c>
      <c r="CV7" s="688" t="str">
        <f t="shared" si="1"/>
        <v>Option 2</v>
      </c>
      <c r="CW7" s="688" t="str">
        <f t="shared" si="1"/>
        <v>Option 2</v>
      </c>
      <c r="CX7" s="688" t="str">
        <f t="shared" si="1"/>
        <v>Option 2</v>
      </c>
      <c r="CY7" s="688" t="str">
        <f t="shared" si="1"/>
        <v>Option 2</v>
      </c>
      <c r="CZ7" s="688" t="str">
        <f t="shared" si="1"/>
        <v>Option 2</v>
      </c>
      <c r="DA7" s="688" t="str">
        <f t="shared" si="1"/>
        <v>Option 2</v>
      </c>
      <c r="DB7" s="688" t="str">
        <f t="shared" si="1"/>
        <v>Option 2</v>
      </c>
      <c r="DC7" s="688" t="str">
        <f t="shared" si="1"/>
        <v>Option 2</v>
      </c>
      <c r="DD7" s="688" t="str">
        <f t="shared" si="1"/>
        <v>Option 2</v>
      </c>
      <c r="DE7" s="688" t="str">
        <f t="shared" si="1"/>
        <v>Option 2</v>
      </c>
      <c r="DF7" s="688" t="str">
        <f t="shared" si="1"/>
        <v>Option 2</v>
      </c>
      <c r="DG7" s="688" t="str">
        <f t="shared" si="1"/>
        <v>Option 2</v>
      </c>
      <c r="DH7" s="688" t="str">
        <f t="shared" si="1"/>
        <v>Option 2</v>
      </c>
      <c r="DI7" s="688" t="str">
        <f t="shared" si="1"/>
        <v>Option 2</v>
      </c>
      <c r="DJ7" s="688" t="str">
        <f t="shared" si="1"/>
        <v>Option 2</v>
      </c>
      <c r="DK7" s="688" t="str">
        <f t="shared" si="1"/>
        <v>Option 2</v>
      </c>
      <c r="DL7" s="688" t="str">
        <f t="shared" si="1"/>
        <v>Option 2</v>
      </c>
      <c r="DM7" s="688" t="str">
        <f t="shared" si="1"/>
        <v>Option 2</v>
      </c>
      <c r="DN7" s="688" t="str">
        <f t="shared" si="1"/>
        <v>Option 2</v>
      </c>
      <c r="DO7" s="688" t="str">
        <f t="shared" si="1"/>
        <v>Option 2</v>
      </c>
      <c r="DP7" s="688" t="str">
        <f t="shared" si="1"/>
        <v>Option 2</v>
      </c>
      <c r="DQ7" s="688" t="str">
        <f t="shared" si="1"/>
        <v>Option 2</v>
      </c>
      <c r="DR7" s="215"/>
      <c r="DS7" s="689" t="s">
        <v>407</v>
      </c>
      <c r="DT7" s="689" t="s">
        <v>407</v>
      </c>
      <c r="DU7" s="689" t="s">
        <v>407</v>
      </c>
      <c r="DV7" s="689" t="s">
        <v>407</v>
      </c>
      <c r="DW7" s="689" t="s">
        <v>407</v>
      </c>
      <c r="DX7" s="689" t="s">
        <v>407</v>
      </c>
      <c r="DY7" s="689" t="s">
        <v>407</v>
      </c>
      <c r="DZ7" s="689" t="s">
        <v>407</v>
      </c>
      <c r="EA7" s="689" t="s">
        <v>407</v>
      </c>
      <c r="EB7" s="689" t="s">
        <v>407</v>
      </c>
      <c r="EC7" s="689" t="s">
        <v>407</v>
      </c>
      <c r="ED7" s="689" t="s">
        <v>407</v>
      </c>
      <c r="EE7" s="689" t="s">
        <v>407</v>
      </c>
      <c r="EF7" s="689" t="s">
        <v>407</v>
      </c>
      <c r="EG7" s="689" t="s">
        <v>407</v>
      </c>
      <c r="EH7" s="689" t="s">
        <v>407</v>
      </c>
      <c r="EI7" s="689" t="s">
        <v>407</v>
      </c>
      <c r="EJ7" s="689" t="s">
        <v>407</v>
      </c>
      <c r="EK7" s="689" t="s">
        <v>407</v>
      </c>
      <c r="EL7" s="689" t="s">
        <v>407</v>
      </c>
      <c r="EM7" s="689" t="s">
        <v>407</v>
      </c>
      <c r="EN7" s="689" t="s">
        <v>407</v>
      </c>
      <c r="EO7" s="689" t="s">
        <v>407</v>
      </c>
      <c r="EP7" s="689" t="s">
        <v>407</v>
      </c>
      <c r="EQ7" s="689" t="s">
        <v>407</v>
      </c>
      <c r="ER7" s="689" t="s">
        <v>407</v>
      </c>
      <c r="ES7" s="689" t="s">
        <v>407</v>
      </c>
      <c r="ET7" s="689" t="s">
        <v>407</v>
      </c>
      <c r="EU7" s="689" t="s">
        <v>407</v>
      </c>
      <c r="EV7" s="689" t="s">
        <v>407</v>
      </c>
      <c r="EW7" s="215"/>
      <c r="EX7" s="690" t="s">
        <v>692</v>
      </c>
      <c r="EY7" s="690" t="s">
        <v>692</v>
      </c>
      <c r="EZ7" s="690" t="s">
        <v>692</v>
      </c>
      <c r="FA7" s="690" t="s">
        <v>692</v>
      </c>
      <c r="FB7" s="690" t="s">
        <v>692</v>
      </c>
      <c r="FC7" s="690" t="s">
        <v>692</v>
      </c>
      <c r="FD7" s="690" t="s">
        <v>692</v>
      </c>
      <c r="FE7" s="690" t="s">
        <v>692</v>
      </c>
      <c r="FF7" s="690" t="s">
        <v>692</v>
      </c>
      <c r="FG7" s="690" t="s">
        <v>692</v>
      </c>
      <c r="FH7" s="690" t="s">
        <v>692</v>
      </c>
      <c r="FI7" s="690" t="s">
        <v>692</v>
      </c>
      <c r="FJ7" s="690" t="s">
        <v>692</v>
      </c>
      <c r="FK7" s="690" t="s">
        <v>692</v>
      </c>
      <c r="FL7" s="690" t="s">
        <v>692</v>
      </c>
      <c r="FM7" s="690" t="s">
        <v>692</v>
      </c>
      <c r="FN7" s="690" t="s">
        <v>692</v>
      </c>
      <c r="FO7" s="690" t="s">
        <v>692</v>
      </c>
      <c r="FP7" s="690" t="s">
        <v>692</v>
      </c>
      <c r="FQ7" s="690" t="s">
        <v>692</v>
      </c>
      <c r="FR7" s="690" t="s">
        <v>692</v>
      </c>
      <c r="FS7" s="690" t="s">
        <v>692</v>
      </c>
      <c r="FT7" s="690" t="s">
        <v>692</v>
      </c>
      <c r="FU7" s="690" t="s">
        <v>692</v>
      </c>
      <c r="FV7" s="690" t="s">
        <v>692</v>
      </c>
      <c r="FW7" s="690" t="s">
        <v>692</v>
      </c>
      <c r="FX7" s="690" t="s">
        <v>692</v>
      </c>
      <c r="FY7" s="690" t="s">
        <v>692</v>
      </c>
      <c r="FZ7" s="690" t="s">
        <v>692</v>
      </c>
      <c r="GA7" s="690" t="s">
        <v>692</v>
      </c>
      <c r="GB7" s="215"/>
      <c r="GC7" s="692" t="s">
        <v>693</v>
      </c>
      <c r="GD7" s="692" t="s">
        <v>693</v>
      </c>
      <c r="GE7" s="692" t="s">
        <v>693</v>
      </c>
      <c r="GF7" s="692" t="s">
        <v>693</v>
      </c>
      <c r="GG7" s="692" t="s">
        <v>693</v>
      </c>
      <c r="GH7" s="692" t="s">
        <v>693</v>
      </c>
      <c r="GI7" s="692" t="s">
        <v>693</v>
      </c>
      <c r="GJ7" s="692" t="s">
        <v>693</v>
      </c>
      <c r="GK7" s="692" t="s">
        <v>693</v>
      </c>
      <c r="GL7" s="692" t="s">
        <v>693</v>
      </c>
      <c r="GM7" s="692" t="s">
        <v>693</v>
      </c>
      <c r="GN7" s="692" t="s">
        <v>693</v>
      </c>
      <c r="GO7" s="692" t="s">
        <v>693</v>
      </c>
      <c r="GP7" s="692" t="s">
        <v>693</v>
      </c>
      <c r="GQ7" s="692" t="s">
        <v>693</v>
      </c>
      <c r="GR7" s="692" t="s">
        <v>693</v>
      </c>
      <c r="GS7" s="692" t="s">
        <v>693</v>
      </c>
      <c r="GT7" s="692" t="s">
        <v>693</v>
      </c>
      <c r="GU7" s="692" t="s">
        <v>693</v>
      </c>
      <c r="GV7" s="692" t="s">
        <v>693</v>
      </c>
      <c r="GW7" s="692" t="s">
        <v>693</v>
      </c>
      <c r="GX7" s="692" t="s">
        <v>693</v>
      </c>
      <c r="GY7" s="692" t="s">
        <v>693</v>
      </c>
      <c r="GZ7" s="692" t="s">
        <v>693</v>
      </c>
      <c r="HA7" s="692" t="s">
        <v>693</v>
      </c>
      <c r="HB7" s="692" t="s">
        <v>693</v>
      </c>
      <c r="HC7" s="692" t="s">
        <v>693</v>
      </c>
      <c r="HD7" s="692" t="s">
        <v>693</v>
      </c>
      <c r="HE7" s="692" t="s">
        <v>693</v>
      </c>
      <c r="HF7" s="692" t="s">
        <v>693</v>
      </c>
      <c r="HG7" s="215"/>
      <c r="HH7" s="695" t="s">
        <v>694</v>
      </c>
      <c r="HI7" s="695" t="s">
        <v>694</v>
      </c>
      <c r="HJ7" s="695" t="s">
        <v>694</v>
      </c>
      <c r="HK7" s="695" t="s">
        <v>694</v>
      </c>
      <c r="HL7" s="695" t="s">
        <v>694</v>
      </c>
      <c r="HM7" s="695" t="s">
        <v>694</v>
      </c>
      <c r="HN7" s="695" t="s">
        <v>694</v>
      </c>
      <c r="HO7" s="695" t="s">
        <v>694</v>
      </c>
      <c r="HP7" s="695" t="s">
        <v>694</v>
      </c>
      <c r="HQ7" s="695" t="s">
        <v>694</v>
      </c>
      <c r="HR7" s="695" t="s">
        <v>694</v>
      </c>
      <c r="HS7" s="695" t="s">
        <v>694</v>
      </c>
      <c r="HT7" s="695" t="s">
        <v>694</v>
      </c>
      <c r="HU7" s="695" t="s">
        <v>694</v>
      </c>
      <c r="HV7" s="695" t="s">
        <v>694</v>
      </c>
      <c r="HW7" s="695" t="s">
        <v>694</v>
      </c>
      <c r="HX7" s="695" t="s">
        <v>694</v>
      </c>
      <c r="HY7" s="695" t="s">
        <v>694</v>
      </c>
      <c r="HZ7" s="695" t="s">
        <v>694</v>
      </c>
      <c r="IA7" s="695" t="s">
        <v>694</v>
      </c>
      <c r="IB7" s="695" t="s">
        <v>694</v>
      </c>
      <c r="IC7" s="695" t="s">
        <v>694</v>
      </c>
      <c r="ID7" s="695" t="s">
        <v>694</v>
      </c>
      <c r="IE7" s="695" t="s">
        <v>694</v>
      </c>
      <c r="IF7" s="695" t="s">
        <v>694</v>
      </c>
      <c r="IG7" s="695" t="s">
        <v>694</v>
      </c>
      <c r="IH7" s="695" t="s">
        <v>694</v>
      </c>
      <c r="II7" s="695" t="s">
        <v>694</v>
      </c>
      <c r="IJ7" s="695" t="s">
        <v>694</v>
      </c>
      <c r="IK7" s="695" t="s">
        <v>694</v>
      </c>
      <c r="IM7" s="961" t="s">
        <v>855</v>
      </c>
      <c r="IN7" s="961" t="s">
        <v>855</v>
      </c>
      <c r="IO7" s="961" t="s">
        <v>855</v>
      </c>
      <c r="IP7" s="961" t="s">
        <v>855</v>
      </c>
      <c r="IQ7" s="961" t="s">
        <v>855</v>
      </c>
      <c r="IR7" s="961" t="s">
        <v>855</v>
      </c>
      <c r="IS7" s="961" t="s">
        <v>855</v>
      </c>
      <c r="IT7" s="961" t="s">
        <v>855</v>
      </c>
      <c r="IU7" s="961" t="s">
        <v>855</v>
      </c>
      <c r="IV7" s="961" t="s">
        <v>855</v>
      </c>
      <c r="IW7" s="961" t="s">
        <v>855</v>
      </c>
      <c r="IX7" s="961" t="s">
        <v>855</v>
      </c>
      <c r="IY7" s="961" t="s">
        <v>855</v>
      </c>
      <c r="IZ7" s="961" t="s">
        <v>855</v>
      </c>
      <c r="JA7" s="961" t="s">
        <v>855</v>
      </c>
      <c r="JB7" s="961" t="s">
        <v>855</v>
      </c>
      <c r="JC7" s="961" t="s">
        <v>855</v>
      </c>
      <c r="JD7" s="961" t="s">
        <v>855</v>
      </c>
      <c r="JE7" s="961" t="s">
        <v>855</v>
      </c>
      <c r="JF7" s="961" t="s">
        <v>855</v>
      </c>
      <c r="JG7" s="961" t="s">
        <v>855</v>
      </c>
      <c r="JH7" s="961" t="s">
        <v>855</v>
      </c>
      <c r="JI7" s="961" t="s">
        <v>855</v>
      </c>
      <c r="JJ7" s="961" t="s">
        <v>855</v>
      </c>
      <c r="JK7" s="961" t="s">
        <v>855</v>
      </c>
      <c r="JL7" s="961" t="s">
        <v>855</v>
      </c>
      <c r="JM7" s="961" t="s">
        <v>855</v>
      </c>
      <c r="JN7" s="961" t="s">
        <v>855</v>
      </c>
      <c r="JO7" s="961" t="s">
        <v>855</v>
      </c>
      <c r="JP7" s="961" t="s">
        <v>855</v>
      </c>
      <c r="JR7" s="963" t="s">
        <v>856</v>
      </c>
      <c r="JS7" s="963" t="s">
        <v>856</v>
      </c>
      <c r="JT7" s="963" t="s">
        <v>856</v>
      </c>
      <c r="JU7" s="963" t="s">
        <v>856</v>
      </c>
      <c r="JV7" s="963" t="s">
        <v>856</v>
      </c>
      <c r="JW7" s="963" t="s">
        <v>856</v>
      </c>
      <c r="JX7" s="963" t="s">
        <v>856</v>
      </c>
      <c r="JY7" s="963" t="s">
        <v>856</v>
      </c>
      <c r="JZ7" s="963" t="s">
        <v>856</v>
      </c>
      <c r="KA7" s="963" t="s">
        <v>856</v>
      </c>
      <c r="KB7" s="963" t="s">
        <v>856</v>
      </c>
      <c r="KC7" s="963" t="s">
        <v>856</v>
      </c>
      <c r="KD7" s="963" t="s">
        <v>856</v>
      </c>
      <c r="KE7" s="963" t="s">
        <v>856</v>
      </c>
      <c r="KF7" s="963" t="s">
        <v>856</v>
      </c>
      <c r="KG7" s="963" t="s">
        <v>856</v>
      </c>
      <c r="KH7" s="963" t="s">
        <v>856</v>
      </c>
      <c r="KI7" s="963" t="s">
        <v>856</v>
      </c>
      <c r="KJ7" s="963" t="s">
        <v>856</v>
      </c>
      <c r="KK7" s="963" t="s">
        <v>856</v>
      </c>
      <c r="KL7" s="963" t="s">
        <v>856</v>
      </c>
      <c r="KM7" s="963" t="s">
        <v>856</v>
      </c>
      <c r="KN7" s="963" t="s">
        <v>856</v>
      </c>
      <c r="KO7" s="963" t="s">
        <v>856</v>
      </c>
      <c r="KP7" s="963" t="s">
        <v>856</v>
      </c>
      <c r="KQ7" s="963" t="s">
        <v>856</v>
      </c>
      <c r="KR7" s="963" t="s">
        <v>856</v>
      </c>
      <c r="KS7" s="963" t="s">
        <v>856</v>
      </c>
      <c r="KT7" s="963" t="s">
        <v>856</v>
      </c>
      <c r="KU7" s="963" t="s">
        <v>856</v>
      </c>
      <c r="KW7" s="965" t="s">
        <v>857</v>
      </c>
      <c r="KX7" s="965" t="s">
        <v>857</v>
      </c>
      <c r="KY7" s="965" t="s">
        <v>857</v>
      </c>
      <c r="KZ7" s="965" t="s">
        <v>857</v>
      </c>
      <c r="LA7" s="965" t="s">
        <v>857</v>
      </c>
      <c r="LB7" s="965" t="s">
        <v>857</v>
      </c>
      <c r="LC7" s="965" t="s">
        <v>857</v>
      </c>
      <c r="LD7" s="965" t="s">
        <v>857</v>
      </c>
      <c r="LE7" s="965" t="s">
        <v>857</v>
      </c>
      <c r="LF7" s="965" t="s">
        <v>857</v>
      </c>
      <c r="LG7" s="965" t="s">
        <v>857</v>
      </c>
      <c r="LH7" s="965" t="s">
        <v>857</v>
      </c>
      <c r="LI7" s="965" t="s">
        <v>857</v>
      </c>
      <c r="LJ7" s="965" t="s">
        <v>857</v>
      </c>
      <c r="LK7" s="965" t="s">
        <v>857</v>
      </c>
      <c r="LL7" s="965" t="s">
        <v>857</v>
      </c>
      <c r="LM7" s="965" t="s">
        <v>857</v>
      </c>
      <c r="LN7" s="965" t="s">
        <v>857</v>
      </c>
      <c r="LO7" s="965" t="s">
        <v>857</v>
      </c>
      <c r="LP7" s="965" t="s">
        <v>857</v>
      </c>
      <c r="LQ7" s="965" t="s">
        <v>857</v>
      </c>
      <c r="LR7" s="965" t="s">
        <v>857</v>
      </c>
      <c r="LS7" s="965" t="s">
        <v>857</v>
      </c>
      <c r="LT7" s="965" t="s">
        <v>857</v>
      </c>
      <c r="LU7" s="965" t="s">
        <v>857</v>
      </c>
      <c r="LV7" s="965" t="s">
        <v>857</v>
      </c>
      <c r="LW7" s="965" t="s">
        <v>857</v>
      </c>
      <c r="LX7" s="965" t="s">
        <v>857</v>
      </c>
      <c r="LY7" s="965" t="s">
        <v>857</v>
      </c>
      <c r="LZ7" s="965" t="s">
        <v>857</v>
      </c>
      <c r="MB7" s="967" t="s">
        <v>858</v>
      </c>
      <c r="MC7" s="967" t="s">
        <v>858</v>
      </c>
      <c r="MD7" s="967" t="s">
        <v>858</v>
      </c>
      <c r="ME7" s="967" t="s">
        <v>858</v>
      </c>
      <c r="MF7" s="967" t="s">
        <v>858</v>
      </c>
      <c r="MG7" s="967" t="s">
        <v>858</v>
      </c>
      <c r="MH7" s="967" t="s">
        <v>858</v>
      </c>
      <c r="MI7" s="967" t="s">
        <v>858</v>
      </c>
      <c r="MJ7" s="967" t="s">
        <v>858</v>
      </c>
      <c r="MK7" s="967" t="s">
        <v>858</v>
      </c>
      <c r="ML7" s="967" t="s">
        <v>858</v>
      </c>
      <c r="MM7" s="967" t="s">
        <v>858</v>
      </c>
      <c r="MN7" s="967" t="s">
        <v>858</v>
      </c>
      <c r="MO7" s="967" t="s">
        <v>858</v>
      </c>
      <c r="MP7" s="967" t="s">
        <v>858</v>
      </c>
      <c r="MQ7" s="967" t="s">
        <v>858</v>
      </c>
      <c r="MR7" s="967" t="s">
        <v>858</v>
      </c>
      <c r="MS7" s="967" t="s">
        <v>858</v>
      </c>
      <c r="MT7" s="967" t="s">
        <v>858</v>
      </c>
      <c r="MU7" s="967" t="s">
        <v>858</v>
      </c>
      <c r="MV7" s="967" t="s">
        <v>858</v>
      </c>
      <c r="MW7" s="967" t="s">
        <v>858</v>
      </c>
      <c r="MX7" s="967" t="s">
        <v>858</v>
      </c>
      <c r="MY7" s="967" t="s">
        <v>858</v>
      </c>
      <c r="MZ7" s="967" t="s">
        <v>858</v>
      </c>
      <c r="NA7" s="967" t="s">
        <v>858</v>
      </c>
      <c r="NB7" s="967" t="s">
        <v>858</v>
      </c>
      <c r="NC7" s="967" t="s">
        <v>858</v>
      </c>
      <c r="ND7" s="967" t="s">
        <v>858</v>
      </c>
      <c r="NE7" s="967" t="s">
        <v>858</v>
      </c>
    </row>
    <row r="8" spans="1:369" s="24" customFormat="1" ht="17.25" x14ac:dyDescent="0.3">
      <c r="A8" t="s">
        <v>505</v>
      </c>
      <c r="B8" t="s">
        <v>506</v>
      </c>
      <c r="C8" s="1142"/>
      <c r="D8" s="1142"/>
      <c r="E8" s="25" t="s">
        <v>40</v>
      </c>
      <c r="F8" s="232"/>
      <c r="G8" s="25" t="s">
        <v>363</v>
      </c>
      <c r="H8" s="25" t="str">
        <f>"("&amp;$D$5&amp;")"</f>
        <v>(VND)</v>
      </c>
      <c r="I8" s="25" t="str">
        <f>"("&amp;$D$5&amp;")"</f>
        <v>(VND)</v>
      </c>
      <c r="J8" s="25" t="str">
        <f>"("&amp;$D$5&amp;"/năm)"</f>
        <v>(VND/năm)</v>
      </c>
      <c r="K8" s="232"/>
      <c r="L8" s="25" t="s">
        <v>363</v>
      </c>
      <c r="M8" s="25" t="str">
        <f>"("&amp;$D$5&amp;")"</f>
        <v>(VND)</v>
      </c>
      <c r="N8" s="25" t="str">
        <f>"("&amp;$D$5&amp;")"</f>
        <v>(VND)</v>
      </c>
      <c r="O8" s="25" t="str">
        <f>"("&amp;$D$5&amp;"/năm)"</f>
        <v>(VND/năm)</v>
      </c>
      <c r="P8" s="218"/>
      <c r="Q8" s="25" t="s">
        <v>363</v>
      </c>
      <c r="R8" s="25" t="str">
        <f>"("&amp;$D$5&amp;")"</f>
        <v>(VND)</v>
      </c>
      <c r="S8" s="25" t="str">
        <f>"("&amp;$D$5&amp;")"</f>
        <v>(VND)</v>
      </c>
      <c r="T8" s="25" t="str">
        <f>"("&amp;$D$5&amp;"/năm)"</f>
        <v>(VND/năm)</v>
      </c>
      <c r="U8" s="218"/>
      <c r="V8" s="25" t="s">
        <v>363</v>
      </c>
      <c r="W8" s="25" t="str">
        <f>"("&amp;$D$5&amp;")"</f>
        <v>(VND)</v>
      </c>
      <c r="X8" s="25" t="str">
        <f>"("&amp;$D$5&amp;")"</f>
        <v>(VND)</v>
      </c>
      <c r="Y8" s="25" t="str">
        <f>"("&amp;$D$5&amp;"/năm)"</f>
        <v>(VND/năm)</v>
      </c>
      <c r="Z8" s="218"/>
      <c r="AA8" s="25" t="s">
        <v>363</v>
      </c>
      <c r="AB8" s="25" t="str">
        <f>"("&amp;$D$5&amp;")"</f>
        <v>(VND)</v>
      </c>
      <c r="AC8" s="25" t="str">
        <f>"("&amp;$D$5&amp;")"</f>
        <v>(VND)</v>
      </c>
      <c r="AD8" s="25" t="str">
        <f>"("&amp;$D$5&amp;"/năm)"</f>
        <v>(VND/năm)</v>
      </c>
      <c r="AE8" s="218"/>
      <c r="AF8" s="25" t="s">
        <v>363</v>
      </c>
      <c r="AG8" s="25" t="str">
        <f>"("&amp;$D$5&amp;")"</f>
        <v>(VND)</v>
      </c>
      <c r="AH8" s="25" t="str">
        <f>"("&amp;$D$5&amp;")"</f>
        <v>(VND)</v>
      </c>
      <c r="AI8" s="25" t="str">
        <f>"("&amp;$D$5&amp;"/năm)"</f>
        <v>(VND/năm)</v>
      </c>
      <c r="AJ8" s="218"/>
      <c r="AK8" s="25" t="s">
        <v>363</v>
      </c>
      <c r="AL8" s="25" t="str">
        <f>"("&amp;$D$5&amp;")"</f>
        <v>(VND)</v>
      </c>
      <c r="AM8" s="25" t="str">
        <f>"("&amp;$D$5&amp;")"</f>
        <v>(VND)</v>
      </c>
      <c r="AN8" s="25" t="str">
        <f>"("&amp;$D$5&amp;"/năm)"</f>
        <v>(VND/năm)</v>
      </c>
      <c r="AO8" s="218"/>
      <c r="AP8" s="25" t="s">
        <v>363</v>
      </c>
      <c r="AQ8" s="25" t="str">
        <f>"("&amp;$D$5&amp;")"</f>
        <v>(VND)</v>
      </c>
      <c r="AR8" s="25" t="str">
        <f>"("&amp;$D$5&amp;")"</f>
        <v>(VND)</v>
      </c>
      <c r="AS8" s="25" t="str">
        <f>"("&amp;$D$5&amp;"/năm)"</f>
        <v>(VND/năm)</v>
      </c>
      <c r="AT8" s="218"/>
      <c r="AU8" s="25" t="s">
        <v>363</v>
      </c>
      <c r="AV8" s="25" t="str">
        <f>"("&amp;$D$5&amp;")"</f>
        <v>(VND)</v>
      </c>
      <c r="AW8" s="25" t="str">
        <f>"("&amp;$D$5&amp;")"</f>
        <v>(VND)</v>
      </c>
      <c r="AX8" s="25" t="str">
        <f>"("&amp;$D$5&amp;"/năm)"</f>
        <v>(VND/năm)</v>
      </c>
      <c r="AY8" s="218"/>
      <c r="AZ8" s="25" t="s">
        <v>363</v>
      </c>
      <c r="BA8" s="25" t="str">
        <f>"("&amp;$D$5&amp;")"</f>
        <v>(VND)</v>
      </c>
      <c r="BB8" s="25" t="str">
        <f>"("&amp;$D$5&amp;")"</f>
        <v>(VND)</v>
      </c>
      <c r="BC8" s="25" t="str">
        <f>"("&amp;$D$5&amp;"/năm)"</f>
        <v>(VND/năm)</v>
      </c>
      <c r="BD8" s="218"/>
      <c r="BE8" s="1142"/>
      <c r="BF8" s="1142"/>
      <c r="BG8" s="215"/>
      <c r="BH8" s="215"/>
      <c r="BI8" s="259">
        <v>1</v>
      </c>
      <c r="BJ8" s="259">
        <v>2</v>
      </c>
      <c r="BK8" s="259">
        <v>3</v>
      </c>
      <c r="BL8" s="259">
        <v>4</v>
      </c>
      <c r="BM8" s="259">
        <v>5</v>
      </c>
      <c r="BN8" s="259">
        <v>6</v>
      </c>
      <c r="BO8" s="259">
        <v>7</v>
      </c>
      <c r="BP8" s="259">
        <v>8</v>
      </c>
      <c r="BQ8" s="259">
        <v>9</v>
      </c>
      <c r="BR8" s="259">
        <v>10</v>
      </c>
      <c r="BS8" s="259">
        <v>11</v>
      </c>
      <c r="BT8" s="259">
        <v>12</v>
      </c>
      <c r="BU8" s="259">
        <v>13</v>
      </c>
      <c r="BV8" s="259">
        <v>14</v>
      </c>
      <c r="BW8" s="259">
        <v>15</v>
      </c>
      <c r="BX8" s="259">
        <v>16</v>
      </c>
      <c r="BY8" s="259">
        <v>17</v>
      </c>
      <c r="BZ8" s="259">
        <v>18</v>
      </c>
      <c r="CA8" s="259">
        <v>19</v>
      </c>
      <c r="CB8" s="259">
        <v>20</v>
      </c>
      <c r="CC8" s="259">
        <v>21</v>
      </c>
      <c r="CD8" s="259">
        <v>22</v>
      </c>
      <c r="CE8" s="259">
        <v>23</v>
      </c>
      <c r="CF8" s="259">
        <v>24</v>
      </c>
      <c r="CG8" s="259">
        <v>25</v>
      </c>
      <c r="CH8" s="259">
        <v>26</v>
      </c>
      <c r="CI8" s="259">
        <v>27</v>
      </c>
      <c r="CJ8" s="259">
        <v>28</v>
      </c>
      <c r="CK8" s="259">
        <v>29</v>
      </c>
      <c r="CL8" s="259">
        <v>30</v>
      </c>
      <c r="CM8" s="215"/>
      <c r="CN8" s="260">
        <v>1</v>
      </c>
      <c r="CO8" s="260">
        <v>2</v>
      </c>
      <c r="CP8" s="260">
        <v>3</v>
      </c>
      <c r="CQ8" s="260">
        <v>4</v>
      </c>
      <c r="CR8" s="260">
        <v>5</v>
      </c>
      <c r="CS8" s="260">
        <v>6</v>
      </c>
      <c r="CT8" s="260">
        <v>7</v>
      </c>
      <c r="CU8" s="260">
        <v>8</v>
      </c>
      <c r="CV8" s="260">
        <v>9</v>
      </c>
      <c r="CW8" s="260">
        <v>10</v>
      </c>
      <c r="CX8" s="260">
        <v>11</v>
      </c>
      <c r="CY8" s="260">
        <v>12</v>
      </c>
      <c r="CZ8" s="260">
        <v>13</v>
      </c>
      <c r="DA8" s="260">
        <v>14</v>
      </c>
      <c r="DB8" s="260">
        <v>15</v>
      </c>
      <c r="DC8" s="260">
        <v>16</v>
      </c>
      <c r="DD8" s="260">
        <v>17</v>
      </c>
      <c r="DE8" s="260">
        <v>18</v>
      </c>
      <c r="DF8" s="260">
        <v>19</v>
      </c>
      <c r="DG8" s="260">
        <v>20</v>
      </c>
      <c r="DH8" s="260">
        <v>21</v>
      </c>
      <c r="DI8" s="260">
        <v>22</v>
      </c>
      <c r="DJ8" s="260">
        <v>23</v>
      </c>
      <c r="DK8" s="260">
        <v>24</v>
      </c>
      <c r="DL8" s="260">
        <v>25</v>
      </c>
      <c r="DM8" s="260">
        <v>26</v>
      </c>
      <c r="DN8" s="260">
        <v>27</v>
      </c>
      <c r="DO8" s="260">
        <v>28</v>
      </c>
      <c r="DP8" s="260">
        <v>29</v>
      </c>
      <c r="DQ8" s="260">
        <v>30</v>
      </c>
      <c r="DR8" s="215"/>
      <c r="DS8" s="261">
        <v>1</v>
      </c>
      <c r="DT8" s="261">
        <v>2</v>
      </c>
      <c r="DU8" s="261">
        <v>3</v>
      </c>
      <c r="DV8" s="261">
        <v>4</v>
      </c>
      <c r="DW8" s="261">
        <v>5</v>
      </c>
      <c r="DX8" s="261">
        <v>6</v>
      </c>
      <c r="DY8" s="261">
        <v>7</v>
      </c>
      <c r="DZ8" s="261">
        <v>8</v>
      </c>
      <c r="EA8" s="261">
        <v>9</v>
      </c>
      <c r="EB8" s="261">
        <v>10</v>
      </c>
      <c r="EC8" s="261">
        <v>11</v>
      </c>
      <c r="ED8" s="261">
        <v>12</v>
      </c>
      <c r="EE8" s="261">
        <v>13</v>
      </c>
      <c r="EF8" s="261">
        <v>14</v>
      </c>
      <c r="EG8" s="261">
        <v>15</v>
      </c>
      <c r="EH8" s="261">
        <v>16</v>
      </c>
      <c r="EI8" s="261">
        <v>17</v>
      </c>
      <c r="EJ8" s="261">
        <v>18</v>
      </c>
      <c r="EK8" s="261">
        <v>19</v>
      </c>
      <c r="EL8" s="261">
        <v>20</v>
      </c>
      <c r="EM8" s="261">
        <v>21</v>
      </c>
      <c r="EN8" s="261">
        <v>22</v>
      </c>
      <c r="EO8" s="261">
        <v>23</v>
      </c>
      <c r="EP8" s="261">
        <v>24</v>
      </c>
      <c r="EQ8" s="261">
        <v>25</v>
      </c>
      <c r="ER8" s="261">
        <v>26</v>
      </c>
      <c r="ES8" s="261">
        <v>27</v>
      </c>
      <c r="ET8" s="261">
        <v>28</v>
      </c>
      <c r="EU8" s="261">
        <v>29</v>
      </c>
      <c r="EV8" s="261">
        <v>30</v>
      </c>
      <c r="EW8" s="215"/>
      <c r="EX8" s="691">
        <v>1</v>
      </c>
      <c r="EY8" s="691">
        <v>2</v>
      </c>
      <c r="EZ8" s="691">
        <v>3</v>
      </c>
      <c r="FA8" s="691">
        <v>4</v>
      </c>
      <c r="FB8" s="691">
        <v>5</v>
      </c>
      <c r="FC8" s="691">
        <v>6</v>
      </c>
      <c r="FD8" s="691">
        <v>7</v>
      </c>
      <c r="FE8" s="691">
        <v>8</v>
      </c>
      <c r="FF8" s="691">
        <v>9</v>
      </c>
      <c r="FG8" s="691">
        <v>10</v>
      </c>
      <c r="FH8" s="691">
        <v>11</v>
      </c>
      <c r="FI8" s="691">
        <v>12</v>
      </c>
      <c r="FJ8" s="691">
        <v>13</v>
      </c>
      <c r="FK8" s="691">
        <v>14</v>
      </c>
      <c r="FL8" s="691">
        <v>15</v>
      </c>
      <c r="FM8" s="691">
        <v>16</v>
      </c>
      <c r="FN8" s="691">
        <v>17</v>
      </c>
      <c r="FO8" s="691">
        <v>18</v>
      </c>
      <c r="FP8" s="691">
        <v>19</v>
      </c>
      <c r="FQ8" s="691">
        <v>20</v>
      </c>
      <c r="FR8" s="691">
        <v>21</v>
      </c>
      <c r="FS8" s="691">
        <v>22</v>
      </c>
      <c r="FT8" s="691">
        <v>23</v>
      </c>
      <c r="FU8" s="691">
        <v>24</v>
      </c>
      <c r="FV8" s="691">
        <v>25</v>
      </c>
      <c r="FW8" s="691">
        <v>26</v>
      </c>
      <c r="FX8" s="691">
        <v>27</v>
      </c>
      <c r="FY8" s="691">
        <v>28</v>
      </c>
      <c r="FZ8" s="691">
        <v>29</v>
      </c>
      <c r="GA8" s="691">
        <v>30</v>
      </c>
      <c r="GB8" s="215"/>
      <c r="GC8" s="693">
        <v>1</v>
      </c>
      <c r="GD8" s="693">
        <v>2</v>
      </c>
      <c r="GE8" s="693">
        <v>3</v>
      </c>
      <c r="GF8" s="693">
        <v>4</v>
      </c>
      <c r="GG8" s="693">
        <v>5</v>
      </c>
      <c r="GH8" s="693">
        <v>6</v>
      </c>
      <c r="GI8" s="693">
        <v>7</v>
      </c>
      <c r="GJ8" s="693">
        <v>8</v>
      </c>
      <c r="GK8" s="693">
        <v>9</v>
      </c>
      <c r="GL8" s="693">
        <v>10</v>
      </c>
      <c r="GM8" s="693">
        <v>11</v>
      </c>
      <c r="GN8" s="693">
        <v>12</v>
      </c>
      <c r="GO8" s="693">
        <v>13</v>
      </c>
      <c r="GP8" s="693">
        <v>14</v>
      </c>
      <c r="GQ8" s="693">
        <v>15</v>
      </c>
      <c r="GR8" s="693">
        <v>16</v>
      </c>
      <c r="GS8" s="693">
        <v>17</v>
      </c>
      <c r="GT8" s="693">
        <v>18</v>
      </c>
      <c r="GU8" s="693">
        <v>19</v>
      </c>
      <c r="GV8" s="693">
        <v>20</v>
      </c>
      <c r="GW8" s="693">
        <v>21</v>
      </c>
      <c r="GX8" s="693">
        <v>22</v>
      </c>
      <c r="GY8" s="693">
        <v>23</v>
      </c>
      <c r="GZ8" s="693">
        <v>24</v>
      </c>
      <c r="HA8" s="693">
        <v>25</v>
      </c>
      <c r="HB8" s="693">
        <v>26</v>
      </c>
      <c r="HC8" s="693">
        <v>27</v>
      </c>
      <c r="HD8" s="693">
        <v>28</v>
      </c>
      <c r="HE8" s="693">
        <v>29</v>
      </c>
      <c r="HF8" s="693">
        <v>30</v>
      </c>
      <c r="HG8" s="215"/>
      <c r="HH8" s="696">
        <v>1</v>
      </c>
      <c r="HI8" s="696">
        <v>2</v>
      </c>
      <c r="HJ8" s="696">
        <v>3</v>
      </c>
      <c r="HK8" s="696">
        <v>4</v>
      </c>
      <c r="HL8" s="696">
        <v>5</v>
      </c>
      <c r="HM8" s="696">
        <v>6</v>
      </c>
      <c r="HN8" s="696">
        <v>7</v>
      </c>
      <c r="HO8" s="696">
        <v>8</v>
      </c>
      <c r="HP8" s="696">
        <v>9</v>
      </c>
      <c r="HQ8" s="696">
        <v>10</v>
      </c>
      <c r="HR8" s="696">
        <v>11</v>
      </c>
      <c r="HS8" s="696">
        <v>12</v>
      </c>
      <c r="HT8" s="696">
        <v>13</v>
      </c>
      <c r="HU8" s="696">
        <v>14</v>
      </c>
      <c r="HV8" s="696">
        <v>15</v>
      </c>
      <c r="HW8" s="696">
        <v>16</v>
      </c>
      <c r="HX8" s="696">
        <v>17</v>
      </c>
      <c r="HY8" s="696">
        <v>18</v>
      </c>
      <c r="HZ8" s="696">
        <v>19</v>
      </c>
      <c r="IA8" s="696">
        <v>20</v>
      </c>
      <c r="IB8" s="696">
        <v>21</v>
      </c>
      <c r="IC8" s="696">
        <v>22</v>
      </c>
      <c r="ID8" s="696">
        <v>23</v>
      </c>
      <c r="IE8" s="696">
        <v>24</v>
      </c>
      <c r="IF8" s="696">
        <v>25</v>
      </c>
      <c r="IG8" s="696">
        <v>26</v>
      </c>
      <c r="IH8" s="696">
        <v>27</v>
      </c>
      <c r="II8" s="696">
        <v>28</v>
      </c>
      <c r="IJ8" s="696">
        <v>29</v>
      </c>
      <c r="IK8" s="696">
        <v>30</v>
      </c>
      <c r="IM8" s="962">
        <v>1</v>
      </c>
      <c r="IN8" s="962">
        <v>2</v>
      </c>
      <c r="IO8" s="962">
        <v>3</v>
      </c>
      <c r="IP8" s="962">
        <v>4</v>
      </c>
      <c r="IQ8" s="962">
        <v>5</v>
      </c>
      <c r="IR8" s="962">
        <v>6</v>
      </c>
      <c r="IS8" s="962">
        <v>7</v>
      </c>
      <c r="IT8" s="962">
        <v>8</v>
      </c>
      <c r="IU8" s="962">
        <v>9</v>
      </c>
      <c r="IV8" s="962">
        <v>10</v>
      </c>
      <c r="IW8" s="962">
        <v>11</v>
      </c>
      <c r="IX8" s="962">
        <v>12</v>
      </c>
      <c r="IY8" s="962">
        <v>13</v>
      </c>
      <c r="IZ8" s="962">
        <v>14</v>
      </c>
      <c r="JA8" s="962">
        <v>15</v>
      </c>
      <c r="JB8" s="962">
        <v>16</v>
      </c>
      <c r="JC8" s="962">
        <v>17</v>
      </c>
      <c r="JD8" s="962">
        <v>18</v>
      </c>
      <c r="JE8" s="962">
        <v>19</v>
      </c>
      <c r="JF8" s="962">
        <v>20</v>
      </c>
      <c r="JG8" s="962">
        <v>21</v>
      </c>
      <c r="JH8" s="962">
        <v>22</v>
      </c>
      <c r="JI8" s="962">
        <v>23</v>
      </c>
      <c r="JJ8" s="962">
        <v>24</v>
      </c>
      <c r="JK8" s="962">
        <v>25</v>
      </c>
      <c r="JL8" s="962">
        <v>26</v>
      </c>
      <c r="JM8" s="962">
        <v>27</v>
      </c>
      <c r="JN8" s="962">
        <v>28</v>
      </c>
      <c r="JO8" s="962">
        <v>29</v>
      </c>
      <c r="JP8" s="962">
        <v>30</v>
      </c>
      <c r="JR8" s="964">
        <v>1</v>
      </c>
      <c r="JS8" s="964">
        <v>2</v>
      </c>
      <c r="JT8" s="964">
        <v>3</v>
      </c>
      <c r="JU8" s="964">
        <v>4</v>
      </c>
      <c r="JV8" s="964">
        <v>5</v>
      </c>
      <c r="JW8" s="964">
        <v>6</v>
      </c>
      <c r="JX8" s="964">
        <v>7</v>
      </c>
      <c r="JY8" s="964">
        <v>8</v>
      </c>
      <c r="JZ8" s="964">
        <v>9</v>
      </c>
      <c r="KA8" s="964">
        <v>10</v>
      </c>
      <c r="KB8" s="964">
        <v>11</v>
      </c>
      <c r="KC8" s="964">
        <v>12</v>
      </c>
      <c r="KD8" s="964">
        <v>13</v>
      </c>
      <c r="KE8" s="964">
        <v>14</v>
      </c>
      <c r="KF8" s="964">
        <v>15</v>
      </c>
      <c r="KG8" s="964">
        <v>16</v>
      </c>
      <c r="KH8" s="964">
        <v>17</v>
      </c>
      <c r="KI8" s="964">
        <v>18</v>
      </c>
      <c r="KJ8" s="964">
        <v>19</v>
      </c>
      <c r="KK8" s="964">
        <v>20</v>
      </c>
      <c r="KL8" s="964">
        <v>21</v>
      </c>
      <c r="KM8" s="964">
        <v>22</v>
      </c>
      <c r="KN8" s="964">
        <v>23</v>
      </c>
      <c r="KO8" s="964">
        <v>24</v>
      </c>
      <c r="KP8" s="964">
        <v>25</v>
      </c>
      <c r="KQ8" s="964">
        <v>26</v>
      </c>
      <c r="KR8" s="964">
        <v>27</v>
      </c>
      <c r="KS8" s="964">
        <v>28</v>
      </c>
      <c r="KT8" s="964">
        <v>29</v>
      </c>
      <c r="KU8" s="964">
        <v>30</v>
      </c>
      <c r="KW8" s="966">
        <v>1</v>
      </c>
      <c r="KX8" s="966">
        <v>2</v>
      </c>
      <c r="KY8" s="966">
        <v>3</v>
      </c>
      <c r="KZ8" s="966">
        <v>4</v>
      </c>
      <c r="LA8" s="966">
        <v>5</v>
      </c>
      <c r="LB8" s="966">
        <v>6</v>
      </c>
      <c r="LC8" s="966">
        <v>7</v>
      </c>
      <c r="LD8" s="966">
        <v>8</v>
      </c>
      <c r="LE8" s="966">
        <v>9</v>
      </c>
      <c r="LF8" s="966">
        <v>10</v>
      </c>
      <c r="LG8" s="966">
        <v>11</v>
      </c>
      <c r="LH8" s="966">
        <v>12</v>
      </c>
      <c r="LI8" s="966">
        <v>13</v>
      </c>
      <c r="LJ8" s="966">
        <v>14</v>
      </c>
      <c r="LK8" s="966">
        <v>15</v>
      </c>
      <c r="LL8" s="966">
        <v>16</v>
      </c>
      <c r="LM8" s="966">
        <v>17</v>
      </c>
      <c r="LN8" s="966">
        <v>18</v>
      </c>
      <c r="LO8" s="966">
        <v>19</v>
      </c>
      <c r="LP8" s="966">
        <v>20</v>
      </c>
      <c r="LQ8" s="966">
        <v>21</v>
      </c>
      <c r="LR8" s="966">
        <v>22</v>
      </c>
      <c r="LS8" s="966">
        <v>23</v>
      </c>
      <c r="LT8" s="966">
        <v>24</v>
      </c>
      <c r="LU8" s="966">
        <v>25</v>
      </c>
      <c r="LV8" s="966">
        <v>26</v>
      </c>
      <c r="LW8" s="966">
        <v>27</v>
      </c>
      <c r="LX8" s="966">
        <v>28</v>
      </c>
      <c r="LY8" s="966">
        <v>29</v>
      </c>
      <c r="LZ8" s="966">
        <v>30</v>
      </c>
      <c r="MB8" s="968">
        <v>1</v>
      </c>
      <c r="MC8" s="968">
        <v>2</v>
      </c>
      <c r="MD8" s="968">
        <v>3</v>
      </c>
      <c r="ME8" s="968">
        <v>4</v>
      </c>
      <c r="MF8" s="968">
        <v>5</v>
      </c>
      <c r="MG8" s="968">
        <v>6</v>
      </c>
      <c r="MH8" s="968">
        <v>7</v>
      </c>
      <c r="MI8" s="968">
        <v>8</v>
      </c>
      <c r="MJ8" s="968">
        <v>9</v>
      </c>
      <c r="MK8" s="968">
        <v>10</v>
      </c>
      <c r="ML8" s="968">
        <v>11</v>
      </c>
      <c r="MM8" s="968">
        <v>12</v>
      </c>
      <c r="MN8" s="968">
        <v>13</v>
      </c>
      <c r="MO8" s="968">
        <v>14</v>
      </c>
      <c r="MP8" s="968">
        <v>15</v>
      </c>
      <c r="MQ8" s="968">
        <v>16</v>
      </c>
      <c r="MR8" s="968">
        <v>17</v>
      </c>
      <c r="MS8" s="968">
        <v>18</v>
      </c>
      <c r="MT8" s="968">
        <v>19</v>
      </c>
      <c r="MU8" s="968">
        <v>20</v>
      </c>
      <c r="MV8" s="968">
        <v>21</v>
      </c>
      <c r="MW8" s="968">
        <v>22</v>
      </c>
      <c r="MX8" s="968">
        <v>23</v>
      </c>
      <c r="MY8" s="968">
        <v>24</v>
      </c>
      <c r="MZ8" s="968">
        <v>25</v>
      </c>
      <c r="NA8" s="968">
        <v>26</v>
      </c>
      <c r="NB8" s="968">
        <v>27</v>
      </c>
      <c r="NC8" s="968">
        <v>28</v>
      </c>
      <c r="ND8" s="968">
        <v>29</v>
      </c>
      <c r="NE8" s="968">
        <v>30</v>
      </c>
    </row>
    <row r="9" spans="1:369" s="16" customFormat="1" ht="3.75" customHeight="1" x14ac:dyDescent="0.25">
      <c r="A9"/>
      <c r="B9"/>
      <c r="C9" s="19"/>
    </row>
    <row r="10" spans="1:369" s="22" customFormat="1" ht="17.25" x14ac:dyDescent="0.3">
      <c r="A10"/>
      <c r="B10"/>
      <c r="C10" s="21">
        <v>1</v>
      </c>
      <c r="D10" s="22" t="s">
        <v>31</v>
      </c>
      <c r="F10" s="219"/>
      <c r="G10" s="139"/>
      <c r="I10" s="28">
        <f>I12+I20</f>
        <v>284499800000</v>
      </c>
      <c r="J10" s="28">
        <f>J12+J20</f>
        <v>23708316666.666668</v>
      </c>
      <c r="K10" s="219"/>
      <c r="L10" s="139"/>
      <c r="M10" s="139"/>
      <c r="N10" s="28">
        <f>N12+N20</f>
        <v>284499800000</v>
      </c>
      <c r="O10" s="28">
        <f>O12+O20</f>
        <v>23708316666.666668</v>
      </c>
      <c r="P10" s="219"/>
      <c r="Q10" s="139"/>
      <c r="R10" s="139"/>
      <c r="S10" s="28">
        <f>S12+S20</f>
        <v>284499800000</v>
      </c>
      <c r="T10" s="28">
        <f>T12+T20</f>
        <v>23708316666.666668</v>
      </c>
      <c r="U10" s="219"/>
      <c r="V10" s="139"/>
      <c r="W10" s="139"/>
      <c r="X10" s="28">
        <f>X12+X20</f>
        <v>284499800000</v>
      </c>
      <c r="Y10" s="28">
        <f>Y12+Y20</f>
        <v>23708316666.666668</v>
      </c>
      <c r="Z10" s="219"/>
      <c r="AA10" s="139"/>
      <c r="AB10" s="139"/>
      <c r="AC10" s="28">
        <f>AC12+AC20</f>
        <v>284499800000</v>
      </c>
      <c r="AD10" s="28">
        <f>AD12+AD20</f>
        <v>23708316666.666668</v>
      </c>
      <c r="AE10" s="219"/>
      <c r="AF10" s="139"/>
      <c r="AG10" s="139"/>
      <c r="AH10" s="28">
        <f>AH12+AH20</f>
        <v>284499800000</v>
      </c>
      <c r="AI10" s="28">
        <f>AI12+AI20</f>
        <v>23708316666.666668</v>
      </c>
      <c r="AJ10" s="219"/>
      <c r="AK10" s="139"/>
      <c r="AL10" s="139"/>
      <c r="AM10" s="28">
        <f>AM12+AM20</f>
        <v>284499800000</v>
      </c>
      <c r="AN10" s="28">
        <f>AN12+AN20</f>
        <v>23708316666.666668</v>
      </c>
      <c r="AO10" s="219"/>
      <c r="AP10" s="139"/>
      <c r="AQ10" s="139"/>
      <c r="AR10" s="28">
        <f>AR12+AR20</f>
        <v>284499800000</v>
      </c>
      <c r="AS10" s="28">
        <f>AS12+AS20</f>
        <v>23708316666.666668</v>
      </c>
      <c r="AT10" s="219"/>
      <c r="AU10" s="139"/>
      <c r="AV10" s="139"/>
      <c r="AW10" s="28">
        <f>AW12+AW20</f>
        <v>284499800000</v>
      </c>
      <c r="AX10" s="28">
        <f>AX12+AX20</f>
        <v>23708316666.666668</v>
      </c>
      <c r="AY10" s="219"/>
      <c r="AZ10" s="139"/>
      <c r="BA10" s="139"/>
      <c r="BB10" s="28">
        <f>BB12+BB20</f>
        <v>284499800000</v>
      </c>
      <c r="BC10" s="28">
        <f>BC12+BC20</f>
        <v>23708316666.666668</v>
      </c>
      <c r="BD10" s="219"/>
      <c r="BH10" s="648"/>
      <c r="BI10" s="28">
        <f t="shared" ref="BI10:CL10" si="2">BI12+BI20</f>
        <v>23708316666.666668</v>
      </c>
      <c r="BJ10" s="28">
        <f t="shared" si="2"/>
        <v>23708316666.666668</v>
      </c>
      <c r="BK10" s="28">
        <f t="shared" si="2"/>
        <v>23708316666.666668</v>
      </c>
      <c r="BL10" s="28">
        <f t="shared" si="2"/>
        <v>23708316666.666668</v>
      </c>
      <c r="BM10" s="28">
        <f t="shared" si="2"/>
        <v>23708316666.666668</v>
      </c>
      <c r="BN10" s="28">
        <f t="shared" si="2"/>
        <v>23708316666.666668</v>
      </c>
      <c r="BO10" s="28">
        <f t="shared" si="2"/>
        <v>23708316666.666668</v>
      </c>
      <c r="BP10" s="28">
        <f t="shared" si="2"/>
        <v>23708316666.666668</v>
      </c>
      <c r="BQ10" s="28">
        <f t="shared" si="2"/>
        <v>23708316666.666668</v>
      </c>
      <c r="BR10" s="28">
        <f t="shared" si="2"/>
        <v>23708316666.666668</v>
      </c>
      <c r="BS10" s="28">
        <f t="shared" si="2"/>
        <v>23708316666.666668</v>
      </c>
      <c r="BT10" s="28">
        <f t="shared" si="2"/>
        <v>23708316666.666668</v>
      </c>
      <c r="BU10" s="28">
        <f t="shared" si="2"/>
        <v>0</v>
      </c>
      <c r="BV10" s="28">
        <f t="shared" si="2"/>
        <v>0</v>
      </c>
      <c r="BW10" s="28">
        <f t="shared" si="2"/>
        <v>0</v>
      </c>
      <c r="BX10" s="28">
        <f t="shared" si="2"/>
        <v>0</v>
      </c>
      <c r="BY10" s="28">
        <f t="shared" si="2"/>
        <v>0</v>
      </c>
      <c r="BZ10" s="28">
        <f t="shared" si="2"/>
        <v>0</v>
      </c>
      <c r="CA10" s="28">
        <f t="shared" si="2"/>
        <v>0</v>
      </c>
      <c r="CB10" s="28">
        <f t="shared" si="2"/>
        <v>0</v>
      </c>
      <c r="CC10" s="28">
        <f t="shared" si="2"/>
        <v>0</v>
      </c>
      <c r="CD10" s="28">
        <f t="shared" si="2"/>
        <v>0</v>
      </c>
      <c r="CE10" s="28">
        <f t="shared" si="2"/>
        <v>0</v>
      </c>
      <c r="CF10" s="28">
        <f t="shared" si="2"/>
        <v>0</v>
      </c>
      <c r="CG10" s="28">
        <f t="shared" si="2"/>
        <v>0</v>
      </c>
      <c r="CH10" s="28">
        <f t="shared" si="2"/>
        <v>0</v>
      </c>
      <c r="CI10" s="28">
        <f t="shared" si="2"/>
        <v>0</v>
      </c>
      <c r="CJ10" s="28">
        <f t="shared" si="2"/>
        <v>0</v>
      </c>
      <c r="CK10" s="28">
        <f t="shared" si="2"/>
        <v>0</v>
      </c>
      <c r="CL10" s="28">
        <f t="shared" si="2"/>
        <v>0</v>
      </c>
      <c r="CN10" s="28">
        <f t="shared" ref="CN10:DQ10" si="3">CN12+CN20</f>
        <v>23708316666.666668</v>
      </c>
      <c r="CO10" s="28">
        <f t="shared" si="3"/>
        <v>23708316666.666668</v>
      </c>
      <c r="CP10" s="28">
        <f t="shared" si="3"/>
        <v>23708316666.666668</v>
      </c>
      <c r="CQ10" s="28">
        <f t="shared" si="3"/>
        <v>23708316666.666668</v>
      </c>
      <c r="CR10" s="28">
        <f t="shared" si="3"/>
        <v>23708316666.666668</v>
      </c>
      <c r="CS10" s="28">
        <f t="shared" si="3"/>
        <v>23708316666.666668</v>
      </c>
      <c r="CT10" s="28">
        <f t="shared" si="3"/>
        <v>23708316666.666668</v>
      </c>
      <c r="CU10" s="28">
        <f t="shared" si="3"/>
        <v>23708316666.666668</v>
      </c>
      <c r="CV10" s="28">
        <f t="shared" si="3"/>
        <v>23708316666.666668</v>
      </c>
      <c r="CW10" s="28">
        <f t="shared" si="3"/>
        <v>23708316666.666668</v>
      </c>
      <c r="CX10" s="28">
        <f t="shared" si="3"/>
        <v>23708316666.666668</v>
      </c>
      <c r="CY10" s="28">
        <f t="shared" si="3"/>
        <v>23708316666.666668</v>
      </c>
      <c r="CZ10" s="28">
        <f t="shared" si="3"/>
        <v>0</v>
      </c>
      <c r="DA10" s="28">
        <f t="shared" si="3"/>
        <v>0</v>
      </c>
      <c r="DB10" s="28">
        <f t="shared" si="3"/>
        <v>0</v>
      </c>
      <c r="DC10" s="28">
        <f t="shared" si="3"/>
        <v>0</v>
      </c>
      <c r="DD10" s="28">
        <f t="shared" si="3"/>
        <v>0</v>
      </c>
      <c r="DE10" s="28">
        <f t="shared" si="3"/>
        <v>0</v>
      </c>
      <c r="DF10" s="28">
        <f t="shared" si="3"/>
        <v>0</v>
      </c>
      <c r="DG10" s="28">
        <f t="shared" si="3"/>
        <v>0</v>
      </c>
      <c r="DH10" s="28">
        <f t="shared" si="3"/>
        <v>0</v>
      </c>
      <c r="DI10" s="28">
        <f t="shared" si="3"/>
        <v>0</v>
      </c>
      <c r="DJ10" s="28">
        <f t="shared" si="3"/>
        <v>0</v>
      </c>
      <c r="DK10" s="28">
        <f t="shared" si="3"/>
        <v>0</v>
      </c>
      <c r="DL10" s="28">
        <f t="shared" si="3"/>
        <v>0</v>
      </c>
      <c r="DM10" s="28">
        <f t="shared" si="3"/>
        <v>0</v>
      </c>
      <c r="DN10" s="28">
        <f t="shared" si="3"/>
        <v>0</v>
      </c>
      <c r="DO10" s="28">
        <f t="shared" si="3"/>
        <v>0</v>
      </c>
      <c r="DP10" s="28">
        <f t="shared" si="3"/>
        <v>0</v>
      </c>
      <c r="DQ10" s="28">
        <f t="shared" si="3"/>
        <v>0</v>
      </c>
      <c r="DS10" s="28">
        <f t="shared" ref="DS10:EV10" si="4">DS12+DS20</f>
        <v>23708316666.666668</v>
      </c>
      <c r="DT10" s="28">
        <f t="shared" si="4"/>
        <v>23708316666.666668</v>
      </c>
      <c r="DU10" s="28">
        <f t="shared" si="4"/>
        <v>23708316666.666668</v>
      </c>
      <c r="DV10" s="28">
        <f t="shared" si="4"/>
        <v>23708316666.666668</v>
      </c>
      <c r="DW10" s="28">
        <f t="shared" si="4"/>
        <v>23708316666.666668</v>
      </c>
      <c r="DX10" s="28">
        <f t="shared" si="4"/>
        <v>23708316666.666668</v>
      </c>
      <c r="DY10" s="28">
        <f t="shared" si="4"/>
        <v>23708316666.666668</v>
      </c>
      <c r="DZ10" s="28">
        <f t="shared" si="4"/>
        <v>23708316666.666668</v>
      </c>
      <c r="EA10" s="28">
        <f t="shared" si="4"/>
        <v>23708316666.666668</v>
      </c>
      <c r="EB10" s="28">
        <f t="shared" si="4"/>
        <v>23708316666.666668</v>
      </c>
      <c r="EC10" s="28">
        <f t="shared" si="4"/>
        <v>23708316666.666668</v>
      </c>
      <c r="ED10" s="28">
        <f t="shared" si="4"/>
        <v>23708316666.666668</v>
      </c>
      <c r="EE10" s="28">
        <f t="shared" si="4"/>
        <v>0</v>
      </c>
      <c r="EF10" s="28">
        <f t="shared" si="4"/>
        <v>0</v>
      </c>
      <c r="EG10" s="28">
        <f t="shared" si="4"/>
        <v>0</v>
      </c>
      <c r="EH10" s="28">
        <f t="shared" si="4"/>
        <v>0</v>
      </c>
      <c r="EI10" s="28">
        <f t="shared" si="4"/>
        <v>0</v>
      </c>
      <c r="EJ10" s="28">
        <f t="shared" si="4"/>
        <v>0</v>
      </c>
      <c r="EK10" s="28">
        <f t="shared" si="4"/>
        <v>0</v>
      </c>
      <c r="EL10" s="28">
        <f t="shared" si="4"/>
        <v>0</v>
      </c>
      <c r="EM10" s="28">
        <f t="shared" si="4"/>
        <v>0</v>
      </c>
      <c r="EN10" s="28">
        <f t="shared" si="4"/>
        <v>0</v>
      </c>
      <c r="EO10" s="28">
        <f t="shared" si="4"/>
        <v>0</v>
      </c>
      <c r="EP10" s="28">
        <f t="shared" si="4"/>
        <v>0</v>
      </c>
      <c r="EQ10" s="28">
        <f t="shared" si="4"/>
        <v>0</v>
      </c>
      <c r="ER10" s="28">
        <f t="shared" si="4"/>
        <v>0</v>
      </c>
      <c r="ES10" s="28">
        <f t="shared" si="4"/>
        <v>0</v>
      </c>
      <c r="ET10" s="28">
        <f t="shared" si="4"/>
        <v>0</v>
      </c>
      <c r="EU10" s="28">
        <f t="shared" si="4"/>
        <v>0</v>
      </c>
      <c r="EV10" s="28">
        <f t="shared" si="4"/>
        <v>0</v>
      </c>
      <c r="EX10" s="28">
        <f t="shared" ref="EX10:GA10" si="5">EX12+EX20</f>
        <v>23708316666.666668</v>
      </c>
      <c r="EY10" s="28">
        <f t="shared" si="5"/>
        <v>23708316666.666668</v>
      </c>
      <c r="EZ10" s="28">
        <f t="shared" si="5"/>
        <v>23708316666.666668</v>
      </c>
      <c r="FA10" s="28">
        <f t="shared" si="5"/>
        <v>23708316666.666668</v>
      </c>
      <c r="FB10" s="28">
        <f t="shared" si="5"/>
        <v>23708316666.666668</v>
      </c>
      <c r="FC10" s="28">
        <f t="shared" si="5"/>
        <v>23708316666.666668</v>
      </c>
      <c r="FD10" s="28">
        <f t="shared" si="5"/>
        <v>23708316666.666668</v>
      </c>
      <c r="FE10" s="28">
        <f t="shared" si="5"/>
        <v>23708316666.666668</v>
      </c>
      <c r="FF10" s="28">
        <f t="shared" si="5"/>
        <v>23708316666.666668</v>
      </c>
      <c r="FG10" s="28">
        <f t="shared" si="5"/>
        <v>23708316666.666668</v>
      </c>
      <c r="FH10" s="28">
        <f t="shared" si="5"/>
        <v>23708316666.666668</v>
      </c>
      <c r="FI10" s="28">
        <f t="shared" si="5"/>
        <v>23708316666.666668</v>
      </c>
      <c r="FJ10" s="28">
        <f t="shared" si="5"/>
        <v>0</v>
      </c>
      <c r="FK10" s="28">
        <f t="shared" si="5"/>
        <v>0</v>
      </c>
      <c r="FL10" s="28">
        <f t="shared" si="5"/>
        <v>0</v>
      </c>
      <c r="FM10" s="28">
        <f t="shared" si="5"/>
        <v>0</v>
      </c>
      <c r="FN10" s="28">
        <f t="shared" si="5"/>
        <v>0</v>
      </c>
      <c r="FO10" s="28">
        <f t="shared" si="5"/>
        <v>0</v>
      </c>
      <c r="FP10" s="28">
        <f t="shared" si="5"/>
        <v>0</v>
      </c>
      <c r="FQ10" s="28">
        <f t="shared" si="5"/>
        <v>0</v>
      </c>
      <c r="FR10" s="28">
        <f t="shared" si="5"/>
        <v>0</v>
      </c>
      <c r="FS10" s="28">
        <f t="shared" si="5"/>
        <v>0</v>
      </c>
      <c r="FT10" s="28">
        <f t="shared" si="5"/>
        <v>0</v>
      </c>
      <c r="FU10" s="28">
        <f t="shared" si="5"/>
        <v>0</v>
      </c>
      <c r="FV10" s="28">
        <f t="shared" si="5"/>
        <v>0</v>
      </c>
      <c r="FW10" s="28">
        <f t="shared" si="5"/>
        <v>0</v>
      </c>
      <c r="FX10" s="28">
        <f t="shared" si="5"/>
        <v>0</v>
      </c>
      <c r="FY10" s="28">
        <f t="shared" si="5"/>
        <v>0</v>
      </c>
      <c r="FZ10" s="28">
        <f t="shared" si="5"/>
        <v>0</v>
      </c>
      <c r="GA10" s="28">
        <f t="shared" si="5"/>
        <v>0</v>
      </c>
      <c r="GC10" s="28">
        <f t="shared" ref="GC10:HF10" si="6">GC12+GC20</f>
        <v>23708316666.666668</v>
      </c>
      <c r="GD10" s="28">
        <f t="shared" si="6"/>
        <v>23708316666.666668</v>
      </c>
      <c r="GE10" s="28">
        <f t="shared" si="6"/>
        <v>23708316666.666668</v>
      </c>
      <c r="GF10" s="28">
        <f t="shared" si="6"/>
        <v>23708316666.666668</v>
      </c>
      <c r="GG10" s="28">
        <f t="shared" si="6"/>
        <v>23708316666.666668</v>
      </c>
      <c r="GH10" s="28">
        <f t="shared" si="6"/>
        <v>23708316666.666668</v>
      </c>
      <c r="GI10" s="28">
        <f t="shared" si="6"/>
        <v>23708316666.666668</v>
      </c>
      <c r="GJ10" s="28">
        <f t="shared" si="6"/>
        <v>23708316666.666668</v>
      </c>
      <c r="GK10" s="28">
        <f t="shared" si="6"/>
        <v>23708316666.666668</v>
      </c>
      <c r="GL10" s="28">
        <f t="shared" si="6"/>
        <v>23708316666.666668</v>
      </c>
      <c r="GM10" s="28">
        <f t="shared" si="6"/>
        <v>23708316666.666668</v>
      </c>
      <c r="GN10" s="28">
        <f t="shared" si="6"/>
        <v>23708316666.666668</v>
      </c>
      <c r="GO10" s="28">
        <f t="shared" si="6"/>
        <v>0</v>
      </c>
      <c r="GP10" s="28">
        <f t="shared" si="6"/>
        <v>0</v>
      </c>
      <c r="GQ10" s="28">
        <f t="shared" si="6"/>
        <v>0</v>
      </c>
      <c r="GR10" s="28">
        <f t="shared" si="6"/>
        <v>0</v>
      </c>
      <c r="GS10" s="28">
        <f t="shared" si="6"/>
        <v>0</v>
      </c>
      <c r="GT10" s="28">
        <f t="shared" si="6"/>
        <v>0</v>
      </c>
      <c r="GU10" s="28">
        <f t="shared" si="6"/>
        <v>0</v>
      </c>
      <c r="GV10" s="28">
        <f t="shared" si="6"/>
        <v>0</v>
      </c>
      <c r="GW10" s="28">
        <f t="shared" si="6"/>
        <v>0</v>
      </c>
      <c r="GX10" s="28">
        <f t="shared" si="6"/>
        <v>0</v>
      </c>
      <c r="GY10" s="28">
        <f t="shared" si="6"/>
        <v>0</v>
      </c>
      <c r="GZ10" s="28">
        <f t="shared" si="6"/>
        <v>0</v>
      </c>
      <c r="HA10" s="28">
        <f t="shared" si="6"/>
        <v>0</v>
      </c>
      <c r="HB10" s="28">
        <f t="shared" si="6"/>
        <v>0</v>
      </c>
      <c r="HC10" s="28">
        <f t="shared" si="6"/>
        <v>0</v>
      </c>
      <c r="HD10" s="28">
        <f t="shared" si="6"/>
        <v>0</v>
      </c>
      <c r="HE10" s="28">
        <f t="shared" si="6"/>
        <v>0</v>
      </c>
      <c r="HF10" s="28">
        <f t="shared" si="6"/>
        <v>0</v>
      </c>
      <c r="HH10" s="28">
        <f t="shared" ref="HH10:IK10" si="7">HH12+HH20</f>
        <v>23708316666.666668</v>
      </c>
      <c r="HI10" s="28">
        <f t="shared" si="7"/>
        <v>23708316666.666668</v>
      </c>
      <c r="HJ10" s="28">
        <f t="shared" si="7"/>
        <v>23708316666.666668</v>
      </c>
      <c r="HK10" s="28">
        <f t="shared" si="7"/>
        <v>23708316666.666668</v>
      </c>
      <c r="HL10" s="28">
        <f t="shared" si="7"/>
        <v>23708316666.666668</v>
      </c>
      <c r="HM10" s="28">
        <f t="shared" si="7"/>
        <v>23708316666.666668</v>
      </c>
      <c r="HN10" s="28">
        <f t="shared" si="7"/>
        <v>23708316666.666668</v>
      </c>
      <c r="HO10" s="28">
        <f t="shared" si="7"/>
        <v>23708316666.666668</v>
      </c>
      <c r="HP10" s="28">
        <f t="shared" si="7"/>
        <v>23708316666.666668</v>
      </c>
      <c r="HQ10" s="28">
        <f t="shared" si="7"/>
        <v>23708316666.666668</v>
      </c>
      <c r="HR10" s="28">
        <f t="shared" si="7"/>
        <v>23708316666.666668</v>
      </c>
      <c r="HS10" s="28">
        <f t="shared" si="7"/>
        <v>23708316666.666668</v>
      </c>
      <c r="HT10" s="28">
        <f t="shared" si="7"/>
        <v>0</v>
      </c>
      <c r="HU10" s="28">
        <f t="shared" si="7"/>
        <v>0</v>
      </c>
      <c r="HV10" s="28">
        <f t="shared" si="7"/>
        <v>0</v>
      </c>
      <c r="HW10" s="28">
        <f t="shared" si="7"/>
        <v>0</v>
      </c>
      <c r="HX10" s="28">
        <f t="shared" si="7"/>
        <v>0</v>
      </c>
      <c r="HY10" s="28">
        <f t="shared" si="7"/>
        <v>0</v>
      </c>
      <c r="HZ10" s="28">
        <f t="shared" si="7"/>
        <v>0</v>
      </c>
      <c r="IA10" s="28">
        <f t="shared" si="7"/>
        <v>0</v>
      </c>
      <c r="IB10" s="28">
        <f t="shared" si="7"/>
        <v>0</v>
      </c>
      <c r="IC10" s="28">
        <f t="shared" si="7"/>
        <v>0</v>
      </c>
      <c r="ID10" s="28">
        <f t="shared" si="7"/>
        <v>0</v>
      </c>
      <c r="IE10" s="28">
        <f t="shared" si="7"/>
        <v>0</v>
      </c>
      <c r="IF10" s="28">
        <f t="shared" si="7"/>
        <v>0</v>
      </c>
      <c r="IG10" s="28">
        <f t="shared" si="7"/>
        <v>0</v>
      </c>
      <c r="IH10" s="28">
        <f t="shared" si="7"/>
        <v>0</v>
      </c>
      <c r="II10" s="28">
        <f t="shared" si="7"/>
        <v>0</v>
      </c>
      <c r="IJ10" s="28">
        <f t="shared" si="7"/>
        <v>0</v>
      </c>
      <c r="IK10" s="28">
        <f t="shared" si="7"/>
        <v>0</v>
      </c>
      <c r="IM10" s="28">
        <f t="shared" ref="IM10:JP10" si="8">IM12+IM20</f>
        <v>23708316666.666668</v>
      </c>
      <c r="IN10" s="28">
        <f t="shared" si="8"/>
        <v>23708316666.666668</v>
      </c>
      <c r="IO10" s="28">
        <f t="shared" si="8"/>
        <v>23708316666.666668</v>
      </c>
      <c r="IP10" s="28">
        <f t="shared" si="8"/>
        <v>23708316666.666668</v>
      </c>
      <c r="IQ10" s="28">
        <f t="shared" si="8"/>
        <v>23708316666.666668</v>
      </c>
      <c r="IR10" s="28">
        <f t="shared" si="8"/>
        <v>23708316666.666668</v>
      </c>
      <c r="IS10" s="28">
        <f t="shared" si="8"/>
        <v>23708316666.666668</v>
      </c>
      <c r="IT10" s="28">
        <f t="shared" si="8"/>
        <v>23708316666.666668</v>
      </c>
      <c r="IU10" s="28">
        <f t="shared" si="8"/>
        <v>23708316666.666668</v>
      </c>
      <c r="IV10" s="28">
        <f t="shared" si="8"/>
        <v>23708316666.666668</v>
      </c>
      <c r="IW10" s="28">
        <f t="shared" si="8"/>
        <v>23708316666.666668</v>
      </c>
      <c r="IX10" s="28">
        <f t="shared" si="8"/>
        <v>23708316666.666668</v>
      </c>
      <c r="IY10" s="28">
        <f t="shared" si="8"/>
        <v>0</v>
      </c>
      <c r="IZ10" s="28">
        <f t="shared" si="8"/>
        <v>0</v>
      </c>
      <c r="JA10" s="28">
        <f t="shared" si="8"/>
        <v>0</v>
      </c>
      <c r="JB10" s="28">
        <f t="shared" si="8"/>
        <v>0</v>
      </c>
      <c r="JC10" s="28">
        <f t="shared" si="8"/>
        <v>0</v>
      </c>
      <c r="JD10" s="28">
        <f t="shared" si="8"/>
        <v>0</v>
      </c>
      <c r="JE10" s="28">
        <f t="shared" si="8"/>
        <v>0</v>
      </c>
      <c r="JF10" s="28">
        <f t="shared" si="8"/>
        <v>0</v>
      </c>
      <c r="JG10" s="28">
        <f t="shared" si="8"/>
        <v>0</v>
      </c>
      <c r="JH10" s="28">
        <f t="shared" si="8"/>
        <v>0</v>
      </c>
      <c r="JI10" s="28">
        <f t="shared" si="8"/>
        <v>0</v>
      </c>
      <c r="JJ10" s="28">
        <f t="shared" si="8"/>
        <v>0</v>
      </c>
      <c r="JK10" s="28">
        <f t="shared" si="8"/>
        <v>0</v>
      </c>
      <c r="JL10" s="28">
        <f t="shared" si="8"/>
        <v>0</v>
      </c>
      <c r="JM10" s="28">
        <f t="shared" si="8"/>
        <v>0</v>
      </c>
      <c r="JN10" s="28">
        <f t="shared" si="8"/>
        <v>0</v>
      </c>
      <c r="JO10" s="28">
        <f t="shared" si="8"/>
        <v>0</v>
      </c>
      <c r="JP10" s="28">
        <f t="shared" si="8"/>
        <v>0</v>
      </c>
      <c r="JR10" s="28">
        <f t="shared" ref="JR10:KU10" si="9">JR12+JR20</f>
        <v>23708316666.666668</v>
      </c>
      <c r="JS10" s="28">
        <f t="shared" si="9"/>
        <v>23708316666.666668</v>
      </c>
      <c r="JT10" s="28">
        <f t="shared" si="9"/>
        <v>23708316666.666668</v>
      </c>
      <c r="JU10" s="28">
        <f t="shared" si="9"/>
        <v>23708316666.666668</v>
      </c>
      <c r="JV10" s="28">
        <f t="shared" si="9"/>
        <v>23708316666.666668</v>
      </c>
      <c r="JW10" s="28">
        <f t="shared" si="9"/>
        <v>23708316666.666668</v>
      </c>
      <c r="JX10" s="28">
        <f t="shared" si="9"/>
        <v>23708316666.666668</v>
      </c>
      <c r="JY10" s="28">
        <f t="shared" si="9"/>
        <v>23708316666.666668</v>
      </c>
      <c r="JZ10" s="28">
        <f t="shared" si="9"/>
        <v>23708316666.666668</v>
      </c>
      <c r="KA10" s="28">
        <f t="shared" si="9"/>
        <v>23708316666.666668</v>
      </c>
      <c r="KB10" s="28">
        <f t="shared" si="9"/>
        <v>23708316666.666668</v>
      </c>
      <c r="KC10" s="28">
        <f t="shared" si="9"/>
        <v>23708316666.666668</v>
      </c>
      <c r="KD10" s="28">
        <f t="shared" si="9"/>
        <v>0</v>
      </c>
      <c r="KE10" s="28">
        <f t="shared" si="9"/>
        <v>0</v>
      </c>
      <c r="KF10" s="28">
        <f t="shared" si="9"/>
        <v>0</v>
      </c>
      <c r="KG10" s="28">
        <f t="shared" si="9"/>
        <v>0</v>
      </c>
      <c r="KH10" s="28">
        <f t="shared" si="9"/>
        <v>0</v>
      </c>
      <c r="KI10" s="28">
        <f t="shared" si="9"/>
        <v>0</v>
      </c>
      <c r="KJ10" s="28">
        <f t="shared" si="9"/>
        <v>0</v>
      </c>
      <c r="KK10" s="28">
        <f t="shared" si="9"/>
        <v>0</v>
      </c>
      <c r="KL10" s="28">
        <f t="shared" si="9"/>
        <v>0</v>
      </c>
      <c r="KM10" s="28">
        <f t="shared" si="9"/>
        <v>0</v>
      </c>
      <c r="KN10" s="28">
        <f t="shared" si="9"/>
        <v>0</v>
      </c>
      <c r="KO10" s="28">
        <f t="shared" si="9"/>
        <v>0</v>
      </c>
      <c r="KP10" s="28">
        <f t="shared" si="9"/>
        <v>0</v>
      </c>
      <c r="KQ10" s="28">
        <f t="shared" si="9"/>
        <v>0</v>
      </c>
      <c r="KR10" s="28">
        <f t="shared" si="9"/>
        <v>0</v>
      </c>
      <c r="KS10" s="28">
        <f t="shared" si="9"/>
        <v>0</v>
      </c>
      <c r="KT10" s="28">
        <f t="shared" si="9"/>
        <v>0</v>
      </c>
      <c r="KU10" s="28">
        <f t="shared" si="9"/>
        <v>0</v>
      </c>
      <c r="KW10" s="28">
        <f t="shared" ref="KW10:LZ10" si="10">KW12+KW20</f>
        <v>23708316666.666668</v>
      </c>
      <c r="KX10" s="28">
        <f t="shared" si="10"/>
        <v>23708316666.666668</v>
      </c>
      <c r="KY10" s="28">
        <f t="shared" si="10"/>
        <v>23708316666.666668</v>
      </c>
      <c r="KZ10" s="28">
        <f t="shared" si="10"/>
        <v>23708316666.666668</v>
      </c>
      <c r="LA10" s="28">
        <f t="shared" si="10"/>
        <v>23708316666.666668</v>
      </c>
      <c r="LB10" s="28">
        <f t="shared" si="10"/>
        <v>23708316666.666668</v>
      </c>
      <c r="LC10" s="28">
        <f t="shared" si="10"/>
        <v>23708316666.666668</v>
      </c>
      <c r="LD10" s="28">
        <f t="shared" si="10"/>
        <v>23708316666.666668</v>
      </c>
      <c r="LE10" s="28">
        <f t="shared" si="10"/>
        <v>23708316666.666668</v>
      </c>
      <c r="LF10" s="28">
        <f t="shared" si="10"/>
        <v>23708316666.666668</v>
      </c>
      <c r="LG10" s="28">
        <f t="shared" si="10"/>
        <v>23708316666.666668</v>
      </c>
      <c r="LH10" s="28">
        <f t="shared" si="10"/>
        <v>23708316666.666668</v>
      </c>
      <c r="LI10" s="28">
        <f t="shared" si="10"/>
        <v>0</v>
      </c>
      <c r="LJ10" s="28">
        <f t="shared" si="10"/>
        <v>0</v>
      </c>
      <c r="LK10" s="28">
        <f t="shared" si="10"/>
        <v>0</v>
      </c>
      <c r="LL10" s="28">
        <f t="shared" si="10"/>
        <v>0</v>
      </c>
      <c r="LM10" s="28">
        <f t="shared" si="10"/>
        <v>0</v>
      </c>
      <c r="LN10" s="28">
        <f t="shared" si="10"/>
        <v>0</v>
      </c>
      <c r="LO10" s="28">
        <f t="shared" si="10"/>
        <v>0</v>
      </c>
      <c r="LP10" s="28">
        <f t="shared" si="10"/>
        <v>0</v>
      </c>
      <c r="LQ10" s="28">
        <f t="shared" si="10"/>
        <v>0</v>
      </c>
      <c r="LR10" s="28">
        <f t="shared" si="10"/>
        <v>0</v>
      </c>
      <c r="LS10" s="28">
        <f t="shared" si="10"/>
        <v>0</v>
      </c>
      <c r="LT10" s="28">
        <f t="shared" si="10"/>
        <v>0</v>
      </c>
      <c r="LU10" s="28">
        <f t="shared" si="10"/>
        <v>0</v>
      </c>
      <c r="LV10" s="28">
        <f t="shared" si="10"/>
        <v>0</v>
      </c>
      <c r="LW10" s="28">
        <f t="shared" si="10"/>
        <v>0</v>
      </c>
      <c r="LX10" s="28">
        <f t="shared" si="10"/>
        <v>0</v>
      </c>
      <c r="LY10" s="28">
        <f t="shared" si="10"/>
        <v>0</v>
      </c>
      <c r="LZ10" s="28">
        <f t="shared" si="10"/>
        <v>0</v>
      </c>
      <c r="MB10" s="28">
        <f t="shared" ref="MB10:NE10" si="11">MB12+MB20</f>
        <v>23708316666.666668</v>
      </c>
      <c r="MC10" s="28">
        <f t="shared" si="11"/>
        <v>23708316666.666668</v>
      </c>
      <c r="MD10" s="28">
        <f t="shared" si="11"/>
        <v>23708316666.666668</v>
      </c>
      <c r="ME10" s="28">
        <f t="shared" si="11"/>
        <v>23708316666.666668</v>
      </c>
      <c r="MF10" s="28">
        <f t="shared" si="11"/>
        <v>23708316666.666668</v>
      </c>
      <c r="MG10" s="28">
        <f t="shared" si="11"/>
        <v>23708316666.666668</v>
      </c>
      <c r="MH10" s="28">
        <f t="shared" si="11"/>
        <v>23708316666.666668</v>
      </c>
      <c r="MI10" s="28">
        <f t="shared" si="11"/>
        <v>23708316666.666668</v>
      </c>
      <c r="MJ10" s="28">
        <f t="shared" si="11"/>
        <v>23708316666.666668</v>
      </c>
      <c r="MK10" s="28">
        <f t="shared" si="11"/>
        <v>23708316666.666668</v>
      </c>
      <c r="ML10" s="28">
        <f t="shared" si="11"/>
        <v>23708316666.666668</v>
      </c>
      <c r="MM10" s="28">
        <f t="shared" si="11"/>
        <v>23708316666.666668</v>
      </c>
      <c r="MN10" s="28">
        <f t="shared" si="11"/>
        <v>0</v>
      </c>
      <c r="MO10" s="28">
        <f t="shared" si="11"/>
        <v>0</v>
      </c>
      <c r="MP10" s="28">
        <f t="shared" si="11"/>
        <v>0</v>
      </c>
      <c r="MQ10" s="28">
        <f t="shared" si="11"/>
        <v>0</v>
      </c>
      <c r="MR10" s="28">
        <f t="shared" si="11"/>
        <v>0</v>
      </c>
      <c r="MS10" s="28">
        <f t="shared" si="11"/>
        <v>0</v>
      </c>
      <c r="MT10" s="28">
        <f t="shared" si="11"/>
        <v>0</v>
      </c>
      <c r="MU10" s="28">
        <f t="shared" si="11"/>
        <v>0</v>
      </c>
      <c r="MV10" s="28">
        <f t="shared" si="11"/>
        <v>0</v>
      </c>
      <c r="MW10" s="28">
        <f t="shared" si="11"/>
        <v>0</v>
      </c>
      <c r="MX10" s="28">
        <f t="shared" si="11"/>
        <v>0</v>
      </c>
      <c r="MY10" s="28">
        <f t="shared" si="11"/>
        <v>0</v>
      </c>
      <c r="MZ10" s="28">
        <f t="shared" si="11"/>
        <v>0</v>
      </c>
      <c r="NA10" s="28">
        <f t="shared" si="11"/>
        <v>0</v>
      </c>
      <c r="NB10" s="28">
        <f t="shared" si="11"/>
        <v>0</v>
      </c>
      <c r="NC10" s="28">
        <f t="shared" si="11"/>
        <v>0</v>
      </c>
      <c r="ND10" s="28">
        <f t="shared" si="11"/>
        <v>0</v>
      </c>
      <c r="NE10" s="28">
        <f t="shared" si="11"/>
        <v>0</v>
      </c>
    </row>
    <row r="11" spans="1:369" s="16" customFormat="1" ht="3.75" customHeight="1" x14ac:dyDescent="0.25">
      <c r="A11"/>
      <c r="B11"/>
      <c r="C11" s="19"/>
      <c r="G11" s="29"/>
      <c r="I11" s="29"/>
      <c r="L11" s="29"/>
      <c r="M11" s="29"/>
      <c r="N11" s="29"/>
      <c r="Q11" s="29"/>
      <c r="R11" s="29"/>
      <c r="S11" s="29"/>
      <c r="V11" s="29"/>
      <c r="W11" s="29"/>
      <c r="X11" s="29"/>
      <c r="AA11" s="29"/>
      <c r="AB11" s="29"/>
      <c r="AC11" s="29"/>
      <c r="AF11" s="29"/>
      <c r="AG11" s="29"/>
      <c r="AH11" s="29"/>
      <c r="AK11" s="29"/>
      <c r="AL11" s="29"/>
      <c r="AM11" s="29"/>
      <c r="AP11" s="29"/>
      <c r="AQ11" s="29"/>
      <c r="AR11" s="29"/>
      <c r="AU11" s="29"/>
      <c r="AV11" s="29"/>
      <c r="AW11" s="29"/>
      <c r="AZ11" s="29"/>
      <c r="BA11" s="29"/>
      <c r="BB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M11" s="29"/>
      <c r="IN11" s="29"/>
      <c r="IO11" s="29"/>
      <c r="IP11" s="29"/>
      <c r="IQ11" s="29"/>
      <c r="IR11" s="29"/>
      <c r="IS11" s="29"/>
      <c r="IT11" s="29"/>
      <c r="IU11" s="29"/>
      <c r="IV11" s="29"/>
      <c r="IW11" s="29"/>
      <c r="IX11" s="29"/>
      <c r="IY11" s="29"/>
      <c r="IZ11" s="29"/>
      <c r="JA11" s="29"/>
      <c r="JB11" s="29"/>
      <c r="JC11" s="29"/>
      <c r="JD11" s="29"/>
      <c r="JE11" s="29"/>
      <c r="JF11" s="29"/>
      <c r="JG11" s="29"/>
      <c r="JH11" s="29"/>
      <c r="JI11" s="29"/>
      <c r="JJ11" s="29"/>
      <c r="JK11" s="29"/>
      <c r="JL11" s="29"/>
      <c r="JM11" s="29"/>
      <c r="JN11" s="29"/>
      <c r="JO11" s="29"/>
      <c r="JP11" s="29"/>
      <c r="JR11" s="29"/>
      <c r="JS11" s="29"/>
      <c r="JT11" s="29"/>
      <c r="JU11" s="29"/>
      <c r="JV11" s="29"/>
      <c r="JW11" s="29"/>
      <c r="JX11" s="29"/>
      <c r="JY11" s="29"/>
      <c r="JZ11" s="29"/>
      <c r="KA11" s="29"/>
      <c r="KB11" s="29"/>
      <c r="KC11" s="29"/>
      <c r="KD11" s="29"/>
      <c r="KE11" s="29"/>
      <c r="KF11" s="29"/>
      <c r="KG11" s="29"/>
      <c r="KH11" s="29"/>
      <c r="KI11" s="29"/>
      <c r="KJ11" s="29"/>
      <c r="KK11" s="29"/>
      <c r="KL11" s="29"/>
      <c r="KM11" s="29"/>
      <c r="KN11" s="29"/>
      <c r="KO11" s="29"/>
      <c r="KP11" s="29"/>
      <c r="KQ11" s="29"/>
      <c r="KR11" s="29"/>
      <c r="KS11" s="29"/>
      <c r="KT11" s="29"/>
      <c r="KU11" s="29"/>
      <c r="KW11" s="29"/>
      <c r="KX11" s="29"/>
      <c r="KY11" s="29"/>
      <c r="KZ11" s="29"/>
      <c r="LA11" s="29"/>
      <c r="LB11" s="29"/>
      <c r="LC11" s="29"/>
      <c r="LD11" s="29"/>
      <c r="LE11" s="29"/>
      <c r="LF11" s="29"/>
      <c r="LG11" s="29"/>
      <c r="LH11" s="29"/>
      <c r="LI11" s="29"/>
      <c r="LJ11" s="29"/>
      <c r="LK11" s="29"/>
      <c r="LL11" s="29"/>
      <c r="LM11" s="29"/>
      <c r="LN11" s="29"/>
      <c r="LO11" s="29"/>
      <c r="LP11" s="29"/>
      <c r="LQ11" s="29"/>
      <c r="LR11" s="29"/>
      <c r="LS11" s="29"/>
      <c r="LT11" s="29"/>
      <c r="LU11" s="29"/>
      <c r="LV11" s="29"/>
      <c r="LW11" s="29"/>
      <c r="LX11" s="29"/>
      <c r="LY11" s="29"/>
      <c r="LZ11" s="29"/>
      <c r="MB11" s="29"/>
      <c r="MC11" s="29"/>
      <c r="MD11" s="29"/>
      <c r="ME11" s="29"/>
      <c r="MF11" s="29"/>
      <c r="MG11" s="29"/>
      <c r="MH11" s="29"/>
      <c r="MI11" s="29"/>
      <c r="MJ11" s="29"/>
      <c r="MK11" s="29"/>
      <c r="ML11" s="29"/>
      <c r="MM11" s="29"/>
      <c r="MN11" s="29"/>
      <c r="MO11" s="29"/>
      <c r="MP11" s="29"/>
      <c r="MQ11" s="29"/>
      <c r="MR11" s="29"/>
      <c r="MS11" s="29"/>
      <c r="MT11" s="29"/>
      <c r="MU11" s="29"/>
      <c r="MV11" s="29"/>
      <c r="MW11" s="29"/>
      <c r="MX11" s="29"/>
      <c r="MY11" s="29"/>
      <c r="MZ11" s="29"/>
      <c r="NA11" s="29"/>
      <c r="NB11" s="29"/>
      <c r="NC11" s="29"/>
      <c r="ND11" s="29"/>
      <c r="NE11" s="29"/>
    </row>
    <row r="12" spans="1:369" s="1" customFormat="1" x14ac:dyDescent="0.25">
      <c r="A12" t="s">
        <v>480</v>
      </c>
      <c r="B12"/>
      <c r="C12" s="37" t="s">
        <v>56</v>
      </c>
      <c r="D12" s="230" t="s">
        <v>30</v>
      </c>
      <c r="E12" s="26"/>
      <c r="F12" s="220"/>
      <c r="G12" s="140"/>
      <c r="H12" s="26"/>
      <c r="I12" s="30">
        <f>SUM(I13:I18)</f>
        <v>246389000000.00003</v>
      </c>
      <c r="J12" s="30">
        <f>SUM(J13:J18)</f>
        <v>20532416666.666668</v>
      </c>
      <c r="K12" s="220"/>
      <c r="L12" s="140"/>
      <c r="M12" s="140"/>
      <c r="N12" s="30">
        <f>SUM(N13:N18)</f>
        <v>246389000000.00003</v>
      </c>
      <c r="O12" s="30">
        <f>SUM(O13:O18)</f>
        <v>20532416666.666668</v>
      </c>
      <c r="P12" s="220"/>
      <c r="Q12" s="140"/>
      <c r="R12" s="140"/>
      <c r="S12" s="30">
        <f>SUM(S13:S18)</f>
        <v>246389000000.00003</v>
      </c>
      <c r="T12" s="30">
        <f>SUM(T13:T18)</f>
        <v>20532416666.666668</v>
      </c>
      <c r="U12" s="220"/>
      <c r="V12" s="140"/>
      <c r="W12" s="140"/>
      <c r="X12" s="30">
        <f>SUM(X13:X18)</f>
        <v>246389000000.00003</v>
      </c>
      <c r="Y12" s="30">
        <f>SUM(Y13:Y18)</f>
        <v>20532416666.666668</v>
      </c>
      <c r="Z12" s="220"/>
      <c r="AA12" s="140"/>
      <c r="AB12" s="140"/>
      <c r="AC12" s="30">
        <f>SUM(AC13:AC18)</f>
        <v>246389000000.00003</v>
      </c>
      <c r="AD12" s="30">
        <f>SUM(AD13:AD18)</f>
        <v>20532416666.666668</v>
      </c>
      <c r="AE12" s="220"/>
      <c r="AF12" s="140"/>
      <c r="AG12" s="140"/>
      <c r="AH12" s="30">
        <f>SUM(AH13:AH18)</f>
        <v>246389000000.00003</v>
      </c>
      <c r="AI12" s="30">
        <f>SUM(AI13:AI18)</f>
        <v>20532416666.666668</v>
      </c>
      <c r="AJ12" s="220"/>
      <c r="AK12" s="140"/>
      <c r="AL12" s="140"/>
      <c r="AM12" s="30">
        <f>SUM(AM13:AM18)</f>
        <v>246389000000.00003</v>
      </c>
      <c r="AN12" s="30">
        <f>SUM(AN13:AN18)</f>
        <v>20532416666.666668</v>
      </c>
      <c r="AO12" s="220"/>
      <c r="AP12" s="140"/>
      <c r="AQ12" s="140"/>
      <c r="AR12" s="30">
        <f>SUM(AR13:AR18)</f>
        <v>246389000000.00003</v>
      </c>
      <c r="AS12" s="30">
        <f>SUM(AS13:AS18)</f>
        <v>20532416666.666668</v>
      </c>
      <c r="AT12" s="220"/>
      <c r="AU12" s="140"/>
      <c r="AV12" s="140"/>
      <c r="AW12" s="30">
        <f>SUM(AW13:AW18)</f>
        <v>246389000000.00003</v>
      </c>
      <c r="AX12" s="30">
        <f>SUM(AX13:AX18)</f>
        <v>20532416666.666668</v>
      </c>
      <c r="AY12" s="220"/>
      <c r="AZ12" s="140"/>
      <c r="BA12" s="140"/>
      <c r="BB12" s="30">
        <f>SUM(BB13:BB18)</f>
        <v>246389000000.00003</v>
      </c>
      <c r="BC12" s="30">
        <f>SUM(BC13:BC18)</f>
        <v>20532416666.666668</v>
      </c>
      <c r="BD12" s="220"/>
      <c r="BI12" s="30">
        <f t="shared" ref="BI12:CL12" si="12">SUM(BI13:BI18)</f>
        <v>20532416666.666668</v>
      </c>
      <c r="BJ12" s="30">
        <f t="shared" si="12"/>
        <v>20532416666.666668</v>
      </c>
      <c r="BK12" s="30">
        <f t="shared" si="12"/>
        <v>20532416666.666668</v>
      </c>
      <c r="BL12" s="30">
        <f t="shared" si="12"/>
        <v>20532416666.666668</v>
      </c>
      <c r="BM12" s="30">
        <f t="shared" si="12"/>
        <v>20532416666.666668</v>
      </c>
      <c r="BN12" s="30">
        <f t="shared" si="12"/>
        <v>20532416666.666668</v>
      </c>
      <c r="BO12" s="30">
        <f t="shared" si="12"/>
        <v>20532416666.666668</v>
      </c>
      <c r="BP12" s="30">
        <f t="shared" si="12"/>
        <v>20532416666.666668</v>
      </c>
      <c r="BQ12" s="30">
        <f t="shared" si="12"/>
        <v>20532416666.666668</v>
      </c>
      <c r="BR12" s="30">
        <f t="shared" si="12"/>
        <v>20532416666.666668</v>
      </c>
      <c r="BS12" s="30">
        <f t="shared" si="12"/>
        <v>20532416666.666668</v>
      </c>
      <c r="BT12" s="30">
        <f t="shared" si="12"/>
        <v>20532416666.666668</v>
      </c>
      <c r="BU12" s="30">
        <f t="shared" si="12"/>
        <v>0</v>
      </c>
      <c r="BV12" s="30">
        <f t="shared" si="12"/>
        <v>0</v>
      </c>
      <c r="BW12" s="30">
        <f t="shared" si="12"/>
        <v>0</v>
      </c>
      <c r="BX12" s="30">
        <f t="shared" si="12"/>
        <v>0</v>
      </c>
      <c r="BY12" s="30">
        <f t="shared" si="12"/>
        <v>0</v>
      </c>
      <c r="BZ12" s="30">
        <f t="shared" si="12"/>
        <v>0</v>
      </c>
      <c r="CA12" s="30">
        <f t="shared" si="12"/>
        <v>0</v>
      </c>
      <c r="CB12" s="30">
        <f t="shared" si="12"/>
        <v>0</v>
      </c>
      <c r="CC12" s="30">
        <f t="shared" si="12"/>
        <v>0</v>
      </c>
      <c r="CD12" s="30">
        <f t="shared" si="12"/>
        <v>0</v>
      </c>
      <c r="CE12" s="30">
        <f t="shared" si="12"/>
        <v>0</v>
      </c>
      <c r="CF12" s="30">
        <f t="shared" si="12"/>
        <v>0</v>
      </c>
      <c r="CG12" s="30">
        <f t="shared" si="12"/>
        <v>0</v>
      </c>
      <c r="CH12" s="30">
        <f t="shared" si="12"/>
        <v>0</v>
      </c>
      <c r="CI12" s="30">
        <f t="shared" si="12"/>
        <v>0</v>
      </c>
      <c r="CJ12" s="30">
        <f t="shared" si="12"/>
        <v>0</v>
      </c>
      <c r="CK12" s="30">
        <f t="shared" si="12"/>
        <v>0</v>
      </c>
      <c r="CL12" s="30">
        <f t="shared" si="12"/>
        <v>0</v>
      </c>
      <c r="CN12" s="30">
        <f t="shared" ref="CN12" si="13">SUM(CN13:CN18)</f>
        <v>20532416666.666668</v>
      </c>
      <c r="CO12" s="30">
        <f t="shared" ref="CO12" si="14">SUM(CO13:CO18)</f>
        <v>20532416666.666668</v>
      </c>
      <c r="CP12" s="30">
        <f t="shared" ref="CP12" si="15">SUM(CP13:CP18)</f>
        <v>20532416666.666668</v>
      </c>
      <c r="CQ12" s="30">
        <f t="shared" ref="CQ12" si="16">SUM(CQ13:CQ18)</f>
        <v>20532416666.666668</v>
      </c>
      <c r="CR12" s="30">
        <f t="shared" ref="CR12" si="17">SUM(CR13:CR18)</f>
        <v>20532416666.666668</v>
      </c>
      <c r="CS12" s="30">
        <f t="shared" ref="CS12" si="18">SUM(CS13:CS18)</f>
        <v>20532416666.666668</v>
      </c>
      <c r="CT12" s="30">
        <f t="shared" ref="CT12" si="19">SUM(CT13:CT18)</f>
        <v>20532416666.666668</v>
      </c>
      <c r="CU12" s="30">
        <f t="shared" ref="CU12" si="20">SUM(CU13:CU18)</f>
        <v>20532416666.666668</v>
      </c>
      <c r="CV12" s="30">
        <f t="shared" ref="CV12" si="21">SUM(CV13:CV18)</f>
        <v>20532416666.666668</v>
      </c>
      <c r="CW12" s="30">
        <f t="shared" ref="CW12" si="22">SUM(CW13:CW18)</f>
        <v>20532416666.666668</v>
      </c>
      <c r="CX12" s="30">
        <f t="shared" ref="CX12" si="23">SUM(CX13:CX18)</f>
        <v>20532416666.666668</v>
      </c>
      <c r="CY12" s="30">
        <f t="shared" ref="CY12" si="24">SUM(CY13:CY18)</f>
        <v>20532416666.666668</v>
      </c>
      <c r="CZ12" s="30">
        <f t="shared" ref="CZ12" si="25">SUM(CZ13:CZ18)</f>
        <v>0</v>
      </c>
      <c r="DA12" s="30">
        <f t="shared" ref="DA12" si="26">SUM(DA13:DA18)</f>
        <v>0</v>
      </c>
      <c r="DB12" s="30">
        <f t="shared" ref="DB12" si="27">SUM(DB13:DB18)</f>
        <v>0</v>
      </c>
      <c r="DC12" s="30">
        <f t="shared" ref="DC12" si="28">SUM(DC13:DC18)</f>
        <v>0</v>
      </c>
      <c r="DD12" s="30">
        <f t="shared" ref="DD12" si="29">SUM(DD13:DD18)</f>
        <v>0</v>
      </c>
      <c r="DE12" s="30">
        <f t="shared" ref="DE12" si="30">SUM(DE13:DE18)</f>
        <v>0</v>
      </c>
      <c r="DF12" s="30">
        <f t="shared" ref="DF12" si="31">SUM(DF13:DF18)</f>
        <v>0</v>
      </c>
      <c r="DG12" s="30">
        <f t="shared" ref="DG12" si="32">SUM(DG13:DG18)</f>
        <v>0</v>
      </c>
      <c r="DH12" s="30">
        <f t="shared" ref="DH12" si="33">SUM(DH13:DH18)</f>
        <v>0</v>
      </c>
      <c r="DI12" s="30">
        <f t="shared" ref="DI12" si="34">SUM(DI13:DI18)</f>
        <v>0</v>
      </c>
      <c r="DJ12" s="30">
        <f t="shared" ref="DJ12" si="35">SUM(DJ13:DJ18)</f>
        <v>0</v>
      </c>
      <c r="DK12" s="30">
        <f t="shared" ref="DK12" si="36">SUM(DK13:DK18)</f>
        <v>0</v>
      </c>
      <c r="DL12" s="30">
        <f t="shared" ref="DL12" si="37">SUM(DL13:DL18)</f>
        <v>0</v>
      </c>
      <c r="DM12" s="30">
        <f t="shared" ref="DM12" si="38">SUM(DM13:DM18)</f>
        <v>0</v>
      </c>
      <c r="DN12" s="30">
        <f t="shared" ref="DN12" si="39">SUM(DN13:DN18)</f>
        <v>0</v>
      </c>
      <c r="DO12" s="30">
        <f t="shared" ref="DO12" si="40">SUM(DO13:DO18)</f>
        <v>0</v>
      </c>
      <c r="DP12" s="30">
        <f t="shared" ref="DP12" si="41">SUM(DP13:DP18)</f>
        <v>0</v>
      </c>
      <c r="DQ12" s="30">
        <f t="shared" ref="DQ12" si="42">SUM(DQ13:DQ18)</f>
        <v>0</v>
      </c>
      <c r="DS12" s="30">
        <f t="shared" ref="DS12:EV12" si="43">SUM(DS13:DS18)</f>
        <v>20532416666.666668</v>
      </c>
      <c r="DT12" s="30">
        <f t="shared" si="43"/>
        <v>20532416666.666668</v>
      </c>
      <c r="DU12" s="30">
        <f t="shared" si="43"/>
        <v>20532416666.666668</v>
      </c>
      <c r="DV12" s="30">
        <f t="shared" si="43"/>
        <v>20532416666.666668</v>
      </c>
      <c r="DW12" s="30">
        <f t="shared" si="43"/>
        <v>20532416666.666668</v>
      </c>
      <c r="DX12" s="30">
        <f t="shared" si="43"/>
        <v>20532416666.666668</v>
      </c>
      <c r="DY12" s="30">
        <f t="shared" si="43"/>
        <v>20532416666.666668</v>
      </c>
      <c r="DZ12" s="30">
        <f t="shared" si="43"/>
        <v>20532416666.666668</v>
      </c>
      <c r="EA12" s="30">
        <f t="shared" si="43"/>
        <v>20532416666.666668</v>
      </c>
      <c r="EB12" s="30">
        <f t="shared" si="43"/>
        <v>20532416666.666668</v>
      </c>
      <c r="EC12" s="30">
        <f t="shared" si="43"/>
        <v>20532416666.666668</v>
      </c>
      <c r="ED12" s="30">
        <f t="shared" si="43"/>
        <v>20532416666.666668</v>
      </c>
      <c r="EE12" s="30">
        <f t="shared" si="43"/>
        <v>0</v>
      </c>
      <c r="EF12" s="30">
        <f t="shared" si="43"/>
        <v>0</v>
      </c>
      <c r="EG12" s="30">
        <f t="shared" si="43"/>
        <v>0</v>
      </c>
      <c r="EH12" s="30">
        <f t="shared" si="43"/>
        <v>0</v>
      </c>
      <c r="EI12" s="30">
        <f t="shared" si="43"/>
        <v>0</v>
      </c>
      <c r="EJ12" s="30">
        <f t="shared" si="43"/>
        <v>0</v>
      </c>
      <c r="EK12" s="30">
        <f t="shared" si="43"/>
        <v>0</v>
      </c>
      <c r="EL12" s="30">
        <f t="shared" si="43"/>
        <v>0</v>
      </c>
      <c r="EM12" s="30">
        <f t="shared" si="43"/>
        <v>0</v>
      </c>
      <c r="EN12" s="30">
        <f t="shared" si="43"/>
        <v>0</v>
      </c>
      <c r="EO12" s="30">
        <f t="shared" si="43"/>
        <v>0</v>
      </c>
      <c r="EP12" s="30">
        <f t="shared" si="43"/>
        <v>0</v>
      </c>
      <c r="EQ12" s="30">
        <f t="shared" si="43"/>
        <v>0</v>
      </c>
      <c r="ER12" s="30">
        <f t="shared" si="43"/>
        <v>0</v>
      </c>
      <c r="ES12" s="30">
        <f t="shared" si="43"/>
        <v>0</v>
      </c>
      <c r="ET12" s="30">
        <f t="shared" si="43"/>
        <v>0</v>
      </c>
      <c r="EU12" s="30">
        <f t="shared" si="43"/>
        <v>0</v>
      </c>
      <c r="EV12" s="30">
        <f t="shared" si="43"/>
        <v>0</v>
      </c>
      <c r="EX12" s="30">
        <f t="shared" ref="EX12:GA12" si="44">SUM(EX13:EX18)</f>
        <v>20532416666.666668</v>
      </c>
      <c r="EY12" s="30">
        <f t="shared" si="44"/>
        <v>20532416666.666668</v>
      </c>
      <c r="EZ12" s="30">
        <f t="shared" si="44"/>
        <v>20532416666.666668</v>
      </c>
      <c r="FA12" s="30">
        <f t="shared" si="44"/>
        <v>20532416666.666668</v>
      </c>
      <c r="FB12" s="30">
        <f t="shared" si="44"/>
        <v>20532416666.666668</v>
      </c>
      <c r="FC12" s="30">
        <f t="shared" si="44"/>
        <v>20532416666.666668</v>
      </c>
      <c r="FD12" s="30">
        <f t="shared" si="44"/>
        <v>20532416666.666668</v>
      </c>
      <c r="FE12" s="30">
        <f t="shared" si="44"/>
        <v>20532416666.666668</v>
      </c>
      <c r="FF12" s="30">
        <f t="shared" si="44"/>
        <v>20532416666.666668</v>
      </c>
      <c r="FG12" s="30">
        <f t="shared" si="44"/>
        <v>20532416666.666668</v>
      </c>
      <c r="FH12" s="30">
        <f t="shared" si="44"/>
        <v>20532416666.666668</v>
      </c>
      <c r="FI12" s="30">
        <f t="shared" si="44"/>
        <v>20532416666.666668</v>
      </c>
      <c r="FJ12" s="30">
        <f t="shared" si="44"/>
        <v>0</v>
      </c>
      <c r="FK12" s="30">
        <f t="shared" si="44"/>
        <v>0</v>
      </c>
      <c r="FL12" s="30">
        <f t="shared" si="44"/>
        <v>0</v>
      </c>
      <c r="FM12" s="30">
        <f t="shared" si="44"/>
        <v>0</v>
      </c>
      <c r="FN12" s="30">
        <f t="shared" si="44"/>
        <v>0</v>
      </c>
      <c r="FO12" s="30">
        <f t="shared" si="44"/>
        <v>0</v>
      </c>
      <c r="FP12" s="30">
        <f t="shared" si="44"/>
        <v>0</v>
      </c>
      <c r="FQ12" s="30">
        <f t="shared" si="44"/>
        <v>0</v>
      </c>
      <c r="FR12" s="30">
        <f t="shared" si="44"/>
        <v>0</v>
      </c>
      <c r="FS12" s="30">
        <f t="shared" si="44"/>
        <v>0</v>
      </c>
      <c r="FT12" s="30">
        <f t="shared" si="44"/>
        <v>0</v>
      </c>
      <c r="FU12" s="30">
        <f t="shared" si="44"/>
        <v>0</v>
      </c>
      <c r="FV12" s="30">
        <f t="shared" si="44"/>
        <v>0</v>
      </c>
      <c r="FW12" s="30">
        <f t="shared" si="44"/>
        <v>0</v>
      </c>
      <c r="FX12" s="30">
        <f t="shared" si="44"/>
        <v>0</v>
      </c>
      <c r="FY12" s="30">
        <f t="shared" si="44"/>
        <v>0</v>
      </c>
      <c r="FZ12" s="30">
        <f t="shared" si="44"/>
        <v>0</v>
      </c>
      <c r="GA12" s="30">
        <f t="shared" si="44"/>
        <v>0</v>
      </c>
      <c r="GC12" s="30">
        <f t="shared" ref="GC12:HF12" si="45">SUM(GC13:GC18)</f>
        <v>20532416666.666668</v>
      </c>
      <c r="GD12" s="30">
        <f t="shared" si="45"/>
        <v>20532416666.666668</v>
      </c>
      <c r="GE12" s="30">
        <f t="shared" si="45"/>
        <v>20532416666.666668</v>
      </c>
      <c r="GF12" s="30">
        <f t="shared" si="45"/>
        <v>20532416666.666668</v>
      </c>
      <c r="GG12" s="30">
        <f t="shared" si="45"/>
        <v>20532416666.666668</v>
      </c>
      <c r="GH12" s="30">
        <f t="shared" si="45"/>
        <v>20532416666.666668</v>
      </c>
      <c r="GI12" s="30">
        <f t="shared" si="45"/>
        <v>20532416666.666668</v>
      </c>
      <c r="GJ12" s="30">
        <f t="shared" si="45"/>
        <v>20532416666.666668</v>
      </c>
      <c r="GK12" s="30">
        <f t="shared" si="45"/>
        <v>20532416666.666668</v>
      </c>
      <c r="GL12" s="30">
        <f t="shared" si="45"/>
        <v>20532416666.666668</v>
      </c>
      <c r="GM12" s="30">
        <f t="shared" si="45"/>
        <v>20532416666.666668</v>
      </c>
      <c r="GN12" s="30">
        <f t="shared" si="45"/>
        <v>20532416666.666668</v>
      </c>
      <c r="GO12" s="30">
        <f t="shared" si="45"/>
        <v>0</v>
      </c>
      <c r="GP12" s="30">
        <f t="shared" si="45"/>
        <v>0</v>
      </c>
      <c r="GQ12" s="30">
        <f t="shared" si="45"/>
        <v>0</v>
      </c>
      <c r="GR12" s="30">
        <f t="shared" si="45"/>
        <v>0</v>
      </c>
      <c r="GS12" s="30">
        <f t="shared" si="45"/>
        <v>0</v>
      </c>
      <c r="GT12" s="30">
        <f t="shared" si="45"/>
        <v>0</v>
      </c>
      <c r="GU12" s="30">
        <f t="shared" si="45"/>
        <v>0</v>
      </c>
      <c r="GV12" s="30">
        <f t="shared" si="45"/>
        <v>0</v>
      </c>
      <c r="GW12" s="30">
        <f t="shared" si="45"/>
        <v>0</v>
      </c>
      <c r="GX12" s="30">
        <f t="shared" si="45"/>
        <v>0</v>
      </c>
      <c r="GY12" s="30">
        <f t="shared" si="45"/>
        <v>0</v>
      </c>
      <c r="GZ12" s="30">
        <f t="shared" si="45"/>
        <v>0</v>
      </c>
      <c r="HA12" s="30">
        <f t="shared" si="45"/>
        <v>0</v>
      </c>
      <c r="HB12" s="30">
        <f t="shared" si="45"/>
        <v>0</v>
      </c>
      <c r="HC12" s="30">
        <f t="shared" si="45"/>
        <v>0</v>
      </c>
      <c r="HD12" s="30">
        <f t="shared" si="45"/>
        <v>0</v>
      </c>
      <c r="HE12" s="30">
        <f t="shared" si="45"/>
        <v>0</v>
      </c>
      <c r="HF12" s="30">
        <f t="shared" si="45"/>
        <v>0</v>
      </c>
      <c r="HH12" s="30">
        <f t="shared" ref="HH12" si="46">SUM(HH13:HH18)</f>
        <v>20532416666.666668</v>
      </c>
      <c r="HI12" s="30">
        <f t="shared" ref="HI12" si="47">SUM(HI13:HI18)</f>
        <v>20532416666.666668</v>
      </c>
      <c r="HJ12" s="30">
        <f t="shared" ref="HJ12" si="48">SUM(HJ13:HJ18)</f>
        <v>20532416666.666668</v>
      </c>
      <c r="HK12" s="30">
        <f t="shared" ref="HK12" si="49">SUM(HK13:HK18)</f>
        <v>20532416666.666668</v>
      </c>
      <c r="HL12" s="30">
        <f t="shared" ref="HL12" si="50">SUM(HL13:HL18)</f>
        <v>20532416666.666668</v>
      </c>
      <c r="HM12" s="30">
        <f t="shared" ref="HM12" si="51">SUM(HM13:HM18)</f>
        <v>20532416666.666668</v>
      </c>
      <c r="HN12" s="30">
        <f t="shared" ref="HN12" si="52">SUM(HN13:HN18)</f>
        <v>20532416666.666668</v>
      </c>
      <c r="HO12" s="30">
        <f t="shared" ref="HO12" si="53">SUM(HO13:HO18)</f>
        <v>20532416666.666668</v>
      </c>
      <c r="HP12" s="30">
        <f t="shared" ref="HP12" si="54">SUM(HP13:HP18)</f>
        <v>20532416666.666668</v>
      </c>
      <c r="HQ12" s="30">
        <f t="shared" ref="HQ12" si="55">SUM(HQ13:HQ18)</f>
        <v>20532416666.666668</v>
      </c>
      <c r="HR12" s="30">
        <f t="shared" ref="HR12" si="56">SUM(HR13:HR18)</f>
        <v>20532416666.666668</v>
      </c>
      <c r="HS12" s="30">
        <f t="shared" ref="HS12" si="57">SUM(HS13:HS18)</f>
        <v>20532416666.666668</v>
      </c>
      <c r="HT12" s="30">
        <f t="shared" ref="HT12" si="58">SUM(HT13:HT18)</f>
        <v>0</v>
      </c>
      <c r="HU12" s="30">
        <f t="shared" ref="HU12" si="59">SUM(HU13:HU18)</f>
        <v>0</v>
      </c>
      <c r="HV12" s="30">
        <f t="shared" ref="HV12" si="60">SUM(HV13:HV18)</f>
        <v>0</v>
      </c>
      <c r="HW12" s="30">
        <f t="shared" ref="HW12" si="61">SUM(HW13:HW18)</f>
        <v>0</v>
      </c>
      <c r="HX12" s="30">
        <f t="shared" ref="HX12" si="62">SUM(HX13:HX18)</f>
        <v>0</v>
      </c>
      <c r="HY12" s="30">
        <f t="shared" ref="HY12" si="63">SUM(HY13:HY18)</f>
        <v>0</v>
      </c>
      <c r="HZ12" s="30">
        <f t="shared" ref="HZ12" si="64">SUM(HZ13:HZ18)</f>
        <v>0</v>
      </c>
      <c r="IA12" s="30">
        <f t="shared" ref="IA12" si="65">SUM(IA13:IA18)</f>
        <v>0</v>
      </c>
      <c r="IB12" s="30">
        <f t="shared" ref="IB12" si="66">SUM(IB13:IB18)</f>
        <v>0</v>
      </c>
      <c r="IC12" s="30">
        <f t="shared" ref="IC12" si="67">SUM(IC13:IC18)</f>
        <v>0</v>
      </c>
      <c r="ID12" s="30">
        <f t="shared" ref="ID12" si="68">SUM(ID13:ID18)</f>
        <v>0</v>
      </c>
      <c r="IE12" s="30">
        <f t="shared" ref="IE12" si="69">SUM(IE13:IE18)</f>
        <v>0</v>
      </c>
      <c r="IF12" s="30">
        <f t="shared" ref="IF12" si="70">SUM(IF13:IF18)</f>
        <v>0</v>
      </c>
      <c r="IG12" s="30">
        <f t="shared" ref="IG12" si="71">SUM(IG13:IG18)</f>
        <v>0</v>
      </c>
      <c r="IH12" s="30">
        <f t="shared" ref="IH12" si="72">SUM(IH13:IH18)</f>
        <v>0</v>
      </c>
      <c r="II12" s="30">
        <f t="shared" ref="II12" si="73">SUM(II13:II18)</f>
        <v>0</v>
      </c>
      <c r="IJ12" s="30">
        <f t="shared" ref="IJ12" si="74">SUM(IJ13:IJ18)</f>
        <v>0</v>
      </c>
      <c r="IK12" s="30">
        <f t="shared" ref="IK12" si="75">SUM(IK13:IK18)</f>
        <v>0</v>
      </c>
      <c r="IM12" s="30">
        <f t="shared" ref="IM12:JP12" si="76">SUM(IM13:IM18)</f>
        <v>20532416666.666668</v>
      </c>
      <c r="IN12" s="30">
        <f t="shared" si="76"/>
        <v>20532416666.666668</v>
      </c>
      <c r="IO12" s="30">
        <f t="shared" si="76"/>
        <v>20532416666.666668</v>
      </c>
      <c r="IP12" s="30">
        <f t="shared" si="76"/>
        <v>20532416666.666668</v>
      </c>
      <c r="IQ12" s="30">
        <f t="shared" si="76"/>
        <v>20532416666.666668</v>
      </c>
      <c r="IR12" s="30">
        <f t="shared" si="76"/>
        <v>20532416666.666668</v>
      </c>
      <c r="IS12" s="30">
        <f t="shared" si="76"/>
        <v>20532416666.666668</v>
      </c>
      <c r="IT12" s="30">
        <f t="shared" si="76"/>
        <v>20532416666.666668</v>
      </c>
      <c r="IU12" s="30">
        <f t="shared" si="76"/>
        <v>20532416666.666668</v>
      </c>
      <c r="IV12" s="30">
        <f t="shared" si="76"/>
        <v>20532416666.666668</v>
      </c>
      <c r="IW12" s="30">
        <f t="shared" si="76"/>
        <v>20532416666.666668</v>
      </c>
      <c r="IX12" s="30">
        <f t="shared" si="76"/>
        <v>20532416666.666668</v>
      </c>
      <c r="IY12" s="30">
        <f t="shared" si="76"/>
        <v>0</v>
      </c>
      <c r="IZ12" s="30">
        <f t="shared" si="76"/>
        <v>0</v>
      </c>
      <c r="JA12" s="30">
        <f t="shared" si="76"/>
        <v>0</v>
      </c>
      <c r="JB12" s="30">
        <f t="shared" si="76"/>
        <v>0</v>
      </c>
      <c r="JC12" s="30">
        <f t="shared" si="76"/>
        <v>0</v>
      </c>
      <c r="JD12" s="30">
        <f t="shared" si="76"/>
        <v>0</v>
      </c>
      <c r="JE12" s="30">
        <f t="shared" si="76"/>
        <v>0</v>
      </c>
      <c r="JF12" s="30">
        <f t="shared" si="76"/>
        <v>0</v>
      </c>
      <c r="JG12" s="30">
        <f t="shared" si="76"/>
        <v>0</v>
      </c>
      <c r="JH12" s="30">
        <f t="shared" si="76"/>
        <v>0</v>
      </c>
      <c r="JI12" s="30">
        <f t="shared" si="76"/>
        <v>0</v>
      </c>
      <c r="JJ12" s="30">
        <f t="shared" si="76"/>
        <v>0</v>
      </c>
      <c r="JK12" s="30">
        <f t="shared" si="76"/>
        <v>0</v>
      </c>
      <c r="JL12" s="30">
        <f t="shared" si="76"/>
        <v>0</v>
      </c>
      <c r="JM12" s="30">
        <f t="shared" si="76"/>
        <v>0</v>
      </c>
      <c r="JN12" s="30">
        <f t="shared" si="76"/>
        <v>0</v>
      </c>
      <c r="JO12" s="30">
        <f t="shared" si="76"/>
        <v>0</v>
      </c>
      <c r="JP12" s="30">
        <f t="shared" si="76"/>
        <v>0</v>
      </c>
      <c r="JR12" s="30">
        <f t="shared" ref="JR12:KU12" si="77">SUM(JR13:JR18)</f>
        <v>20532416666.666668</v>
      </c>
      <c r="JS12" s="30">
        <f t="shared" si="77"/>
        <v>20532416666.666668</v>
      </c>
      <c r="JT12" s="30">
        <f t="shared" si="77"/>
        <v>20532416666.666668</v>
      </c>
      <c r="JU12" s="30">
        <f t="shared" si="77"/>
        <v>20532416666.666668</v>
      </c>
      <c r="JV12" s="30">
        <f t="shared" si="77"/>
        <v>20532416666.666668</v>
      </c>
      <c r="JW12" s="30">
        <f t="shared" si="77"/>
        <v>20532416666.666668</v>
      </c>
      <c r="JX12" s="30">
        <f t="shared" si="77"/>
        <v>20532416666.666668</v>
      </c>
      <c r="JY12" s="30">
        <f t="shared" si="77"/>
        <v>20532416666.666668</v>
      </c>
      <c r="JZ12" s="30">
        <f t="shared" si="77"/>
        <v>20532416666.666668</v>
      </c>
      <c r="KA12" s="30">
        <f t="shared" si="77"/>
        <v>20532416666.666668</v>
      </c>
      <c r="KB12" s="30">
        <f t="shared" si="77"/>
        <v>20532416666.666668</v>
      </c>
      <c r="KC12" s="30">
        <f t="shared" si="77"/>
        <v>20532416666.666668</v>
      </c>
      <c r="KD12" s="30">
        <f t="shared" si="77"/>
        <v>0</v>
      </c>
      <c r="KE12" s="30">
        <f t="shared" si="77"/>
        <v>0</v>
      </c>
      <c r="KF12" s="30">
        <f t="shared" si="77"/>
        <v>0</v>
      </c>
      <c r="KG12" s="30">
        <f t="shared" si="77"/>
        <v>0</v>
      </c>
      <c r="KH12" s="30">
        <f t="shared" si="77"/>
        <v>0</v>
      </c>
      <c r="KI12" s="30">
        <f t="shared" si="77"/>
        <v>0</v>
      </c>
      <c r="KJ12" s="30">
        <f t="shared" si="77"/>
        <v>0</v>
      </c>
      <c r="KK12" s="30">
        <f t="shared" si="77"/>
        <v>0</v>
      </c>
      <c r="KL12" s="30">
        <f t="shared" si="77"/>
        <v>0</v>
      </c>
      <c r="KM12" s="30">
        <f t="shared" si="77"/>
        <v>0</v>
      </c>
      <c r="KN12" s="30">
        <f t="shared" si="77"/>
        <v>0</v>
      </c>
      <c r="KO12" s="30">
        <f t="shared" si="77"/>
        <v>0</v>
      </c>
      <c r="KP12" s="30">
        <f t="shared" si="77"/>
        <v>0</v>
      </c>
      <c r="KQ12" s="30">
        <f t="shared" si="77"/>
        <v>0</v>
      </c>
      <c r="KR12" s="30">
        <f t="shared" si="77"/>
        <v>0</v>
      </c>
      <c r="KS12" s="30">
        <f t="shared" si="77"/>
        <v>0</v>
      </c>
      <c r="KT12" s="30">
        <f t="shared" si="77"/>
        <v>0</v>
      </c>
      <c r="KU12" s="30">
        <f t="shared" si="77"/>
        <v>0</v>
      </c>
      <c r="KW12" s="30">
        <f t="shared" ref="KW12:LZ12" si="78">SUM(KW13:KW18)</f>
        <v>20532416666.666668</v>
      </c>
      <c r="KX12" s="30">
        <f t="shared" si="78"/>
        <v>20532416666.666668</v>
      </c>
      <c r="KY12" s="30">
        <f t="shared" si="78"/>
        <v>20532416666.666668</v>
      </c>
      <c r="KZ12" s="30">
        <f t="shared" si="78"/>
        <v>20532416666.666668</v>
      </c>
      <c r="LA12" s="30">
        <f t="shared" si="78"/>
        <v>20532416666.666668</v>
      </c>
      <c r="LB12" s="30">
        <f t="shared" si="78"/>
        <v>20532416666.666668</v>
      </c>
      <c r="LC12" s="30">
        <f t="shared" si="78"/>
        <v>20532416666.666668</v>
      </c>
      <c r="LD12" s="30">
        <f t="shared" si="78"/>
        <v>20532416666.666668</v>
      </c>
      <c r="LE12" s="30">
        <f t="shared" si="78"/>
        <v>20532416666.666668</v>
      </c>
      <c r="LF12" s="30">
        <f t="shared" si="78"/>
        <v>20532416666.666668</v>
      </c>
      <c r="LG12" s="30">
        <f t="shared" si="78"/>
        <v>20532416666.666668</v>
      </c>
      <c r="LH12" s="30">
        <f t="shared" si="78"/>
        <v>20532416666.666668</v>
      </c>
      <c r="LI12" s="30">
        <f t="shared" si="78"/>
        <v>0</v>
      </c>
      <c r="LJ12" s="30">
        <f t="shared" si="78"/>
        <v>0</v>
      </c>
      <c r="LK12" s="30">
        <f t="shared" si="78"/>
        <v>0</v>
      </c>
      <c r="LL12" s="30">
        <f t="shared" si="78"/>
        <v>0</v>
      </c>
      <c r="LM12" s="30">
        <f t="shared" si="78"/>
        <v>0</v>
      </c>
      <c r="LN12" s="30">
        <f t="shared" si="78"/>
        <v>0</v>
      </c>
      <c r="LO12" s="30">
        <f t="shared" si="78"/>
        <v>0</v>
      </c>
      <c r="LP12" s="30">
        <f t="shared" si="78"/>
        <v>0</v>
      </c>
      <c r="LQ12" s="30">
        <f t="shared" si="78"/>
        <v>0</v>
      </c>
      <c r="LR12" s="30">
        <f t="shared" si="78"/>
        <v>0</v>
      </c>
      <c r="LS12" s="30">
        <f t="shared" si="78"/>
        <v>0</v>
      </c>
      <c r="LT12" s="30">
        <f t="shared" si="78"/>
        <v>0</v>
      </c>
      <c r="LU12" s="30">
        <f t="shared" si="78"/>
        <v>0</v>
      </c>
      <c r="LV12" s="30">
        <f t="shared" si="78"/>
        <v>0</v>
      </c>
      <c r="LW12" s="30">
        <f t="shared" si="78"/>
        <v>0</v>
      </c>
      <c r="LX12" s="30">
        <f t="shared" si="78"/>
        <v>0</v>
      </c>
      <c r="LY12" s="30">
        <f t="shared" si="78"/>
        <v>0</v>
      </c>
      <c r="LZ12" s="30">
        <f t="shared" si="78"/>
        <v>0</v>
      </c>
      <c r="MB12" s="30">
        <f t="shared" ref="MB12:NE12" si="79">SUM(MB13:MB18)</f>
        <v>20532416666.666668</v>
      </c>
      <c r="MC12" s="30">
        <f t="shared" si="79"/>
        <v>20532416666.666668</v>
      </c>
      <c r="MD12" s="30">
        <f t="shared" si="79"/>
        <v>20532416666.666668</v>
      </c>
      <c r="ME12" s="30">
        <f t="shared" si="79"/>
        <v>20532416666.666668</v>
      </c>
      <c r="MF12" s="30">
        <f t="shared" si="79"/>
        <v>20532416666.666668</v>
      </c>
      <c r="MG12" s="30">
        <f t="shared" si="79"/>
        <v>20532416666.666668</v>
      </c>
      <c r="MH12" s="30">
        <f t="shared" si="79"/>
        <v>20532416666.666668</v>
      </c>
      <c r="MI12" s="30">
        <f t="shared" si="79"/>
        <v>20532416666.666668</v>
      </c>
      <c r="MJ12" s="30">
        <f t="shared" si="79"/>
        <v>20532416666.666668</v>
      </c>
      <c r="MK12" s="30">
        <f t="shared" si="79"/>
        <v>20532416666.666668</v>
      </c>
      <c r="ML12" s="30">
        <f t="shared" si="79"/>
        <v>20532416666.666668</v>
      </c>
      <c r="MM12" s="30">
        <f t="shared" si="79"/>
        <v>20532416666.666668</v>
      </c>
      <c r="MN12" s="30">
        <f t="shared" si="79"/>
        <v>0</v>
      </c>
      <c r="MO12" s="30">
        <f t="shared" si="79"/>
        <v>0</v>
      </c>
      <c r="MP12" s="30">
        <f t="shared" si="79"/>
        <v>0</v>
      </c>
      <c r="MQ12" s="30">
        <f t="shared" si="79"/>
        <v>0</v>
      </c>
      <c r="MR12" s="30">
        <f t="shared" si="79"/>
        <v>0</v>
      </c>
      <c r="MS12" s="30">
        <f t="shared" si="79"/>
        <v>0</v>
      </c>
      <c r="MT12" s="30">
        <f t="shared" si="79"/>
        <v>0</v>
      </c>
      <c r="MU12" s="30">
        <f t="shared" si="79"/>
        <v>0</v>
      </c>
      <c r="MV12" s="30">
        <f t="shared" si="79"/>
        <v>0</v>
      </c>
      <c r="MW12" s="30">
        <f t="shared" si="79"/>
        <v>0</v>
      </c>
      <c r="MX12" s="30">
        <f t="shared" si="79"/>
        <v>0</v>
      </c>
      <c r="MY12" s="30">
        <f t="shared" si="79"/>
        <v>0</v>
      </c>
      <c r="MZ12" s="30">
        <f t="shared" si="79"/>
        <v>0</v>
      </c>
      <c r="NA12" s="30">
        <f t="shared" si="79"/>
        <v>0</v>
      </c>
      <c r="NB12" s="30">
        <f t="shared" si="79"/>
        <v>0</v>
      </c>
      <c r="NC12" s="30">
        <f t="shared" si="79"/>
        <v>0</v>
      </c>
      <c r="ND12" s="30">
        <f t="shared" si="79"/>
        <v>0</v>
      </c>
      <c r="NE12" s="30">
        <f t="shared" si="79"/>
        <v>0</v>
      </c>
    </row>
    <row r="13" spans="1:369" outlineLevel="1" x14ac:dyDescent="0.25">
      <c r="B13" t="s">
        <v>130</v>
      </c>
      <c r="C13" s="609" t="s">
        <v>215</v>
      </c>
      <c r="D13" s="610" t="s">
        <v>27</v>
      </c>
      <c r="E13" s="611">
        <v>1</v>
      </c>
      <c r="F13" s="221"/>
      <c r="G13" s="612">
        <v>12</v>
      </c>
      <c r="H13" s="614">
        <f>(123250000000/$D$6)*1.04</f>
        <v>128180000000</v>
      </c>
      <c r="I13" s="612">
        <f t="shared" ref="I13:I18" si="80">$E13*$H13</f>
        <v>128180000000</v>
      </c>
      <c r="J13" s="612">
        <f>I13/G13</f>
        <v>10681666666.666666</v>
      </c>
      <c r="K13" s="221"/>
      <c r="L13" s="612">
        <v>12</v>
      </c>
      <c r="M13" s="612">
        <f>$H13*(1+O$6)</f>
        <v>128180000000</v>
      </c>
      <c r="N13" s="612">
        <f>$E13*M13</f>
        <v>128180000000</v>
      </c>
      <c r="O13" s="612">
        <f>N13/L13</f>
        <v>10681666666.666666</v>
      </c>
      <c r="P13" s="221"/>
      <c r="Q13" s="612">
        <v>12</v>
      </c>
      <c r="R13" s="612">
        <f>$H13*(1+T$6)</f>
        <v>128180000000</v>
      </c>
      <c r="S13" s="612">
        <f>$E13*R13</f>
        <v>128180000000</v>
      </c>
      <c r="T13" s="612">
        <f>S13/Q13</f>
        <v>10681666666.666666</v>
      </c>
      <c r="U13" s="221"/>
      <c r="V13" s="612">
        <v>12</v>
      </c>
      <c r="W13" s="612">
        <f>$H13*(1+Y$6)</f>
        <v>128180000000</v>
      </c>
      <c r="X13" s="612">
        <f>$E13*W13</f>
        <v>128180000000</v>
      </c>
      <c r="Y13" s="612">
        <f>X13/V13</f>
        <v>10681666666.666666</v>
      </c>
      <c r="Z13" s="221"/>
      <c r="AA13" s="612">
        <v>12</v>
      </c>
      <c r="AB13" s="612">
        <f>$H13*(1+AD$6)</f>
        <v>128180000000</v>
      </c>
      <c r="AC13" s="612">
        <f>$E13*AB13</f>
        <v>128180000000</v>
      </c>
      <c r="AD13" s="612">
        <f>AC13/AA13</f>
        <v>10681666666.666666</v>
      </c>
      <c r="AE13" s="221"/>
      <c r="AF13" s="612">
        <v>12</v>
      </c>
      <c r="AG13" s="612">
        <f>$H13*(1+AI$6)</f>
        <v>128180000000</v>
      </c>
      <c r="AH13" s="612">
        <f>$E13*AG13</f>
        <v>128180000000</v>
      </c>
      <c r="AI13" s="612">
        <f>AH13/AF13</f>
        <v>10681666666.666666</v>
      </c>
      <c r="AJ13" s="221"/>
      <c r="AK13" s="612">
        <v>12</v>
      </c>
      <c r="AL13" s="612">
        <f>$H13*(1+AN$6)</f>
        <v>128180000000</v>
      </c>
      <c r="AM13" s="612">
        <f>$E13*AL13</f>
        <v>128180000000</v>
      </c>
      <c r="AN13" s="612">
        <f>AM13/AK13</f>
        <v>10681666666.666666</v>
      </c>
      <c r="AO13" s="221"/>
      <c r="AP13" s="612">
        <v>12</v>
      </c>
      <c r="AQ13" s="612">
        <f>$H13*(1+AS$6)</f>
        <v>128180000000</v>
      </c>
      <c r="AR13" s="612">
        <f>$E13*AQ13</f>
        <v>128180000000</v>
      </c>
      <c r="AS13" s="612">
        <f>AR13/AP13</f>
        <v>10681666666.666666</v>
      </c>
      <c r="AT13" s="221"/>
      <c r="AU13" s="612">
        <v>12</v>
      </c>
      <c r="AV13" s="612">
        <f>$H13*(1+AX$6)</f>
        <v>128180000000</v>
      </c>
      <c r="AW13" s="612">
        <f>$E13*AV13</f>
        <v>128180000000</v>
      </c>
      <c r="AX13" s="612">
        <f>AW13/AU13</f>
        <v>10681666666.666666</v>
      </c>
      <c r="AY13" s="221"/>
      <c r="AZ13" s="612">
        <v>12</v>
      </c>
      <c r="BA13" s="612">
        <f>$H13*(1+BC$6)</f>
        <v>128180000000</v>
      </c>
      <c r="BB13" s="612">
        <f>$E13*BA13</f>
        <v>128180000000</v>
      </c>
      <c r="BC13" s="612">
        <f>BB13/AZ13</f>
        <v>10681666666.666666</v>
      </c>
      <c r="BD13" s="221"/>
      <c r="BE13" t="s">
        <v>445</v>
      </c>
      <c r="BF13" t="s">
        <v>547</v>
      </c>
      <c r="BG13" t="s">
        <v>336</v>
      </c>
      <c r="BI13" s="15">
        <f>IF($G13&gt;=BI$8,$J13,0)</f>
        <v>10681666666.666666</v>
      </c>
      <c r="BJ13" s="15">
        <f t="shared" ref="BJ13:CL18" si="81">IF($G13&gt;=BJ$8,$J13,0)</f>
        <v>10681666666.666666</v>
      </c>
      <c r="BK13" s="15">
        <f t="shared" si="81"/>
        <v>10681666666.666666</v>
      </c>
      <c r="BL13" s="15">
        <f t="shared" si="81"/>
        <v>10681666666.666666</v>
      </c>
      <c r="BM13" s="15">
        <f t="shared" si="81"/>
        <v>10681666666.666666</v>
      </c>
      <c r="BN13" s="15">
        <f t="shared" si="81"/>
        <v>10681666666.666666</v>
      </c>
      <c r="BO13" s="15">
        <f t="shared" si="81"/>
        <v>10681666666.666666</v>
      </c>
      <c r="BP13" s="15">
        <f t="shared" si="81"/>
        <v>10681666666.666666</v>
      </c>
      <c r="BQ13" s="15">
        <f t="shared" si="81"/>
        <v>10681666666.666666</v>
      </c>
      <c r="BR13" s="15">
        <f t="shared" si="81"/>
        <v>10681666666.666666</v>
      </c>
      <c r="BS13" s="15">
        <f t="shared" si="81"/>
        <v>10681666666.666666</v>
      </c>
      <c r="BT13" s="15">
        <f t="shared" si="81"/>
        <v>10681666666.666666</v>
      </c>
      <c r="BU13" s="15">
        <f t="shared" si="81"/>
        <v>0</v>
      </c>
      <c r="BV13" s="15">
        <f t="shared" si="81"/>
        <v>0</v>
      </c>
      <c r="BW13" s="15">
        <f t="shared" si="81"/>
        <v>0</v>
      </c>
      <c r="BX13" s="15">
        <f t="shared" si="81"/>
        <v>0</v>
      </c>
      <c r="BY13" s="15">
        <f t="shared" si="81"/>
        <v>0</v>
      </c>
      <c r="BZ13" s="15">
        <f t="shared" si="81"/>
        <v>0</v>
      </c>
      <c r="CA13" s="15">
        <f t="shared" si="81"/>
        <v>0</v>
      </c>
      <c r="CB13" s="15">
        <f t="shared" si="81"/>
        <v>0</v>
      </c>
      <c r="CC13" s="15">
        <f t="shared" si="81"/>
        <v>0</v>
      </c>
      <c r="CD13" s="15">
        <f t="shared" si="81"/>
        <v>0</v>
      </c>
      <c r="CE13" s="15">
        <f t="shared" si="81"/>
        <v>0</v>
      </c>
      <c r="CF13" s="15">
        <f t="shared" si="81"/>
        <v>0</v>
      </c>
      <c r="CG13" s="15">
        <f t="shared" si="81"/>
        <v>0</v>
      </c>
      <c r="CH13" s="15">
        <f t="shared" si="81"/>
        <v>0</v>
      </c>
      <c r="CI13" s="15">
        <f t="shared" si="81"/>
        <v>0</v>
      </c>
      <c r="CJ13" s="15">
        <f t="shared" si="81"/>
        <v>0</v>
      </c>
      <c r="CK13" s="15">
        <f t="shared" si="81"/>
        <v>0</v>
      </c>
      <c r="CL13" s="15">
        <f t="shared" si="81"/>
        <v>0</v>
      </c>
      <c r="CN13" s="15">
        <f>IF($L13&gt;=CN$8,$O13,0)</f>
        <v>10681666666.666666</v>
      </c>
      <c r="CO13" s="15">
        <f t="shared" ref="CO13:DQ18" si="82">IF($L13&gt;=CO$8,$O13,0)</f>
        <v>10681666666.666666</v>
      </c>
      <c r="CP13" s="15">
        <f t="shared" si="82"/>
        <v>10681666666.666666</v>
      </c>
      <c r="CQ13" s="15">
        <f t="shared" si="82"/>
        <v>10681666666.666666</v>
      </c>
      <c r="CR13" s="15">
        <f t="shared" si="82"/>
        <v>10681666666.666666</v>
      </c>
      <c r="CS13" s="15">
        <f t="shared" si="82"/>
        <v>10681666666.666666</v>
      </c>
      <c r="CT13" s="15">
        <f t="shared" si="82"/>
        <v>10681666666.666666</v>
      </c>
      <c r="CU13" s="15">
        <f t="shared" si="82"/>
        <v>10681666666.666666</v>
      </c>
      <c r="CV13" s="15">
        <f t="shared" si="82"/>
        <v>10681666666.666666</v>
      </c>
      <c r="CW13" s="15">
        <f t="shared" si="82"/>
        <v>10681666666.666666</v>
      </c>
      <c r="CX13" s="15">
        <f t="shared" si="82"/>
        <v>10681666666.666666</v>
      </c>
      <c r="CY13" s="15">
        <f t="shared" si="82"/>
        <v>10681666666.666666</v>
      </c>
      <c r="CZ13" s="15">
        <f t="shared" si="82"/>
        <v>0</v>
      </c>
      <c r="DA13" s="15">
        <f t="shared" si="82"/>
        <v>0</v>
      </c>
      <c r="DB13" s="15">
        <f t="shared" si="82"/>
        <v>0</v>
      </c>
      <c r="DC13" s="15">
        <f t="shared" si="82"/>
        <v>0</v>
      </c>
      <c r="DD13" s="15">
        <f t="shared" si="82"/>
        <v>0</v>
      </c>
      <c r="DE13" s="15">
        <f t="shared" si="82"/>
        <v>0</v>
      </c>
      <c r="DF13" s="15">
        <f t="shared" si="82"/>
        <v>0</v>
      </c>
      <c r="DG13" s="15">
        <f t="shared" si="82"/>
        <v>0</v>
      </c>
      <c r="DH13" s="15">
        <f t="shared" si="82"/>
        <v>0</v>
      </c>
      <c r="DI13" s="15">
        <f t="shared" si="82"/>
        <v>0</v>
      </c>
      <c r="DJ13" s="15">
        <f t="shared" si="82"/>
        <v>0</v>
      </c>
      <c r="DK13" s="15">
        <f t="shared" si="82"/>
        <v>0</v>
      </c>
      <c r="DL13" s="15">
        <f t="shared" si="82"/>
        <v>0</v>
      </c>
      <c r="DM13" s="15">
        <f t="shared" si="82"/>
        <v>0</v>
      </c>
      <c r="DN13" s="15">
        <f t="shared" si="82"/>
        <v>0</v>
      </c>
      <c r="DO13" s="15">
        <f t="shared" si="82"/>
        <v>0</v>
      </c>
      <c r="DP13" s="15">
        <f t="shared" si="82"/>
        <v>0</v>
      </c>
      <c r="DQ13" s="15">
        <f t="shared" si="82"/>
        <v>0</v>
      </c>
      <c r="DS13" s="15">
        <f>IF($Q13&gt;=DS$8,$T13,0)</f>
        <v>10681666666.666666</v>
      </c>
      <c r="DT13" s="15">
        <f t="shared" ref="DT13:EI18" si="83">IF($Q13&gt;=DT$8,$T13,0)</f>
        <v>10681666666.666666</v>
      </c>
      <c r="DU13" s="15">
        <f t="shared" si="83"/>
        <v>10681666666.666666</v>
      </c>
      <c r="DV13" s="15">
        <f t="shared" si="83"/>
        <v>10681666666.666666</v>
      </c>
      <c r="DW13" s="15">
        <f t="shared" si="83"/>
        <v>10681666666.666666</v>
      </c>
      <c r="DX13" s="15">
        <f t="shared" si="83"/>
        <v>10681666666.666666</v>
      </c>
      <c r="DY13" s="15">
        <f t="shared" si="83"/>
        <v>10681666666.666666</v>
      </c>
      <c r="DZ13" s="15">
        <f t="shared" si="83"/>
        <v>10681666666.666666</v>
      </c>
      <c r="EA13" s="15">
        <f t="shared" si="83"/>
        <v>10681666666.666666</v>
      </c>
      <c r="EB13" s="15">
        <f t="shared" si="83"/>
        <v>10681666666.666666</v>
      </c>
      <c r="EC13" s="15">
        <f t="shared" si="83"/>
        <v>10681666666.666666</v>
      </c>
      <c r="ED13" s="15">
        <f t="shared" si="83"/>
        <v>10681666666.666666</v>
      </c>
      <c r="EE13" s="15">
        <f t="shared" si="83"/>
        <v>0</v>
      </c>
      <c r="EF13" s="15">
        <f t="shared" si="83"/>
        <v>0</v>
      </c>
      <c r="EG13" s="15">
        <f t="shared" si="83"/>
        <v>0</v>
      </c>
      <c r="EH13" s="15">
        <f t="shared" si="83"/>
        <v>0</v>
      </c>
      <c r="EI13" s="15">
        <f t="shared" si="83"/>
        <v>0</v>
      </c>
      <c r="EJ13" s="15">
        <f t="shared" ref="EJ13:EV18" si="84">IF($Q13&gt;=EJ$8,$T13,0)</f>
        <v>0</v>
      </c>
      <c r="EK13" s="15">
        <f t="shared" si="84"/>
        <v>0</v>
      </c>
      <c r="EL13" s="15">
        <f t="shared" si="84"/>
        <v>0</v>
      </c>
      <c r="EM13" s="15">
        <f t="shared" si="84"/>
        <v>0</v>
      </c>
      <c r="EN13" s="15">
        <f t="shared" si="84"/>
        <v>0</v>
      </c>
      <c r="EO13" s="15">
        <f t="shared" si="84"/>
        <v>0</v>
      </c>
      <c r="EP13" s="15">
        <f t="shared" si="84"/>
        <v>0</v>
      </c>
      <c r="EQ13" s="15">
        <f t="shared" si="84"/>
        <v>0</v>
      </c>
      <c r="ER13" s="15">
        <f t="shared" si="84"/>
        <v>0</v>
      </c>
      <c r="ES13" s="15">
        <f t="shared" si="84"/>
        <v>0</v>
      </c>
      <c r="ET13" s="15">
        <f t="shared" si="84"/>
        <v>0</v>
      </c>
      <c r="EU13" s="15">
        <f t="shared" si="84"/>
        <v>0</v>
      </c>
      <c r="EV13" s="15">
        <f t="shared" si="84"/>
        <v>0</v>
      </c>
      <c r="EX13" s="15">
        <f>IF($V13&gt;=EX$8,$Y13,0)</f>
        <v>10681666666.666666</v>
      </c>
      <c r="EY13" s="15">
        <f t="shared" ref="EY13:GA16" si="85">IF($V13&gt;=EY$8,$Y13,0)</f>
        <v>10681666666.666666</v>
      </c>
      <c r="EZ13" s="15">
        <f t="shared" si="85"/>
        <v>10681666666.666666</v>
      </c>
      <c r="FA13" s="15">
        <f t="shared" si="85"/>
        <v>10681666666.666666</v>
      </c>
      <c r="FB13" s="15">
        <f t="shared" si="85"/>
        <v>10681666666.666666</v>
      </c>
      <c r="FC13" s="15">
        <f t="shared" si="85"/>
        <v>10681666666.666666</v>
      </c>
      <c r="FD13" s="15">
        <f t="shared" si="85"/>
        <v>10681666666.666666</v>
      </c>
      <c r="FE13" s="15">
        <f t="shared" si="85"/>
        <v>10681666666.666666</v>
      </c>
      <c r="FF13" s="15">
        <f t="shared" si="85"/>
        <v>10681666666.666666</v>
      </c>
      <c r="FG13" s="15">
        <f t="shared" si="85"/>
        <v>10681666666.666666</v>
      </c>
      <c r="FH13" s="15">
        <f t="shared" si="85"/>
        <v>10681666666.666666</v>
      </c>
      <c r="FI13" s="15">
        <f t="shared" si="85"/>
        <v>10681666666.666666</v>
      </c>
      <c r="FJ13" s="15">
        <f t="shared" si="85"/>
        <v>0</v>
      </c>
      <c r="FK13" s="15">
        <f t="shared" si="85"/>
        <v>0</v>
      </c>
      <c r="FL13" s="15">
        <f t="shared" si="85"/>
        <v>0</v>
      </c>
      <c r="FM13" s="15">
        <f t="shared" si="85"/>
        <v>0</v>
      </c>
      <c r="FN13" s="15">
        <f t="shared" si="85"/>
        <v>0</v>
      </c>
      <c r="FO13" s="15">
        <f t="shared" si="85"/>
        <v>0</v>
      </c>
      <c r="FP13" s="15">
        <f t="shared" si="85"/>
        <v>0</v>
      </c>
      <c r="FQ13" s="15">
        <f t="shared" si="85"/>
        <v>0</v>
      </c>
      <c r="FR13" s="15">
        <f t="shared" si="85"/>
        <v>0</v>
      </c>
      <c r="FS13" s="15">
        <f t="shared" si="85"/>
        <v>0</v>
      </c>
      <c r="FT13" s="15">
        <f t="shared" si="85"/>
        <v>0</v>
      </c>
      <c r="FU13" s="15">
        <f t="shared" si="85"/>
        <v>0</v>
      </c>
      <c r="FV13" s="15">
        <f t="shared" si="85"/>
        <v>0</v>
      </c>
      <c r="FW13" s="15">
        <f t="shared" si="85"/>
        <v>0</v>
      </c>
      <c r="FX13" s="15">
        <f t="shared" si="85"/>
        <v>0</v>
      </c>
      <c r="FY13" s="15">
        <f t="shared" si="85"/>
        <v>0</v>
      </c>
      <c r="FZ13" s="15">
        <f t="shared" si="85"/>
        <v>0</v>
      </c>
      <c r="GA13" s="15">
        <f t="shared" si="85"/>
        <v>0</v>
      </c>
      <c r="GC13" s="15">
        <f>IF($AA13&gt;=GC$8,$AD13,0)</f>
        <v>10681666666.666666</v>
      </c>
      <c r="GD13" s="15">
        <f t="shared" ref="GD13:HF18" si="86">IF($AA13&gt;=GD$8,$AD13,0)</f>
        <v>10681666666.666666</v>
      </c>
      <c r="GE13" s="15">
        <f t="shared" si="86"/>
        <v>10681666666.666666</v>
      </c>
      <c r="GF13" s="15">
        <f t="shared" si="86"/>
        <v>10681666666.666666</v>
      </c>
      <c r="GG13" s="15">
        <f t="shared" si="86"/>
        <v>10681666666.666666</v>
      </c>
      <c r="GH13" s="15">
        <f t="shared" si="86"/>
        <v>10681666666.666666</v>
      </c>
      <c r="GI13" s="15">
        <f t="shared" si="86"/>
        <v>10681666666.666666</v>
      </c>
      <c r="GJ13" s="15">
        <f t="shared" si="86"/>
        <v>10681666666.666666</v>
      </c>
      <c r="GK13" s="15">
        <f t="shared" si="86"/>
        <v>10681666666.666666</v>
      </c>
      <c r="GL13" s="15">
        <f t="shared" si="86"/>
        <v>10681666666.666666</v>
      </c>
      <c r="GM13" s="15">
        <f t="shared" si="86"/>
        <v>10681666666.666666</v>
      </c>
      <c r="GN13" s="15">
        <f t="shared" si="86"/>
        <v>10681666666.666666</v>
      </c>
      <c r="GO13" s="15">
        <f t="shared" si="86"/>
        <v>0</v>
      </c>
      <c r="GP13" s="15">
        <f t="shared" si="86"/>
        <v>0</v>
      </c>
      <c r="GQ13" s="15">
        <f t="shared" si="86"/>
        <v>0</v>
      </c>
      <c r="GR13" s="15">
        <f t="shared" si="86"/>
        <v>0</v>
      </c>
      <c r="GS13" s="15">
        <f t="shared" si="86"/>
        <v>0</v>
      </c>
      <c r="GT13" s="15">
        <f t="shared" si="86"/>
        <v>0</v>
      </c>
      <c r="GU13" s="15">
        <f t="shared" si="86"/>
        <v>0</v>
      </c>
      <c r="GV13" s="15">
        <f t="shared" si="86"/>
        <v>0</v>
      </c>
      <c r="GW13" s="15">
        <f t="shared" si="86"/>
        <v>0</v>
      </c>
      <c r="GX13" s="15">
        <f t="shared" si="86"/>
        <v>0</v>
      </c>
      <c r="GY13" s="15">
        <f t="shared" si="86"/>
        <v>0</v>
      </c>
      <c r="GZ13" s="15">
        <f t="shared" si="86"/>
        <v>0</v>
      </c>
      <c r="HA13" s="15">
        <f t="shared" si="86"/>
        <v>0</v>
      </c>
      <c r="HB13" s="15">
        <f t="shared" si="86"/>
        <v>0</v>
      </c>
      <c r="HC13" s="15">
        <f t="shared" si="86"/>
        <v>0</v>
      </c>
      <c r="HD13" s="15">
        <f t="shared" si="86"/>
        <v>0</v>
      </c>
      <c r="HE13" s="15">
        <f t="shared" si="86"/>
        <v>0</v>
      </c>
      <c r="HF13" s="15">
        <f t="shared" si="86"/>
        <v>0</v>
      </c>
      <c r="HH13" s="15">
        <f>IF($AF13&gt;=HH$8,$AI13,0)</f>
        <v>10681666666.666666</v>
      </c>
      <c r="HI13" s="15">
        <f t="shared" ref="HI13:IK18" si="87">IF($AF13&gt;=HI$8,$AI13,0)</f>
        <v>10681666666.666666</v>
      </c>
      <c r="HJ13" s="15">
        <f t="shared" si="87"/>
        <v>10681666666.666666</v>
      </c>
      <c r="HK13" s="15">
        <f t="shared" si="87"/>
        <v>10681666666.666666</v>
      </c>
      <c r="HL13" s="15">
        <f t="shared" si="87"/>
        <v>10681666666.666666</v>
      </c>
      <c r="HM13" s="15">
        <f t="shared" si="87"/>
        <v>10681666666.666666</v>
      </c>
      <c r="HN13" s="15">
        <f t="shared" si="87"/>
        <v>10681666666.666666</v>
      </c>
      <c r="HO13" s="15">
        <f t="shared" si="87"/>
        <v>10681666666.666666</v>
      </c>
      <c r="HP13" s="15">
        <f t="shared" si="87"/>
        <v>10681666666.666666</v>
      </c>
      <c r="HQ13" s="15">
        <f t="shared" si="87"/>
        <v>10681666666.666666</v>
      </c>
      <c r="HR13" s="15">
        <f t="shared" si="87"/>
        <v>10681666666.666666</v>
      </c>
      <c r="HS13" s="15">
        <f t="shared" si="87"/>
        <v>10681666666.666666</v>
      </c>
      <c r="HT13" s="15">
        <f t="shared" si="87"/>
        <v>0</v>
      </c>
      <c r="HU13" s="15">
        <f t="shared" si="87"/>
        <v>0</v>
      </c>
      <c r="HV13" s="15">
        <f t="shared" si="87"/>
        <v>0</v>
      </c>
      <c r="HW13" s="15">
        <f t="shared" si="87"/>
        <v>0</v>
      </c>
      <c r="HX13" s="15">
        <f t="shared" si="87"/>
        <v>0</v>
      </c>
      <c r="HY13" s="15">
        <f t="shared" si="87"/>
        <v>0</v>
      </c>
      <c r="HZ13" s="15">
        <f t="shared" si="87"/>
        <v>0</v>
      </c>
      <c r="IA13" s="15">
        <f t="shared" si="87"/>
        <v>0</v>
      </c>
      <c r="IB13" s="15">
        <f t="shared" si="87"/>
        <v>0</v>
      </c>
      <c r="IC13" s="15">
        <f t="shared" si="87"/>
        <v>0</v>
      </c>
      <c r="ID13" s="15">
        <f t="shared" si="87"/>
        <v>0</v>
      </c>
      <c r="IE13" s="15">
        <f t="shared" si="87"/>
        <v>0</v>
      </c>
      <c r="IF13" s="15">
        <f t="shared" si="87"/>
        <v>0</v>
      </c>
      <c r="IG13" s="15">
        <f t="shared" si="87"/>
        <v>0</v>
      </c>
      <c r="IH13" s="15">
        <f t="shared" si="87"/>
        <v>0</v>
      </c>
      <c r="II13" s="15">
        <f t="shared" si="87"/>
        <v>0</v>
      </c>
      <c r="IJ13" s="15">
        <f t="shared" si="87"/>
        <v>0</v>
      </c>
      <c r="IK13" s="15">
        <f t="shared" si="87"/>
        <v>0</v>
      </c>
      <c r="IM13" s="15">
        <f>IF($AK13&gt;=IM$8,$AN13,0)</f>
        <v>10681666666.666666</v>
      </c>
      <c r="IN13" s="15">
        <f t="shared" ref="IN13:JC18" si="88">IF($AK13&gt;=IN$8,$AN13,0)</f>
        <v>10681666666.666666</v>
      </c>
      <c r="IO13" s="15">
        <f t="shared" si="88"/>
        <v>10681666666.666666</v>
      </c>
      <c r="IP13" s="15">
        <f t="shared" si="88"/>
        <v>10681666666.666666</v>
      </c>
      <c r="IQ13" s="15">
        <f t="shared" si="88"/>
        <v>10681666666.666666</v>
      </c>
      <c r="IR13" s="15">
        <f t="shared" si="88"/>
        <v>10681666666.666666</v>
      </c>
      <c r="IS13" s="15">
        <f t="shared" si="88"/>
        <v>10681666666.666666</v>
      </c>
      <c r="IT13" s="15">
        <f t="shared" si="88"/>
        <v>10681666666.666666</v>
      </c>
      <c r="IU13" s="15">
        <f t="shared" si="88"/>
        <v>10681666666.666666</v>
      </c>
      <c r="IV13" s="15">
        <f t="shared" si="88"/>
        <v>10681666666.666666</v>
      </c>
      <c r="IW13" s="15">
        <f t="shared" si="88"/>
        <v>10681666666.666666</v>
      </c>
      <c r="IX13" s="15">
        <f t="shared" si="88"/>
        <v>10681666666.666666</v>
      </c>
      <c r="IY13" s="15">
        <f t="shared" si="88"/>
        <v>0</v>
      </c>
      <c r="IZ13" s="15">
        <f t="shared" si="88"/>
        <v>0</v>
      </c>
      <c r="JA13" s="15">
        <f t="shared" si="88"/>
        <v>0</v>
      </c>
      <c r="JB13" s="15">
        <f t="shared" si="88"/>
        <v>0</v>
      </c>
      <c r="JC13" s="15">
        <f t="shared" si="88"/>
        <v>0</v>
      </c>
      <c r="JD13" s="15">
        <f t="shared" ref="JD13:JP18" si="89">IF($AK13&gt;=JD$8,$AN13,0)</f>
        <v>0</v>
      </c>
      <c r="JE13" s="15">
        <f t="shared" si="89"/>
        <v>0</v>
      </c>
      <c r="JF13" s="15">
        <f t="shared" si="89"/>
        <v>0</v>
      </c>
      <c r="JG13" s="15">
        <f t="shared" si="89"/>
        <v>0</v>
      </c>
      <c r="JH13" s="15">
        <f t="shared" si="89"/>
        <v>0</v>
      </c>
      <c r="JI13" s="15">
        <f t="shared" si="89"/>
        <v>0</v>
      </c>
      <c r="JJ13" s="15">
        <f t="shared" si="89"/>
        <v>0</v>
      </c>
      <c r="JK13" s="15">
        <f t="shared" si="89"/>
        <v>0</v>
      </c>
      <c r="JL13" s="15">
        <f t="shared" si="89"/>
        <v>0</v>
      </c>
      <c r="JM13" s="15">
        <f t="shared" si="89"/>
        <v>0</v>
      </c>
      <c r="JN13" s="15">
        <f t="shared" si="89"/>
        <v>0</v>
      </c>
      <c r="JO13" s="15">
        <f t="shared" si="89"/>
        <v>0</v>
      </c>
      <c r="JP13" s="15">
        <f t="shared" si="89"/>
        <v>0</v>
      </c>
      <c r="JR13" s="15">
        <f>IF($AP13&gt;=JR$8,$AS13,0)</f>
        <v>10681666666.666666</v>
      </c>
      <c r="JS13" s="15">
        <f t="shared" ref="JS13:KU18" si="90">IF($AP13&gt;=JS$8,$AS13,0)</f>
        <v>10681666666.666666</v>
      </c>
      <c r="JT13" s="15">
        <f t="shared" si="90"/>
        <v>10681666666.666666</v>
      </c>
      <c r="JU13" s="15">
        <f t="shared" si="90"/>
        <v>10681666666.666666</v>
      </c>
      <c r="JV13" s="15">
        <f t="shared" si="90"/>
        <v>10681666666.666666</v>
      </c>
      <c r="JW13" s="15">
        <f t="shared" si="90"/>
        <v>10681666666.666666</v>
      </c>
      <c r="JX13" s="15">
        <f t="shared" si="90"/>
        <v>10681666666.666666</v>
      </c>
      <c r="JY13" s="15">
        <f t="shared" si="90"/>
        <v>10681666666.666666</v>
      </c>
      <c r="JZ13" s="15">
        <f t="shared" si="90"/>
        <v>10681666666.666666</v>
      </c>
      <c r="KA13" s="15">
        <f t="shared" si="90"/>
        <v>10681666666.666666</v>
      </c>
      <c r="KB13" s="15">
        <f t="shared" si="90"/>
        <v>10681666666.666666</v>
      </c>
      <c r="KC13" s="15">
        <f t="shared" si="90"/>
        <v>10681666666.666666</v>
      </c>
      <c r="KD13" s="15">
        <f t="shared" si="90"/>
        <v>0</v>
      </c>
      <c r="KE13" s="15">
        <f t="shared" si="90"/>
        <v>0</v>
      </c>
      <c r="KF13" s="15">
        <f t="shared" si="90"/>
        <v>0</v>
      </c>
      <c r="KG13" s="15">
        <f t="shared" si="90"/>
        <v>0</v>
      </c>
      <c r="KH13" s="15">
        <f t="shared" si="90"/>
        <v>0</v>
      </c>
      <c r="KI13" s="15">
        <f t="shared" si="90"/>
        <v>0</v>
      </c>
      <c r="KJ13" s="15">
        <f t="shared" si="90"/>
        <v>0</v>
      </c>
      <c r="KK13" s="15">
        <f t="shared" si="90"/>
        <v>0</v>
      </c>
      <c r="KL13" s="15">
        <f t="shared" si="90"/>
        <v>0</v>
      </c>
      <c r="KM13" s="15">
        <f t="shared" si="90"/>
        <v>0</v>
      </c>
      <c r="KN13" s="15">
        <f t="shared" si="90"/>
        <v>0</v>
      </c>
      <c r="KO13" s="15">
        <f t="shared" si="90"/>
        <v>0</v>
      </c>
      <c r="KP13" s="15">
        <f t="shared" si="90"/>
        <v>0</v>
      </c>
      <c r="KQ13" s="15">
        <f t="shared" si="90"/>
        <v>0</v>
      </c>
      <c r="KR13" s="15">
        <f t="shared" si="90"/>
        <v>0</v>
      </c>
      <c r="KS13" s="15">
        <f t="shared" si="90"/>
        <v>0</v>
      </c>
      <c r="KT13" s="15">
        <f t="shared" si="90"/>
        <v>0</v>
      </c>
      <c r="KU13" s="15">
        <f t="shared" si="90"/>
        <v>0</v>
      </c>
      <c r="KW13" s="15">
        <f>IF($AU13&gt;=KW$8,$AX13,0)</f>
        <v>10681666666.666666</v>
      </c>
      <c r="KX13" s="15">
        <f t="shared" ref="KX13:LM18" si="91">IF($AU13&gt;=KX$8,$AX13,0)</f>
        <v>10681666666.666666</v>
      </c>
      <c r="KY13" s="15">
        <f t="shared" si="91"/>
        <v>10681666666.666666</v>
      </c>
      <c r="KZ13" s="15">
        <f t="shared" si="91"/>
        <v>10681666666.666666</v>
      </c>
      <c r="LA13" s="15">
        <f t="shared" si="91"/>
        <v>10681666666.666666</v>
      </c>
      <c r="LB13" s="15">
        <f t="shared" si="91"/>
        <v>10681666666.666666</v>
      </c>
      <c r="LC13" s="15">
        <f t="shared" si="91"/>
        <v>10681666666.666666</v>
      </c>
      <c r="LD13" s="15">
        <f t="shared" si="91"/>
        <v>10681666666.666666</v>
      </c>
      <c r="LE13" s="15">
        <f t="shared" si="91"/>
        <v>10681666666.666666</v>
      </c>
      <c r="LF13" s="15">
        <f t="shared" si="91"/>
        <v>10681666666.666666</v>
      </c>
      <c r="LG13" s="15">
        <f t="shared" si="91"/>
        <v>10681666666.666666</v>
      </c>
      <c r="LH13" s="15">
        <f t="shared" si="91"/>
        <v>10681666666.666666</v>
      </c>
      <c r="LI13" s="15">
        <f t="shared" si="91"/>
        <v>0</v>
      </c>
      <c r="LJ13" s="15">
        <f t="shared" si="91"/>
        <v>0</v>
      </c>
      <c r="LK13" s="15">
        <f t="shared" si="91"/>
        <v>0</v>
      </c>
      <c r="LL13" s="15">
        <f t="shared" si="91"/>
        <v>0</v>
      </c>
      <c r="LM13" s="15">
        <f t="shared" si="91"/>
        <v>0</v>
      </c>
      <c r="LN13" s="15">
        <f t="shared" ref="LN13:LZ18" si="92">IF($AU13&gt;=LN$8,$AX13,0)</f>
        <v>0</v>
      </c>
      <c r="LO13" s="15">
        <f t="shared" si="92"/>
        <v>0</v>
      </c>
      <c r="LP13" s="15">
        <f t="shared" si="92"/>
        <v>0</v>
      </c>
      <c r="LQ13" s="15">
        <f t="shared" si="92"/>
        <v>0</v>
      </c>
      <c r="LR13" s="15">
        <f t="shared" si="92"/>
        <v>0</v>
      </c>
      <c r="LS13" s="15">
        <f t="shared" si="92"/>
        <v>0</v>
      </c>
      <c r="LT13" s="15">
        <f t="shared" si="92"/>
        <v>0</v>
      </c>
      <c r="LU13" s="15">
        <f t="shared" si="92"/>
        <v>0</v>
      </c>
      <c r="LV13" s="15">
        <f t="shared" si="92"/>
        <v>0</v>
      </c>
      <c r="LW13" s="15">
        <f t="shared" si="92"/>
        <v>0</v>
      </c>
      <c r="LX13" s="15">
        <f t="shared" si="92"/>
        <v>0</v>
      </c>
      <c r="LY13" s="15">
        <f t="shared" si="92"/>
        <v>0</v>
      </c>
      <c r="LZ13" s="15">
        <f t="shared" si="92"/>
        <v>0</v>
      </c>
      <c r="MB13" s="15">
        <f>IF($AZ13&gt;=MB$8,$BC13,0)</f>
        <v>10681666666.666666</v>
      </c>
      <c r="MC13" s="15">
        <f t="shared" ref="MC13:MR18" si="93">IF($AZ13&gt;=MC$8,$BC13,0)</f>
        <v>10681666666.666666</v>
      </c>
      <c r="MD13" s="15">
        <f t="shared" si="93"/>
        <v>10681666666.666666</v>
      </c>
      <c r="ME13" s="15">
        <f t="shared" si="93"/>
        <v>10681666666.666666</v>
      </c>
      <c r="MF13" s="15">
        <f t="shared" si="93"/>
        <v>10681666666.666666</v>
      </c>
      <c r="MG13" s="15">
        <f t="shared" si="93"/>
        <v>10681666666.666666</v>
      </c>
      <c r="MH13" s="15">
        <f t="shared" si="93"/>
        <v>10681666666.666666</v>
      </c>
      <c r="MI13" s="15">
        <f t="shared" si="93"/>
        <v>10681666666.666666</v>
      </c>
      <c r="MJ13" s="15">
        <f t="shared" si="93"/>
        <v>10681666666.666666</v>
      </c>
      <c r="MK13" s="15">
        <f t="shared" si="93"/>
        <v>10681666666.666666</v>
      </c>
      <c r="ML13" s="15">
        <f t="shared" si="93"/>
        <v>10681666666.666666</v>
      </c>
      <c r="MM13" s="15">
        <f t="shared" si="93"/>
        <v>10681666666.666666</v>
      </c>
      <c r="MN13" s="15">
        <f t="shared" si="93"/>
        <v>0</v>
      </c>
      <c r="MO13" s="15">
        <f t="shared" si="93"/>
        <v>0</v>
      </c>
      <c r="MP13" s="15">
        <f t="shared" si="93"/>
        <v>0</v>
      </c>
      <c r="MQ13" s="15">
        <f t="shared" si="93"/>
        <v>0</v>
      </c>
      <c r="MR13" s="15">
        <f t="shared" si="93"/>
        <v>0</v>
      </c>
      <c r="MS13" s="15">
        <f t="shared" ref="MS13:NE18" si="94">IF($AZ13&gt;=MS$8,$BC13,0)</f>
        <v>0</v>
      </c>
      <c r="MT13" s="15">
        <f t="shared" si="94"/>
        <v>0</v>
      </c>
      <c r="MU13" s="15">
        <f t="shared" si="94"/>
        <v>0</v>
      </c>
      <c r="MV13" s="15">
        <f t="shared" si="94"/>
        <v>0</v>
      </c>
      <c r="MW13" s="15">
        <f t="shared" si="94"/>
        <v>0</v>
      </c>
      <c r="MX13" s="15">
        <f t="shared" si="94"/>
        <v>0</v>
      </c>
      <c r="MY13" s="15">
        <f t="shared" si="94"/>
        <v>0</v>
      </c>
      <c r="MZ13" s="15">
        <f t="shared" si="94"/>
        <v>0</v>
      </c>
      <c r="NA13" s="15">
        <f t="shared" si="94"/>
        <v>0</v>
      </c>
      <c r="NB13" s="15">
        <f t="shared" si="94"/>
        <v>0</v>
      </c>
      <c r="NC13" s="15">
        <f t="shared" si="94"/>
        <v>0</v>
      </c>
      <c r="ND13" s="15">
        <f t="shared" si="94"/>
        <v>0</v>
      </c>
      <c r="NE13" s="15">
        <f t="shared" si="94"/>
        <v>0</v>
      </c>
    </row>
    <row r="14" spans="1:369" outlineLevel="1" x14ac:dyDescent="0.25">
      <c r="B14" t="s">
        <v>344</v>
      </c>
      <c r="C14" s="495" t="s">
        <v>216</v>
      </c>
      <c r="D14" s="613" t="s">
        <v>204</v>
      </c>
      <c r="E14" s="467">
        <v>1</v>
      </c>
      <c r="F14" s="221"/>
      <c r="G14" s="457">
        <v>12</v>
      </c>
      <c r="H14" s="468">
        <f>(80500000000/$D$6*(1-0.196393571148569))*1.04</f>
        <v>67277930223.441803</v>
      </c>
      <c r="I14" s="457">
        <f t="shared" si="80"/>
        <v>67277930223.441803</v>
      </c>
      <c r="J14" s="457">
        <f t="shared" ref="J14:J18" si="95">I14/G14</f>
        <v>5606494185.2868166</v>
      </c>
      <c r="K14" s="221"/>
      <c r="L14" s="457">
        <v>12</v>
      </c>
      <c r="M14" s="457">
        <f t="shared" ref="M14:M18" si="96">$H14*(1+O$6)</f>
        <v>67277930223.441803</v>
      </c>
      <c r="N14" s="617">
        <f t="shared" ref="N14:N18" si="97">$E14*M14</f>
        <v>67277930223.441803</v>
      </c>
      <c r="O14" s="457">
        <f t="shared" ref="O14:O18" si="98">N14/L14</f>
        <v>5606494185.2868166</v>
      </c>
      <c r="P14" s="221"/>
      <c r="Q14" s="457">
        <v>12</v>
      </c>
      <c r="R14" s="457">
        <f t="shared" ref="R14:R18" si="99">$H14*(1+T$6)</f>
        <v>67277930223.441803</v>
      </c>
      <c r="S14" s="617">
        <f t="shared" ref="S14:S18" si="100">$E14*R14</f>
        <v>67277930223.441803</v>
      </c>
      <c r="T14" s="457">
        <f t="shared" ref="T14:T18" si="101">S14/Q14</f>
        <v>5606494185.2868166</v>
      </c>
      <c r="U14" s="221"/>
      <c r="V14" s="457">
        <v>12</v>
      </c>
      <c r="W14" s="457">
        <f t="shared" ref="W14:W18" si="102">$H14*(1+Y$6)</f>
        <v>67277930223.441803</v>
      </c>
      <c r="X14" s="617">
        <f t="shared" ref="X14:X18" si="103">$E14*W14</f>
        <v>67277930223.441803</v>
      </c>
      <c r="Y14" s="457">
        <f t="shared" ref="Y14:Y18" si="104">X14/V14</f>
        <v>5606494185.2868166</v>
      </c>
      <c r="Z14" s="221"/>
      <c r="AA14" s="457">
        <v>12</v>
      </c>
      <c r="AB14" s="457">
        <f t="shared" ref="AB14:AB18" si="105">$H14*(1+AD$6)</f>
        <v>67277930223.441803</v>
      </c>
      <c r="AC14" s="617">
        <f t="shared" ref="AC14:AC18" si="106">$E14*AB14</f>
        <v>67277930223.441803</v>
      </c>
      <c r="AD14" s="457">
        <f t="shared" ref="AD14:AD18" si="107">AC14/AA14</f>
        <v>5606494185.2868166</v>
      </c>
      <c r="AE14" s="221"/>
      <c r="AF14" s="457">
        <v>12</v>
      </c>
      <c r="AG14" s="457">
        <f t="shared" ref="AG14:AG18" si="108">$H14*(1+AI$6)</f>
        <v>67277930223.441803</v>
      </c>
      <c r="AH14" s="617">
        <f t="shared" ref="AH14:AH18" si="109">$E14*AG14</f>
        <v>67277930223.441803</v>
      </c>
      <c r="AI14" s="457">
        <f t="shared" ref="AI14:AI18" si="110">AH14/AF14</f>
        <v>5606494185.2868166</v>
      </c>
      <c r="AJ14" s="221"/>
      <c r="AK14" s="457">
        <v>12</v>
      </c>
      <c r="AL14" s="457">
        <f t="shared" ref="AL14:AL18" si="111">$H14*(1+AN$6)</f>
        <v>67277930223.441803</v>
      </c>
      <c r="AM14" s="617">
        <f t="shared" ref="AM14:AM18" si="112">$E14*AL14</f>
        <v>67277930223.441803</v>
      </c>
      <c r="AN14" s="457">
        <f t="shared" ref="AN14:AN18" si="113">AM14/AK14</f>
        <v>5606494185.2868166</v>
      </c>
      <c r="AO14" s="221"/>
      <c r="AP14" s="457">
        <v>12</v>
      </c>
      <c r="AQ14" s="457">
        <f t="shared" ref="AQ14:AQ18" si="114">$H14*(1+AS$6)</f>
        <v>67277930223.441803</v>
      </c>
      <c r="AR14" s="617">
        <f t="shared" ref="AR14:AR18" si="115">$E14*AQ14</f>
        <v>67277930223.441803</v>
      </c>
      <c r="AS14" s="457">
        <f t="shared" ref="AS14:AS18" si="116">AR14/AP14</f>
        <v>5606494185.2868166</v>
      </c>
      <c r="AT14" s="221"/>
      <c r="AU14" s="457">
        <v>12</v>
      </c>
      <c r="AV14" s="457">
        <f t="shared" ref="AV14:AV18" si="117">$H14*(1+AX$6)</f>
        <v>67277930223.441803</v>
      </c>
      <c r="AW14" s="617">
        <f t="shared" ref="AW14:AW18" si="118">$E14*AV14</f>
        <v>67277930223.441803</v>
      </c>
      <c r="AX14" s="457">
        <f t="shared" ref="AX14:AX18" si="119">AW14/AU14</f>
        <v>5606494185.2868166</v>
      </c>
      <c r="AY14" s="221"/>
      <c r="AZ14" s="457">
        <v>12</v>
      </c>
      <c r="BA14" s="457">
        <f t="shared" ref="BA14:BA18" si="120">$H14*(1+BC$6)</f>
        <v>67277930223.441803</v>
      </c>
      <c r="BB14" s="617">
        <f t="shared" ref="BB14:BB18" si="121">$E14*BA14</f>
        <v>67277930223.441803</v>
      </c>
      <c r="BC14" s="457">
        <f t="shared" ref="BC14:BC18" si="122">BB14/AZ14</f>
        <v>5606494185.2868166</v>
      </c>
      <c r="BD14" s="221"/>
      <c r="BE14" t="s">
        <v>444</v>
      </c>
      <c r="BF14" t="s">
        <v>547</v>
      </c>
      <c r="BG14" t="s">
        <v>336</v>
      </c>
      <c r="BI14" s="15">
        <f t="shared" ref="BI14:BI18" si="123">IF($G14&gt;=BI$8,$J14,0)</f>
        <v>5606494185.2868166</v>
      </c>
      <c r="BJ14" s="15">
        <f t="shared" si="81"/>
        <v>5606494185.2868166</v>
      </c>
      <c r="BK14" s="15">
        <f t="shared" si="81"/>
        <v>5606494185.2868166</v>
      </c>
      <c r="BL14" s="15">
        <f t="shared" si="81"/>
        <v>5606494185.2868166</v>
      </c>
      <c r="BM14" s="15">
        <f t="shared" si="81"/>
        <v>5606494185.2868166</v>
      </c>
      <c r="BN14" s="15">
        <f t="shared" si="81"/>
        <v>5606494185.2868166</v>
      </c>
      <c r="BO14" s="15">
        <f t="shared" si="81"/>
        <v>5606494185.2868166</v>
      </c>
      <c r="BP14" s="15">
        <f t="shared" si="81"/>
        <v>5606494185.2868166</v>
      </c>
      <c r="BQ14" s="15">
        <f t="shared" si="81"/>
        <v>5606494185.2868166</v>
      </c>
      <c r="BR14" s="15">
        <f t="shared" si="81"/>
        <v>5606494185.2868166</v>
      </c>
      <c r="BS14" s="15">
        <f t="shared" si="81"/>
        <v>5606494185.2868166</v>
      </c>
      <c r="BT14" s="15">
        <f t="shared" si="81"/>
        <v>5606494185.2868166</v>
      </c>
      <c r="BU14" s="15">
        <f t="shared" si="81"/>
        <v>0</v>
      </c>
      <c r="BV14" s="15">
        <f t="shared" si="81"/>
        <v>0</v>
      </c>
      <c r="BW14" s="15">
        <f t="shared" si="81"/>
        <v>0</v>
      </c>
      <c r="BX14" s="15">
        <f t="shared" si="81"/>
        <v>0</v>
      </c>
      <c r="BY14" s="15">
        <f t="shared" si="81"/>
        <v>0</v>
      </c>
      <c r="BZ14" s="15">
        <f t="shared" si="81"/>
        <v>0</v>
      </c>
      <c r="CA14" s="15">
        <f t="shared" si="81"/>
        <v>0</v>
      </c>
      <c r="CB14" s="15">
        <f t="shared" si="81"/>
        <v>0</v>
      </c>
      <c r="CC14" s="15">
        <f t="shared" si="81"/>
        <v>0</v>
      </c>
      <c r="CD14" s="15">
        <f t="shared" si="81"/>
        <v>0</v>
      </c>
      <c r="CE14" s="15">
        <f t="shared" si="81"/>
        <v>0</v>
      </c>
      <c r="CF14" s="15">
        <f t="shared" si="81"/>
        <v>0</v>
      </c>
      <c r="CG14" s="15">
        <f t="shared" si="81"/>
        <v>0</v>
      </c>
      <c r="CH14" s="15">
        <f t="shared" si="81"/>
        <v>0</v>
      </c>
      <c r="CI14" s="15">
        <f t="shared" si="81"/>
        <v>0</v>
      </c>
      <c r="CJ14" s="15">
        <f t="shared" si="81"/>
        <v>0</v>
      </c>
      <c r="CK14" s="15">
        <f t="shared" si="81"/>
        <v>0</v>
      </c>
      <c r="CL14" s="15">
        <f t="shared" si="81"/>
        <v>0</v>
      </c>
      <c r="CN14" s="15">
        <f t="shared" ref="CN14:CN18" si="124">IF($L14&gt;=CN$8,$O14,0)</f>
        <v>5606494185.2868166</v>
      </c>
      <c r="CO14" s="15">
        <f t="shared" si="82"/>
        <v>5606494185.2868166</v>
      </c>
      <c r="CP14" s="15">
        <f t="shared" si="82"/>
        <v>5606494185.2868166</v>
      </c>
      <c r="CQ14" s="15">
        <f t="shared" si="82"/>
        <v>5606494185.2868166</v>
      </c>
      <c r="CR14" s="15">
        <f t="shared" si="82"/>
        <v>5606494185.2868166</v>
      </c>
      <c r="CS14" s="15">
        <f t="shared" si="82"/>
        <v>5606494185.2868166</v>
      </c>
      <c r="CT14" s="15">
        <f t="shared" si="82"/>
        <v>5606494185.2868166</v>
      </c>
      <c r="CU14" s="15">
        <f t="shared" si="82"/>
        <v>5606494185.2868166</v>
      </c>
      <c r="CV14" s="15">
        <f t="shared" si="82"/>
        <v>5606494185.2868166</v>
      </c>
      <c r="CW14" s="15">
        <f t="shared" si="82"/>
        <v>5606494185.2868166</v>
      </c>
      <c r="CX14" s="15">
        <f t="shared" si="82"/>
        <v>5606494185.2868166</v>
      </c>
      <c r="CY14" s="15">
        <f t="shared" si="82"/>
        <v>5606494185.2868166</v>
      </c>
      <c r="CZ14" s="15">
        <f t="shared" si="82"/>
        <v>0</v>
      </c>
      <c r="DA14" s="15">
        <f t="shared" si="82"/>
        <v>0</v>
      </c>
      <c r="DB14" s="15">
        <f t="shared" si="82"/>
        <v>0</v>
      </c>
      <c r="DC14" s="15">
        <f t="shared" si="82"/>
        <v>0</v>
      </c>
      <c r="DD14" s="15">
        <f t="shared" si="82"/>
        <v>0</v>
      </c>
      <c r="DE14" s="15">
        <f t="shared" si="82"/>
        <v>0</v>
      </c>
      <c r="DF14" s="15">
        <f t="shared" si="82"/>
        <v>0</v>
      </c>
      <c r="DG14" s="15">
        <f t="shared" si="82"/>
        <v>0</v>
      </c>
      <c r="DH14" s="15">
        <f t="shared" si="82"/>
        <v>0</v>
      </c>
      <c r="DI14" s="15">
        <f t="shared" si="82"/>
        <v>0</v>
      </c>
      <c r="DJ14" s="15">
        <f t="shared" si="82"/>
        <v>0</v>
      </c>
      <c r="DK14" s="15">
        <f t="shared" si="82"/>
        <v>0</v>
      </c>
      <c r="DL14" s="15">
        <f t="shared" si="82"/>
        <v>0</v>
      </c>
      <c r="DM14" s="15">
        <f t="shared" si="82"/>
        <v>0</v>
      </c>
      <c r="DN14" s="15">
        <f t="shared" si="82"/>
        <v>0</v>
      </c>
      <c r="DO14" s="15">
        <f t="shared" si="82"/>
        <v>0</v>
      </c>
      <c r="DP14" s="15">
        <f t="shared" si="82"/>
        <v>0</v>
      </c>
      <c r="DQ14" s="15">
        <f t="shared" si="82"/>
        <v>0</v>
      </c>
      <c r="DS14" s="15">
        <f t="shared" ref="DS14:DS18" si="125">IF($Q14&gt;=DS$8,$T14,0)</f>
        <v>5606494185.2868166</v>
      </c>
      <c r="DT14" s="15">
        <f t="shared" si="83"/>
        <v>5606494185.2868166</v>
      </c>
      <c r="DU14" s="15">
        <f t="shared" si="83"/>
        <v>5606494185.2868166</v>
      </c>
      <c r="DV14" s="15">
        <f t="shared" si="83"/>
        <v>5606494185.2868166</v>
      </c>
      <c r="DW14" s="15">
        <f t="shared" si="83"/>
        <v>5606494185.2868166</v>
      </c>
      <c r="DX14" s="15">
        <f t="shared" si="83"/>
        <v>5606494185.2868166</v>
      </c>
      <c r="DY14" s="15">
        <f t="shared" si="83"/>
        <v>5606494185.2868166</v>
      </c>
      <c r="DZ14" s="15">
        <f t="shared" si="83"/>
        <v>5606494185.2868166</v>
      </c>
      <c r="EA14" s="15">
        <f t="shared" si="83"/>
        <v>5606494185.2868166</v>
      </c>
      <c r="EB14" s="15">
        <f t="shared" si="83"/>
        <v>5606494185.2868166</v>
      </c>
      <c r="EC14" s="15">
        <f t="shared" si="83"/>
        <v>5606494185.2868166</v>
      </c>
      <c r="ED14" s="15">
        <f t="shared" si="83"/>
        <v>5606494185.2868166</v>
      </c>
      <c r="EE14" s="15">
        <f t="shared" si="83"/>
        <v>0</v>
      </c>
      <c r="EF14" s="15">
        <f t="shared" si="83"/>
        <v>0</v>
      </c>
      <c r="EG14" s="15">
        <f t="shared" si="83"/>
        <v>0</v>
      </c>
      <c r="EH14" s="15">
        <f t="shared" si="83"/>
        <v>0</v>
      </c>
      <c r="EI14" s="15">
        <f t="shared" si="83"/>
        <v>0</v>
      </c>
      <c r="EJ14" s="15">
        <f t="shared" si="84"/>
        <v>0</v>
      </c>
      <c r="EK14" s="15">
        <f t="shared" si="84"/>
        <v>0</v>
      </c>
      <c r="EL14" s="15">
        <f t="shared" si="84"/>
        <v>0</v>
      </c>
      <c r="EM14" s="15">
        <f t="shared" si="84"/>
        <v>0</v>
      </c>
      <c r="EN14" s="15">
        <f t="shared" si="84"/>
        <v>0</v>
      </c>
      <c r="EO14" s="15">
        <f t="shared" si="84"/>
        <v>0</v>
      </c>
      <c r="EP14" s="15">
        <f t="shared" si="84"/>
        <v>0</v>
      </c>
      <c r="EQ14" s="15">
        <f t="shared" si="84"/>
        <v>0</v>
      </c>
      <c r="ER14" s="15">
        <f t="shared" si="84"/>
        <v>0</v>
      </c>
      <c r="ES14" s="15">
        <f t="shared" si="84"/>
        <v>0</v>
      </c>
      <c r="ET14" s="15">
        <f t="shared" si="84"/>
        <v>0</v>
      </c>
      <c r="EU14" s="15">
        <f t="shared" si="84"/>
        <v>0</v>
      </c>
      <c r="EV14" s="15">
        <f t="shared" si="84"/>
        <v>0</v>
      </c>
      <c r="EX14" s="15">
        <f t="shared" ref="EX14:FM18" si="126">IF($V14&gt;=EX$8,$Y14,0)</f>
        <v>5606494185.2868166</v>
      </c>
      <c r="EY14" s="15">
        <f t="shared" si="85"/>
        <v>5606494185.2868166</v>
      </c>
      <c r="EZ14" s="15">
        <f t="shared" si="85"/>
        <v>5606494185.2868166</v>
      </c>
      <c r="FA14" s="15">
        <f t="shared" si="85"/>
        <v>5606494185.2868166</v>
      </c>
      <c r="FB14" s="15">
        <f t="shared" si="85"/>
        <v>5606494185.2868166</v>
      </c>
      <c r="FC14" s="15">
        <f t="shared" si="85"/>
        <v>5606494185.2868166</v>
      </c>
      <c r="FD14" s="15">
        <f t="shared" si="85"/>
        <v>5606494185.2868166</v>
      </c>
      <c r="FE14" s="15">
        <f t="shared" si="85"/>
        <v>5606494185.2868166</v>
      </c>
      <c r="FF14" s="15">
        <f t="shared" si="85"/>
        <v>5606494185.2868166</v>
      </c>
      <c r="FG14" s="15">
        <f t="shared" si="85"/>
        <v>5606494185.2868166</v>
      </c>
      <c r="FH14" s="15">
        <f t="shared" si="85"/>
        <v>5606494185.2868166</v>
      </c>
      <c r="FI14" s="15">
        <f t="shared" si="85"/>
        <v>5606494185.2868166</v>
      </c>
      <c r="FJ14" s="15">
        <f t="shared" si="85"/>
        <v>0</v>
      </c>
      <c r="FK14" s="15">
        <f t="shared" si="85"/>
        <v>0</v>
      </c>
      <c r="FL14" s="15">
        <f t="shared" si="85"/>
        <v>0</v>
      </c>
      <c r="FM14" s="15">
        <f t="shared" si="85"/>
        <v>0</v>
      </c>
      <c r="FN14" s="15">
        <f t="shared" si="85"/>
        <v>0</v>
      </c>
      <c r="FO14" s="15">
        <f t="shared" si="85"/>
        <v>0</v>
      </c>
      <c r="FP14" s="15">
        <f t="shared" si="85"/>
        <v>0</v>
      </c>
      <c r="FQ14" s="15">
        <f t="shared" si="85"/>
        <v>0</v>
      </c>
      <c r="FR14" s="15">
        <f t="shared" si="85"/>
        <v>0</v>
      </c>
      <c r="FS14" s="15">
        <f t="shared" si="85"/>
        <v>0</v>
      </c>
      <c r="FT14" s="15">
        <f t="shared" si="85"/>
        <v>0</v>
      </c>
      <c r="FU14" s="15">
        <f t="shared" si="85"/>
        <v>0</v>
      </c>
      <c r="FV14" s="15">
        <f t="shared" si="85"/>
        <v>0</v>
      </c>
      <c r="FW14" s="15">
        <f t="shared" si="85"/>
        <v>0</v>
      </c>
      <c r="FX14" s="15">
        <f t="shared" si="85"/>
        <v>0</v>
      </c>
      <c r="FY14" s="15">
        <f t="shared" si="85"/>
        <v>0</v>
      </c>
      <c r="FZ14" s="15">
        <f t="shared" si="85"/>
        <v>0</v>
      </c>
      <c r="GA14" s="15">
        <f t="shared" si="85"/>
        <v>0</v>
      </c>
      <c r="GC14" s="15">
        <f t="shared" ref="GC14:GC18" si="127">IF($AA14&gt;=GC$8,$AD14,0)</f>
        <v>5606494185.2868166</v>
      </c>
      <c r="GD14" s="15">
        <f t="shared" si="86"/>
        <v>5606494185.2868166</v>
      </c>
      <c r="GE14" s="15">
        <f t="shared" si="86"/>
        <v>5606494185.2868166</v>
      </c>
      <c r="GF14" s="15">
        <f t="shared" si="86"/>
        <v>5606494185.2868166</v>
      </c>
      <c r="GG14" s="15">
        <f t="shared" si="86"/>
        <v>5606494185.2868166</v>
      </c>
      <c r="GH14" s="15">
        <f t="shared" si="86"/>
        <v>5606494185.2868166</v>
      </c>
      <c r="GI14" s="15">
        <f t="shared" si="86"/>
        <v>5606494185.2868166</v>
      </c>
      <c r="GJ14" s="15">
        <f t="shared" si="86"/>
        <v>5606494185.2868166</v>
      </c>
      <c r="GK14" s="15">
        <f t="shared" si="86"/>
        <v>5606494185.2868166</v>
      </c>
      <c r="GL14" s="15">
        <f t="shared" si="86"/>
        <v>5606494185.2868166</v>
      </c>
      <c r="GM14" s="15">
        <f t="shared" si="86"/>
        <v>5606494185.2868166</v>
      </c>
      <c r="GN14" s="15">
        <f t="shared" si="86"/>
        <v>5606494185.2868166</v>
      </c>
      <c r="GO14" s="15">
        <f t="shared" si="86"/>
        <v>0</v>
      </c>
      <c r="GP14" s="15">
        <f t="shared" si="86"/>
        <v>0</v>
      </c>
      <c r="GQ14" s="15">
        <f t="shared" si="86"/>
        <v>0</v>
      </c>
      <c r="GR14" s="15">
        <f t="shared" si="86"/>
        <v>0</v>
      </c>
      <c r="GS14" s="15">
        <f t="shared" si="86"/>
        <v>0</v>
      </c>
      <c r="GT14" s="15">
        <f t="shared" si="86"/>
        <v>0</v>
      </c>
      <c r="GU14" s="15">
        <f t="shared" si="86"/>
        <v>0</v>
      </c>
      <c r="GV14" s="15">
        <f t="shared" si="86"/>
        <v>0</v>
      </c>
      <c r="GW14" s="15">
        <f t="shared" si="86"/>
        <v>0</v>
      </c>
      <c r="GX14" s="15">
        <f t="shared" si="86"/>
        <v>0</v>
      </c>
      <c r="GY14" s="15">
        <f t="shared" si="86"/>
        <v>0</v>
      </c>
      <c r="GZ14" s="15">
        <f t="shared" si="86"/>
        <v>0</v>
      </c>
      <c r="HA14" s="15">
        <f t="shared" si="86"/>
        <v>0</v>
      </c>
      <c r="HB14" s="15">
        <f t="shared" si="86"/>
        <v>0</v>
      </c>
      <c r="HC14" s="15">
        <f t="shared" si="86"/>
        <v>0</v>
      </c>
      <c r="HD14" s="15">
        <f t="shared" si="86"/>
        <v>0</v>
      </c>
      <c r="HE14" s="15">
        <f t="shared" si="86"/>
        <v>0</v>
      </c>
      <c r="HF14" s="15">
        <f t="shared" si="86"/>
        <v>0</v>
      </c>
      <c r="HH14" s="15">
        <f t="shared" ref="HH14:HH18" si="128">IF($AF14&gt;=HH$8,$AI14,0)</f>
        <v>5606494185.2868166</v>
      </c>
      <c r="HI14" s="15">
        <f t="shared" si="87"/>
        <v>5606494185.2868166</v>
      </c>
      <c r="HJ14" s="15">
        <f t="shared" si="87"/>
        <v>5606494185.2868166</v>
      </c>
      <c r="HK14" s="15">
        <f t="shared" si="87"/>
        <v>5606494185.2868166</v>
      </c>
      <c r="HL14" s="15">
        <f t="shared" si="87"/>
        <v>5606494185.2868166</v>
      </c>
      <c r="HM14" s="15">
        <f t="shared" si="87"/>
        <v>5606494185.2868166</v>
      </c>
      <c r="HN14" s="15">
        <f t="shared" si="87"/>
        <v>5606494185.2868166</v>
      </c>
      <c r="HO14" s="15">
        <f t="shared" si="87"/>
        <v>5606494185.2868166</v>
      </c>
      <c r="HP14" s="15">
        <f t="shared" si="87"/>
        <v>5606494185.2868166</v>
      </c>
      <c r="HQ14" s="15">
        <f t="shared" si="87"/>
        <v>5606494185.2868166</v>
      </c>
      <c r="HR14" s="15">
        <f t="shared" si="87"/>
        <v>5606494185.2868166</v>
      </c>
      <c r="HS14" s="15">
        <f t="shared" si="87"/>
        <v>5606494185.2868166</v>
      </c>
      <c r="HT14" s="15">
        <f t="shared" si="87"/>
        <v>0</v>
      </c>
      <c r="HU14" s="15">
        <f t="shared" si="87"/>
        <v>0</v>
      </c>
      <c r="HV14" s="15">
        <f t="shared" si="87"/>
        <v>0</v>
      </c>
      <c r="HW14" s="15">
        <f t="shared" si="87"/>
        <v>0</v>
      </c>
      <c r="HX14" s="15">
        <f t="shared" si="87"/>
        <v>0</v>
      </c>
      <c r="HY14" s="15">
        <f t="shared" si="87"/>
        <v>0</v>
      </c>
      <c r="HZ14" s="15">
        <f t="shared" si="87"/>
        <v>0</v>
      </c>
      <c r="IA14" s="15">
        <f t="shared" si="87"/>
        <v>0</v>
      </c>
      <c r="IB14" s="15">
        <f t="shared" si="87"/>
        <v>0</v>
      </c>
      <c r="IC14" s="15">
        <f t="shared" si="87"/>
        <v>0</v>
      </c>
      <c r="ID14" s="15">
        <f t="shared" si="87"/>
        <v>0</v>
      </c>
      <c r="IE14" s="15">
        <f t="shared" si="87"/>
        <v>0</v>
      </c>
      <c r="IF14" s="15">
        <f t="shared" si="87"/>
        <v>0</v>
      </c>
      <c r="IG14" s="15">
        <f t="shared" si="87"/>
        <v>0</v>
      </c>
      <c r="IH14" s="15">
        <f t="shared" si="87"/>
        <v>0</v>
      </c>
      <c r="II14" s="15">
        <f t="shared" si="87"/>
        <v>0</v>
      </c>
      <c r="IJ14" s="15">
        <f t="shared" si="87"/>
        <v>0</v>
      </c>
      <c r="IK14" s="15">
        <f t="shared" si="87"/>
        <v>0</v>
      </c>
      <c r="IM14" s="15">
        <f t="shared" ref="IM14:IM18" si="129">IF($AK14&gt;=IM$8,$AN14,0)</f>
        <v>5606494185.2868166</v>
      </c>
      <c r="IN14" s="15">
        <f t="shared" si="88"/>
        <v>5606494185.2868166</v>
      </c>
      <c r="IO14" s="15">
        <f t="shared" si="88"/>
        <v>5606494185.2868166</v>
      </c>
      <c r="IP14" s="15">
        <f t="shared" si="88"/>
        <v>5606494185.2868166</v>
      </c>
      <c r="IQ14" s="15">
        <f t="shared" si="88"/>
        <v>5606494185.2868166</v>
      </c>
      <c r="IR14" s="15">
        <f t="shared" si="88"/>
        <v>5606494185.2868166</v>
      </c>
      <c r="IS14" s="15">
        <f t="shared" si="88"/>
        <v>5606494185.2868166</v>
      </c>
      <c r="IT14" s="15">
        <f t="shared" si="88"/>
        <v>5606494185.2868166</v>
      </c>
      <c r="IU14" s="15">
        <f t="shared" si="88"/>
        <v>5606494185.2868166</v>
      </c>
      <c r="IV14" s="15">
        <f t="shared" si="88"/>
        <v>5606494185.2868166</v>
      </c>
      <c r="IW14" s="15">
        <f t="shared" si="88"/>
        <v>5606494185.2868166</v>
      </c>
      <c r="IX14" s="15">
        <f t="shared" si="88"/>
        <v>5606494185.2868166</v>
      </c>
      <c r="IY14" s="15">
        <f t="shared" si="88"/>
        <v>0</v>
      </c>
      <c r="IZ14" s="15">
        <f t="shared" si="88"/>
        <v>0</v>
      </c>
      <c r="JA14" s="15">
        <f t="shared" si="88"/>
        <v>0</v>
      </c>
      <c r="JB14" s="15">
        <f t="shared" si="88"/>
        <v>0</v>
      </c>
      <c r="JC14" s="15">
        <f t="shared" si="88"/>
        <v>0</v>
      </c>
      <c r="JD14" s="15">
        <f t="shared" si="89"/>
        <v>0</v>
      </c>
      <c r="JE14" s="15">
        <f t="shared" si="89"/>
        <v>0</v>
      </c>
      <c r="JF14" s="15">
        <f t="shared" si="89"/>
        <v>0</v>
      </c>
      <c r="JG14" s="15">
        <f t="shared" si="89"/>
        <v>0</v>
      </c>
      <c r="JH14" s="15">
        <f t="shared" si="89"/>
        <v>0</v>
      </c>
      <c r="JI14" s="15">
        <f t="shared" si="89"/>
        <v>0</v>
      </c>
      <c r="JJ14" s="15">
        <f t="shared" si="89"/>
        <v>0</v>
      </c>
      <c r="JK14" s="15">
        <f t="shared" si="89"/>
        <v>0</v>
      </c>
      <c r="JL14" s="15">
        <f t="shared" si="89"/>
        <v>0</v>
      </c>
      <c r="JM14" s="15">
        <f t="shared" si="89"/>
        <v>0</v>
      </c>
      <c r="JN14" s="15">
        <f t="shared" si="89"/>
        <v>0</v>
      </c>
      <c r="JO14" s="15">
        <f t="shared" si="89"/>
        <v>0</v>
      </c>
      <c r="JP14" s="15">
        <f t="shared" si="89"/>
        <v>0</v>
      </c>
      <c r="JR14" s="15">
        <f t="shared" ref="JR14:JR18" si="130">IF($AP14&gt;=JR$8,$AS14,0)</f>
        <v>5606494185.2868166</v>
      </c>
      <c r="JS14" s="15">
        <f t="shared" si="90"/>
        <v>5606494185.2868166</v>
      </c>
      <c r="JT14" s="15">
        <f t="shared" si="90"/>
        <v>5606494185.2868166</v>
      </c>
      <c r="JU14" s="15">
        <f t="shared" si="90"/>
        <v>5606494185.2868166</v>
      </c>
      <c r="JV14" s="15">
        <f t="shared" si="90"/>
        <v>5606494185.2868166</v>
      </c>
      <c r="JW14" s="15">
        <f t="shared" si="90"/>
        <v>5606494185.2868166</v>
      </c>
      <c r="JX14" s="15">
        <f t="shared" si="90"/>
        <v>5606494185.2868166</v>
      </c>
      <c r="JY14" s="15">
        <f t="shared" si="90"/>
        <v>5606494185.2868166</v>
      </c>
      <c r="JZ14" s="15">
        <f t="shared" si="90"/>
        <v>5606494185.2868166</v>
      </c>
      <c r="KA14" s="15">
        <f t="shared" si="90"/>
        <v>5606494185.2868166</v>
      </c>
      <c r="KB14" s="15">
        <f t="shared" si="90"/>
        <v>5606494185.2868166</v>
      </c>
      <c r="KC14" s="15">
        <f t="shared" si="90"/>
        <v>5606494185.2868166</v>
      </c>
      <c r="KD14" s="15">
        <f t="shared" si="90"/>
        <v>0</v>
      </c>
      <c r="KE14" s="15">
        <f t="shared" si="90"/>
        <v>0</v>
      </c>
      <c r="KF14" s="15">
        <f t="shared" si="90"/>
        <v>0</v>
      </c>
      <c r="KG14" s="15">
        <f t="shared" si="90"/>
        <v>0</v>
      </c>
      <c r="KH14" s="15">
        <f t="shared" si="90"/>
        <v>0</v>
      </c>
      <c r="KI14" s="15">
        <f t="shared" si="90"/>
        <v>0</v>
      </c>
      <c r="KJ14" s="15">
        <f t="shared" si="90"/>
        <v>0</v>
      </c>
      <c r="KK14" s="15">
        <f t="shared" si="90"/>
        <v>0</v>
      </c>
      <c r="KL14" s="15">
        <f t="shared" si="90"/>
        <v>0</v>
      </c>
      <c r="KM14" s="15">
        <f t="shared" si="90"/>
        <v>0</v>
      </c>
      <c r="KN14" s="15">
        <f t="shared" si="90"/>
        <v>0</v>
      </c>
      <c r="KO14" s="15">
        <f t="shared" si="90"/>
        <v>0</v>
      </c>
      <c r="KP14" s="15">
        <f t="shared" si="90"/>
        <v>0</v>
      </c>
      <c r="KQ14" s="15">
        <f t="shared" si="90"/>
        <v>0</v>
      </c>
      <c r="KR14" s="15">
        <f t="shared" si="90"/>
        <v>0</v>
      </c>
      <c r="KS14" s="15">
        <f t="shared" si="90"/>
        <v>0</v>
      </c>
      <c r="KT14" s="15">
        <f t="shared" si="90"/>
        <v>0</v>
      </c>
      <c r="KU14" s="15">
        <f t="shared" si="90"/>
        <v>0</v>
      </c>
      <c r="KW14" s="15">
        <f t="shared" ref="KW14:KW18" si="131">IF($AU14&gt;=KW$8,$AX14,0)</f>
        <v>5606494185.2868166</v>
      </c>
      <c r="KX14" s="15">
        <f t="shared" si="91"/>
        <v>5606494185.2868166</v>
      </c>
      <c r="KY14" s="15">
        <f t="shared" si="91"/>
        <v>5606494185.2868166</v>
      </c>
      <c r="KZ14" s="15">
        <f t="shared" si="91"/>
        <v>5606494185.2868166</v>
      </c>
      <c r="LA14" s="15">
        <f t="shared" si="91"/>
        <v>5606494185.2868166</v>
      </c>
      <c r="LB14" s="15">
        <f t="shared" si="91"/>
        <v>5606494185.2868166</v>
      </c>
      <c r="LC14" s="15">
        <f t="shared" si="91"/>
        <v>5606494185.2868166</v>
      </c>
      <c r="LD14" s="15">
        <f t="shared" si="91"/>
        <v>5606494185.2868166</v>
      </c>
      <c r="LE14" s="15">
        <f t="shared" si="91"/>
        <v>5606494185.2868166</v>
      </c>
      <c r="LF14" s="15">
        <f t="shared" si="91"/>
        <v>5606494185.2868166</v>
      </c>
      <c r="LG14" s="15">
        <f t="shared" si="91"/>
        <v>5606494185.2868166</v>
      </c>
      <c r="LH14" s="15">
        <f t="shared" si="91"/>
        <v>5606494185.2868166</v>
      </c>
      <c r="LI14" s="15">
        <f t="shared" si="91"/>
        <v>0</v>
      </c>
      <c r="LJ14" s="15">
        <f t="shared" si="91"/>
        <v>0</v>
      </c>
      <c r="LK14" s="15">
        <f t="shared" si="91"/>
        <v>0</v>
      </c>
      <c r="LL14" s="15">
        <f t="shared" si="91"/>
        <v>0</v>
      </c>
      <c r="LM14" s="15">
        <f t="shared" si="91"/>
        <v>0</v>
      </c>
      <c r="LN14" s="15">
        <f t="shared" si="92"/>
        <v>0</v>
      </c>
      <c r="LO14" s="15">
        <f t="shared" si="92"/>
        <v>0</v>
      </c>
      <c r="LP14" s="15">
        <f t="shared" si="92"/>
        <v>0</v>
      </c>
      <c r="LQ14" s="15">
        <f t="shared" si="92"/>
        <v>0</v>
      </c>
      <c r="LR14" s="15">
        <f t="shared" si="92"/>
        <v>0</v>
      </c>
      <c r="LS14" s="15">
        <f t="shared" si="92"/>
        <v>0</v>
      </c>
      <c r="LT14" s="15">
        <f t="shared" si="92"/>
        <v>0</v>
      </c>
      <c r="LU14" s="15">
        <f t="shared" si="92"/>
        <v>0</v>
      </c>
      <c r="LV14" s="15">
        <f t="shared" si="92"/>
        <v>0</v>
      </c>
      <c r="LW14" s="15">
        <f t="shared" si="92"/>
        <v>0</v>
      </c>
      <c r="LX14" s="15">
        <f t="shared" si="92"/>
        <v>0</v>
      </c>
      <c r="LY14" s="15">
        <f t="shared" si="92"/>
        <v>0</v>
      </c>
      <c r="LZ14" s="15">
        <f t="shared" si="92"/>
        <v>0</v>
      </c>
      <c r="MB14" s="15">
        <f t="shared" ref="MB14:MB18" si="132">IF($AZ14&gt;=MB$8,$BC14,0)</f>
        <v>5606494185.2868166</v>
      </c>
      <c r="MC14" s="15">
        <f t="shared" si="93"/>
        <v>5606494185.2868166</v>
      </c>
      <c r="MD14" s="15">
        <f t="shared" si="93"/>
        <v>5606494185.2868166</v>
      </c>
      <c r="ME14" s="15">
        <f t="shared" si="93"/>
        <v>5606494185.2868166</v>
      </c>
      <c r="MF14" s="15">
        <f t="shared" si="93"/>
        <v>5606494185.2868166</v>
      </c>
      <c r="MG14" s="15">
        <f t="shared" si="93"/>
        <v>5606494185.2868166</v>
      </c>
      <c r="MH14" s="15">
        <f t="shared" si="93"/>
        <v>5606494185.2868166</v>
      </c>
      <c r="MI14" s="15">
        <f t="shared" si="93"/>
        <v>5606494185.2868166</v>
      </c>
      <c r="MJ14" s="15">
        <f t="shared" si="93"/>
        <v>5606494185.2868166</v>
      </c>
      <c r="MK14" s="15">
        <f t="shared" si="93"/>
        <v>5606494185.2868166</v>
      </c>
      <c r="ML14" s="15">
        <f t="shared" si="93"/>
        <v>5606494185.2868166</v>
      </c>
      <c r="MM14" s="15">
        <f t="shared" si="93"/>
        <v>5606494185.2868166</v>
      </c>
      <c r="MN14" s="15">
        <f t="shared" si="93"/>
        <v>0</v>
      </c>
      <c r="MO14" s="15">
        <f t="shared" si="93"/>
        <v>0</v>
      </c>
      <c r="MP14" s="15">
        <f t="shared" si="93"/>
        <v>0</v>
      </c>
      <c r="MQ14" s="15">
        <f t="shared" si="93"/>
        <v>0</v>
      </c>
      <c r="MR14" s="15">
        <f t="shared" si="93"/>
        <v>0</v>
      </c>
      <c r="MS14" s="15">
        <f t="shared" si="94"/>
        <v>0</v>
      </c>
      <c r="MT14" s="15">
        <f t="shared" si="94"/>
        <v>0</v>
      </c>
      <c r="MU14" s="15">
        <f t="shared" si="94"/>
        <v>0</v>
      </c>
      <c r="MV14" s="15">
        <f t="shared" si="94"/>
        <v>0</v>
      </c>
      <c r="MW14" s="15">
        <f t="shared" si="94"/>
        <v>0</v>
      </c>
      <c r="MX14" s="15">
        <f t="shared" si="94"/>
        <v>0</v>
      </c>
      <c r="MY14" s="15">
        <f t="shared" si="94"/>
        <v>0</v>
      </c>
      <c r="MZ14" s="15">
        <f t="shared" si="94"/>
        <v>0</v>
      </c>
      <c r="NA14" s="15">
        <f t="shared" si="94"/>
        <v>0</v>
      </c>
      <c r="NB14" s="15">
        <f t="shared" si="94"/>
        <v>0</v>
      </c>
      <c r="NC14" s="15">
        <f t="shared" si="94"/>
        <v>0</v>
      </c>
      <c r="ND14" s="15">
        <f t="shared" si="94"/>
        <v>0</v>
      </c>
      <c r="NE14" s="15">
        <f t="shared" si="94"/>
        <v>0</v>
      </c>
    </row>
    <row r="15" spans="1:369" outlineLevel="1" x14ac:dyDescent="0.25">
      <c r="B15" t="s">
        <v>344</v>
      </c>
      <c r="C15" s="495" t="s">
        <v>217</v>
      </c>
      <c r="D15" s="613" t="s">
        <v>205</v>
      </c>
      <c r="E15" s="467">
        <v>1</v>
      </c>
      <c r="F15" s="222"/>
      <c r="G15" s="457">
        <v>12</v>
      </c>
      <c r="H15" s="468">
        <f>(47050000000/$D$6*(1-0.196393571148569))*1.04</f>
        <v>39322069776.55822</v>
      </c>
      <c r="I15" s="615">
        <f t="shared" si="80"/>
        <v>39322069776.55822</v>
      </c>
      <c r="J15" s="616">
        <f t="shared" si="95"/>
        <v>3276839148.0465183</v>
      </c>
      <c r="K15" s="222"/>
      <c r="L15" s="457">
        <v>12</v>
      </c>
      <c r="M15" s="457">
        <f t="shared" si="96"/>
        <v>39322069776.55822</v>
      </c>
      <c r="N15" s="617">
        <f t="shared" si="97"/>
        <v>39322069776.55822</v>
      </c>
      <c r="O15" s="616">
        <f t="shared" si="98"/>
        <v>3276839148.0465183</v>
      </c>
      <c r="P15" s="222"/>
      <c r="Q15" s="457">
        <v>12</v>
      </c>
      <c r="R15" s="457">
        <f t="shared" si="99"/>
        <v>39322069776.55822</v>
      </c>
      <c r="S15" s="617">
        <f t="shared" si="100"/>
        <v>39322069776.55822</v>
      </c>
      <c r="T15" s="616">
        <f t="shared" si="101"/>
        <v>3276839148.0465183</v>
      </c>
      <c r="U15" s="221"/>
      <c r="V15" s="457">
        <v>12</v>
      </c>
      <c r="W15" s="457">
        <f t="shared" si="102"/>
        <v>39322069776.55822</v>
      </c>
      <c r="X15" s="617">
        <f t="shared" si="103"/>
        <v>39322069776.55822</v>
      </c>
      <c r="Y15" s="616">
        <f t="shared" si="104"/>
        <v>3276839148.0465183</v>
      </c>
      <c r="Z15" s="221"/>
      <c r="AA15" s="457">
        <v>12</v>
      </c>
      <c r="AB15" s="457">
        <f t="shared" si="105"/>
        <v>39322069776.55822</v>
      </c>
      <c r="AC15" s="617">
        <f t="shared" si="106"/>
        <v>39322069776.55822</v>
      </c>
      <c r="AD15" s="616">
        <f t="shared" si="107"/>
        <v>3276839148.0465183</v>
      </c>
      <c r="AE15" s="221"/>
      <c r="AF15" s="457">
        <v>12</v>
      </c>
      <c r="AG15" s="457">
        <f t="shared" si="108"/>
        <v>39322069776.55822</v>
      </c>
      <c r="AH15" s="617">
        <f t="shared" si="109"/>
        <v>39322069776.55822</v>
      </c>
      <c r="AI15" s="616">
        <f t="shared" si="110"/>
        <v>3276839148.0465183</v>
      </c>
      <c r="AJ15" s="221"/>
      <c r="AK15" s="457">
        <v>12</v>
      </c>
      <c r="AL15" s="457">
        <f t="shared" si="111"/>
        <v>39322069776.55822</v>
      </c>
      <c r="AM15" s="617">
        <f t="shared" si="112"/>
        <v>39322069776.55822</v>
      </c>
      <c r="AN15" s="616">
        <f t="shared" si="113"/>
        <v>3276839148.0465183</v>
      </c>
      <c r="AO15" s="221"/>
      <c r="AP15" s="457">
        <v>12</v>
      </c>
      <c r="AQ15" s="457">
        <f t="shared" si="114"/>
        <v>39322069776.55822</v>
      </c>
      <c r="AR15" s="617">
        <f t="shared" si="115"/>
        <v>39322069776.55822</v>
      </c>
      <c r="AS15" s="616">
        <f t="shared" si="116"/>
        <v>3276839148.0465183</v>
      </c>
      <c r="AT15" s="221"/>
      <c r="AU15" s="457">
        <v>12</v>
      </c>
      <c r="AV15" s="457">
        <f t="shared" si="117"/>
        <v>39322069776.55822</v>
      </c>
      <c r="AW15" s="617">
        <f t="shared" si="118"/>
        <v>39322069776.55822</v>
      </c>
      <c r="AX15" s="616">
        <f t="shared" si="119"/>
        <v>3276839148.0465183</v>
      </c>
      <c r="AY15" s="221"/>
      <c r="AZ15" s="457">
        <v>12</v>
      </c>
      <c r="BA15" s="457">
        <f t="shared" si="120"/>
        <v>39322069776.55822</v>
      </c>
      <c r="BB15" s="617">
        <f t="shared" si="121"/>
        <v>39322069776.55822</v>
      </c>
      <c r="BC15" s="616">
        <f t="shared" si="122"/>
        <v>3276839148.0465183</v>
      </c>
      <c r="BD15" s="221"/>
      <c r="BE15" t="s">
        <v>444</v>
      </c>
      <c r="BF15" t="s">
        <v>547</v>
      </c>
      <c r="BG15" t="s">
        <v>336</v>
      </c>
      <c r="BI15" s="15">
        <f t="shared" si="123"/>
        <v>3276839148.0465183</v>
      </c>
      <c r="BJ15" s="15">
        <f t="shared" si="81"/>
        <v>3276839148.0465183</v>
      </c>
      <c r="BK15" s="15">
        <f t="shared" si="81"/>
        <v>3276839148.0465183</v>
      </c>
      <c r="BL15" s="15">
        <f t="shared" si="81"/>
        <v>3276839148.0465183</v>
      </c>
      <c r="BM15" s="15">
        <f t="shared" si="81"/>
        <v>3276839148.0465183</v>
      </c>
      <c r="BN15" s="15">
        <f t="shared" si="81"/>
        <v>3276839148.0465183</v>
      </c>
      <c r="BO15" s="15">
        <f t="shared" si="81"/>
        <v>3276839148.0465183</v>
      </c>
      <c r="BP15" s="15">
        <f t="shared" si="81"/>
        <v>3276839148.0465183</v>
      </c>
      <c r="BQ15" s="15">
        <f t="shared" si="81"/>
        <v>3276839148.0465183</v>
      </c>
      <c r="BR15" s="15">
        <f t="shared" si="81"/>
        <v>3276839148.0465183</v>
      </c>
      <c r="BS15" s="15">
        <f t="shared" si="81"/>
        <v>3276839148.0465183</v>
      </c>
      <c r="BT15" s="15">
        <f t="shared" si="81"/>
        <v>3276839148.0465183</v>
      </c>
      <c r="BU15" s="15">
        <f t="shared" si="81"/>
        <v>0</v>
      </c>
      <c r="BV15" s="15">
        <f t="shared" si="81"/>
        <v>0</v>
      </c>
      <c r="BW15" s="15">
        <f t="shared" si="81"/>
        <v>0</v>
      </c>
      <c r="BX15" s="15">
        <f t="shared" si="81"/>
        <v>0</v>
      </c>
      <c r="BY15" s="15">
        <f t="shared" si="81"/>
        <v>0</v>
      </c>
      <c r="BZ15" s="15">
        <f t="shared" si="81"/>
        <v>0</v>
      </c>
      <c r="CA15" s="15">
        <f t="shared" si="81"/>
        <v>0</v>
      </c>
      <c r="CB15" s="15">
        <f t="shared" si="81"/>
        <v>0</v>
      </c>
      <c r="CC15" s="15">
        <f t="shared" si="81"/>
        <v>0</v>
      </c>
      <c r="CD15" s="15">
        <f t="shared" si="81"/>
        <v>0</v>
      </c>
      <c r="CE15" s="15">
        <f t="shared" si="81"/>
        <v>0</v>
      </c>
      <c r="CF15" s="15">
        <f t="shared" si="81"/>
        <v>0</v>
      </c>
      <c r="CG15" s="15">
        <f t="shared" si="81"/>
        <v>0</v>
      </c>
      <c r="CH15" s="15">
        <f t="shared" si="81"/>
        <v>0</v>
      </c>
      <c r="CI15" s="15">
        <f t="shared" si="81"/>
        <v>0</v>
      </c>
      <c r="CJ15" s="15">
        <f t="shared" si="81"/>
        <v>0</v>
      </c>
      <c r="CK15" s="15">
        <f t="shared" si="81"/>
        <v>0</v>
      </c>
      <c r="CL15" s="15">
        <f t="shared" si="81"/>
        <v>0</v>
      </c>
      <c r="CN15" s="15">
        <f t="shared" si="124"/>
        <v>3276839148.0465183</v>
      </c>
      <c r="CO15" s="15">
        <f t="shared" si="82"/>
        <v>3276839148.0465183</v>
      </c>
      <c r="CP15" s="15">
        <f t="shared" si="82"/>
        <v>3276839148.0465183</v>
      </c>
      <c r="CQ15" s="15">
        <f t="shared" si="82"/>
        <v>3276839148.0465183</v>
      </c>
      <c r="CR15" s="15">
        <f t="shared" si="82"/>
        <v>3276839148.0465183</v>
      </c>
      <c r="CS15" s="15">
        <f t="shared" si="82"/>
        <v>3276839148.0465183</v>
      </c>
      <c r="CT15" s="15">
        <f t="shared" si="82"/>
        <v>3276839148.0465183</v>
      </c>
      <c r="CU15" s="15">
        <f t="shared" si="82"/>
        <v>3276839148.0465183</v>
      </c>
      <c r="CV15" s="15">
        <f t="shared" si="82"/>
        <v>3276839148.0465183</v>
      </c>
      <c r="CW15" s="15">
        <f t="shared" si="82"/>
        <v>3276839148.0465183</v>
      </c>
      <c r="CX15" s="15">
        <f t="shared" si="82"/>
        <v>3276839148.0465183</v>
      </c>
      <c r="CY15" s="15">
        <f t="shared" si="82"/>
        <v>3276839148.0465183</v>
      </c>
      <c r="CZ15" s="15">
        <f t="shared" si="82"/>
        <v>0</v>
      </c>
      <c r="DA15" s="15">
        <f t="shared" si="82"/>
        <v>0</v>
      </c>
      <c r="DB15" s="15">
        <f t="shared" si="82"/>
        <v>0</v>
      </c>
      <c r="DC15" s="15">
        <f t="shared" si="82"/>
        <v>0</v>
      </c>
      <c r="DD15" s="15">
        <f t="shared" si="82"/>
        <v>0</v>
      </c>
      <c r="DE15" s="15">
        <f t="shared" si="82"/>
        <v>0</v>
      </c>
      <c r="DF15" s="15">
        <f t="shared" si="82"/>
        <v>0</v>
      </c>
      <c r="DG15" s="15">
        <f t="shared" si="82"/>
        <v>0</v>
      </c>
      <c r="DH15" s="15">
        <f t="shared" si="82"/>
        <v>0</v>
      </c>
      <c r="DI15" s="15">
        <f t="shared" si="82"/>
        <v>0</v>
      </c>
      <c r="DJ15" s="15">
        <f t="shared" si="82"/>
        <v>0</v>
      </c>
      <c r="DK15" s="15">
        <f t="shared" si="82"/>
        <v>0</v>
      </c>
      <c r="DL15" s="15">
        <f t="shared" si="82"/>
        <v>0</v>
      </c>
      <c r="DM15" s="15">
        <f t="shared" si="82"/>
        <v>0</v>
      </c>
      <c r="DN15" s="15">
        <f t="shared" si="82"/>
        <v>0</v>
      </c>
      <c r="DO15" s="15">
        <f t="shared" si="82"/>
        <v>0</v>
      </c>
      <c r="DP15" s="15">
        <f t="shared" si="82"/>
        <v>0</v>
      </c>
      <c r="DQ15" s="15">
        <f t="shared" si="82"/>
        <v>0</v>
      </c>
      <c r="DS15" s="15">
        <f t="shared" si="125"/>
        <v>3276839148.0465183</v>
      </c>
      <c r="DT15" s="15">
        <f t="shared" si="83"/>
        <v>3276839148.0465183</v>
      </c>
      <c r="DU15" s="15">
        <f t="shared" si="83"/>
        <v>3276839148.0465183</v>
      </c>
      <c r="DV15" s="15">
        <f t="shared" si="83"/>
        <v>3276839148.0465183</v>
      </c>
      <c r="DW15" s="15">
        <f t="shared" si="83"/>
        <v>3276839148.0465183</v>
      </c>
      <c r="DX15" s="15">
        <f t="shared" si="83"/>
        <v>3276839148.0465183</v>
      </c>
      <c r="DY15" s="15">
        <f t="shared" si="83"/>
        <v>3276839148.0465183</v>
      </c>
      <c r="DZ15" s="15">
        <f t="shared" si="83"/>
        <v>3276839148.0465183</v>
      </c>
      <c r="EA15" s="15">
        <f t="shared" si="83"/>
        <v>3276839148.0465183</v>
      </c>
      <c r="EB15" s="15">
        <f t="shared" si="83"/>
        <v>3276839148.0465183</v>
      </c>
      <c r="EC15" s="15">
        <f t="shared" si="83"/>
        <v>3276839148.0465183</v>
      </c>
      <c r="ED15" s="15">
        <f t="shared" si="83"/>
        <v>3276839148.0465183</v>
      </c>
      <c r="EE15" s="15">
        <f t="shared" si="83"/>
        <v>0</v>
      </c>
      <c r="EF15" s="15">
        <f t="shared" si="83"/>
        <v>0</v>
      </c>
      <c r="EG15" s="15">
        <f t="shared" si="83"/>
        <v>0</v>
      </c>
      <c r="EH15" s="15">
        <f t="shared" si="83"/>
        <v>0</v>
      </c>
      <c r="EI15" s="15">
        <f t="shared" si="83"/>
        <v>0</v>
      </c>
      <c r="EJ15" s="15">
        <f t="shared" si="84"/>
        <v>0</v>
      </c>
      <c r="EK15" s="15">
        <f t="shared" si="84"/>
        <v>0</v>
      </c>
      <c r="EL15" s="15">
        <f t="shared" si="84"/>
        <v>0</v>
      </c>
      <c r="EM15" s="15">
        <f t="shared" si="84"/>
        <v>0</v>
      </c>
      <c r="EN15" s="15">
        <f t="shared" si="84"/>
        <v>0</v>
      </c>
      <c r="EO15" s="15">
        <f t="shared" si="84"/>
        <v>0</v>
      </c>
      <c r="EP15" s="15">
        <f t="shared" si="84"/>
        <v>0</v>
      </c>
      <c r="EQ15" s="15">
        <f t="shared" si="84"/>
        <v>0</v>
      </c>
      <c r="ER15" s="15">
        <f t="shared" si="84"/>
        <v>0</v>
      </c>
      <c r="ES15" s="15">
        <f t="shared" si="84"/>
        <v>0</v>
      </c>
      <c r="ET15" s="15">
        <f t="shared" si="84"/>
        <v>0</v>
      </c>
      <c r="EU15" s="15">
        <f t="shared" si="84"/>
        <v>0</v>
      </c>
      <c r="EV15" s="15">
        <f t="shared" si="84"/>
        <v>0</v>
      </c>
      <c r="EX15" s="15">
        <f t="shared" si="126"/>
        <v>3276839148.0465183</v>
      </c>
      <c r="EY15" s="15">
        <f t="shared" si="85"/>
        <v>3276839148.0465183</v>
      </c>
      <c r="EZ15" s="15">
        <f t="shared" si="85"/>
        <v>3276839148.0465183</v>
      </c>
      <c r="FA15" s="15">
        <f t="shared" si="85"/>
        <v>3276839148.0465183</v>
      </c>
      <c r="FB15" s="15">
        <f t="shared" si="85"/>
        <v>3276839148.0465183</v>
      </c>
      <c r="FC15" s="15">
        <f t="shared" si="85"/>
        <v>3276839148.0465183</v>
      </c>
      <c r="FD15" s="15">
        <f t="shared" si="85"/>
        <v>3276839148.0465183</v>
      </c>
      <c r="FE15" s="15">
        <f t="shared" si="85"/>
        <v>3276839148.0465183</v>
      </c>
      <c r="FF15" s="15">
        <f t="shared" si="85"/>
        <v>3276839148.0465183</v>
      </c>
      <c r="FG15" s="15">
        <f t="shared" si="85"/>
        <v>3276839148.0465183</v>
      </c>
      <c r="FH15" s="15">
        <f t="shared" si="85"/>
        <v>3276839148.0465183</v>
      </c>
      <c r="FI15" s="15">
        <f t="shared" si="85"/>
        <v>3276839148.0465183</v>
      </c>
      <c r="FJ15" s="15">
        <f t="shared" si="85"/>
        <v>0</v>
      </c>
      <c r="FK15" s="15">
        <f t="shared" si="85"/>
        <v>0</v>
      </c>
      <c r="FL15" s="15">
        <f t="shared" si="85"/>
        <v>0</v>
      </c>
      <c r="FM15" s="15">
        <f t="shared" si="85"/>
        <v>0</v>
      </c>
      <c r="FN15" s="15">
        <f t="shared" si="85"/>
        <v>0</v>
      </c>
      <c r="FO15" s="15">
        <f t="shared" si="85"/>
        <v>0</v>
      </c>
      <c r="FP15" s="15">
        <f t="shared" si="85"/>
        <v>0</v>
      </c>
      <c r="FQ15" s="15">
        <f t="shared" si="85"/>
        <v>0</v>
      </c>
      <c r="FR15" s="15">
        <f t="shared" si="85"/>
        <v>0</v>
      </c>
      <c r="FS15" s="15">
        <f t="shared" si="85"/>
        <v>0</v>
      </c>
      <c r="FT15" s="15">
        <f t="shared" si="85"/>
        <v>0</v>
      </c>
      <c r="FU15" s="15">
        <f t="shared" si="85"/>
        <v>0</v>
      </c>
      <c r="FV15" s="15">
        <f t="shared" si="85"/>
        <v>0</v>
      </c>
      <c r="FW15" s="15">
        <f t="shared" si="85"/>
        <v>0</v>
      </c>
      <c r="FX15" s="15">
        <f t="shared" si="85"/>
        <v>0</v>
      </c>
      <c r="FY15" s="15">
        <f t="shared" si="85"/>
        <v>0</v>
      </c>
      <c r="FZ15" s="15">
        <f t="shared" si="85"/>
        <v>0</v>
      </c>
      <c r="GA15" s="15">
        <f t="shared" si="85"/>
        <v>0</v>
      </c>
      <c r="GC15" s="15">
        <f t="shared" si="127"/>
        <v>3276839148.0465183</v>
      </c>
      <c r="GD15" s="15">
        <f t="shared" si="86"/>
        <v>3276839148.0465183</v>
      </c>
      <c r="GE15" s="15">
        <f t="shared" si="86"/>
        <v>3276839148.0465183</v>
      </c>
      <c r="GF15" s="15">
        <f t="shared" si="86"/>
        <v>3276839148.0465183</v>
      </c>
      <c r="GG15" s="15">
        <f t="shared" si="86"/>
        <v>3276839148.0465183</v>
      </c>
      <c r="GH15" s="15">
        <f t="shared" si="86"/>
        <v>3276839148.0465183</v>
      </c>
      <c r="GI15" s="15">
        <f t="shared" si="86"/>
        <v>3276839148.0465183</v>
      </c>
      <c r="GJ15" s="15">
        <f t="shared" si="86"/>
        <v>3276839148.0465183</v>
      </c>
      <c r="GK15" s="15">
        <f t="shared" si="86"/>
        <v>3276839148.0465183</v>
      </c>
      <c r="GL15" s="15">
        <f t="shared" si="86"/>
        <v>3276839148.0465183</v>
      </c>
      <c r="GM15" s="15">
        <f t="shared" si="86"/>
        <v>3276839148.0465183</v>
      </c>
      <c r="GN15" s="15">
        <f t="shared" si="86"/>
        <v>3276839148.0465183</v>
      </c>
      <c r="GO15" s="15">
        <f t="shared" si="86"/>
        <v>0</v>
      </c>
      <c r="GP15" s="15">
        <f t="shared" si="86"/>
        <v>0</v>
      </c>
      <c r="GQ15" s="15">
        <f t="shared" si="86"/>
        <v>0</v>
      </c>
      <c r="GR15" s="15">
        <f t="shared" si="86"/>
        <v>0</v>
      </c>
      <c r="GS15" s="15">
        <f t="shared" si="86"/>
        <v>0</v>
      </c>
      <c r="GT15" s="15">
        <f t="shared" si="86"/>
        <v>0</v>
      </c>
      <c r="GU15" s="15">
        <f t="shared" si="86"/>
        <v>0</v>
      </c>
      <c r="GV15" s="15">
        <f t="shared" si="86"/>
        <v>0</v>
      </c>
      <c r="GW15" s="15">
        <f t="shared" si="86"/>
        <v>0</v>
      </c>
      <c r="GX15" s="15">
        <f t="shared" si="86"/>
        <v>0</v>
      </c>
      <c r="GY15" s="15">
        <f t="shared" si="86"/>
        <v>0</v>
      </c>
      <c r="GZ15" s="15">
        <f t="shared" si="86"/>
        <v>0</v>
      </c>
      <c r="HA15" s="15">
        <f t="shared" si="86"/>
        <v>0</v>
      </c>
      <c r="HB15" s="15">
        <f t="shared" si="86"/>
        <v>0</v>
      </c>
      <c r="HC15" s="15">
        <f t="shared" si="86"/>
        <v>0</v>
      </c>
      <c r="HD15" s="15">
        <f t="shared" si="86"/>
        <v>0</v>
      </c>
      <c r="HE15" s="15">
        <f t="shared" si="86"/>
        <v>0</v>
      </c>
      <c r="HF15" s="15">
        <f t="shared" si="86"/>
        <v>0</v>
      </c>
      <c r="HH15" s="15">
        <f t="shared" si="128"/>
        <v>3276839148.0465183</v>
      </c>
      <c r="HI15" s="15">
        <f t="shared" si="87"/>
        <v>3276839148.0465183</v>
      </c>
      <c r="HJ15" s="15">
        <f t="shared" si="87"/>
        <v>3276839148.0465183</v>
      </c>
      <c r="HK15" s="15">
        <f t="shared" si="87"/>
        <v>3276839148.0465183</v>
      </c>
      <c r="HL15" s="15">
        <f t="shared" si="87"/>
        <v>3276839148.0465183</v>
      </c>
      <c r="HM15" s="15">
        <f t="shared" si="87"/>
        <v>3276839148.0465183</v>
      </c>
      <c r="HN15" s="15">
        <f t="shared" si="87"/>
        <v>3276839148.0465183</v>
      </c>
      <c r="HO15" s="15">
        <f t="shared" si="87"/>
        <v>3276839148.0465183</v>
      </c>
      <c r="HP15" s="15">
        <f t="shared" si="87"/>
        <v>3276839148.0465183</v>
      </c>
      <c r="HQ15" s="15">
        <f t="shared" si="87"/>
        <v>3276839148.0465183</v>
      </c>
      <c r="HR15" s="15">
        <f t="shared" si="87"/>
        <v>3276839148.0465183</v>
      </c>
      <c r="HS15" s="15">
        <f t="shared" si="87"/>
        <v>3276839148.0465183</v>
      </c>
      <c r="HT15" s="15">
        <f t="shared" si="87"/>
        <v>0</v>
      </c>
      <c r="HU15" s="15">
        <f t="shared" si="87"/>
        <v>0</v>
      </c>
      <c r="HV15" s="15">
        <f t="shared" si="87"/>
        <v>0</v>
      </c>
      <c r="HW15" s="15">
        <f t="shared" si="87"/>
        <v>0</v>
      </c>
      <c r="HX15" s="15">
        <f t="shared" si="87"/>
        <v>0</v>
      </c>
      <c r="HY15" s="15">
        <f t="shared" si="87"/>
        <v>0</v>
      </c>
      <c r="HZ15" s="15">
        <f t="shared" si="87"/>
        <v>0</v>
      </c>
      <c r="IA15" s="15">
        <f t="shared" si="87"/>
        <v>0</v>
      </c>
      <c r="IB15" s="15">
        <f t="shared" si="87"/>
        <v>0</v>
      </c>
      <c r="IC15" s="15">
        <f t="shared" si="87"/>
        <v>0</v>
      </c>
      <c r="ID15" s="15">
        <f t="shared" si="87"/>
        <v>0</v>
      </c>
      <c r="IE15" s="15">
        <f t="shared" si="87"/>
        <v>0</v>
      </c>
      <c r="IF15" s="15">
        <f t="shared" si="87"/>
        <v>0</v>
      </c>
      <c r="IG15" s="15">
        <f t="shared" si="87"/>
        <v>0</v>
      </c>
      <c r="IH15" s="15">
        <f t="shared" si="87"/>
        <v>0</v>
      </c>
      <c r="II15" s="15">
        <f t="shared" si="87"/>
        <v>0</v>
      </c>
      <c r="IJ15" s="15">
        <f t="shared" si="87"/>
        <v>0</v>
      </c>
      <c r="IK15" s="15">
        <f t="shared" si="87"/>
        <v>0</v>
      </c>
      <c r="IM15" s="15">
        <f t="shared" si="129"/>
        <v>3276839148.0465183</v>
      </c>
      <c r="IN15" s="15">
        <f t="shared" si="88"/>
        <v>3276839148.0465183</v>
      </c>
      <c r="IO15" s="15">
        <f t="shared" si="88"/>
        <v>3276839148.0465183</v>
      </c>
      <c r="IP15" s="15">
        <f t="shared" si="88"/>
        <v>3276839148.0465183</v>
      </c>
      <c r="IQ15" s="15">
        <f t="shared" si="88"/>
        <v>3276839148.0465183</v>
      </c>
      <c r="IR15" s="15">
        <f t="shared" si="88"/>
        <v>3276839148.0465183</v>
      </c>
      <c r="IS15" s="15">
        <f t="shared" si="88"/>
        <v>3276839148.0465183</v>
      </c>
      <c r="IT15" s="15">
        <f t="shared" si="88"/>
        <v>3276839148.0465183</v>
      </c>
      <c r="IU15" s="15">
        <f t="shared" si="88"/>
        <v>3276839148.0465183</v>
      </c>
      <c r="IV15" s="15">
        <f t="shared" si="88"/>
        <v>3276839148.0465183</v>
      </c>
      <c r="IW15" s="15">
        <f t="shared" si="88"/>
        <v>3276839148.0465183</v>
      </c>
      <c r="IX15" s="15">
        <f t="shared" si="88"/>
        <v>3276839148.0465183</v>
      </c>
      <c r="IY15" s="15">
        <f t="shared" si="88"/>
        <v>0</v>
      </c>
      <c r="IZ15" s="15">
        <f t="shared" si="88"/>
        <v>0</v>
      </c>
      <c r="JA15" s="15">
        <f t="shared" si="88"/>
        <v>0</v>
      </c>
      <c r="JB15" s="15">
        <f t="shared" si="88"/>
        <v>0</v>
      </c>
      <c r="JC15" s="15">
        <f t="shared" si="88"/>
        <v>0</v>
      </c>
      <c r="JD15" s="15">
        <f t="shared" si="89"/>
        <v>0</v>
      </c>
      <c r="JE15" s="15">
        <f t="shared" si="89"/>
        <v>0</v>
      </c>
      <c r="JF15" s="15">
        <f t="shared" si="89"/>
        <v>0</v>
      </c>
      <c r="JG15" s="15">
        <f t="shared" si="89"/>
        <v>0</v>
      </c>
      <c r="JH15" s="15">
        <f t="shared" si="89"/>
        <v>0</v>
      </c>
      <c r="JI15" s="15">
        <f t="shared" si="89"/>
        <v>0</v>
      </c>
      <c r="JJ15" s="15">
        <f t="shared" si="89"/>
        <v>0</v>
      </c>
      <c r="JK15" s="15">
        <f t="shared" si="89"/>
        <v>0</v>
      </c>
      <c r="JL15" s="15">
        <f t="shared" si="89"/>
        <v>0</v>
      </c>
      <c r="JM15" s="15">
        <f t="shared" si="89"/>
        <v>0</v>
      </c>
      <c r="JN15" s="15">
        <f t="shared" si="89"/>
        <v>0</v>
      </c>
      <c r="JO15" s="15">
        <f t="shared" si="89"/>
        <v>0</v>
      </c>
      <c r="JP15" s="15">
        <f t="shared" si="89"/>
        <v>0</v>
      </c>
      <c r="JR15" s="15">
        <f t="shared" si="130"/>
        <v>3276839148.0465183</v>
      </c>
      <c r="JS15" s="15">
        <f t="shared" si="90"/>
        <v>3276839148.0465183</v>
      </c>
      <c r="JT15" s="15">
        <f t="shared" si="90"/>
        <v>3276839148.0465183</v>
      </c>
      <c r="JU15" s="15">
        <f t="shared" si="90"/>
        <v>3276839148.0465183</v>
      </c>
      <c r="JV15" s="15">
        <f t="shared" si="90"/>
        <v>3276839148.0465183</v>
      </c>
      <c r="JW15" s="15">
        <f t="shared" si="90"/>
        <v>3276839148.0465183</v>
      </c>
      <c r="JX15" s="15">
        <f t="shared" si="90"/>
        <v>3276839148.0465183</v>
      </c>
      <c r="JY15" s="15">
        <f t="shared" si="90"/>
        <v>3276839148.0465183</v>
      </c>
      <c r="JZ15" s="15">
        <f t="shared" si="90"/>
        <v>3276839148.0465183</v>
      </c>
      <c r="KA15" s="15">
        <f t="shared" si="90"/>
        <v>3276839148.0465183</v>
      </c>
      <c r="KB15" s="15">
        <f t="shared" si="90"/>
        <v>3276839148.0465183</v>
      </c>
      <c r="KC15" s="15">
        <f t="shared" si="90"/>
        <v>3276839148.0465183</v>
      </c>
      <c r="KD15" s="15">
        <f t="shared" si="90"/>
        <v>0</v>
      </c>
      <c r="KE15" s="15">
        <f t="shared" si="90"/>
        <v>0</v>
      </c>
      <c r="KF15" s="15">
        <f t="shared" si="90"/>
        <v>0</v>
      </c>
      <c r="KG15" s="15">
        <f t="shared" si="90"/>
        <v>0</v>
      </c>
      <c r="KH15" s="15">
        <f t="shared" si="90"/>
        <v>0</v>
      </c>
      <c r="KI15" s="15">
        <f t="shared" si="90"/>
        <v>0</v>
      </c>
      <c r="KJ15" s="15">
        <f t="shared" si="90"/>
        <v>0</v>
      </c>
      <c r="KK15" s="15">
        <f t="shared" si="90"/>
        <v>0</v>
      </c>
      <c r="KL15" s="15">
        <f t="shared" si="90"/>
        <v>0</v>
      </c>
      <c r="KM15" s="15">
        <f t="shared" si="90"/>
        <v>0</v>
      </c>
      <c r="KN15" s="15">
        <f t="shared" si="90"/>
        <v>0</v>
      </c>
      <c r="KO15" s="15">
        <f t="shared" si="90"/>
        <v>0</v>
      </c>
      <c r="KP15" s="15">
        <f t="shared" si="90"/>
        <v>0</v>
      </c>
      <c r="KQ15" s="15">
        <f t="shared" si="90"/>
        <v>0</v>
      </c>
      <c r="KR15" s="15">
        <f t="shared" si="90"/>
        <v>0</v>
      </c>
      <c r="KS15" s="15">
        <f t="shared" si="90"/>
        <v>0</v>
      </c>
      <c r="KT15" s="15">
        <f t="shared" si="90"/>
        <v>0</v>
      </c>
      <c r="KU15" s="15">
        <f t="shared" si="90"/>
        <v>0</v>
      </c>
      <c r="KW15" s="15">
        <f t="shared" si="131"/>
        <v>3276839148.0465183</v>
      </c>
      <c r="KX15" s="15">
        <f t="shared" si="91"/>
        <v>3276839148.0465183</v>
      </c>
      <c r="KY15" s="15">
        <f t="shared" si="91"/>
        <v>3276839148.0465183</v>
      </c>
      <c r="KZ15" s="15">
        <f t="shared" si="91"/>
        <v>3276839148.0465183</v>
      </c>
      <c r="LA15" s="15">
        <f t="shared" si="91"/>
        <v>3276839148.0465183</v>
      </c>
      <c r="LB15" s="15">
        <f t="shared" si="91"/>
        <v>3276839148.0465183</v>
      </c>
      <c r="LC15" s="15">
        <f t="shared" si="91"/>
        <v>3276839148.0465183</v>
      </c>
      <c r="LD15" s="15">
        <f t="shared" si="91"/>
        <v>3276839148.0465183</v>
      </c>
      <c r="LE15" s="15">
        <f t="shared" si="91"/>
        <v>3276839148.0465183</v>
      </c>
      <c r="LF15" s="15">
        <f t="shared" si="91"/>
        <v>3276839148.0465183</v>
      </c>
      <c r="LG15" s="15">
        <f t="shared" si="91"/>
        <v>3276839148.0465183</v>
      </c>
      <c r="LH15" s="15">
        <f t="shared" si="91"/>
        <v>3276839148.0465183</v>
      </c>
      <c r="LI15" s="15">
        <f t="shared" si="91"/>
        <v>0</v>
      </c>
      <c r="LJ15" s="15">
        <f t="shared" si="91"/>
        <v>0</v>
      </c>
      <c r="LK15" s="15">
        <f t="shared" si="91"/>
        <v>0</v>
      </c>
      <c r="LL15" s="15">
        <f t="shared" si="91"/>
        <v>0</v>
      </c>
      <c r="LM15" s="15">
        <f t="shared" si="91"/>
        <v>0</v>
      </c>
      <c r="LN15" s="15">
        <f t="shared" si="92"/>
        <v>0</v>
      </c>
      <c r="LO15" s="15">
        <f t="shared" si="92"/>
        <v>0</v>
      </c>
      <c r="LP15" s="15">
        <f t="shared" si="92"/>
        <v>0</v>
      </c>
      <c r="LQ15" s="15">
        <f t="shared" si="92"/>
        <v>0</v>
      </c>
      <c r="LR15" s="15">
        <f t="shared" si="92"/>
        <v>0</v>
      </c>
      <c r="LS15" s="15">
        <f t="shared" si="92"/>
        <v>0</v>
      </c>
      <c r="LT15" s="15">
        <f t="shared" si="92"/>
        <v>0</v>
      </c>
      <c r="LU15" s="15">
        <f t="shared" si="92"/>
        <v>0</v>
      </c>
      <c r="LV15" s="15">
        <f t="shared" si="92"/>
        <v>0</v>
      </c>
      <c r="LW15" s="15">
        <f t="shared" si="92"/>
        <v>0</v>
      </c>
      <c r="LX15" s="15">
        <f t="shared" si="92"/>
        <v>0</v>
      </c>
      <c r="LY15" s="15">
        <f t="shared" si="92"/>
        <v>0</v>
      </c>
      <c r="LZ15" s="15">
        <f t="shared" si="92"/>
        <v>0</v>
      </c>
      <c r="MB15" s="15">
        <f t="shared" si="132"/>
        <v>3276839148.0465183</v>
      </c>
      <c r="MC15" s="15">
        <f t="shared" si="93"/>
        <v>3276839148.0465183</v>
      </c>
      <c r="MD15" s="15">
        <f t="shared" si="93"/>
        <v>3276839148.0465183</v>
      </c>
      <c r="ME15" s="15">
        <f t="shared" si="93"/>
        <v>3276839148.0465183</v>
      </c>
      <c r="MF15" s="15">
        <f t="shared" si="93"/>
        <v>3276839148.0465183</v>
      </c>
      <c r="MG15" s="15">
        <f t="shared" si="93"/>
        <v>3276839148.0465183</v>
      </c>
      <c r="MH15" s="15">
        <f t="shared" si="93"/>
        <v>3276839148.0465183</v>
      </c>
      <c r="MI15" s="15">
        <f t="shared" si="93"/>
        <v>3276839148.0465183</v>
      </c>
      <c r="MJ15" s="15">
        <f t="shared" si="93"/>
        <v>3276839148.0465183</v>
      </c>
      <c r="MK15" s="15">
        <f t="shared" si="93"/>
        <v>3276839148.0465183</v>
      </c>
      <c r="ML15" s="15">
        <f t="shared" si="93"/>
        <v>3276839148.0465183</v>
      </c>
      <c r="MM15" s="15">
        <f t="shared" si="93"/>
        <v>3276839148.0465183</v>
      </c>
      <c r="MN15" s="15">
        <f t="shared" si="93"/>
        <v>0</v>
      </c>
      <c r="MO15" s="15">
        <f t="shared" si="93"/>
        <v>0</v>
      </c>
      <c r="MP15" s="15">
        <f t="shared" si="93"/>
        <v>0</v>
      </c>
      <c r="MQ15" s="15">
        <f t="shared" si="93"/>
        <v>0</v>
      </c>
      <c r="MR15" s="15">
        <f t="shared" si="93"/>
        <v>0</v>
      </c>
      <c r="MS15" s="15">
        <f t="shared" si="94"/>
        <v>0</v>
      </c>
      <c r="MT15" s="15">
        <f t="shared" si="94"/>
        <v>0</v>
      </c>
      <c r="MU15" s="15">
        <f t="shared" si="94"/>
        <v>0</v>
      </c>
      <c r="MV15" s="15">
        <f t="shared" si="94"/>
        <v>0</v>
      </c>
      <c r="MW15" s="15">
        <f t="shared" si="94"/>
        <v>0</v>
      </c>
      <c r="MX15" s="15">
        <f t="shared" si="94"/>
        <v>0</v>
      </c>
      <c r="MY15" s="15">
        <f t="shared" si="94"/>
        <v>0</v>
      </c>
      <c r="MZ15" s="15">
        <f t="shared" si="94"/>
        <v>0</v>
      </c>
      <c r="NA15" s="15">
        <f t="shared" si="94"/>
        <v>0</v>
      </c>
      <c r="NB15" s="15">
        <f t="shared" si="94"/>
        <v>0</v>
      </c>
      <c r="NC15" s="15">
        <f t="shared" si="94"/>
        <v>0</v>
      </c>
      <c r="ND15" s="15">
        <f t="shared" si="94"/>
        <v>0</v>
      </c>
      <c r="NE15" s="15">
        <f t="shared" si="94"/>
        <v>0</v>
      </c>
    </row>
    <row r="16" spans="1:369" outlineLevel="1" x14ac:dyDescent="0.25">
      <c r="B16" t="s">
        <v>347</v>
      </c>
      <c r="C16" s="495" t="s">
        <v>218</v>
      </c>
      <c r="D16" s="613" t="s">
        <v>166</v>
      </c>
      <c r="E16" s="467">
        <v>1</v>
      </c>
      <c r="F16" s="221"/>
      <c r="G16" s="457">
        <v>12</v>
      </c>
      <c r="H16" s="468">
        <f>(2500000000/$D$6)*1.04</f>
        <v>2600000000</v>
      </c>
      <c r="I16" s="457">
        <f t="shared" si="80"/>
        <v>2600000000</v>
      </c>
      <c r="J16" s="457">
        <f t="shared" si="95"/>
        <v>216666666.66666666</v>
      </c>
      <c r="K16" s="221"/>
      <c r="L16" s="457">
        <v>12</v>
      </c>
      <c r="M16" s="457">
        <f t="shared" si="96"/>
        <v>2600000000</v>
      </c>
      <c r="N16" s="617">
        <f t="shared" si="97"/>
        <v>2600000000</v>
      </c>
      <c r="O16" s="457">
        <f t="shared" si="98"/>
        <v>216666666.66666666</v>
      </c>
      <c r="P16" s="221"/>
      <c r="Q16" s="457">
        <v>12</v>
      </c>
      <c r="R16" s="457">
        <f t="shared" si="99"/>
        <v>2600000000</v>
      </c>
      <c r="S16" s="617">
        <f t="shared" si="100"/>
        <v>2600000000</v>
      </c>
      <c r="T16" s="457">
        <f t="shared" si="101"/>
        <v>216666666.66666666</v>
      </c>
      <c r="U16" s="221"/>
      <c r="V16" s="457">
        <v>12</v>
      </c>
      <c r="W16" s="457">
        <f t="shared" si="102"/>
        <v>2600000000</v>
      </c>
      <c r="X16" s="617">
        <f t="shared" si="103"/>
        <v>2600000000</v>
      </c>
      <c r="Y16" s="457">
        <f t="shared" si="104"/>
        <v>216666666.66666666</v>
      </c>
      <c r="Z16" s="221"/>
      <c r="AA16" s="457">
        <v>12</v>
      </c>
      <c r="AB16" s="457">
        <f t="shared" si="105"/>
        <v>2600000000</v>
      </c>
      <c r="AC16" s="617">
        <f t="shared" si="106"/>
        <v>2600000000</v>
      </c>
      <c r="AD16" s="457">
        <f t="shared" si="107"/>
        <v>216666666.66666666</v>
      </c>
      <c r="AE16" s="221"/>
      <c r="AF16" s="457">
        <v>12</v>
      </c>
      <c r="AG16" s="457">
        <f t="shared" si="108"/>
        <v>2600000000</v>
      </c>
      <c r="AH16" s="617">
        <f t="shared" si="109"/>
        <v>2600000000</v>
      </c>
      <c r="AI16" s="457">
        <f t="shared" si="110"/>
        <v>216666666.66666666</v>
      </c>
      <c r="AJ16" s="221"/>
      <c r="AK16" s="457">
        <v>12</v>
      </c>
      <c r="AL16" s="457">
        <f t="shared" si="111"/>
        <v>2600000000</v>
      </c>
      <c r="AM16" s="617">
        <f t="shared" si="112"/>
        <v>2600000000</v>
      </c>
      <c r="AN16" s="457">
        <f t="shared" si="113"/>
        <v>216666666.66666666</v>
      </c>
      <c r="AO16" s="221"/>
      <c r="AP16" s="457">
        <v>12</v>
      </c>
      <c r="AQ16" s="457">
        <f t="shared" si="114"/>
        <v>2600000000</v>
      </c>
      <c r="AR16" s="617">
        <f t="shared" si="115"/>
        <v>2600000000</v>
      </c>
      <c r="AS16" s="457">
        <f t="shared" si="116"/>
        <v>216666666.66666666</v>
      </c>
      <c r="AT16" s="221"/>
      <c r="AU16" s="457">
        <v>12</v>
      </c>
      <c r="AV16" s="457">
        <f t="shared" si="117"/>
        <v>2600000000</v>
      </c>
      <c r="AW16" s="617">
        <f t="shared" si="118"/>
        <v>2600000000</v>
      </c>
      <c r="AX16" s="457">
        <f t="shared" si="119"/>
        <v>216666666.66666666</v>
      </c>
      <c r="AY16" s="221"/>
      <c r="AZ16" s="457">
        <v>12</v>
      </c>
      <c r="BA16" s="457">
        <f t="shared" si="120"/>
        <v>2600000000</v>
      </c>
      <c r="BB16" s="617">
        <f t="shared" si="121"/>
        <v>2600000000</v>
      </c>
      <c r="BC16" s="457">
        <f t="shared" si="122"/>
        <v>216666666.66666666</v>
      </c>
      <c r="BD16" s="221"/>
      <c r="BF16" t="s">
        <v>547</v>
      </c>
      <c r="BG16" t="s">
        <v>336</v>
      </c>
      <c r="BI16" s="15">
        <f t="shared" si="123"/>
        <v>216666666.66666666</v>
      </c>
      <c r="BJ16" s="15">
        <f t="shared" si="81"/>
        <v>216666666.66666666</v>
      </c>
      <c r="BK16" s="15">
        <f t="shared" si="81"/>
        <v>216666666.66666666</v>
      </c>
      <c r="BL16" s="15">
        <f t="shared" si="81"/>
        <v>216666666.66666666</v>
      </c>
      <c r="BM16" s="15">
        <f t="shared" si="81"/>
        <v>216666666.66666666</v>
      </c>
      <c r="BN16" s="15">
        <f t="shared" si="81"/>
        <v>216666666.66666666</v>
      </c>
      <c r="BO16" s="15">
        <f t="shared" si="81"/>
        <v>216666666.66666666</v>
      </c>
      <c r="BP16" s="15">
        <f t="shared" si="81"/>
        <v>216666666.66666666</v>
      </c>
      <c r="BQ16" s="15">
        <f t="shared" si="81"/>
        <v>216666666.66666666</v>
      </c>
      <c r="BR16" s="15">
        <f t="shared" si="81"/>
        <v>216666666.66666666</v>
      </c>
      <c r="BS16" s="15">
        <f t="shared" si="81"/>
        <v>216666666.66666666</v>
      </c>
      <c r="BT16" s="15">
        <f t="shared" si="81"/>
        <v>216666666.66666666</v>
      </c>
      <c r="BU16" s="15">
        <f t="shared" si="81"/>
        <v>0</v>
      </c>
      <c r="BV16" s="15">
        <f t="shared" si="81"/>
        <v>0</v>
      </c>
      <c r="BW16" s="15">
        <f t="shared" si="81"/>
        <v>0</v>
      </c>
      <c r="BX16" s="15">
        <f t="shared" si="81"/>
        <v>0</v>
      </c>
      <c r="BY16" s="15">
        <f t="shared" si="81"/>
        <v>0</v>
      </c>
      <c r="BZ16" s="15">
        <f t="shared" si="81"/>
        <v>0</v>
      </c>
      <c r="CA16" s="15">
        <f t="shared" si="81"/>
        <v>0</v>
      </c>
      <c r="CB16" s="15">
        <f t="shared" si="81"/>
        <v>0</v>
      </c>
      <c r="CC16" s="15">
        <f t="shared" si="81"/>
        <v>0</v>
      </c>
      <c r="CD16" s="15">
        <f t="shared" si="81"/>
        <v>0</v>
      </c>
      <c r="CE16" s="15">
        <f t="shared" si="81"/>
        <v>0</v>
      </c>
      <c r="CF16" s="15">
        <f t="shared" si="81"/>
        <v>0</v>
      </c>
      <c r="CG16" s="15">
        <f t="shared" si="81"/>
        <v>0</v>
      </c>
      <c r="CH16" s="15">
        <f t="shared" si="81"/>
        <v>0</v>
      </c>
      <c r="CI16" s="15">
        <f t="shared" si="81"/>
        <v>0</v>
      </c>
      <c r="CJ16" s="15">
        <f t="shared" si="81"/>
        <v>0</v>
      </c>
      <c r="CK16" s="15">
        <f t="shared" si="81"/>
        <v>0</v>
      </c>
      <c r="CL16" s="15">
        <f t="shared" si="81"/>
        <v>0</v>
      </c>
      <c r="CN16" s="15">
        <f t="shared" si="124"/>
        <v>216666666.66666666</v>
      </c>
      <c r="CO16" s="15">
        <f t="shared" si="82"/>
        <v>216666666.66666666</v>
      </c>
      <c r="CP16" s="15">
        <f t="shared" si="82"/>
        <v>216666666.66666666</v>
      </c>
      <c r="CQ16" s="15">
        <f t="shared" si="82"/>
        <v>216666666.66666666</v>
      </c>
      <c r="CR16" s="15">
        <f t="shared" si="82"/>
        <v>216666666.66666666</v>
      </c>
      <c r="CS16" s="15">
        <f t="shared" si="82"/>
        <v>216666666.66666666</v>
      </c>
      <c r="CT16" s="15">
        <f t="shared" si="82"/>
        <v>216666666.66666666</v>
      </c>
      <c r="CU16" s="15">
        <f t="shared" si="82"/>
        <v>216666666.66666666</v>
      </c>
      <c r="CV16" s="15">
        <f t="shared" si="82"/>
        <v>216666666.66666666</v>
      </c>
      <c r="CW16" s="15">
        <f t="shared" si="82"/>
        <v>216666666.66666666</v>
      </c>
      <c r="CX16" s="15">
        <f t="shared" si="82"/>
        <v>216666666.66666666</v>
      </c>
      <c r="CY16" s="15">
        <f t="shared" si="82"/>
        <v>216666666.66666666</v>
      </c>
      <c r="CZ16" s="15">
        <f t="shared" si="82"/>
        <v>0</v>
      </c>
      <c r="DA16" s="15">
        <f t="shared" si="82"/>
        <v>0</v>
      </c>
      <c r="DB16" s="15">
        <f t="shared" si="82"/>
        <v>0</v>
      </c>
      <c r="DC16" s="15">
        <f t="shared" si="82"/>
        <v>0</v>
      </c>
      <c r="DD16" s="15">
        <f t="shared" si="82"/>
        <v>0</v>
      </c>
      <c r="DE16" s="15">
        <f t="shared" si="82"/>
        <v>0</v>
      </c>
      <c r="DF16" s="15">
        <f t="shared" si="82"/>
        <v>0</v>
      </c>
      <c r="DG16" s="15">
        <f t="shared" si="82"/>
        <v>0</v>
      </c>
      <c r="DH16" s="15">
        <f t="shared" si="82"/>
        <v>0</v>
      </c>
      <c r="DI16" s="15">
        <f t="shared" si="82"/>
        <v>0</v>
      </c>
      <c r="DJ16" s="15">
        <f t="shared" si="82"/>
        <v>0</v>
      </c>
      <c r="DK16" s="15">
        <f t="shared" si="82"/>
        <v>0</v>
      </c>
      <c r="DL16" s="15">
        <f t="shared" si="82"/>
        <v>0</v>
      </c>
      <c r="DM16" s="15">
        <f t="shared" si="82"/>
        <v>0</v>
      </c>
      <c r="DN16" s="15">
        <f t="shared" si="82"/>
        <v>0</v>
      </c>
      <c r="DO16" s="15">
        <f t="shared" si="82"/>
        <v>0</v>
      </c>
      <c r="DP16" s="15">
        <f t="shared" si="82"/>
        <v>0</v>
      </c>
      <c r="DQ16" s="15">
        <f t="shared" si="82"/>
        <v>0</v>
      </c>
      <c r="DS16" s="15">
        <f t="shared" si="125"/>
        <v>216666666.66666666</v>
      </c>
      <c r="DT16" s="15">
        <f t="shared" si="83"/>
        <v>216666666.66666666</v>
      </c>
      <c r="DU16" s="15">
        <f t="shared" si="83"/>
        <v>216666666.66666666</v>
      </c>
      <c r="DV16" s="15">
        <f t="shared" si="83"/>
        <v>216666666.66666666</v>
      </c>
      <c r="DW16" s="15">
        <f t="shared" si="83"/>
        <v>216666666.66666666</v>
      </c>
      <c r="DX16" s="15">
        <f t="shared" si="83"/>
        <v>216666666.66666666</v>
      </c>
      <c r="DY16" s="15">
        <f t="shared" si="83"/>
        <v>216666666.66666666</v>
      </c>
      <c r="DZ16" s="15">
        <f t="shared" si="83"/>
        <v>216666666.66666666</v>
      </c>
      <c r="EA16" s="15">
        <f t="shared" si="83"/>
        <v>216666666.66666666</v>
      </c>
      <c r="EB16" s="15">
        <f t="shared" si="83"/>
        <v>216666666.66666666</v>
      </c>
      <c r="EC16" s="15">
        <f t="shared" si="83"/>
        <v>216666666.66666666</v>
      </c>
      <c r="ED16" s="15">
        <f t="shared" si="83"/>
        <v>216666666.66666666</v>
      </c>
      <c r="EE16" s="15">
        <f t="shared" si="83"/>
        <v>0</v>
      </c>
      <c r="EF16" s="15">
        <f t="shared" si="83"/>
        <v>0</v>
      </c>
      <c r="EG16" s="15">
        <f t="shared" si="83"/>
        <v>0</v>
      </c>
      <c r="EH16" s="15">
        <f t="shared" si="83"/>
        <v>0</v>
      </c>
      <c r="EI16" s="15">
        <f t="shared" si="83"/>
        <v>0</v>
      </c>
      <c r="EJ16" s="15">
        <f t="shared" si="84"/>
        <v>0</v>
      </c>
      <c r="EK16" s="15">
        <f t="shared" si="84"/>
        <v>0</v>
      </c>
      <c r="EL16" s="15">
        <f t="shared" si="84"/>
        <v>0</v>
      </c>
      <c r="EM16" s="15">
        <f t="shared" si="84"/>
        <v>0</v>
      </c>
      <c r="EN16" s="15">
        <f t="shared" si="84"/>
        <v>0</v>
      </c>
      <c r="EO16" s="15">
        <f t="shared" si="84"/>
        <v>0</v>
      </c>
      <c r="EP16" s="15">
        <f t="shared" si="84"/>
        <v>0</v>
      </c>
      <c r="EQ16" s="15">
        <f t="shared" si="84"/>
        <v>0</v>
      </c>
      <c r="ER16" s="15">
        <f t="shared" si="84"/>
        <v>0</v>
      </c>
      <c r="ES16" s="15">
        <f t="shared" si="84"/>
        <v>0</v>
      </c>
      <c r="ET16" s="15">
        <f t="shared" si="84"/>
        <v>0</v>
      </c>
      <c r="EU16" s="15">
        <f t="shared" si="84"/>
        <v>0</v>
      </c>
      <c r="EV16" s="15">
        <f t="shared" si="84"/>
        <v>0</v>
      </c>
      <c r="EX16" s="15">
        <f t="shared" si="126"/>
        <v>216666666.66666666</v>
      </c>
      <c r="EY16" s="15">
        <f t="shared" si="85"/>
        <v>216666666.66666666</v>
      </c>
      <c r="EZ16" s="15">
        <f t="shared" si="85"/>
        <v>216666666.66666666</v>
      </c>
      <c r="FA16" s="15">
        <f t="shared" si="85"/>
        <v>216666666.66666666</v>
      </c>
      <c r="FB16" s="15">
        <f t="shared" si="85"/>
        <v>216666666.66666666</v>
      </c>
      <c r="FC16" s="15">
        <f t="shared" si="85"/>
        <v>216666666.66666666</v>
      </c>
      <c r="FD16" s="15">
        <f t="shared" si="85"/>
        <v>216666666.66666666</v>
      </c>
      <c r="FE16" s="15">
        <f t="shared" si="85"/>
        <v>216666666.66666666</v>
      </c>
      <c r="FF16" s="15">
        <f t="shared" si="85"/>
        <v>216666666.66666666</v>
      </c>
      <c r="FG16" s="15">
        <f t="shared" si="85"/>
        <v>216666666.66666666</v>
      </c>
      <c r="FH16" s="15">
        <f t="shared" si="85"/>
        <v>216666666.66666666</v>
      </c>
      <c r="FI16" s="15">
        <f t="shared" si="85"/>
        <v>216666666.66666666</v>
      </c>
      <c r="FJ16" s="15">
        <f t="shared" si="85"/>
        <v>0</v>
      </c>
      <c r="FK16" s="15">
        <f t="shared" si="85"/>
        <v>0</v>
      </c>
      <c r="FL16" s="15">
        <f t="shared" si="85"/>
        <v>0</v>
      </c>
      <c r="FM16" s="15">
        <f t="shared" si="85"/>
        <v>0</v>
      </c>
      <c r="FN16" s="15">
        <f t="shared" si="85"/>
        <v>0</v>
      </c>
      <c r="FO16" s="15">
        <f t="shared" si="85"/>
        <v>0</v>
      </c>
      <c r="FP16" s="15">
        <f t="shared" si="85"/>
        <v>0</v>
      </c>
      <c r="FQ16" s="15">
        <f t="shared" si="85"/>
        <v>0</v>
      </c>
      <c r="FR16" s="15">
        <f t="shared" si="85"/>
        <v>0</v>
      </c>
      <c r="FS16" s="15">
        <f t="shared" si="85"/>
        <v>0</v>
      </c>
      <c r="FT16" s="15">
        <f t="shared" si="85"/>
        <v>0</v>
      </c>
      <c r="FU16" s="15">
        <f t="shared" si="85"/>
        <v>0</v>
      </c>
      <c r="FV16" s="15">
        <f t="shared" ref="FV16:GA16" si="133">IF($V16&gt;=FV$8,$Y16,0)</f>
        <v>0</v>
      </c>
      <c r="FW16" s="15">
        <f t="shared" si="133"/>
        <v>0</v>
      </c>
      <c r="FX16" s="15">
        <f t="shared" si="133"/>
        <v>0</v>
      </c>
      <c r="FY16" s="15">
        <f t="shared" si="133"/>
        <v>0</v>
      </c>
      <c r="FZ16" s="15">
        <f t="shared" si="133"/>
        <v>0</v>
      </c>
      <c r="GA16" s="15">
        <f t="shared" si="133"/>
        <v>0</v>
      </c>
      <c r="GC16" s="15">
        <f t="shared" si="127"/>
        <v>216666666.66666666</v>
      </c>
      <c r="GD16" s="15">
        <f t="shared" si="86"/>
        <v>216666666.66666666</v>
      </c>
      <c r="GE16" s="15">
        <f t="shared" si="86"/>
        <v>216666666.66666666</v>
      </c>
      <c r="GF16" s="15">
        <f t="shared" si="86"/>
        <v>216666666.66666666</v>
      </c>
      <c r="GG16" s="15">
        <f t="shared" si="86"/>
        <v>216666666.66666666</v>
      </c>
      <c r="GH16" s="15">
        <f t="shared" si="86"/>
        <v>216666666.66666666</v>
      </c>
      <c r="GI16" s="15">
        <f t="shared" si="86"/>
        <v>216666666.66666666</v>
      </c>
      <c r="GJ16" s="15">
        <f t="shared" si="86"/>
        <v>216666666.66666666</v>
      </c>
      <c r="GK16" s="15">
        <f t="shared" si="86"/>
        <v>216666666.66666666</v>
      </c>
      <c r="GL16" s="15">
        <f t="shared" si="86"/>
        <v>216666666.66666666</v>
      </c>
      <c r="GM16" s="15">
        <f t="shared" si="86"/>
        <v>216666666.66666666</v>
      </c>
      <c r="GN16" s="15">
        <f t="shared" si="86"/>
        <v>216666666.66666666</v>
      </c>
      <c r="GO16" s="15">
        <f t="shared" si="86"/>
        <v>0</v>
      </c>
      <c r="GP16" s="15">
        <f t="shared" si="86"/>
        <v>0</v>
      </c>
      <c r="GQ16" s="15">
        <f t="shared" si="86"/>
        <v>0</v>
      </c>
      <c r="GR16" s="15">
        <f t="shared" si="86"/>
        <v>0</v>
      </c>
      <c r="GS16" s="15">
        <f t="shared" si="86"/>
        <v>0</v>
      </c>
      <c r="GT16" s="15">
        <f t="shared" si="86"/>
        <v>0</v>
      </c>
      <c r="GU16" s="15">
        <f t="shared" si="86"/>
        <v>0</v>
      </c>
      <c r="GV16" s="15">
        <f t="shared" si="86"/>
        <v>0</v>
      </c>
      <c r="GW16" s="15">
        <f t="shared" si="86"/>
        <v>0</v>
      </c>
      <c r="GX16" s="15">
        <f t="shared" si="86"/>
        <v>0</v>
      </c>
      <c r="GY16" s="15">
        <f t="shared" si="86"/>
        <v>0</v>
      </c>
      <c r="GZ16" s="15">
        <f t="shared" si="86"/>
        <v>0</v>
      </c>
      <c r="HA16" s="15">
        <f t="shared" si="86"/>
        <v>0</v>
      </c>
      <c r="HB16" s="15">
        <f t="shared" si="86"/>
        <v>0</v>
      </c>
      <c r="HC16" s="15">
        <f t="shared" si="86"/>
        <v>0</v>
      </c>
      <c r="HD16" s="15">
        <f t="shared" si="86"/>
        <v>0</v>
      </c>
      <c r="HE16" s="15">
        <f t="shared" si="86"/>
        <v>0</v>
      </c>
      <c r="HF16" s="15">
        <f t="shared" si="86"/>
        <v>0</v>
      </c>
      <c r="HH16" s="15">
        <f t="shared" si="128"/>
        <v>216666666.66666666</v>
      </c>
      <c r="HI16" s="15">
        <f t="shared" si="87"/>
        <v>216666666.66666666</v>
      </c>
      <c r="HJ16" s="15">
        <f t="shared" si="87"/>
        <v>216666666.66666666</v>
      </c>
      <c r="HK16" s="15">
        <f t="shared" si="87"/>
        <v>216666666.66666666</v>
      </c>
      <c r="HL16" s="15">
        <f t="shared" si="87"/>
        <v>216666666.66666666</v>
      </c>
      <c r="HM16" s="15">
        <f t="shared" si="87"/>
        <v>216666666.66666666</v>
      </c>
      <c r="HN16" s="15">
        <f t="shared" si="87"/>
        <v>216666666.66666666</v>
      </c>
      <c r="HO16" s="15">
        <f t="shared" si="87"/>
        <v>216666666.66666666</v>
      </c>
      <c r="HP16" s="15">
        <f t="shared" si="87"/>
        <v>216666666.66666666</v>
      </c>
      <c r="HQ16" s="15">
        <f t="shared" si="87"/>
        <v>216666666.66666666</v>
      </c>
      <c r="HR16" s="15">
        <f t="shared" si="87"/>
        <v>216666666.66666666</v>
      </c>
      <c r="HS16" s="15">
        <f t="shared" si="87"/>
        <v>216666666.66666666</v>
      </c>
      <c r="HT16" s="15">
        <f t="shared" si="87"/>
        <v>0</v>
      </c>
      <c r="HU16" s="15">
        <f t="shared" si="87"/>
        <v>0</v>
      </c>
      <c r="HV16" s="15">
        <f t="shared" si="87"/>
        <v>0</v>
      </c>
      <c r="HW16" s="15">
        <f t="shared" si="87"/>
        <v>0</v>
      </c>
      <c r="HX16" s="15">
        <f t="shared" si="87"/>
        <v>0</v>
      </c>
      <c r="HY16" s="15">
        <f t="shared" si="87"/>
        <v>0</v>
      </c>
      <c r="HZ16" s="15">
        <f t="shared" si="87"/>
        <v>0</v>
      </c>
      <c r="IA16" s="15">
        <f t="shared" si="87"/>
        <v>0</v>
      </c>
      <c r="IB16" s="15">
        <f t="shared" si="87"/>
        <v>0</v>
      </c>
      <c r="IC16" s="15">
        <f t="shared" si="87"/>
        <v>0</v>
      </c>
      <c r="ID16" s="15">
        <f t="shared" si="87"/>
        <v>0</v>
      </c>
      <c r="IE16" s="15">
        <f t="shared" si="87"/>
        <v>0</v>
      </c>
      <c r="IF16" s="15">
        <f t="shared" si="87"/>
        <v>0</v>
      </c>
      <c r="IG16" s="15">
        <f t="shared" si="87"/>
        <v>0</v>
      </c>
      <c r="IH16" s="15">
        <f t="shared" si="87"/>
        <v>0</v>
      </c>
      <c r="II16" s="15">
        <f t="shared" si="87"/>
        <v>0</v>
      </c>
      <c r="IJ16" s="15">
        <f t="shared" si="87"/>
        <v>0</v>
      </c>
      <c r="IK16" s="15">
        <f t="shared" si="87"/>
        <v>0</v>
      </c>
      <c r="IM16" s="15">
        <f t="shared" si="129"/>
        <v>216666666.66666666</v>
      </c>
      <c r="IN16" s="15">
        <f t="shared" si="88"/>
        <v>216666666.66666666</v>
      </c>
      <c r="IO16" s="15">
        <f t="shared" si="88"/>
        <v>216666666.66666666</v>
      </c>
      <c r="IP16" s="15">
        <f t="shared" si="88"/>
        <v>216666666.66666666</v>
      </c>
      <c r="IQ16" s="15">
        <f t="shared" si="88"/>
        <v>216666666.66666666</v>
      </c>
      <c r="IR16" s="15">
        <f t="shared" si="88"/>
        <v>216666666.66666666</v>
      </c>
      <c r="IS16" s="15">
        <f t="shared" si="88"/>
        <v>216666666.66666666</v>
      </c>
      <c r="IT16" s="15">
        <f t="shared" si="88"/>
        <v>216666666.66666666</v>
      </c>
      <c r="IU16" s="15">
        <f t="shared" si="88"/>
        <v>216666666.66666666</v>
      </c>
      <c r="IV16" s="15">
        <f t="shared" si="88"/>
        <v>216666666.66666666</v>
      </c>
      <c r="IW16" s="15">
        <f t="shared" si="88"/>
        <v>216666666.66666666</v>
      </c>
      <c r="IX16" s="15">
        <f t="shared" si="88"/>
        <v>216666666.66666666</v>
      </c>
      <c r="IY16" s="15">
        <f t="shared" si="88"/>
        <v>0</v>
      </c>
      <c r="IZ16" s="15">
        <f t="shared" si="88"/>
        <v>0</v>
      </c>
      <c r="JA16" s="15">
        <f t="shared" si="88"/>
        <v>0</v>
      </c>
      <c r="JB16" s="15">
        <f t="shared" si="88"/>
        <v>0</v>
      </c>
      <c r="JC16" s="15">
        <f t="shared" si="88"/>
        <v>0</v>
      </c>
      <c r="JD16" s="15">
        <f t="shared" si="89"/>
        <v>0</v>
      </c>
      <c r="JE16" s="15">
        <f t="shared" si="89"/>
        <v>0</v>
      </c>
      <c r="JF16" s="15">
        <f t="shared" si="89"/>
        <v>0</v>
      </c>
      <c r="JG16" s="15">
        <f t="shared" si="89"/>
        <v>0</v>
      </c>
      <c r="JH16" s="15">
        <f t="shared" si="89"/>
        <v>0</v>
      </c>
      <c r="JI16" s="15">
        <f t="shared" si="89"/>
        <v>0</v>
      </c>
      <c r="JJ16" s="15">
        <f t="shared" si="89"/>
        <v>0</v>
      </c>
      <c r="JK16" s="15">
        <f t="shared" si="89"/>
        <v>0</v>
      </c>
      <c r="JL16" s="15">
        <f t="shared" si="89"/>
        <v>0</v>
      </c>
      <c r="JM16" s="15">
        <f t="shared" si="89"/>
        <v>0</v>
      </c>
      <c r="JN16" s="15">
        <f t="shared" si="89"/>
        <v>0</v>
      </c>
      <c r="JO16" s="15">
        <f t="shared" si="89"/>
        <v>0</v>
      </c>
      <c r="JP16" s="15">
        <f t="shared" si="89"/>
        <v>0</v>
      </c>
      <c r="JR16" s="15">
        <f t="shared" si="130"/>
        <v>216666666.66666666</v>
      </c>
      <c r="JS16" s="15">
        <f t="shared" si="90"/>
        <v>216666666.66666666</v>
      </c>
      <c r="JT16" s="15">
        <f t="shared" si="90"/>
        <v>216666666.66666666</v>
      </c>
      <c r="JU16" s="15">
        <f t="shared" si="90"/>
        <v>216666666.66666666</v>
      </c>
      <c r="JV16" s="15">
        <f t="shared" si="90"/>
        <v>216666666.66666666</v>
      </c>
      <c r="JW16" s="15">
        <f t="shared" si="90"/>
        <v>216666666.66666666</v>
      </c>
      <c r="JX16" s="15">
        <f t="shared" si="90"/>
        <v>216666666.66666666</v>
      </c>
      <c r="JY16" s="15">
        <f t="shared" si="90"/>
        <v>216666666.66666666</v>
      </c>
      <c r="JZ16" s="15">
        <f t="shared" si="90"/>
        <v>216666666.66666666</v>
      </c>
      <c r="KA16" s="15">
        <f t="shared" si="90"/>
        <v>216666666.66666666</v>
      </c>
      <c r="KB16" s="15">
        <f t="shared" si="90"/>
        <v>216666666.66666666</v>
      </c>
      <c r="KC16" s="15">
        <f t="shared" si="90"/>
        <v>216666666.66666666</v>
      </c>
      <c r="KD16" s="15">
        <f t="shared" si="90"/>
        <v>0</v>
      </c>
      <c r="KE16" s="15">
        <f t="shared" si="90"/>
        <v>0</v>
      </c>
      <c r="KF16" s="15">
        <f t="shared" si="90"/>
        <v>0</v>
      </c>
      <c r="KG16" s="15">
        <f t="shared" si="90"/>
        <v>0</v>
      </c>
      <c r="KH16" s="15">
        <f t="shared" si="90"/>
        <v>0</v>
      </c>
      <c r="KI16" s="15">
        <f t="shared" si="90"/>
        <v>0</v>
      </c>
      <c r="KJ16" s="15">
        <f t="shared" si="90"/>
        <v>0</v>
      </c>
      <c r="KK16" s="15">
        <f t="shared" si="90"/>
        <v>0</v>
      </c>
      <c r="KL16" s="15">
        <f t="shared" si="90"/>
        <v>0</v>
      </c>
      <c r="KM16" s="15">
        <f t="shared" si="90"/>
        <v>0</v>
      </c>
      <c r="KN16" s="15">
        <f t="shared" si="90"/>
        <v>0</v>
      </c>
      <c r="KO16" s="15">
        <f t="shared" si="90"/>
        <v>0</v>
      </c>
      <c r="KP16" s="15">
        <f t="shared" si="90"/>
        <v>0</v>
      </c>
      <c r="KQ16" s="15">
        <f t="shared" si="90"/>
        <v>0</v>
      </c>
      <c r="KR16" s="15">
        <f t="shared" si="90"/>
        <v>0</v>
      </c>
      <c r="KS16" s="15">
        <f t="shared" si="90"/>
        <v>0</v>
      </c>
      <c r="KT16" s="15">
        <f t="shared" si="90"/>
        <v>0</v>
      </c>
      <c r="KU16" s="15">
        <f t="shared" si="90"/>
        <v>0</v>
      </c>
      <c r="KW16" s="15">
        <f t="shared" si="131"/>
        <v>216666666.66666666</v>
      </c>
      <c r="KX16" s="15">
        <f t="shared" si="91"/>
        <v>216666666.66666666</v>
      </c>
      <c r="KY16" s="15">
        <f t="shared" si="91"/>
        <v>216666666.66666666</v>
      </c>
      <c r="KZ16" s="15">
        <f t="shared" si="91"/>
        <v>216666666.66666666</v>
      </c>
      <c r="LA16" s="15">
        <f t="shared" si="91"/>
        <v>216666666.66666666</v>
      </c>
      <c r="LB16" s="15">
        <f t="shared" si="91"/>
        <v>216666666.66666666</v>
      </c>
      <c r="LC16" s="15">
        <f t="shared" si="91"/>
        <v>216666666.66666666</v>
      </c>
      <c r="LD16" s="15">
        <f t="shared" si="91"/>
        <v>216666666.66666666</v>
      </c>
      <c r="LE16" s="15">
        <f t="shared" si="91"/>
        <v>216666666.66666666</v>
      </c>
      <c r="LF16" s="15">
        <f t="shared" si="91"/>
        <v>216666666.66666666</v>
      </c>
      <c r="LG16" s="15">
        <f t="shared" si="91"/>
        <v>216666666.66666666</v>
      </c>
      <c r="LH16" s="15">
        <f t="shared" si="91"/>
        <v>216666666.66666666</v>
      </c>
      <c r="LI16" s="15">
        <f t="shared" si="91"/>
        <v>0</v>
      </c>
      <c r="LJ16" s="15">
        <f t="shared" si="91"/>
        <v>0</v>
      </c>
      <c r="LK16" s="15">
        <f t="shared" si="91"/>
        <v>0</v>
      </c>
      <c r="LL16" s="15">
        <f t="shared" si="91"/>
        <v>0</v>
      </c>
      <c r="LM16" s="15">
        <f t="shared" si="91"/>
        <v>0</v>
      </c>
      <c r="LN16" s="15">
        <f t="shared" si="92"/>
        <v>0</v>
      </c>
      <c r="LO16" s="15">
        <f t="shared" si="92"/>
        <v>0</v>
      </c>
      <c r="LP16" s="15">
        <f t="shared" si="92"/>
        <v>0</v>
      </c>
      <c r="LQ16" s="15">
        <f t="shared" si="92"/>
        <v>0</v>
      </c>
      <c r="LR16" s="15">
        <f t="shared" si="92"/>
        <v>0</v>
      </c>
      <c r="LS16" s="15">
        <f t="shared" si="92"/>
        <v>0</v>
      </c>
      <c r="LT16" s="15">
        <f t="shared" si="92"/>
        <v>0</v>
      </c>
      <c r="LU16" s="15">
        <f t="shared" si="92"/>
        <v>0</v>
      </c>
      <c r="LV16" s="15">
        <f t="shared" si="92"/>
        <v>0</v>
      </c>
      <c r="LW16" s="15">
        <f t="shared" si="92"/>
        <v>0</v>
      </c>
      <c r="LX16" s="15">
        <f t="shared" si="92"/>
        <v>0</v>
      </c>
      <c r="LY16" s="15">
        <f t="shared" si="92"/>
        <v>0</v>
      </c>
      <c r="LZ16" s="15">
        <f t="shared" si="92"/>
        <v>0</v>
      </c>
      <c r="MB16" s="15">
        <f t="shared" si="132"/>
        <v>216666666.66666666</v>
      </c>
      <c r="MC16" s="15">
        <f t="shared" si="93"/>
        <v>216666666.66666666</v>
      </c>
      <c r="MD16" s="15">
        <f t="shared" si="93"/>
        <v>216666666.66666666</v>
      </c>
      <c r="ME16" s="15">
        <f t="shared" si="93"/>
        <v>216666666.66666666</v>
      </c>
      <c r="MF16" s="15">
        <f t="shared" si="93"/>
        <v>216666666.66666666</v>
      </c>
      <c r="MG16" s="15">
        <f t="shared" si="93"/>
        <v>216666666.66666666</v>
      </c>
      <c r="MH16" s="15">
        <f t="shared" si="93"/>
        <v>216666666.66666666</v>
      </c>
      <c r="MI16" s="15">
        <f t="shared" si="93"/>
        <v>216666666.66666666</v>
      </c>
      <c r="MJ16" s="15">
        <f t="shared" si="93"/>
        <v>216666666.66666666</v>
      </c>
      <c r="MK16" s="15">
        <f t="shared" si="93"/>
        <v>216666666.66666666</v>
      </c>
      <c r="ML16" s="15">
        <f t="shared" si="93"/>
        <v>216666666.66666666</v>
      </c>
      <c r="MM16" s="15">
        <f t="shared" si="93"/>
        <v>216666666.66666666</v>
      </c>
      <c r="MN16" s="15">
        <f t="shared" si="93"/>
        <v>0</v>
      </c>
      <c r="MO16" s="15">
        <f t="shared" si="93"/>
        <v>0</v>
      </c>
      <c r="MP16" s="15">
        <f t="shared" si="93"/>
        <v>0</v>
      </c>
      <c r="MQ16" s="15">
        <f t="shared" si="93"/>
        <v>0</v>
      </c>
      <c r="MR16" s="15">
        <f t="shared" si="93"/>
        <v>0</v>
      </c>
      <c r="MS16" s="15">
        <f t="shared" si="94"/>
        <v>0</v>
      </c>
      <c r="MT16" s="15">
        <f t="shared" si="94"/>
        <v>0</v>
      </c>
      <c r="MU16" s="15">
        <f t="shared" si="94"/>
        <v>0</v>
      </c>
      <c r="MV16" s="15">
        <f t="shared" si="94"/>
        <v>0</v>
      </c>
      <c r="MW16" s="15">
        <f t="shared" si="94"/>
        <v>0</v>
      </c>
      <c r="MX16" s="15">
        <f t="shared" si="94"/>
        <v>0</v>
      </c>
      <c r="MY16" s="15">
        <f t="shared" si="94"/>
        <v>0</v>
      </c>
      <c r="MZ16" s="15">
        <f t="shared" si="94"/>
        <v>0</v>
      </c>
      <c r="NA16" s="15">
        <f t="shared" si="94"/>
        <v>0</v>
      </c>
      <c r="NB16" s="15">
        <f t="shared" si="94"/>
        <v>0</v>
      </c>
      <c r="NC16" s="15">
        <f t="shared" si="94"/>
        <v>0</v>
      </c>
      <c r="ND16" s="15">
        <f t="shared" si="94"/>
        <v>0</v>
      </c>
      <c r="NE16" s="15">
        <f t="shared" si="94"/>
        <v>0</v>
      </c>
    </row>
    <row r="17" spans="1:369" outlineLevel="1" x14ac:dyDescent="0.25">
      <c r="B17" t="s">
        <v>347</v>
      </c>
      <c r="C17" s="495" t="s">
        <v>219</v>
      </c>
      <c r="D17" s="613" t="s">
        <v>35</v>
      </c>
      <c r="E17" s="467">
        <v>1</v>
      </c>
      <c r="F17" s="221"/>
      <c r="G17" s="457">
        <v>12</v>
      </c>
      <c r="H17" s="468">
        <f>(8250000000/$D$6)*1.04</f>
        <v>8580000000</v>
      </c>
      <c r="I17" s="457">
        <f t="shared" si="80"/>
        <v>8580000000</v>
      </c>
      <c r="J17" s="457">
        <f t="shared" si="95"/>
        <v>715000000</v>
      </c>
      <c r="K17" s="221"/>
      <c r="L17" s="457">
        <v>12</v>
      </c>
      <c r="M17" s="457">
        <f t="shared" si="96"/>
        <v>8580000000</v>
      </c>
      <c r="N17" s="457">
        <f t="shared" si="97"/>
        <v>8580000000</v>
      </c>
      <c r="O17" s="457">
        <f t="shared" si="98"/>
        <v>715000000</v>
      </c>
      <c r="P17" s="221"/>
      <c r="Q17" s="457">
        <v>12</v>
      </c>
      <c r="R17" s="457">
        <f t="shared" si="99"/>
        <v>8580000000</v>
      </c>
      <c r="S17" s="457">
        <f t="shared" si="100"/>
        <v>8580000000</v>
      </c>
      <c r="T17" s="457">
        <f t="shared" si="101"/>
        <v>715000000</v>
      </c>
      <c r="U17" s="221"/>
      <c r="V17" s="457">
        <v>12</v>
      </c>
      <c r="W17" s="457">
        <f t="shared" si="102"/>
        <v>8580000000</v>
      </c>
      <c r="X17" s="457">
        <f t="shared" si="103"/>
        <v>8580000000</v>
      </c>
      <c r="Y17" s="457">
        <f t="shared" si="104"/>
        <v>715000000</v>
      </c>
      <c r="Z17" s="221"/>
      <c r="AA17" s="457">
        <v>12</v>
      </c>
      <c r="AB17" s="457">
        <f t="shared" si="105"/>
        <v>8580000000</v>
      </c>
      <c r="AC17" s="457">
        <f t="shared" si="106"/>
        <v>8580000000</v>
      </c>
      <c r="AD17" s="457">
        <f t="shared" si="107"/>
        <v>715000000</v>
      </c>
      <c r="AE17" s="221"/>
      <c r="AF17" s="457">
        <v>12</v>
      </c>
      <c r="AG17" s="457">
        <f t="shared" si="108"/>
        <v>8580000000</v>
      </c>
      <c r="AH17" s="457">
        <f t="shared" si="109"/>
        <v>8580000000</v>
      </c>
      <c r="AI17" s="457">
        <f t="shared" si="110"/>
        <v>715000000</v>
      </c>
      <c r="AJ17" s="221"/>
      <c r="AK17" s="457">
        <v>12</v>
      </c>
      <c r="AL17" s="457">
        <f t="shared" si="111"/>
        <v>8580000000</v>
      </c>
      <c r="AM17" s="457">
        <f t="shared" si="112"/>
        <v>8580000000</v>
      </c>
      <c r="AN17" s="457">
        <f t="shared" si="113"/>
        <v>715000000</v>
      </c>
      <c r="AO17" s="221"/>
      <c r="AP17" s="457">
        <v>12</v>
      </c>
      <c r="AQ17" s="457">
        <f t="shared" si="114"/>
        <v>8580000000</v>
      </c>
      <c r="AR17" s="457">
        <f t="shared" si="115"/>
        <v>8580000000</v>
      </c>
      <c r="AS17" s="457">
        <f t="shared" si="116"/>
        <v>715000000</v>
      </c>
      <c r="AT17" s="221"/>
      <c r="AU17" s="457">
        <v>12</v>
      </c>
      <c r="AV17" s="457">
        <f t="shared" si="117"/>
        <v>8580000000</v>
      </c>
      <c r="AW17" s="457">
        <f t="shared" si="118"/>
        <v>8580000000</v>
      </c>
      <c r="AX17" s="457">
        <f t="shared" si="119"/>
        <v>715000000</v>
      </c>
      <c r="AY17" s="221"/>
      <c r="AZ17" s="457">
        <v>12</v>
      </c>
      <c r="BA17" s="457">
        <f t="shared" si="120"/>
        <v>8580000000</v>
      </c>
      <c r="BB17" s="457">
        <f t="shared" si="121"/>
        <v>8580000000</v>
      </c>
      <c r="BC17" s="457">
        <f t="shared" si="122"/>
        <v>715000000</v>
      </c>
      <c r="BD17" s="221"/>
      <c r="BF17" t="s">
        <v>547</v>
      </c>
      <c r="BG17" t="s">
        <v>336</v>
      </c>
      <c r="BI17" s="15">
        <f t="shared" si="123"/>
        <v>715000000</v>
      </c>
      <c r="BJ17" s="15">
        <f t="shared" si="81"/>
        <v>715000000</v>
      </c>
      <c r="BK17" s="15">
        <f t="shared" si="81"/>
        <v>715000000</v>
      </c>
      <c r="BL17" s="15">
        <f t="shared" si="81"/>
        <v>715000000</v>
      </c>
      <c r="BM17" s="15">
        <f t="shared" si="81"/>
        <v>715000000</v>
      </c>
      <c r="BN17" s="15">
        <f t="shared" si="81"/>
        <v>715000000</v>
      </c>
      <c r="BO17" s="15">
        <f t="shared" si="81"/>
        <v>715000000</v>
      </c>
      <c r="BP17" s="15">
        <f t="shared" si="81"/>
        <v>715000000</v>
      </c>
      <c r="BQ17" s="15">
        <f t="shared" si="81"/>
        <v>715000000</v>
      </c>
      <c r="BR17" s="15">
        <f t="shared" si="81"/>
        <v>715000000</v>
      </c>
      <c r="BS17" s="15">
        <f t="shared" si="81"/>
        <v>715000000</v>
      </c>
      <c r="BT17" s="15">
        <f t="shared" si="81"/>
        <v>715000000</v>
      </c>
      <c r="BU17" s="15">
        <f t="shared" si="81"/>
        <v>0</v>
      </c>
      <c r="BV17" s="15">
        <f t="shared" si="81"/>
        <v>0</v>
      </c>
      <c r="BW17" s="15">
        <f t="shared" si="81"/>
        <v>0</v>
      </c>
      <c r="BX17" s="15">
        <f t="shared" si="81"/>
        <v>0</v>
      </c>
      <c r="BY17" s="15">
        <f t="shared" si="81"/>
        <v>0</v>
      </c>
      <c r="BZ17" s="15">
        <f t="shared" si="81"/>
        <v>0</v>
      </c>
      <c r="CA17" s="15">
        <f t="shared" si="81"/>
        <v>0</v>
      </c>
      <c r="CB17" s="15">
        <f t="shared" si="81"/>
        <v>0</v>
      </c>
      <c r="CC17" s="15">
        <f t="shared" si="81"/>
        <v>0</v>
      </c>
      <c r="CD17" s="15">
        <f t="shared" si="81"/>
        <v>0</v>
      </c>
      <c r="CE17" s="15">
        <f t="shared" si="81"/>
        <v>0</v>
      </c>
      <c r="CF17" s="15">
        <f t="shared" si="81"/>
        <v>0</v>
      </c>
      <c r="CG17" s="15">
        <f t="shared" si="81"/>
        <v>0</v>
      </c>
      <c r="CH17" s="15">
        <f t="shared" si="81"/>
        <v>0</v>
      </c>
      <c r="CI17" s="15">
        <f t="shared" si="81"/>
        <v>0</v>
      </c>
      <c r="CJ17" s="15">
        <f t="shared" si="81"/>
        <v>0</v>
      </c>
      <c r="CK17" s="15">
        <f t="shared" si="81"/>
        <v>0</v>
      </c>
      <c r="CL17" s="15">
        <f t="shared" si="81"/>
        <v>0</v>
      </c>
      <c r="CN17" s="15">
        <f t="shared" si="124"/>
        <v>715000000</v>
      </c>
      <c r="CO17" s="15">
        <f t="shared" si="82"/>
        <v>715000000</v>
      </c>
      <c r="CP17" s="15">
        <f t="shared" si="82"/>
        <v>715000000</v>
      </c>
      <c r="CQ17" s="15">
        <f t="shared" si="82"/>
        <v>715000000</v>
      </c>
      <c r="CR17" s="15">
        <f t="shared" si="82"/>
        <v>715000000</v>
      </c>
      <c r="CS17" s="15">
        <f t="shared" si="82"/>
        <v>715000000</v>
      </c>
      <c r="CT17" s="15">
        <f t="shared" si="82"/>
        <v>715000000</v>
      </c>
      <c r="CU17" s="15">
        <f t="shared" si="82"/>
        <v>715000000</v>
      </c>
      <c r="CV17" s="15">
        <f t="shared" si="82"/>
        <v>715000000</v>
      </c>
      <c r="CW17" s="15">
        <f t="shared" si="82"/>
        <v>715000000</v>
      </c>
      <c r="CX17" s="15">
        <f t="shared" si="82"/>
        <v>715000000</v>
      </c>
      <c r="CY17" s="15">
        <f t="shared" si="82"/>
        <v>715000000</v>
      </c>
      <c r="CZ17" s="15">
        <f t="shared" si="82"/>
        <v>0</v>
      </c>
      <c r="DA17" s="15">
        <f t="shared" si="82"/>
        <v>0</v>
      </c>
      <c r="DB17" s="15">
        <f t="shared" si="82"/>
        <v>0</v>
      </c>
      <c r="DC17" s="15">
        <f t="shared" si="82"/>
        <v>0</v>
      </c>
      <c r="DD17" s="15">
        <f t="shared" si="82"/>
        <v>0</v>
      </c>
      <c r="DE17" s="15">
        <f t="shared" si="82"/>
        <v>0</v>
      </c>
      <c r="DF17" s="15">
        <f t="shared" si="82"/>
        <v>0</v>
      </c>
      <c r="DG17" s="15">
        <f t="shared" si="82"/>
        <v>0</v>
      </c>
      <c r="DH17" s="15">
        <f t="shared" si="82"/>
        <v>0</v>
      </c>
      <c r="DI17" s="15">
        <f t="shared" si="82"/>
        <v>0</v>
      </c>
      <c r="DJ17" s="15">
        <f t="shared" si="82"/>
        <v>0</v>
      </c>
      <c r="DK17" s="15">
        <f t="shared" si="82"/>
        <v>0</v>
      </c>
      <c r="DL17" s="15">
        <f t="shared" si="82"/>
        <v>0</v>
      </c>
      <c r="DM17" s="15">
        <f t="shared" si="82"/>
        <v>0</v>
      </c>
      <c r="DN17" s="15">
        <f t="shared" si="82"/>
        <v>0</v>
      </c>
      <c r="DO17" s="15">
        <f t="shared" si="82"/>
        <v>0</v>
      </c>
      <c r="DP17" s="15">
        <f t="shared" si="82"/>
        <v>0</v>
      </c>
      <c r="DQ17" s="15">
        <f t="shared" si="82"/>
        <v>0</v>
      </c>
      <c r="DS17" s="15">
        <f t="shared" si="125"/>
        <v>715000000</v>
      </c>
      <c r="DT17" s="15">
        <f t="shared" si="83"/>
        <v>715000000</v>
      </c>
      <c r="DU17" s="15">
        <f t="shared" si="83"/>
        <v>715000000</v>
      </c>
      <c r="DV17" s="15">
        <f t="shared" si="83"/>
        <v>715000000</v>
      </c>
      <c r="DW17" s="15">
        <f t="shared" si="83"/>
        <v>715000000</v>
      </c>
      <c r="DX17" s="15">
        <f t="shared" si="83"/>
        <v>715000000</v>
      </c>
      <c r="DY17" s="15">
        <f t="shared" si="83"/>
        <v>715000000</v>
      </c>
      <c r="DZ17" s="15">
        <f t="shared" si="83"/>
        <v>715000000</v>
      </c>
      <c r="EA17" s="15">
        <f t="shared" si="83"/>
        <v>715000000</v>
      </c>
      <c r="EB17" s="15">
        <f t="shared" si="83"/>
        <v>715000000</v>
      </c>
      <c r="EC17" s="15">
        <f t="shared" si="83"/>
        <v>715000000</v>
      </c>
      <c r="ED17" s="15">
        <f t="shared" si="83"/>
        <v>715000000</v>
      </c>
      <c r="EE17" s="15">
        <f t="shared" si="83"/>
        <v>0</v>
      </c>
      <c r="EF17" s="15">
        <f t="shared" si="83"/>
        <v>0</v>
      </c>
      <c r="EG17" s="15">
        <f t="shared" si="83"/>
        <v>0</v>
      </c>
      <c r="EH17" s="15">
        <f t="shared" si="83"/>
        <v>0</v>
      </c>
      <c r="EI17" s="15">
        <f t="shared" si="83"/>
        <v>0</v>
      </c>
      <c r="EJ17" s="15">
        <f t="shared" si="84"/>
        <v>0</v>
      </c>
      <c r="EK17" s="15">
        <f t="shared" si="84"/>
        <v>0</v>
      </c>
      <c r="EL17" s="15">
        <f t="shared" si="84"/>
        <v>0</v>
      </c>
      <c r="EM17" s="15">
        <f t="shared" si="84"/>
        <v>0</v>
      </c>
      <c r="EN17" s="15">
        <f t="shared" si="84"/>
        <v>0</v>
      </c>
      <c r="EO17" s="15">
        <f t="shared" si="84"/>
        <v>0</v>
      </c>
      <c r="EP17" s="15">
        <f t="shared" si="84"/>
        <v>0</v>
      </c>
      <c r="EQ17" s="15">
        <f t="shared" si="84"/>
        <v>0</v>
      </c>
      <c r="ER17" s="15">
        <f t="shared" si="84"/>
        <v>0</v>
      </c>
      <c r="ES17" s="15">
        <f t="shared" si="84"/>
        <v>0</v>
      </c>
      <c r="ET17" s="15">
        <f t="shared" si="84"/>
        <v>0</v>
      </c>
      <c r="EU17" s="15">
        <f t="shared" si="84"/>
        <v>0</v>
      </c>
      <c r="EV17" s="15">
        <f t="shared" si="84"/>
        <v>0</v>
      </c>
      <c r="EX17" s="15">
        <f t="shared" si="126"/>
        <v>715000000</v>
      </c>
      <c r="EY17" s="15">
        <f t="shared" si="126"/>
        <v>715000000</v>
      </c>
      <c r="EZ17" s="15">
        <f t="shared" si="126"/>
        <v>715000000</v>
      </c>
      <c r="FA17" s="15">
        <f t="shared" si="126"/>
        <v>715000000</v>
      </c>
      <c r="FB17" s="15">
        <f t="shared" si="126"/>
        <v>715000000</v>
      </c>
      <c r="FC17" s="15">
        <f t="shared" si="126"/>
        <v>715000000</v>
      </c>
      <c r="FD17" s="15">
        <f t="shared" si="126"/>
        <v>715000000</v>
      </c>
      <c r="FE17" s="15">
        <f t="shared" si="126"/>
        <v>715000000</v>
      </c>
      <c r="FF17" s="15">
        <f t="shared" si="126"/>
        <v>715000000</v>
      </c>
      <c r="FG17" s="15">
        <f t="shared" si="126"/>
        <v>715000000</v>
      </c>
      <c r="FH17" s="15">
        <f t="shared" si="126"/>
        <v>715000000</v>
      </c>
      <c r="FI17" s="15">
        <f t="shared" si="126"/>
        <v>715000000</v>
      </c>
      <c r="FJ17" s="15">
        <f t="shared" si="126"/>
        <v>0</v>
      </c>
      <c r="FK17" s="15">
        <f t="shared" si="126"/>
        <v>0</v>
      </c>
      <c r="FL17" s="15">
        <f t="shared" si="126"/>
        <v>0</v>
      </c>
      <c r="FM17" s="15">
        <f t="shared" si="126"/>
        <v>0</v>
      </c>
      <c r="FN17" s="15">
        <f t="shared" ref="FN17:GA18" si="134">IF($V17&gt;=FN$8,$Y17,0)</f>
        <v>0</v>
      </c>
      <c r="FO17" s="15">
        <f t="shared" si="134"/>
        <v>0</v>
      </c>
      <c r="FP17" s="15">
        <f t="shared" si="134"/>
        <v>0</v>
      </c>
      <c r="FQ17" s="15">
        <f t="shared" si="134"/>
        <v>0</v>
      </c>
      <c r="FR17" s="15">
        <f t="shared" si="134"/>
        <v>0</v>
      </c>
      <c r="FS17" s="15">
        <f t="shared" si="134"/>
        <v>0</v>
      </c>
      <c r="FT17" s="15">
        <f t="shared" si="134"/>
        <v>0</v>
      </c>
      <c r="FU17" s="15">
        <f t="shared" si="134"/>
        <v>0</v>
      </c>
      <c r="FV17" s="15">
        <f t="shared" si="134"/>
        <v>0</v>
      </c>
      <c r="FW17" s="15">
        <f t="shared" si="134"/>
        <v>0</v>
      </c>
      <c r="FX17" s="15">
        <f t="shared" si="134"/>
        <v>0</v>
      </c>
      <c r="FY17" s="15">
        <f t="shared" si="134"/>
        <v>0</v>
      </c>
      <c r="FZ17" s="15">
        <f t="shared" si="134"/>
        <v>0</v>
      </c>
      <c r="GA17" s="15">
        <f t="shared" si="134"/>
        <v>0</v>
      </c>
      <c r="GC17" s="15">
        <f t="shared" si="127"/>
        <v>715000000</v>
      </c>
      <c r="GD17" s="15">
        <f t="shared" si="86"/>
        <v>715000000</v>
      </c>
      <c r="GE17" s="15">
        <f t="shared" si="86"/>
        <v>715000000</v>
      </c>
      <c r="GF17" s="15">
        <f t="shared" si="86"/>
        <v>715000000</v>
      </c>
      <c r="GG17" s="15">
        <f t="shared" si="86"/>
        <v>715000000</v>
      </c>
      <c r="GH17" s="15">
        <f t="shared" si="86"/>
        <v>715000000</v>
      </c>
      <c r="GI17" s="15">
        <f t="shared" si="86"/>
        <v>715000000</v>
      </c>
      <c r="GJ17" s="15">
        <f t="shared" si="86"/>
        <v>715000000</v>
      </c>
      <c r="GK17" s="15">
        <f t="shared" si="86"/>
        <v>715000000</v>
      </c>
      <c r="GL17" s="15">
        <f t="shared" si="86"/>
        <v>715000000</v>
      </c>
      <c r="GM17" s="15">
        <f t="shared" si="86"/>
        <v>715000000</v>
      </c>
      <c r="GN17" s="15">
        <f t="shared" si="86"/>
        <v>715000000</v>
      </c>
      <c r="GO17" s="15">
        <f t="shared" si="86"/>
        <v>0</v>
      </c>
      <c r="GP17" s="15">
        <f t="shared" si="86"/>
        <v>0</v>
      </c>
      <c r="GQ17" s="15">
        <f t="shared" si="86"/>
        <v>0</v>
      </c>
      <c r="GR17" s="15">
        <f t="shared" si="86"/>
        <v>0</v>
      </c>
      <c r="GS17" s="15">
        <f t="shared" si="86"/>
        <v>0</v>
      </c>
      <c r="GT17" s="15">
        <f t="shared" si="86"/>
        <v>0</v>
      </c>
      <c r="GU17" s="15">
        <f t="shared" si="86"/>
        <v>0</v>
      </c>
      <c r="GV17" s="15">
        <f t="shared" si="86"/>
        <v>0</v>
      </c>
      <c r="GW17" s="15">
        <f t="shared" si="86"/>
        <v>0</v>
      </c>
      <c r="GX17" s="15">
        <f t="shared" si="86"/>
        <v>0</v>
      </c>
      <c r="GY17" s="15">
        <f t="shared" si="86"/>
        <v>0</v>
      </c>
      <c r="GZ17" s="15">
        <f t="shared" si="86"/>
        <v>0</v>
      </c>
      <c r="HA17" s="15">
        <f t="shared" si="86"/>
        <v>0</v>
      </c>
      <c r="HB17" s="15">
        <f t="shared" si="86"/>
        <v>0</v>
      </c>
      <c r="HC17" s="15">
        <f t="shared" si="86"/>
        <v>0</v>
      </c>
      <c r="HD17" s="15">
        <f t="shared" si="86"/>
        <v>0</v>
      </c>
      <c r="HE17" s="15">
        <f t="shared" si="86"/>
        <v>0</v>
      </c>
      <c r="HF17" s="15">
        <f t="shared" si="86"/>
        <v>0</v>
      </c>
      <c r="HH17" s="15">
        <f t="shared" si="128"/>
        <v>715000000</v>
      </c>
      <c r="HI17" s="15">
        <f t="shared" si="87"/>
        <v>715000000</v>
      </c>
      <c r="HJ17" s="15">
        <f t="shared" si="87"/>
        <v>715000000</v>
      </c>
      <c r="HK17" s="15">
        <f t="shared" si="87"/>
        <v>715000000</v>
      </c>
      <c r="HL17" s="15">
        <f t="shared" si="87"/>
        <v>715000000</v>
      </c>
      <c r="HM17" s="15">
        <f t="shared" si="87"/>
        <v>715000000</v>
      </c>
      <c r="HN17" s="15">
        <f t="shared" si="87"/>
        <v>715000000</v>
      </c>
      <c r="HO17" s="15">
        <f t="shared" si="87"/>
        <v>715000000</v>
      </c>
      <c r="HP17" s="15">
        <f t="shared" si="87"/>
        <v>715000000</v>
      </c>
      <c r="HQ17" s="15">
        <f t="shared" si="87"/>
        <v>715000000</v>
      </c>
      <c r="HR17" s="15">
        <f t="shared" si="87"/>
        <v>715000000</v>
      </c>
      <c r="HS17" s="15">
        <f t="shared" si="87"/>
        <v>715000000</v>
      </c>
      <c r="HT17" s="15">
        <f t="shared" si="87"/>
        <v>0</v>
      </c>
      <c r="HU17" s="15">
        <f t="shared" si="87"/>
        <v>0</v>
      </c>
      <c r="HV17" s="15">
        <f t="shared" si="87"/>
        <v>0</v>
      </c>
      <c r="HW17" s="15">
        <f t="shared" si="87"/>
        <v>0</v>
      </c>
      <c r="HX17" s="15">
        <f t="shared" si="87"/>
        <v>0</v>
      </c>
      <c r="HY17" s="15">
        <f t="shared" si="87"/>
        <v>0</v>
      </c>
      <c r="HZ17" s="15">
        <f t="shared" si="87"/>
        <v>0</v>
      </c>
      <c r="IA17" s="15">
        <f t="shared" si="87"/>
        <v>0</v>
      </c>
      <c r="IB17" s="15">
        <f t="shared" si="87"/>
        <v>0</v>
      </c>
      <c r="IC17" s="15">
        <f t="shared" si="87"/>
        <v>0</v>
      </c>
      <c r="ID17" s="15">
        <f t="shared" si="87"/>
        <v>0</v>
      </c>
      <c r="IE17" s="15">
        <f t="shared" si="87"/>
        <v>0</v>
      </c>
      <c r="IF17" s="15">
        <f t="shared" si="87"/>
        <v>0</v>
      </c>
      <c r="IG17" s="15">
        <f t="shared" si="87"/>
        <v>0</v>
      </c>
      <c r="IH17" s="15">
        <f t="shared" si="87"/>
        <v>0</v>
      </c>
      <c r="II17" s="15">
        <f t="shared" si="87"/>
        <v>0</v>
      </c>
      <c r="IJ17" s="15">
        <f t="shared" si="87"/>
        <v>0</v>
      </c>
      <c r="IK17" s="15">
        <f t="shared" si="87"/>
        <v>0</v>
      </c>
      <c r="IM17" s="15">
        <f t="shared" si="129"/>
        <v>715000000</v>
      </c>
      <c r="IN17" s="15">
        <f t="shared" si="88"/>
        <v>715000000</v>
      </c>
      <c r="IO17" s="15">
        <f t="shared" si="88"/>
        <v>715000000</v>
      </c>
      <c r="IP17" s="15">
        <f t="shared" si="88"/>
        <v>715000000</v>
      </c>
      <c r="IQ17" s="15">
        <f t="shared" si="88"/>
        <v>715000000</v>
      </c>
      <c r="IR17" s="15">
        <f t="shared" si="88"/>
        <v>715000000</v>
      </c>
      <c r="IS17" s="15">
        <f t="shared" si="88"/>
        <v>715000000</v>
      </c>
      <c r="IT17" s="15">
        <f t="shared" si="88"/>
        <v>715000000</v>
      </c>
      <c r="IU17" s="15">
        <f t="shared" si="88"/>
        <v>715000000</v>
      </c>
      <c r="IV17" s="15">
        <f t="shared" si="88"/>
        <v>715000000</v>
      </c>
      <c r="IW17" s="15">
        <f t="shared" si="88"/>
        <v>715000000</v>
      </c>
      <c r="IX17" s="15">
        <f t="shared" si="88"/>
        <v>715000000</v>
      </c>
      <c r="IY17" s="15">
        <f t="shared" si="88"/>
        <v>0</v>
      </c>
      <c r="IZ17" s="15">
        <f t="shared" si="88"/>
        <v>0</v>
      </c>
      <c r="JA17" s="15">
        <f t="shared" si="88"/>
        <v>0</v>
      </c>
      <c r="JB17" s="15">
        <f t="shared" si="88"/>
        <v>0</v>
      </c>
      <c r="JC17" s="15">
        <f t="shared" si="88"/>
        <v>0</v>
      </c>
      <c r="JD17" s="15">
        <f t="shared" si="89"/>
        <v>0</v>
      </c>
      <c r="JE17" s="15">
        <f t="shared" si="89"/>
        <v>0</v>
      </c>
      <c r="JF17" s="15">
        <f t="shared" si="89"/>
        <v>0</v>
      </c>
      <c r="JG17" s="15">
        <f t="shared" si="89"/>
        <v>0</v>
      </c>
      <c r="JH17" s="15">
        <f t="shared" si="89"/>
        <v>0</v>
      </c>
      <c r="JI17" s="15">
        <f t="shared" si="89"/>
        <v>0</v>
      </c>
      <c r="JJ17" s="15">
        <f t="shared" si="89"/>
        <v>0</v>
      </c>
      <c r="JK17" s="15">
        <f t="shared" si="89"/>
        <v>0</v>
      </c>
      <c r="JL17" s="15">
        <f t="shared" si="89"/>
        <v>0</v>
      </c>
      <c r="JM17" s="15">
        <f t="shared" si="89"/>
        <v>0</v>
      </c>
      <c r="JN17" s="15">
        <f t="shared" si="89"/>
        <v>0</v>
      </c>
      <c r="JO17" s="15">
        <f t="shared" si="89"/>
        <v>0</v>
      </c>
      <c r="JP17" s="15">
        <f t="shared" si="89"/>
        <v>0</v>
      </c>
      <c r="JR17" s="15">
        <f t="shared" si="130"/>
        <v>715000000</v>
      </c>
      <c r="JS17" s="15">
        <f t="shared" si="90"/>
        <v>715000000</v>
      </c>
      <c r="JT17" s="15">
        <f t="shared" si="90"/>
        <v>715000000</v>
      </c>
      <c r="JU17" s="15">
        <f t="shared" si="90"/>
        <v>715000000</v>
      </c>
      <c r="JV17" s="15">
        <f t="shared" si="90"/>
        <v>715000000</v>
      </c>
      <c r="JW17" s="15">
        <f t="shared" si="90"/>
        <v>715000000</v>
      </c>
      <c r="JX17" s="15">
        <f t="shared" si="90"/>
        <v>715000000</v>
      </c>
      <c r="JY17" s="15">
        <f t="shared" si="90"/>
        <v>715000000</v>
      </c>
      <c r="JZ17" s="15">
        <f t="shared" si="90"/>
        <v>715000000</v>
      </c>
      <c r="KA17" s="15">
        <f t="shared" si="90"/>
        <v>715000000</v>
      </c>
      <c r="KB17" s="15">
        <f t="shared" si="90"/>
        <v>715000000</v>
      </c>
      <c r="KC17" s="15">
        <f t="shared" si="90"/>
        <v>715000000</v>
      </c>
      <c r="KD17" s="15">
        <f t="shared" si="90"/>
        <v>0</v>
      </c>
      <c r="KE17" s="15">
        <f t="shared" si="90"/>
        <v>0</v>
      </c>
      <c r="KF17" s="15">
        <f t="shared" si="90"/>
        <v>0</v>
      </c>
      <c r="KG17" s="15">
        <f t="shared" si="90"/>
        <v>0</v>
      </c>
      <c r="KH17" s="15">
        <f t="shared" si="90"/>
        <v>0</v>
      </c>
      <c r="KI17" s="15">
        <f t="shared" si="90"/>
        <v>0</v>
      </c>
      <c r="KJ17" s="15">
        <f t="shared" si="90"/>
        <v>0</v>
      </c>
      <c r="KK17" s="15">
        <f t="shared" si="90"/>
        <v>0</v>
      </c>
      <c r="KL17" s="15">
        <f t="shared" si="90"/>
        <v>0</v>
      </c>
      <c r="KM17" s="15">
        <f t="shared" si="90"/>
        <v>0</v>
      </c>
      <c r="KN17" s="15">
        <f t="shared" si="90"/>
        <v>0</v>
      </c>
      <c r="KO17" s="15">
        <f t="shared" si="90"/>
        <v>0</v>
      </c>
      <c r="KP17" s="15">
        <f t="shared" si="90"/>
        <v>0</v>
      </c>
      <c r="KQ17" s="15">
        <f t="shared" si="90"/>
        <v>0</v>
      </c>
      <c r="KR17" s="15">
        <f t="shared" si="90"/>
        <v>0</v>
      </c>
      <c r="KS17" s="15">
        <f t="shared" si="90"/>
        <v>0</v>
      </c>
      <c r="KT17" s="15">
        <f t="shared" si="90"/>
        <v>0</v>
      </c>
      <c r="KU17" s="15">
        <f t="shared" si="90"/>
        <v>0</v>
      </c>
      <c r="KW17" s="15">
        <f t="shared" si="131"/>
        <v>715000000</v>
      </c>
      <c r="KX17" s="15">
        <f t="shared" si="91"/>
        <v>715000000</v>
      </c>
      <c r="KY17" s="15">
        <f t="shared" si="91"/>
        <v>715000000</v>
      </c>
      <c r="KZ17" s="15">
        <f t="shared" si="91"/>
        <v>715000000</v>
      </c>
      <c r="LA17" s="15">
        <f t="shared" si="91"/>
        <v>715000000</v>
      </c>
      <c r="LB17" s="15">
        <f t="shared" si="91"/>
        <v>715000000</v>
      </c>
      <c r="LC17" s="15">
        <f t="shared" si="91"/>
        <v>715000000</v>
      </c>
      <c r="LD17" s="15">
        <f t="shared" si="91"/>
        <v>715000000</v>
      </c>
      <c r="LE17" s="15">
        <f t="shared" si="91"/>
        <v>715000000</v>
      </c>
      <c r="LF17" s="15">
        <f t="shared" si="91"/>
        <v>715000000</v>
      </c>
      <c r="LG17" s="15">
        <f t="shared" si="91"/>
        <v>715000000</v>
      </c>
      <c r="LH17" s="15">
        <f t="shared" si="91"/>
        <v>715000000</v>
      </c>
      <c r="LI17" s="15">
        <f t="shared" si="91"/>
        <v>0</v>
      </c>
      <c r="LJ17" s="15">
        <f t="shared" si="91"/>
        <v>0</v>
      </c>
      <c r="LK17" s="15">
        <f t="shared" si="91"/>
        <v>0</v>
      </c>
      <c r="LL17" s="15">
        <f t="shared" si="91"/>
        <v>0</v>
      </c>
      <c r="LM17" s="15">
        <f t="shared" si="91"/>
        <v>0</v>
      </c>
      <c r="LN17" s="15">
        <f t="shared" si="92"/>
        <v>0</v>
      </c>
      <c r="LO17" s="15">
        <f t="shared" si="92"/>
        <v>0</v>
      </c>
      <c r="LP17" s="15">
        <f t="shared" si="92"/>
        <v>0</v>
      </c>
      <c r="LQ17" s="15">
        <f t="shared" si="92"/>
        <v>0</v>
      </c>
      <c r="LR17" s="15">
        <f t="shared" si="92"/>
        <v>0</v>
      </c>
      <c r="LS17" s="15">
        <f t="shared" si="92"/>
        <v>0</v>
      </c>
      <c r="LT17" s="15">
        <f t="shared" si="92"/>
        <v>0</v>
      </c>
      <c r="LU17" s="15">
        <f t="shared" si="92"/>
        <v>0</v>
      </c>
      <c r="LV17" s="15">
        <f t="shared" si="92"/>
        <v>0</v>
      </c>
      <c r="LW17" s="15">
        <f t="shared" si="92"/>
        <v>0</v>
      </c>
      <c r="LX17" s="15">
        <f t="shared" si="92"/>
        <v>0</v>
      </c>
      <c r="LY17" s="15">
        <f t="shared" si="92"/>
        <v>0</v>
      </c>
      <c r="LZ17" s="15">
        <f t="shared" si="92"/>
        <v>0</v>
      </c>
      <c r="MB17" s="15">
        <f t="shared" si="132"/>
        <v>715000000</v>
      </c>
      <c r="MC17" s="15">
        <f t="shared" si="93"/>
        <v>715000000</v>
      </c>
      <c r="MD17" s="15">
        <f t="shared" si="93"/>
        <v>715000000</v>
      </c>
      <c r="ME17" s="15">
        <f t="shared" si="93"/>
        <v>715000000</v>
      </c>
      <c r="MF17" s="15">
        <f t="shared" si="93"/>
        <v>715000000</v>
      </c>
      <c r="MG17" s="15">
        <f t="shared" si="93"/>
        <v>715000000</v>
      </c>
      <c r="MH17" s="15">
        <f t="shared" si="93"/>
        <v>715000000</v>
      </c>
      <c r="MI17" s="15">
        <f t="shared" si="93"/>
        <v>715000000</v>
      </c>
      <c r="MJ17" s="15">
        <f t="shared" si="93"/>
        <v>715000000</v>
      </c>
      <c r="MK17" s="15">
        <f t="shared" si="93"/>
        <v>715000000</v>
      </c>
      <c r="ML17" s="15">
        <f t="shared" si="93"/>
        <v>715000000</v>
      </c>
      <c r="MM17" s="15">
        <f t="shared" si="93"/>
        <v>715000000</v>
      </c>
      <c r="MN17" s="15">
        <f t="shared" si="93"/>
        <v>0</v>
      </c>
      <c r="MO17" s="15">
        <f t="shared" si="93"/>
        <v>0</v>
      </c>
      <c r="MP17" s="15">
        <f t="shared" si="93"/>
        <v>0</v>
      </c>
      <c r="MQ17" s="15">
        <f t="shared" si="93"/>
        <v>0</v>
      </c>
      <c r="MR17" s="15">
        <f t="shared" si="93"/>
        <v>0</v>
      </c>
      <c r="MS17" s="15">
        <f t="shared" si="94"/>
        <v>0</v>
      </c>
      <c r="MT17" s="15">
        <f t="shared" si="94"/>
        <v>0</v>
      </c>
      <c r="MU17" s="15">
        <f t="shared" si="94"/>
        <v>0</v>
      </c>
      <c r="MV17" s="15">
        <f t="shared" si="94"/>
        <v>0</v>
      </c>
      <c r="MW17" s="15">
        <f t="shared" si="94"/>
        <v>0</v>
      </c>
      <c r="MX17" s="15">
        <f t="shared" si="94"/>
        <v>0</v>
      </c>
      <c r="MY17" s="15">
        <f t="shared" si="94"/>
        <v>0</v>
      </c>
      <c r="MZ17" s="15">
        <f t="shared" si="94"/>
        <v>0</v>
      </c>
      <c r="NA17" s="15">
        <f t="shared" si="94"/>
        <v>0</v>
      </c>
      <c r="NB17" s="15">
        <f t="shared" si="94"/>
        <v>0</v>
      </c>
      <c r="NC17" s="15">
        <f t="shared" si="94"/>
        <v>0</v>
      </c>
      <c r="ND17" s="15">
        <f t="shared" si="94"/>
        <v>0</v>
      </c>
      <c r="NE17" s="15">
        <f t="shared" si="94"/>
        <v>0</v>
      </c>
    </row>
    <row r="18" spans="1:369" outlineLevel="1" x14ac:dyDescent="0.25">
      <c r="B18" t="s">
        <v>347</v>
      </c>
      <c r="C18" s="495" t="s">
        <v>601</v>
      </c>
      <c r="D18" s="613" t="s">
        <v>602</v>
      </c>
      <c r="E18" s="467">
        <v>1</v>
      </c>
      <c r="F18" s="221"/>
      <c r="G18" s="457">
        <v>12</v>
      </c>
      <c r="H18" s="468">
        <f>(8250000000*5%/$D$6)*1.04</f>
        <v>429000000</v>
      </c>
      <c r="I18" s="457">
        <f t="shared" si="80"/>
        <v>429000000</v>
      </c>
      <c r="J18" s="457">
        <f t="shared" si="95"/>
        <v>35750000</v>
      </c>
      <c r="K18" s="221"/>
      <c r="L18" s="457">
        <v>12</v>
      </c>
      <c r="M18" s="457">
        <f t="shared" si="96"/>
        <v>429000000</v>
      </c>
      <c r="N18" s="457">
        <f t="shared" si="97"/>
        <v>429000000</v>
      </c>
      <c r="O18" s="457">
        <f t="shared" si="98"/>
        <v>35750000</v>
      </c>
      <c r="P18" s="221"/>
      <c r="Q18" s="457">
        <v>12</v>
      </c>
      <c r="R18" s="457">
        <f t="shared" si="99"/>
        <v>429000000</v>
      </c>
      <c r="S18" s="457">
        <f t="shared" si="100"/>
        <v>429000000</v>
      </c>
      <c r="T18" s="457">
        <f t="shared" si="101"/>
        <v>35750000</v>
      </c>
      <c r="U18" s="221"/>
      <c r="V18" s="457">
        <v>12</v>
      </c>
      <c r="W18" s="457">
        <f t="shared" si="102"/>
        <v>429000000</v>
      </c>
      <c r="X18" s="457">
        <f t="shared" si="103"/>
        <v>429000000</v>
      </c>
      <c r="Y18" s="457">
        <f t="shared" si="104"/>
        <v>35750000</v>
      </c>
      <c r="Z18" s="221"/>
      <c r="AA18" s="457">
        <v>12</v>
      </c>
      <c r="AB18" s="457">
        <f t="shared" si="105"/>
        <v>429000000</v>
      </c>
      <c r="AC18" s="457">
        <f t="shared" si="106"/>
        <v>429000000</v>
      </c>
      <c r="AD18" s="457">
        <f t="shared" si="107"/>
        <v>35750000</v>
      </c>
      <c r="AE18" s="221"/>
      <c r="AF18" s="457">
        <v>12</v>
      </c>
      <c r="AG18" s="457">
        <f t="shared" si="108"/>
        <v>429000000</v>
      </c>
      <c r="AH18" s="457">
        <f t="shared" si="109"/>
        <v>429000000</v>
      </c>
      <c r="AI18" s="457">
        <f t="shared" si="110"/>
        <v>35750000</v>
      </c>
      <c r="AJ18" s="221"/>
      <c r="AK18" s="457">
        <v>12</v>
      </c>
      <c r="AL18" s="457">
        <f t="shared" si="111"/>
        <v>429000000</v>
      </c>
      <c r="AM18" s="457">
        <f t="shared" si="112"/>
        <v>429000000</v>
      </c>
      <c r="AN18" s="457">
        <f t="shared" si="113"/>
        <v>35750000</v>
      </c>
      <c r="AO18" s="221"/>
      <c r="AP18" s="457">
        <v>12</v>
      </c>
      <c r="AQ18" s="457">
        <f t="shared" si="114"/>
        <v>429000000</v>
      </c>
      <c r="AR18" s="457">
        <f t="shared" si="115"/>
        <v>429000000</v>
      </c>
      <c r="AS18" s="457">
        <f t="shared" si="116"/>
        <v>35750000</v>
      </c>
      <c r="AT18" s="221"/>
      <c r="AU18" s="457">
        <v>12</v>
      </c>
      <c r="AV18" s="457">
        <f t="shared" si="117"/>
        <v>429000000</v>
      </c>
      <c r="AW18" s="457">
        <f t="shared" si="118"/>
        <v>429000000</v>
      </c>
      <c r="AX18" s="457">
        <f t="shared" si="119"/>
        <v>35750000</v>
      </c>
      <c r="AY18" s="221"/>
      <c r="AZ18" s="457">
        <v>12</v>
      </c>
      <c r="BA18" s="457">
        <f t="shared" si="120"/>
        <v>429000000</v>
      </c>
      <c r="BB18" s="457">
        <f t="shared" si="121"/>
        <v>429000000</v>
      </c>
      <c r="BC18" s="457">
        <f t="shared" si="122"/>
        <v>35750000</v>
      </c>
      <c r="BD18" s="221"/>
      <c r="BI18" s="15">
        <f t="shared" si="123"/>
        <v>35750000</v>
      </c>
      <c r="BJ18" s="15">
        <f t="shared" si="81"/>
        <v>35750000</v>
      </c>
      <c r="BK18" s="15">
        <f t="shared" si="81"/>
        <v>35750000</v>
      </c>
      <c r="BL18" s="15">
        <f t="shared" si="81"/>
        <v>35750000</v>
      </c>
      <c r="BM18" s="15">
        <f t="shared" si="81"/>
        <v>35750000</v>
      </c>
      <c r="BN18" s="15">
        <f t="shared" si="81"/>
        <v>35750000</v>
      </c>
      <c r="BO18" s="15">
        <f t="shared" si="81"/>
        <v>35750000</v>
      </c>
      <c r="BP18" s="15">
        <f t="shared" si="81"/>
        <v>35750000</v>
      </c>
      <c r="BQ18" s="15">
        <f t="shared" si="81"/>
        <v>35750000</v>
      </c>
      <c r="BR18" s="15">
        <f t="shared" si="81"/>
        <v>35750000</v>
      </c>
      <c r="BS18" s="15">
        <f t="shared" si="81"/>
        <v>35750000</v>
      </c>
      <c r="BT18" s="15">
        <f t="shared" si="81"/>
        <v>35750000</v>
      </c>
      <c r="BU18" s="15">
        <f t="shared" si="81"/>
        <v>0</v>
      </c>
      <c r="BV18" s="15">
        <f t="shared" si="81"/>
        <v>0</v>
      </c>
      <c r="BW18" s="15">
        <f t="shared" si="81"/>
        <v>0</v>
      </c>
      <c r="BX18" s="15">
        <f t="shared" si="81"/>
        <v>0</v>
      </c>
      <c r="BY18" s="15">
        <f t="shared" si="81"/>
        <v>0</v>
      </c>
      <c r="BZ18" s="15">
        <f t="shared" si="81"/>
        <v>0</v>
      </c>
      <c r="CA18" s="15">
        <f t="shared" si="81"/>
        <v>0</v>
      </c>
      <c r="CB18" s="15">
        <f t="shared" si="81"/>
        <v>0</v>
      </c>
      <c r="CC18" s="15">
        <f t="shared" si="81"/>
        <v>0</v>
      </c>
      <c r="CD18" s="15">
        <f t="shared" si="81"/>
        <v>0</v>
      </c>
      <c r="CE18" s="15">
        <f t="shared" si="81"/>
        <v>0</v>
      </c>
      <c r="CF18" s="15">
        <f t="shared" si="81"/>
        <v>0</v>
      </c>
      <c r="CG18" s="15">
        <f t="shared" si="81"/>
        <v>0</v>
      </c>
      <c r="CH18" s="15">
        <f t="shared" si="81"/>
        <v>0</v>
      </c>
      <c r="CI18" s="15">
        <f t="shared" si="81"/>
        <v>0</v>
      </c>
      <c r="CJ18" s="15">
        <f t="shared" si="81"/>
        <v>0</v>
      </c>
      <c r="CK18" s="15">
        <f t="shared" si="81"/>
        <v>0</v>
      </c>
      <c r="CL18" s="15">
        <f t="shared" si="81"/>
        <v>0</v>
      </c>
      <c r="CN18" s="15">
        <f t="shared" si="124"/>
        <v>35750000</v>
      </c>
      <c r="CO18" s="15">
        <f t="shared" si="82"/>
        <v>35750000</v>
      </c>
      <c r="CP18" s="15">
        <f t="shared" si="82"/>
        <v>35750000</v>
      </c>
      <c r="CQ18" s="15">
        <f t="shared" si="82"/>
        <v>35750000</v>
      </c>
      <c r="CR18" s="15">
        <f t="shared" si="82"/>
        <v>35750000</v>
      </c>
      <c r="CS18" s="15">
        <f t="shared" si="82"/>
        <v>35750000</v>
      </c>
      <c r="CT18" s="15">
        <f t="shared" si="82"/>
        <v>35750000</v>
      </c>
      <c r="CU18" s="15">
        <f t="shared" si="82"/>
        <v>35750000</v>
      </c>
      <c r="CV18" s="15">
        <f t="shared" si="82"/>
        <v>35750000</v>
      </c>
      <c r="CW18" s="15">
        <f t="shared" si="82"/>
        <v>35750000</v>
      </c>
      <c r="CX18" s="15">
        <f t="shared" si="82"/>
        <v>35750000</v>
      </c>
      <c r="CY18" s="15">
        <f t="shared" si="82"/>
        <v>35750000</v>
      </c>
      <c r="CZ18" s="15">
        <f t="shared" si="82"/>
        <v>0</v>
      </c>
      <c r="DA18" s="15">
        <f t="shared" si="82"/>
        <v>0</v>
      </c>
      <c r="DB18" s="15">
        <f t="shared" si="82"/>
        <v>0</v>
      </c>
      <c r="DC18" s="15">
        <f t="shared" si="82"/>
        <v>0</v>
      </c>
      <c r="DD18" s="15">
        <f t="shared" si="82"/>
        <v>0</v>
      </c>
      <c r="DE18" s="15">
        <f t="shared" si="82"/>
        <v>0</v>
      </c>
      <c r="DF18" s="15">
        <f t="shared" si="82"/>
        <v>0</v>
      </c>
      <c r="DG18" s="15">
        <f t="shared" si="82"/>
        <v>0</v>
      </c>
      <c r="DH18" s="15">
        <f t="shared" si="82"/>
        <v>0</v>
      </c>
      <c r="DI18" s="15">
        <f t="shared" si="82"/>
        <v>0</v>
      </c>
      <c r="DJ18" s="15">
        <f t="shared" si="82"/>
        <v>0</v>
      </c>
      <c r="DK18" s="15">
        <f t="shared" si="82"/>
        <v>0</v>
      </c>
      <c r="DL18" s="15">
        <f t="shared" si="82"/>
        <v>0</v>
      </c>
      <c r="DM18" s="15">
        <f t="shared" si="82"/>
        <v>0</v>
      </c>
      <c r="DN18" s="15">
        <f t="shared" si="82"/>
        <v>0</v>
      </c>
      <c r="DO18" s="15">
        <f t="shared" si="82"/>
        <v>0</v>
      </c>
      <c r="DP18" s="15">
        <f t="shared" si="82"/>
        <v>0</v>
      </c>
      <c r="DQ18" s="15">
        <f t="shared" si="82"/>
        <v>0</v>
      </c>
      <c r="DS18" s="15">
        <f t="shared" si="125"/>
        <v>35750000</v>
      </c>
      <c r="DT18" s="15">
        <f t="shared" si="83"/>
        <v>35750000</v>
      </c>
      <c r="DU18" s="15">
        <f t="shared" si="83"/>
        <v>35750000</v>
      </c>
      <c r="DV18" s="15">
        <f t="shared" si="83"/>
        <v>35750000</v>
      </c>
      <c r="DW18" s="15">
        <f t="shared" si="83"/>
        <v>35750000</v>
      </c>
      <c r="DX18" s="15">
        <f t="shared" si="83"/>
        <v>35750000</v>
      </c>
      <c r="DY18" s="15">
        <f t="shared" si="83"/>
        <v>35750000</v>
      </c>
      <c r="DZ18" s="15">
        <f t="shared" si="83"/>
        <v>35750000</v>
      </c>
      <c r="EA18" s="15">
        <f t="shared" si="83"/>
        <v>35750000</v>
      </c>
      <c r="EB18" s="15">
        <f t="shared" si="83"/>
        <v>35750000</v>
      </c>
      <c r="EC18" s="15">
        <f t="shared" si="83"/>
        <v>35750000</v>
      </c>
      <c r="ED18" s="15">
        <f t="shared" si="83"/>
        <v>35750000</v>
      </c>
      <c r="EE18" s="15">
        <f t="shared" si="83"/>
        <v>0</v>
      </c>
      <c r="EF18" s="15">
        <f t="shared" si="83"/>
        <v>0</v>
      </c>
      <c r="EG18" s="15">
        <f t="shared" si="83"/>
        <v>0</v>
      </c>
      <c r="EH18" s="15">
        <f t="shared" si="83"/>
        <v>0</v>
      </c>
      <c r="EI18" s="15">
        <f t="shared" si="83"/>
        <v>0</v>
      </c>
      <c r="EJ18" s="15">
        <f t="shared" si="84"/>
        <v>0</v>
      </c>
      <c r="EK18" s="15">
        <f t="shared" si="84"/>
        <v>0</v>
      </c>
      <c r="EL18" s="15">
        <f t="shared" si="84"/>
        <v>0</v>
      </c>
      <c r="EM18" s="15">
        <f t="shared" si="84"/>
        <v>0</v>
      </c>
      <c r="EN18" s="15">
        <f t="shared" si="84"/>
        <v>0</v>
      </c>
      <c r="EO18" s="15">
        <f t="shared" si="84"/>
        <v>0</v>
      </c>
      <c r="EP18" s="15">
        <f t="shared" si="84"/>
        <v>0</v>
      </c>
      <c r="EQ18" s="15">
        <f t="shared" si="84"/>
        <v>0</v>
      </c>
      <c r="ER18" s="15">
        <f t="shared" si="84"/>
        <v>0</v>
      </c>
      <c r="ES18" s="15">
        <f t="shared" si="84"/>
        <v>0</v>
      </c>
      <c r="ET18" s="15">
        <f t="shared" si="84"/>
        <v>0</v>
      </c>
      <c r="EU18" s="15">
        <f t="shared" si="84"/>
        <v>0</v>
      </c>
      <c r="EV18" s="15">
        <f t="shared" si="84"/>
        <v>0</v>
      </c>
      <c r="EX18" s="15">
        <f t="shared" si="126"/>
        <v>35750000</v>
      </c>
      <c r="EY18" s="15">
        <f t="shared" si="126"/>
        <v>35750000</v>
      </c>
      <c r="EZ18" s="15">
        <f t="shared" si="126"/>
        <v>35750000</v>
      </c>
      <c r="FA18" s="15">
        <f t="shared" si="126"/>
        <v>35750000</v>
      </c>
      <c r="FB18" s="15">
        <f t="shared" si="126"/>
        <v>35750000</v>
      </c>
      <c r="FC18" s="15">
        <f t="shared" si="126"/>
        <v>35750000</v>
      </c>
      <c r="FD18" s="15">
        <f t="shared" si="126"/>
        <v>35750000</v>
      </c>
      <c r="FE18" s="15">
        <f t="shared" si="126"/>
        <v>35750000</v>
      </c>
      <c r="FF18" s="15">
        <f t="shared" si="126"/>
        <v>35750000</v>
      </c>
      <c r="FG18" s="15">
        <f t="shared" si="126"/>
        <v>35750000</v>
      </c>
      <c r="FH18" s="15">
        <f t="shared" si="126"/>
        <v>35750000</v>
      </c>
      <c r="FI18" s="15">
        <f t="shared" si="126"/>
        <v>35750000</v>
      </c>
      <c r="FJ18" s="15">
        <f t="shared" si="126"/>
        <v>0</v>
      </c>
      <c r="FK18" s="15">
        <f t="shared" si="126"/>
        <v>0</v>
      </c>
      <c r="FL18" s="15">
        <f t="shared" si="126"/>
        <v>0</v>
      </c>
      <c r="FM18" s="15">
        <f t="shared" si="126"/>
        <v>0</v>
      </c>
      <c r="FN18" s="15">
        <f t="shared" si="134"/>
        <v>0</v>
      </c>
      <c r="FO18" s="15">
        <f t="shared" si="134"/>
        <v>0</v>
      </c>
      <c r="FP18" s="15">
        <f t="shared" si="134"/>
        <v>0</v>
      </c>
      <c r="FQ18" s="15">
        <f t="shared" si="134"/>
        <v>0</v>
      </c>
      <c r="FR18" s="15">
        <f t="shared" si="134"/>
        <v>0</v>
      </c>
      <c r="FS18" s="15">
        <f t="shared" si="134"/>
        <v>0</v>
      </c>
      <c r="FT18" s="15">
        <f t="shared" si="134"/>
        <v>0</v>
      </c>
      <c r="FU18" s="15">
        <f t="shared" si="134"/>
        <v>0</v>
      </c>
      <c r="FV18" s="15">
        <f t="shared" si="134"/>
        <v>0</v>
      </c>
      <c r="FW18" s="15">
        <f t="shared" si="134"/>
        <v>0</v>
      </c>
      <c r="FX18" s="15">
        <f t="shared" si="134"/>
        <v>0</v>
      </c>
      <c r="FY18" s="15">
        <f t="shared" si="134"/>
        <v>0</v>
      </c>
      <c r="FZ18" s="15">
        <f t="shared" si="134"/>
        <v>0</v>
      </c>
      <c r="GA18" s="15">
        <f t="shared" si="134"/>
        <v>0</v>
      </c>
      <c r="GC18" s="15">
        <f t="shared" si="127"/>
        <v>35750000</v>
      </c>
      <c r="GD18" s="15">
        <f t="shared" si="86"/>
        <v>35750000</v>
      </c>
      <c r="GE18" s="15">
        <f t="shared" si="86"/>
        <v>35750000</v>
      </c>
      <c r="GF18" s="15">
        <f t="shared" si="86"/>
        <v>35750000</v>
      </c>
      <c r="GG18" s="15">
        <f t="shared" si="86"/>
        <v>35750000</v>
      </c>
      <c r="GH18" s="15">
        <f t="shared" si="86"/>
        <v>35750000</v>
      </c>
      <c r="GI18" s="15">
        <f t="shared" si="86"/>
        <v>35750000</v>
      </c>
      <c r="GJ18" s="15">
        <f t="shared" si="86"/>
        <v>35750000</v>
      </c>
      <c r="GK18" s="15">
        <f t="shared" si="86"/>
        <v>35750000</v>
      </c>
      <c r="GL18" s="15">
        <f t="shared" si="86"/>
        <v>35750000</v>
      </c>
      <c r="GM18" s="15">
        <f t="shared" si="86"/>
        <v>35750000</v>
      </c>
      <c r="GN18" s="15">
        <f t="shared" si="86"/>
        <v>35750000</v>
      </c>
      <c r="GO18" s="15">
        <f t="shared" si="86"/>
        <v>0</v>
      </c>
      <c r="GP18" s="15">
        <f t="shared" si="86"/>
        <v>0</v>
      </c>
      <c r="GQ18" s="15">
        <f t="shared" si="86"/>
        <v>0</v>
      </c>
      <c r="GR18" s="15">
        <f t="shared" si="86"/>
        <v>0</v>
      </c>
      <c r="GS18" s="15">
        <f t="shared" si="86"/>
        <v>0</v>
      </c>
      <c r="GT18" s="15">
        <f t="shared" si="86"/>
        <v>0</v>
      </c>
      <c r="GU18" s="15">
        <f t="shared" si="86"/>
        <v>0</v>
      </c>
      <c r="GV18" s="15">
        <f t="shared" si="86"/>
        <v>0</v>
      </c>
      <c r="GW18" s="15">
        <f t="shared" si="86"/>
        <v>0</v>
      </c>
      <c r="GX18" s="15">
        <f t="shared" si="86"/>
        <v>0</v>
      </c>
      <c r="GY18" s="15">
        <f t="shared" si="86"/>
        <v>0</v>
      </c>
      <c r="GZ18" s="15">
        <f t="shared" si="86"/>
        <v>0</v>
      </c>
      <c r="HA18" s="15">
        <f t="shared" si="86"/>
        <v>0</v>
      </c>
      <c r="HB18" s="15">
        <f t="shared" si="86"/>
        <v>0</v>
      </c>
      <c r="HC18" s="15">
        <f t="shared" si="86"/>
        <v>0</v>
      </c>
      <c r="HD18" s="15">
        <f t="shared" si="86"/>
        <v>0</v>
      </c>
      <c r="HE18" s="15">
        <f t="shared" si="86"/>
        <v>0</v>
      </c>
      <c r="HF18" s="15">
        <f t="shared" si="86"/>
        <v>0</v>
      </c>
      <c r="HH18" s="15">
        <f t="shared" si="128"/>
        <v>35750000</v>
      </c>
      <c r="HI18" s="15">
        <f t="shared" si="87"/>
        <v>35750000</v>
      </c>
      <c r="HJ18" s="15">
        <f t="shared" si="87"/>
        <v>35750000</v>
      </c>
      <c r="HK18" s="15">
        <f t="shared" si="87"/>
        <v>35750000</v>
      </c>
      <c r="HL18" s="15">
        <f t="shared" si="87"/>
        <v>35750000</v>
      </c>
      <c r="HM18" s="15">
        <f t="shared" si="87"/>
        <v>35750000</v>
      </c>
      <c r="HN18" s="15">
        <f t="shared" si="87"/>
        <v>35750000</v>
      </c>
      <c r="HO18" s="15">
        <f t="shared" si="87"/>
        <v>35750000</v>
      </c>
      <c r="HP18" s="15">
        <f t="shared" si="87"/>
        <v>35750000</v>
      </c>
      <c r="HQ18" s="15">
        <f t="shared" si="87"/>
        <v>35750000</v>
      </c>
      <c r="HR18" s="15">
        <f t="shared" si="87"/>
        <v>35750000</v>
      </c>
      <c r="HS18" s="15">
        <f t="shared" si="87"/>
        <v>35750000</v>
      </c>
      <c r="HT18" s="15">
        <f t="shared" si="87"/>
        <v>0</v>
      </c>
      <c r="HU18" s="15">
        <f t="shared" si="87"/>
        <v>0</v>
      </c>
      <c r="HV18" s="15">
        <f t="shared" si="87"/>
        <v>0</v>
      </c>
      <c r="HW18" s="15">
        <f t="shared" si="87"/>
        <v>0</v>
      </c>
      <c r="HX18" s="15">
        <f t="shared" si="87"/>
        <v>0</v>
      </c>
      <c r="HY18" s="15">
        <f t="shared" si="87"/>
        <v>0</v>
      </c>
      <c r="HZ18" s="15">
        <f t="shared" si="87"/>
        <v>0</v>
      </c>
      <c r="IA18" s="15">
        <f t="shared" si="87"/>
        <v>0</v>
      </c>
      <c r="IB18" s="15">
        <f t="shared" si="87"/>
        <v>0</v>
      </c>
      <c r="IC18" s="15">
        <f t="shared" si="87"/>
        <v>0</v>
      </c>
      <c r="ID18" s="15">
        <f t="shared" si="87"/>
        <v>0</v>
      </c>
      <c r="IE18" s="15">
        <f t="shared" si="87"/>
        <v>0</v>
      </c>
      <c r="IF18" s="15">
        <f t="shared" si="87"/>
        <v>0</v>
      </c>
      <c r="IG18" s="15">
        <f t="shared" si="87"/>
        <v>0</v>
      </c>
      <c r="IH18" s="15">
        <f t="shared" si="87"/>
        <v>0</v>
      </c>
      <c r="II18" s="15">
        <f t="shared" si="87"/>
        <v>0</v>
      </c>
      <c r="IJ18" s="15">
        <f t="shared" si="87"/>
        <v>0</v>
      </c>
      <c r="IK18" s="15">
        <f t="shared" si="87"/>
        <v>0</v>
      </c>
      <c r="IM18" s="15">
        <f t="shared" si="129"/>
        <v>35750000</v>
      </c>
      <c r="IN18" s="15">
        <f t="shared" si="88"/>
        <v>35750000</v>
      </c>
      <c r="IO18" s="15">
        <f t="shared" si="88"/>
        <v>35750000</v>
      </c>
      <c r="IP18" s="15">
        <f t="shared" si="88"/>
        <v>35750000</v>
      </c>
      <c r="IQ18" s="15">
        <f t="shared" si="88"/>
        <v>35750000</v>
      </c>
      <c r="IR18" s="15">
        <f t="shared" si="88"/>
        <v>35750000</v>
      </c>
      <c r="IS18" s="15">
        <f t="shared" si="88"/>
        <v>35750000</v>
      </c>
      <c r="IT18" s="15">
        <f t="shared" si="88"/>
        <v>35750000</v>
      </c>
      <c r="IU18" s="15">
        <f t="shared" si="88"/>
        <v>35750000</v>
      </c>
      <c r="IV18" s="15">
        <f t="shared" si="88"/>
        <v>35750000</v>
      </c>
      <c r="IW18" s="15">
        <f t="shared" si="88"/>
        <v>35750000</v>
      </c>
      <c r="IX18" s="15">
        <f t="shared" si="88"/>
        <v>35750000</v>
      </c>
      <c r="IY18" s="15">
        <f t="shared" si="88"/>
        <v>0</v>
      </c>
      <c r="IZ18" s="15">
        <f t="shared" si="88"/>
        <v>0</v>
      </c>
      <c r="JA18" s="15">
        <f t="shared" si="88"/>
        <v>0</v>
      </c>
      <c r="JB18" s="15">
        <f t="shared" si="88"/>
        <v>0</v>
      </c>
      <c r="JC18" s="15">
        <f t="shared" si="88"/>
        <v>0</v>
      </c>
      <c r="JD18" s="15">
        <f t="shared" si="89"/>
        <v>0</v>
      </c>
      <c r="JE18" s="15">
        <f t="shared" si="89"/>
        <v>0</v>
      </c>
      <c r="JF18" s="15">
        <f t="shared" si="89"/>
        <v>0</v>
      </c>
      <c r="JG18" s="15">
        <f t="shared" si="89"/>
        <v>0</v>
      </c>
      <c r="JH18" s="15">
        <f t="shared" si="89"/>
        <v>0</v>
      </c>
      <c r="JI18" s="15">
        <f t="shared" si="89"/>
        <v>0</v>
      </c>
      <c r="JJ18" s="15">
        <f t="shared" si="89"/>
        <v>0</v>
      </c>
      <c r="JK18" s="15">
        <f t="shared" si="89"/>
        <v>0</v>
      </c>
      <c r="JL18" s="15">
        <f t="shared" si="89"/>
        <v>0</v>
      </c>
      <c r="JM18" s="15">
        <f t="shared" si="89"/>
        <v>0</v>
      </c>
      <c r="JN18" s="15">
        <f t="shared" si="89"/>
        <v>0</v>
      </c>
      <c r="JO18" s="15">
        <f t="shared" si="89"/>
        <v>0</v>
      </c>
      <c r="JP18" s="15">
        <f t="shared" si="89"/>
        <v>0</v>
      </c>
      <c r="JR18" s="15">
        <f t="shared" si="130"/>
        <v>35750000</v>
      </c>
      <c r="JS18" s="15">
        <f t="shared" si="90"/>
        <v>35750000</v>
      </c>
      <c r="JT18" s="15">
        <f t="shared" si="90"/>
        <v>35750000</v>
      </c>
      <c r="JU18" s="15">
        <f t="shared" si="90"/>
        <v>35750000</v>
      </c>
      <c r="JV18" s="15">
        <f t="shared" si="90"/>
        <v>35750000</v>
      </c>
      <c r="JW18" s="15">
        <f t="shared" si="90"/>
        <v>35750000</v>
      </c>
      <c r="JX18" s="15">
        <f t="shared" si="90"/>
        <v>35750000</v>
      </c>
      <c r="JY18" s="15">
        <f t="shared" si="90"/>
        <v>35750000</v>
      </c>
      <c r="JZ18" s="15">
        <f t="shared" si="90"/>
        <v>35750000</v>
      </c>
      <c r="KA18" s="15">
        <f t="shared" si="90"/>
        <v>35750000</v>
      </c>
      <c r="KB18" s="15">
        <f t="shared" si="90"/>
        <v>35750000</v>
      </c>
      <c r="KC18" s="15">
        <f t="shared" si="90"/>
        <v>35750000</v>
      </c>
      <c r="KD18" s="15">
        <f t="shared" si="90"/>
        <v>0</v>
      </c>
      <c r="KE18" s="15">
        <f t="shared" si="90"/>
        <v>0</v>
      </c>
      <c r="KF18" s="15">
        <f t="shared" si="90"/>
        <v>0</v>
      </c>
      <c r="KG18" s="15">
        <f t="shared" si="90"/>
        <v>0</v>
      </c>
      <c r="KH18" s="15">
        <f t="shared" si="90"/>
        <v>0</v>
      </c>
      <c r="KI18" s="15">
        <f t="shared" si="90"/>
        <v>0</v>
      </c>
      <c r="KJ18" s="15">
        <f t="shared" si="90"/>
        <v>0</v>
      </c>
      <c r="KK18" s="15">
        <f t="shared" si="90"/>
        <v>0</v>
      </c>
      <c r="KL18" s="15">
        <f t="shared" si="90"/>
        <v>0</v>
      </c>
      <c r="KM18" s="15">
        <f t="shared" si="90"/>
        <v>0</v>
      </c>
      <c r="KN18" s="15">
        <f t="shared" si="90"/>
        <v>0</v>
      </c>
      <c r="KO18" s="15">
        <f t="shared" si="90"/>
        <v>0</v>
      </c>
      <c r="KP18" s="15">
        <f t="shared" si="90"/>
        <v>0</v>
      </c>
      <c r="KQ18" s="15">
        <f t="shared" si="90"/>
        <v>0</v>
      </c>
      <c r="KR18" s="15">
        <f t="shared" si="90"/>
        <v>0</v>
      </c>
      <c r="KS18" s="15">
        <f t="shared" si="90"/>
        <v>0</v>
      </c>
      <c r="KT18" s="15">
        <f t="shared" si="90"/>
        <v>0</v>
      </c>
      <c r="KU18" s="15">
        <f t="shared" si="90"/>
        <v>0</v>
      </c>
      <c r="KW18" s="15">
        <f t="shared" si="131"/>
        <v>35750000</v>
      </c>
      <c r="KX18" s="15">
        <f t="shared" si="91"/>
        <v>35750000</v>
      </c>
      <c r="KY18" s="15">
        <f t="shared" si="91"/>
        <v>35750000</v>
      </c>
      <c r="KZ18" s="15">
        <f t="shared" si="91"/>
        <v>35750000</v>
      </c>
      <c r="LA18" s="15">
        <f t="shared" si="91"/>
        <v>35750000</v>
      </c>
      <c r="LB18" s="15">
        <f t="shared" si="91"/>
        <v>35750000</v>
      </c>
      <c r="LC18" s="15">
        <f t="shared" si="91"/>
        <v>35750000</v>
      </c>
      <c r="LD18" s="15">
        <f t="shared" si="91"/>
        <v>35750000</v>
      </c>
      <c r="LE18" s="15">
        <f t="shared" si="91"/>
        <v>35750000</v>
      </c>
      <c r="LF18" s="15">
        <f t="shared" si="91"/>
        <v>35750000</v>
      </c>
      <c r="LG18" s="15">
        <f t="shared" si="91"/>
        <v>35750000</v>
      </c>
      <c r="LH18" s="15">
        <f t="shared" si="91"/>
        <v>35750000</v>
      </c>
      <c r="LI18" s="15">
        <f t="shared" si="91"/>
        <v>0</v>
      </c>
      <c r="LJ18" s="15">
        <f t="shared" si="91"/>
        <v>0</v>
      </c>
      <c r="LK18" s="15">
        <f t="shared" si="91"/>
        <v>0</v>
      </c>
      <c r="LL18" s="15">
        <f t="shared" si="91"/>
        <v>0</v>
      </c>
      <c r="LM18" s="15">
        <f t="shared" si="91"/>
        <v>0</v>
      </c>
      <c r="LN18" s="15">
        <f t="shared" si="92"/>
        <v>0</v>
      </c>
      <c r="LO18" s="15">
        <f t="shared" si="92"/>
        <v>0</v>
      </c>
      <c r="LP18" s="15">
        <f t="shared" si="92"/>
        <v>0</v>
      </c>
      <c r="LQ18" s="15">
        <f t="shared" si="92"/>
        <v>0</v>
      </c>
      <c r="LR18" s="15">
        <f t="shared" si="92"/>
        <v>0</v>
      </c>
      <c r="LS18" s="15">
        <f t="shared" si="92"/>
        <v>0</v>
      </c>
      <c r="LT18" s="15">
        <f t="shared" si="92"/>
        <v>0</v>
      </c>
      <c r="LU18" s="15">
        <f t="shared" si="92"/>
        <v>0</v>
      </c>
      <c r="LV18" s="15">
        <f t="shared" si="92"/>
        <v>0</v>
      </c>
      <c r="LW18" s="15">
        <f t="shared" si="92"/>
        <v>0</v>
      </c>
      <c r="LX18" s="15">
        <f t="shared" si="92"/>
        <v>0</v>
      </c>
      <c r="LY18" s="15">
        <f t="shared" si="92"/>
        <v>0</v>
      </c>
      <c r="LZ18" s="15">
        <f t="shared" si="92"/>
        <v>0</v>
      </c>
      <c r="MB18" s="15">
        <f t="shared" si="132"/>
        <v>35750000</v>
      </c>
      <c r="MC18" s="15">
        <f t="shared" si="93"/>
        <v>35750000</v>
      </c>
      <c r="MD18" s="15">
        <f t="shared" si="93"/>
        <v>35750000</v>
      </c>
      <c r="ME18" s="15">
        <f t="shared" si="93"/>
        <v>35750000</v>
      </c>
      <c r="MF18" s="15">
        <f t="shared" si="93"/>
        <v>35750000</v>
      </c>
      <c r="MG18" s="15">
        <f t="shared" si="93"/>
        <v>35750000</v>
      </c>
      <c r="MH18" s="15">
        <f t="shared" si="93"/>
        <v>35750000</v>
      </c>
      <c r="MI18" s="15">
        <f t="shared" si="93"/>
        <v>35750000</v>
      </c>
      <c r="MJ18" s="15">
        <f t="shared" si="93"/>
        <v>35750000</v>
      </c>
      <c r="MK18" s="15">
        <f t="shared" si="93"/>
        <v>35750000</v>
      </c>
      <c r="ML18" s="15">
        <f t="shared" si="93"/>
        <v>35750000</v>
      </c>
      <c r="MM18" s="15">
        <f t="shared" si="93"/>
        <v>35750000</v>
      </c>
      <c r="MN18" s="15">
        <f t="shared" si="93"/>
        <v>0</v>
      </c>
      <c r="MO18" s="15">
        <f t="shared" si="93"/>
        <v>0</v>
      </c>
      <c r="MP18" s="15">
        <f t="shared" si="93"/>
        <v>0</v>
      </c>
      <c r="MQ18" s="15">
        <f t="shared" si="93"/>
        <v>0</v>
      </c>
      <c r="MR18" s="15">
        <f t="shared" si="93"/>
        <v>0</v>
      </c>
      <c r="MS18" s="15">
        <f t="shared" si="94"/>
        <v>0</v>
      </c>
      <c r="MT18" s="15">
        <f t="shared" si="94"/>
        <v>0</v>
      </c>
      <c r="MU18" s="15">
        <f t="shared" si="94"/>
        <v>0</v>
      </c>
      <c r="MV18" s="15">
        <f t="shared" si="94"/>
        <v>0</v>
      </c>
      <c r="MW18" s="15">
        <f t="shared" si="94"/>
        <v>0</v>
      </c>
      <c r="MX18" s="15">
        <f t="shared" si="94"/>
        <v>0</v>
      </c>
      <c r="MY18" s="15">
        <f t="shared" si="94"/>
        <v>0</v>
      </c>
      <c r="MZ18" s="15">
        <f t="shared" si="94"/>
        <v>0</v>
      </c>
      <c r="NA18" s="15">
        <f t="shared" si="94"/>
        <v>0</v>
      </c>
      <c r="NB18" s="15">
        <f t="shared" si="94"/>
        <v>0</v>
      </c>
      <c r="NC18" s="15">
        <f t="shared" si="94"/>
        <v>0</v>
      </c>
      <c r="ND18" s="15">
        <f t="shared" si="94"/>
        <v>0</v>
      </c>
      <c r="NE18" s="15">
        <f t="shared" si="94"/>
        <v>0</v>
      </c>
    </row>
    <row r="19" spans="1:369" s="16" customFormat="1" ht="3.75" customHeight="1" x14ac:dyDescent="0.25">
      <c r="A19"/>
      <c r="B19"/>
      <c r="C19" s="19"/>
      <c r="F19" s="223"/>
      <c r="G19" s="29"/>
      <c r="H19" s="29"/>
      <c r="I19" s="29"/>
      <c r="J19" s="29"/>
      <c r="K19" s="223"/>
      <c r="L19" s="29"/>
      <c r="M19" s="29"/>
      <c r="N19" s="29"/>
      <c r="O19" s="29"/>
      <c r="P19" s="223"/>
      <c r="Q19" s="29"/>
      <c r="R19" s="29"/>
      <c r="S19" s="29"/>
      <c r="T19" s="29"/>
      <c r="U19" s="223"/>
      <c r="V19" s="29"/>
      <c r="W19" s="29"/>
      <c r="X19" s="29"/>
      <c r="Y19" s="29"/>
      <c r="Z19" s="223"/>
      <c r="AA19" s="29"/>
      <c r="AB19" s="29"/>
      <c r="AC19" s="29"/>
      <c r="AD19" s="29"/>
      <c r="AE19" s="223"/>
      <c r="AF19" s="29"/>
      <c r="AG19" s="29"/>
      <c r="AH19" s="29"/>
      <c r="AI19" s="29"/>
      <c r="AJ19" s="223"/>
      <c r="AK19" s="29"/>
      <c r="AL19" s="29"/>
      <c r="AM19" s="29"/>
      <c r="AN19" s="29"/>
      <c r="AO19" s="223"/>
      <c r="AP19" s="29"/>
      <c r="AQ19" s="29"/>
      <c r="AR19" s="29"/>
      <c r="AS19" s="29"/>
      <c r="AT19" s="223"/>
      <c r="AU19" s="29"/>
      <c r="AV19" s="29"/>
      <c r="AW19" s="29"/>
      <c r="AX19" s="29"/>
      <c r="AY19" s="223"/>
      <c r="AZ19" s="29"/>
      <c r="BA19" s="29"/>
      <c r="BB19" s="29"/>
      <c r="BC19" s="29"/>
      <c r="BD19" s="223"/>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M19" s="29"/>
      <c r="IN19" s="29"/>
      <c r="IO19" s="29"/>
      <c r="IP19" s="29"/>
      <c r="IQ19" s="29"/>
      <c r="IR19" s="29"/>
      <c r="IS19" s="29"/>
      <c r="IT19" s="29"/>
      <c r="IU19" s="29"/>
      <c r="IV19" s="29"/>
      <c r="IW19" s="29"/>
      <c r="IX19" s="29"/>
      <c r="IY19" s="29"/>
      <c r="IZ19" s="29"/>
      <c r="JA19" s="29"/>
      <c r="JB19" s="29"/>
      <c r="JC19" s="29"/>
      <c r="JD19" s="29"/>
      <c r="JE19" s="29"/>
      <c r="JF19" s="29"/>
      <c r="JG19" s="29"/>
      <c r="JH19" s="29"/>
      <c r="JI19" s="29"/>
      <c r="JJ19" s="29"/>
      <c r="JK19" s="29"/>
      <c r="JL19" s="29"/>
      <c r="JM19" s="29"/>
      <c r="JN19" s="29"/>
      <c r="JO19" s="29"/>
      <c r="JP19" s="29"/>
      <c r="JR19" s="29"/>
      <c r="JS19" s="29"/>
      <c r="JT19" s="29"/>
      <c r="JU19" s="29"/>
      <c r="JV19" s="29"/>
      <c r="JW19" s="29"/>
      <c r="JX19" s="29"/>
      <c r="JY19" s="29"/>
      <c r="JZ19" s="29"/>
      <c r="KA19" s="29"/>
      <c r="KB19" s="29"/>
      <c r="KC19" s="29"/>
      <c r="KD19" s="29"/>
      <c r="KE19" s="29"/>
      <c r="KF19" s="29"/>
      <c r="KG19" s="29"/>
      <c r="KH19" s="29"/>
      <c r="KI19" s="29"/>
      <c r="KJ19" s="29"/>
      <c r="KK19" s="29"/>
      <c r="KL19" s="29"/>
      <c r="KM19" s="29"/>
      <c r="KN19" s="29"/>
      <c r="KO19" s="29"/>
      <c r="KP19" s="29"/>
      <c r="KQ19" s="29"/>
      <c r="KR19" s="29"/>
      <c r="KS19" s="29"/>
      <c r="KT19" s="29"/>
      <c r="KU19" s="29"/>
      <c r="KW19" s="29"/>
      <c r="KX19" s="29"/>
      <c r="KY19" s="29"/>
      <c r="KZ19" s="29"/>
      <c r="LA19" s="29"/>
      <c r="LB19" s="29"/>
      <c r="LC19" s="29"/>
      <c r="LD19" s="29"/>
      <c r="LE19" s="29"/>
      <c r="LF19" s="29"/>
      <c r="LG19" s="29"/>
      <c r="LH19" s="29"/>
      <c r="LI19" s="29"/>
      <c r="LJ19" s="29"/>
      <c r="LK19" s="29"/>
      <c r="LL19" s="29"/>
      <c r="LM19" s="29"/>
      <c r="LN19" s="29"/>
      <c r="LO19" s="29"/>
      <c r="LP19" s="29"/>
      <c r="LQ19" s="29"/>
      <c r="LR19" s="29"/>
      <c r="LS19" s="29"/>
      <c r="LT19" s="29"/>
      <c r="LU19" s="29"/>
      <c r="LV19" s="29"/>
      <c r="LW19" s="29"/>
      <c r="LX19" s="29"/>
      <c r="LY19" s="29"/>
      <c r="LZ19" s="29"/>
      <c r="MB19" s="29"/>
      <c r="MC19" s="29"/>
      <c r="MD19" s="29"/>
      <c r="ME19" s="29"/>
      <c r="MF19" s="29"/>
      <c r="MG19" s="29"/>
      <c r="MH19" s="29"/>
      <c r="MI19" s="29"/>
      <c r="MJ19" s="29"/>
      <c r="MK19" s="29"/>
      <c r="ML19" s="29"/>
      <c r="MM19" s="29"/>
      <c r="MN19" s="29"/>
      <c r="MO19" s="29"/>
      <c r="MP19" s="29"/>
      <c r="MQ19" s="29"/>
      <c r="MR19" s="29"/>
      <c r="MS19" s="29"/>
      <c r="MT19" s="29"/>
      <c r="MU19" s="29"/>
      <c r="MV19" s="29"/>
      <c r="MW19" s="29"/>
      <c r="MX19" s="29"/>
      <c r="MY19" s="29"/>
      <c r="MZ19" s="29"/>
      <c r="NA19" s="29"/>
      <c r="NB19" s="29"/>
      <c r="NC19" s="29"/>
      <c r="ND19" s="29"/>
      <c r="NE19" s="29"/>
    </row>
    <row r="20" spans="1:369" s="1" customFormat="1" x14ac:dyDescent="0.25">
      <c r="A20" t="s">
        <v>481</v>
      </c>
      <c r="B20"/>
      <c r="C20" s="37" t="s">
        <v>57</v>
      </c>
      <c r="D20" s="230" t="s">
        <v>32</v>
      </c>
      <c r="E20" s="26"/>
      <c r="F20" s="220"/>
      <c r="G20" s="140"/>
      <c r="H20" s="30"/>
      <c r="I20" s="30">
        <f>SUM(I21:I33)</f>
        <v>38110800000</v>
      </c>
      <c r="J20" s="30">
        <f>SUM(J21:J33)</f>
        <v>3175900000</v>
      </c>
      <c r="K20" s="220"/>
      <c r="L20" s="140"/>
      <c r="M20" s="140"/>
      <c r="N20" s="30">
        <f>SUM(N21:N33)</f>
        <v>38110800000</v>
      </c>
      <c r="O20" s="30">
        <f>SUM(O21:O33)</f>
        <v>3175900000</v>
      </c>
      <c r="P20" s="220"/>
      <c r="Q20" s="140"/>
      <c r="R20" s="140"/>
      <c r="S20" s="30">
        <f>SUM(S21:S33)</f>
        <v>38110800000</v>
      </c>
      <c r="T20" s="30">
        <f>SUM(T21:T33)</f>
        <v>3175900000</v>
      </c>
      <c r="U20" s="220"/>
      <c r="V20" s="140"/>
      <c r="W20" s="140"/>
      <c r="X20" s="30">
        <f>SUM(X21:X33)</f>
        <v>38110800000</v>
      </c>
      <c r="Y20" s="30">
        <f>SUM(Y21:Y33)</f>
        <v>3175900000</v>
      </c>
      <c r="Z20" s="220"/>
      <c r="AA20" s="140"/>
      <c r="AB20" s="140"/>
      <c r="AC20" s="30">
        <f>SUM(AC21:AC33)</f>
        <v>38110800000</v>
      </c>
      <c r="AD20" s="30">
        <f>SUM(AD21:AD33)</f>
        <v>3175900000</v>
      </c>
      <c r="AE20" s="220"/>
      <c r="AF20" s="140"/>
      <c r="AG20" s="140"/>
      <c r="AH20" s="30">
        <f>SUM(AH21:AH33)</f>
        <v>38110800000</v>
      </c>
      <c r="AI20" s="30">
        <f>SUM(AI21:AI33)</f>
        <v>3175900000</v>
      </c>
      <c r="AJ20" s="220"/>
      <c r="AK20" s="140"/>
      <c r="AL20" s="140"/>
      <c r="AM20" s="30">
        <f>SUM(AM21:AM33)</f>
        <v>38110800000</v>
      </c>
      <c r="AN20" s="30">
        <f>SUM(AN21:AN33)</f>
        <v>3175900000</v>
      </c>
      <c r="AO20" s="220"/>
      <c r="AP20" s="140"/>
      <c r="AQ20" s="140"/>
      <c r="AR20" s="30">
        <f>SUM(AR21:AR33)</f>
        <v>38110800000</v>
      </c>
      <c r="AS20" s="30">
        <f>SUM(AS21:AS33)</f>
        <v>3175900000</v>
      </c>
      <c r="AT20" s="220"/>
      <c r="AU20" s="140"/>
      <c r="AV20" s="140"/>
      <c r="AW20" s="30">
        <f>SUM(AW21:AW33)</f>
        <v>38110800000</v>
      </c>
      <c r="AX20" s="30">
        <f>SUM(AX21:AX33)</f>
        <v>3175900000</v>
      </c>
      <c r="AY20" s="220"/>
      <c r="AZ20" s="140"/>
      <c r="BA20" s="140"/>
      <c r="BB20" s="30">
        <f>SUM(BB21:BB33)</f>
        <v>38110800000</v>
      </c>
      <c r="BC20" s="30">
        <f>SUM(BC21:BC33)</f>
        <v>3175900000</v>
      </c>
      <c r="BD20" s="220"/>
      <c r="BI20" s="30">
        <f t="shared" ref="BI20:CL20" si="135">SUM(BI21:BI33)</f>
        <v>3175900000</v>
      </c>
      <c r="BJ20" s="30">
        <f t="shared" si="135"/>
        <v>3175900000</v>
      </c>
      <c r="BK20" s="30">
        <f t="shared" si="135"/>
        <v>3175900000</v>
      </c>
      <c r="BL20" s="30">
        <f t="shared" si="135"/>
        <v>3175900000</v>
      </c>
      <c r="BM20" s="30">
        <f t="shared" si="135"/>
        <v>3175900000</v>
      </c>
      <c r="BN20" s="30">
        <f t="shared" si="135"/>
        <v>3175900000</v>
      </c>
      <c r="BO20" s="30">
        <f t="shared" si="135"/>
        <v>3175900000</v>
      </c>
      <c r="BP20" s="30">
        <f t="shared" si="135"/>
        <v>3175900000</v>
      </c>
      <c r="BQ20" s="30">
        <f t="shared" si="135"/>
        <v>3175900000</v>
      </c>
      <c r="BR20" s="30">
        <f t="shared" si="135"/>
        <v>3175900000</v>
      </c>
      <c r="BS20" s="30">
        <f t="shared" si="135"/>
        <v>3175900000</v>
      </c>
      <c r="BT20" s="30">
        <f t="shared" si="135"/>
        <v>3175900000</v>
      </c>
      <c r="BU20" s="30">
        <f t="shared" si="135"/>
        <v>0</v>
      </c>
      <c r="BV20" s="30">
        <f t="shared" si="135"/>
        <v>0</v>
      </c>
      <c r="BW20" s="30">
        <f t="shared" si="135"/>
        <v>0</v>
      </c>
      <c r="BX20" s="30">
        <f t="shared" si="135"/>
        <v>0</v>
      </c>
      <c r="BY20" s="30">
        <f t="shared" si="135"/>
        <v>0</v>
      </c>
      <c r="BZ20" s="30">
        <f t="shared" si="135"/>
        <v>0</v>
      </c>
      <c r="CA20" s="30">
        <f t="shared" si="135"/>
        <v>0</v>
      </c>
      <c r="CB20" s="30">
        <f t="shared" si="135"/>
        <v>0</v>
      </c>
      <c r="CC20" s="30">
        <f t="shared" si="135"/>
        <v>0</v>
      </c>
      <c r="CD20" s="30">
        <f t="shared" si="135"/>
        <v>0</v>
      </c>
      <c r="CE20" s="30">
        <f t="shared" si="135"/>
        <v>0</v>
      </c>
      <c r="CF20" s="30">
        <f t="shared" si="135"/>
        <v>0</v>
      </c>
      <c r="CG20" s="30">
        <f t="shared" si="135"/>
        <v>0</v>
      </c>
      <c r="CH20" s="30">
        <f t="shared" si="135"/>
        <v>0</v>
      </c>
      <c r="CI20" s="30">
        <f t="shared" si="135"/>
        <v>0</v>
      </c>
      <c r="CJ20" s="30">
        <f t="shared" si="135"/>
        <v>0</v>
      </c>
      <c r="CK20" s="30">
        <f t="shared" si="135"/>
        <v>0</v>
      </c>
      <c r="CL20" s="30">
        <f t="shared" si="135"/>
        <v>0</v>
      </c>
      <c r="CN20" s="30">
        <f t="shared" ref="CN20" si="136">SUM(CN21:CN33)</f>
        <v>3175900000</v>
      </c>
      <c r="CO20" s="30">
        <f t="shared" ref="CO20" si="137">SUM(CO21:CO33)</f>
        <v>3175900000</v>
      </c>
      <c r="CP20" s="30">
        <f t="shared" ref="CP20" si="138">SUM(CP21:CP33)</f>
        <v>3175900000</v>
      </c>
      <c r="CQ20" s="30">
        <f t="shared" ref="CQ20" si="139">SUM(CQ21:CQ33)</f>
        <v>3175900000</v>
      </c>
      <c r="CR20" s="30">
        <f t="shared" ref="CR20" si="140">SUM(CR21:CR33)</f>
        <v>3175900000</v>
      </c>
      <c r="CS20" s="30">
        <f t="shared" ref="CS20" si="141">SUM(CS21:CS33)</f>
        <v>3175900000</v>
      </c>
      <c r="CT20" s="30">
        <f t="shared" ref="CT20" si="142">SUM(CT21:CT33)</f>
        <v>3175900000</v>
      </c>
      <c r="CU20" s="30">
        <f t="shared" ref="CU20" si="143">SUM(CU21:CU33)</f>
        <v>3175900000</v>
      </c>
      <c r="CV20" s="30">
        <f t="shared" ref="CV20" si="144">SUM(CV21:CV33)</f>
        <v>3175900000</v>
      </c>
      <c r="CW20" s="30">
        <f t="shared" ref="CW20" si="145">SUM(CW21:CW33)</f>
        <v>3175900000</v>
      </c>
      <c r="CX20" s="30">
        <f t="shared" ref="CX20" si="146">SUM(CX21:CX33)</f>
        <v>3175900000</v>
      </c>
      <c r="CY20" s="30">
        <f t="shared" ref="CY20" si="147">SUM(CY21:CY33)</f>
        <v>3175900000</v>
      </c>
      <c r="CZ20" s="30">
        <f t="shared" ref="CZ20" si="148">SUM(CZ21:CZ33)</f>
        <v>0</v>
      </c>
      <c r="DA20" s="30">
        <f t="shared" ref="DA20" si="149">SUM(DA21:DA33)</f>
        <v>0</v>
      </c>
      <c r="DB20" s="30">
        <f t="shared" ref="DB20" si="150">SUM(DB21:DB33)</f>
        <v>0</v>
      </c>
      <c r="DC20" s="30">
        <f t="shared" ref="DC20" si="151">SUM(DC21:DC33)</f>
        <v>0</v>
      </c>
      <c r="DD20" s="30">
        <f t="shared" ref="DD20" si="152">SUM(DD21:DD33)</f>
        <v>0</v>
      </c>
      <c r="DE20" s="30">
        <f t="shared" ref="DE20" si="153">SUM(DE21:DE33)</f>
        <v>0</v>
      </c>
      <c r="DF20" s="30">
        <f t="shared" ref="DF20" si="154">SUM(DF21:DF33)</f>
        <v>0</v>
      </c>
      <c r="DG20" s="30">
        <f t="shared" ref="DG20" si="155">SUM(DG21:DG33)</f>
        <v>0</v>
      </c>
      <c r="DH20" s="30">
        <f t="shared" ref="DH20" si="156">SUM(DH21:DH33)</f>
        <v>0</v>
      </c>
      <c r="DI20" s="30">
        <f t="shared" ref="DI20" si="157">SUM(DI21:DI33)</f>
        <v>0</v>
      </c>
      <c r="DJ20" s="30">
        <f t="shared" ref="DJ20" si="158">SUM(DJ21:DJ33)</f>
        <v>0</v>
      </c>
      <c r="DK20" s="30">
        <f t="shared" ref="DK20" si="159">SUM(DK21:DK33)</f>
        <v>0</v>
      </c>
      <c r="DL20" s="30">
        <f t="shared" ref="DL20" si="160">SUM(DL21:DL33)</f>
        <v>0</v>
      </c>
      <c r="DM20" s="30">
        <f t="shared" ref="DM20" si="161">SUM(DM21:DM33)</f>
        <v>0</v>
      </c>
      <c r="DN20" s="30">
        <f t="shared" ref="DN20" si="162">SUM(DN21:DN33)</f>
        <v>0</v>
      </c>
      <c r="DO20" s="30">
        <f t="shared" ref="DO20" si="163">SUM(DO21:DO33)</f>
        <v>0</v>
      </c>
      <c r="DP20" s="30">
        <f t="shared" ref="DP20" si="164">SUM(DP21:DP33)</f>
        <v>0</v>
      </c>
      <c r="DQ20" s="30">
        <f t="shared" ref="DQ20" si="165">SUM(DQ21:DQ33)</f>
        <v>0</v>
      </c>
      <c r="DS20" s="30">
        <f t="shared" ref="DS20:EV20" si="166">SUM(DS21:DS33)</f>
        <v>3175900000</v>
      </c>
      <c r="DT20" s="30">
        <f t="shared" si="166"/>
        <v>3175900000</v>
      </c>
      <c r="DU20" s="30">
        <f t="shared" si="166"/>
        <v>3175900000</v>
      </c>
      <c r="DV20" s="30">
        <f t="shared" si="166"/>
        <v>3175900000</v>
      </c>
      <c r="DW20" s="30">
        <f t="shared" si="166"/>
        <v>3175900000</v>
      </c>
      <c r="DX20" s="30">
        <f t="shared" si="166"/>
        <v>3175900000</v>
      </c>
      <c r="DY20" s="30">
        <f t="shared" si="166"/>
        <v>3175900000</v>
      </c>
      <c r="DZ20" s="30">
        <f t="shared" si="166"/>
        <v>3175900000</v>
      </c>
      <c r="EA20" s="30">
        <f t="shared" si="166"/>
        <v>3175900000</v>
      </c>
      <c r="EB20" s="30">
        <f t="shared" si="166"/>
        <v>3175900000</v>
      </c>
      <c r="EC20" s="30">
        <f t="shared" si="166"/>
        <v>3175900000</v>
      </c>
      <c r="ED20" s="30">
        <f t="shared" si="166"/>
        <v>3175900000</v>
      </c>
      <c r="EE20" s="30">
        <f t="shared" si="166"/>
        <v>0</v>
      </c>
      <c r="EF20" s="30">
        <f t="shared" si="166"/>
        <v>0</v>
      </c>
      <c r="EG20" s="30">
        <f t="shared" si="166"/>
        <v>0</v>
      </c>
      <c r="EH20" s="30">
        <f t="shared" si="166"/>
        <v>0</v>
      </c>
      <c r="EI20" s="30">
        <f t="shared" si="166"/>
        <v>0</v>
      </c>
      <c r="EJ20" s="30">
        <f t="shared" si="166"/>
        <v>0</v>
      </c>
      <c r="EK20" s="30">
        <f t="shared" si="166"/>
        <v>0</v>
      </c>
      <c r="EL20" s="30">
        <f t="shared" si="166"/>
        <v>0</v>
      </c>
      <c r="EM20" s="30">
        <f t="shared" si="166"/>
        <v>0</v>
      </c>
      <c r="EN20" s="30">
        <f t="shared" si="166"/>
        <v>0</v>
      </c>
      <c r="EO20" s="30">
        <f t="shared" si="166"/>
        <v>0</v>
      </c>
      <c r="EP20" s="30">
        <f t="shared" si="166"/>
        <v>0</v>
      </c>
      <c r="EQ20" s="30">
        <f t="shared" si="166"/>
        <v>0</v>
      </c>
      <c r="ER20" s="30">
        <f t="shared" si="166"/>
        <v>0</v>
      </c>
      <c r="ES20" s="30">
        <f t="shared" si="166"/>
        <v>0</v>
      </c>
      <c r="ET20" s="30">
        <f t="shared" si="166"/>
        <v>0</v>
      </c>
      <c r="EU20" s="30">
        <f t="shared" si="166"/>
        <v>0</v>
      </c>
      <c r="EV20" s="30">
        <f t="shared" si="166"/>
        <v>0</v>
      </c>
      <c r="EX20" s="30">
        <f t="shared" ref="EX20:GA20" si="167">SUM(EX21:EX33)</f>
        <v>3175900000</v>
      </c>
      <c r="EY20" s="30">
        <f t="shared" si="167"/>
        <v>3175900000</v>
      </c>
      <c r="EZ20" s="30">
        <f t="shared" si="167"/>
        <v>3175900000</v>
      </c>
      <c r="FA20" s="30">
        <f t="shared" si="167"/>
        <v>3175900000</v>
      </c>
      <c r="FB20" s="30">
        <f t="shared" si="167"/>
        <v>3175900000</v>
      </c>
      <c r="FC20" s="30">
        <f t="shared" si="167"/>
        <v>3175900000</v>
      </c>
      <c r="FD20" s="30">
        <f t="shared" si="167"/>
        <v>3175900000</v>
      </c>
      <c r="FE20" s="30">
        <f t="shared" si="167"/>
        <v>3175900000</v>
      </c>
      <c r="FF20" s="30">
        <f t="shared" si="167"/>
        <v>3175900000</v>
      </c>
      <c r="FG20" s="30">
        <f t="shared" si="167"/>
        <v>3175900000</v>
      </c>
      <c r="FH20" s="30">
        <f t="shared" si="167"/>
        <v>3175900000</v>
      </c>
      <c r="FI20" s="30">
        <f t="shared" si="167"/>
        <v>3175900000</v>
      </c>
      <c r="FJ20" s="30">
        <f t="shared" si="167"/>
        <v>0</v>
      </c>
      <c r="FK20" s="30">
        <f t="shared" si="167"/>
        <v>0</v>
      </c>
      <c r="FL20" s="30">
        <f t="shared" si="167"/>
        <v>0</v>
      </c>
      <c r="FM20" s="30">
        <f t="shared" si="167"/>
        <v>0</v>
      </c>
      <c r="FN20" s="30">
        <f t="shared" si="167"/>
        <v>0</v>
      </c>
      <c r="FO20" s="30">
        <f t="shared" si="167"/>
        <v>0</v>
      </c>
      <c r="FP20" s="30">
        <f t="shared" si="167"/>
        <v>0</v>
      </c>
      <c r="FQ20" s="30">
        <f t="shared" si="167"/>
        <v>0</v>
      </c>
      <c r="FR20" s="30">
        <f t="shared" si="167"/>
        <v>0</v>
      </c>
      <c r="FS20" s="30">
        <f t="shared" si="167"/>
        <v>0</v>
      </c>
      <c r="FT20" s="30">
        <f t="shared" si="167"/>
        <v>0</v>
      </c>
      <c r="FU20" s="30">
        <f t="shared" si="167"/>
        <v>0</v>
      </c>
      <c r="FV20" s="30">
        <f t="shared" si="167"/>
        <v>0</v>
      </c>
      <c r="FW20" s="30">
        <f t="shared" si="167"/>
        <v>0</v>
      </c>
      <c r="FX20" s="30">
        <f t="shared" si="167"/>
        <v>0</v>
      </c>
      <c r="FY20" s="30">
        <f t="shared" si="167"/>
        <v>0</v>
      </c>
      <c r="FZ20" s="30">
        <f t="shared" si="167"/>
        <v>0</v>
      </c>
      <c r="GA20" s="30">
        <f t="shared" si="167"/>
        <v>0</v>
      </c>
      <c r="GC20" s="30">
        <f t="shared" ref="GC20:HF20" si="168">SUM(GC21:GC33)</f>
        <v>3175900000</v>
      </c>
      <c r="GD20" s="30">
        <f t="shared" si="168"/>
        <v>3175900000</v>
      </c>
      <c r="GE20" s="30">
        <f t="shared" si="168"/>
        <v>3175900000</v>
      </c>
      <c r="GF20" s="30">
        <f t="shared" si="168"/>
        <v>3175900000</v>
      </c>
      <c r="GG20" s="30">
        <f t="shared" si="168"/>
        <v>3175900000</v>
      </c>
      <c r="GH20" s="30">
        <f t="shared" si="168"/>
        <v>3175900000</v>
      </c>
      <c r="GI20" s="30">
        <f t="shared" si="168"/>
        <v>3175900000</v>
      </c>
      <c r="GJ20" s="30">
        <f t="shared" si="168"/>
        <v>3175900000</v>
      </c>
      <c r="GK20" s="30">
        <f t="shared" si="168"/>
        <v>3175900000</v>
      </c>
      <c r="GL20" s="30">
        <f t="shared" si="168"/>
        <v>3175900000</v>
      </c>
      <c r="GM20" s="30">
        <f t="shared" si="168"/>
        <v>3175900000</v>
      </c>
      <c r="GN20" s="30">
        <f t="shared" si="168"/>
        <v>3175900000</v>
      </c>
      <c r="GO20" s="30">
        <f t="shared" si="168"/>
        <v>0</v>
      </c>
      <c r="GP20" s="30">
        <f t="shared" si="168"/>
        <v>0</v>
      </c>
      <c r="GQ20" s="30">
        <f t="shared" si="168"/>
        <v>0</v>
      </c>
      <c r="GR20" s="30">
        <f t="shared" si="168"/>
        <v>0</v>
      </c>
      <c r="GS20" s="30">
        <f t="shared" si="168"/>
        <v>0</v>
      </c>
      <c r="GT20" s="30">
        <f t="shared" si="168"/>
        <v>0</v>
      </c>
      <c r="GU20" s="30">
        <f t="shared" si="168"/>
        <v>0</v>
      </c>
      <c r="GV20" s="30">
        <f t="shared" si="168"/>
        <v>0</v>
      </c>
      <c r="GW20" s="30">
        <f t="shared" si="168"/>
        <v>0</v>
      </c>
      <c r="GX20" s="30">
        <f t="shared" si="168"/>
        <v>0</v>
      </c>
      <c r="GY20" s="30">
        <f t="shared" si="168"/>
        <v>0</v>
      </c>
      <c r="GZ20" s="30">
        <f t="shared" si="168"/>
        <v>0</v>
      </c>
      <c r="HA20" s="30">
        <f t="shared" si="168"/>
        <v>0</v>
      </c>
      <c r="HB20" s="30">
        <f t="shared" si="168"/>
        <v>0</v>
      </c>
      <c r="HC20" s="30">
        <f t="shared" si="168"/>
        <v>0</v>
      </c>
      <c r="HD20" s="30">
        <f t="shared" si="168"/>
        <v>0</v>
      </c>
      <c r="HE20" s="30">
        <f t="shared" si="168"/>
        <v>0</v>
      </c>
      <c r="HF20" s="30">
        <f t="shared" si="168"/>
        <v>0</v>
      </c>
      <c r="HH20" s="30">
        <f t="shared" ref="HH20" si="169">SUM(HH21:HH33)</f>
        <v>3175900000</v>
      </c>
      <c r="HI20" s="30">
        <f t="shared" ref="HI20" si="170">SUM(HI21:HI33)</f>
        <v>3175900000</v>
      </c>
      <c r="HJ20" s="30">
        <f t="shared" ref="HJ20" si="171">SUM(HJ21:HJ33)</f>
        <v>3175900000</v>
      </c>
      <c r="HK20" s="30">
        <f t="shared" ref="HK20" si="172">SUM(HK21:HK33)</f>
        <v>3175900000</v>
      </c>
      <c r="HL20" s="30">
        <f t="shared" ref="HL20" si="173">SUM(HL21:HL33)</f>
        <v>3175900000</v>
      </c>
      <c r="HM20" s="30">
        <f t="shared" ref="HM20" si="174">SUM(HM21:HM33)</f>
        <v>3175900000</v>
      </c>
      <c r="HN20" s="30">
        <f t="shared" ref="HN20" si="175">SUM(HN21:HN33)</f>
        <v>3175900000</v>
      </c>
      <c r="HO20" s="30">
        <f t="shared" ref="HO20" si="176">SUM(HO21:HO33)</f>
        <v>3175900000</v>
      </c>
      <c r="HP20" s="30">
        <f t="shared" ref="HP20" si="177">SUM(HP21:HP33)</f>
        <v>3175900000</v>
      </c>
      <c r="HQ20" s="30">
        <f t="shared" ref="HQ20" si="178">SUM(HQ21:HQ33)</f>
        <v>3175900000</v>
      </c>
      <c r="HR20" s="30">
        <f t="shared" ref="HR20" si="179">SUM(HR21:HR33)</f>
        <v>3175900000</v>
      </c>
      <c r="HS20" s="30">
        <f t="shared" ref="HS20" si="180">SUM(HS21:HS33)</f>
        <v>3175900000</v>
      </c>
      <c r="HT20" s="30">
        <f t="shared" ref="HT20" si="181">SUM(HT21:HT33)</f>
        <v>0</v>
      </c>
      <c r="HU20" s="30">
        <f t="shared" ref="HU20" si="182">SUM(HU21:HU33)</f>
        <v>0</v>
      </c>
      <c r="HV20" s="30">
        <f t="shared" ref="HV20" si="183">SUM(HV21:HV33)</f>
        <v>0</v>
      </c>
      <c r="HW20" s="30">
        <f t="shared" ref="HW20" si="184">SUM(HW21:HW33)</f>
        <v>0</v>
      </c>
      <c r="HX20" s="30">
        <f t="shared" ref="HX20" si="185">SUM(HX21:HX33)</f>
        <v>0</v>
      </c>
      <c r="HY20" s="30">
        <f t="shared" ref="HY20" si="186">SUM(HY21:HY33)</f>
        <v>0</v>
      </c>
      <c r="HZ20" s="30">
        <f t="shared" ref="HZ20" si="187">SUM(HZ21:HZ33)</f>
        <v>0</v>
      </c>
      <c r="IA20" s="30">
        <f t="shared" ref="IA20" si="188">SUM(IA21:IA33)</f>
        <v>0</v>
      </c>
      <c r="IB20" s="30">
        <f t="shared" ref="IB20" si="189">SUM(IB21:IB33)</f>
        <v>0</v>
      </c>
      <c r="IC20" s="30">
        <f t="shared" ref="IC20" si="190">SUM(IC21:IC33)</f>
        <v>0</v>
      </c>
      <c r="ID20" s="30">
        <f t="shared" ref="ID20" si="191">SUM(ID21:ID33)</f>
        <v>0</v>
      </c>
      <c r="IE20" s="30">
        <f t="shared" ref="IE20" si="192">SUM(IE21:IE33)</f>
        <v>0</v>
      </c>
      <c r="IF20" s="30">
        <f t="shared" ref="IF20" si="193">SUM(IF21:IF33)</f>
        <v>0</v>
      </c>
      <c r="IG20" s="30">
        <f t="shared" ref="IG20" si="194">SUM(IG21:IG33)</f>
        <v>0</v>
      </c>
      <c r="IH20" s="30">
        <f t="shared" ref="IH20" si="195">SUM(IH21:IH33)</f>
        <v>0</v>
      </c>
      <c r="II20" s="30">
        <f t="shared" ref="II20" si="196">SUM(II21:II33)</f>
        <v>0</v>
      </c>
      <c r="IJ20" s="30">
        <f t="shared" ref="IJ20" si="197">SUM(IJ21:IJ33)</f>
        <v>0</v>
      </c>
      <c r="IK20" s="30">
        <f t="shared" ref="IK20" si="198">SUM(IK21:IK33)</f>
        <v>0</v>
      </c>
      <c r="IM20" s="30">
        <f t="shared" ref="IM20:JP20" si="199">SUM(IM21:IM33)</f>
        <v>3175900000</v>
      </c>
      <c r="IN20" s="30">
        <f t="shared" si="199"/>
        <v>3175900000</v>
      </c>
      <c r="IO20" s="30">
        <f t="shared" si="199"/>
        <v>3175900000</v>
      </c>
      <c r="IP20" s="30">
        <f t="shared" si="199"/>
        <v>3175900000</v>
      </c>
      <c r="IQ20" s="30">
        <f t="shared" si="199"/>
        <v>3175900000</v>
      </c>
      <c r="IR20" s="30">
        <f t="shared" si="199"/>
        <v>3175900000</v>
      </c>
      <c r="IS20" s="30">
        <f t="shared" si="199"/>
        <v>3175900000</v>
      </c>
      <c r="IT20" s="30">
        <f t="shared" si="199"/>
        <v>3175900000</v>
      </c>
      <c r="IU20" s="30">
        <f t="shared" si="199"/>
        <v>3175900000</v>
      </c>
      <c r="IV20" s="30">
        <f t="shared" si="199"/>
        <v>3175900000</v>
      </c>
      <c r="IW20" s="30">
        <f t="shared" si="199"/>
        <v>3175900000</v>
      </c>
      <c r="IX20" s="30">
        <f t="shared" si="199"/>
        <v>3175900000</v>
      </c>
      <c r="IY20" s="30">
        <f t="shared" si="199"/>
        <v>0</v>
      </c>
      <c r="IZ20" s="30">
        <f t="shared" si="199"/>
        <v>0</v>
      </c>
      <c r="JA20" s="30">
        <f t="shared" si="199"/>
        <v>0</v>
      </c>
      <c r="JB20" s="30">
        <f t="shared" si="199"/>
        <v>0</v>
      </c>
      <c r="JC20" s="30">
        <f t="shared" si="199"/>
        <v>0</v>
      </c>
      <c r="JD20" s="30">
        <f t="shared" si="199"/>
        <v>0</v>
      </c>
      <c r="JE20" s="30">
        <f t="shared" si="199"/>
        <v>0</v>
      </c>
      <c r="JF20" s="30">
        <f t="shared" si="199"/>
        <v>0</v>
      </c>
      <c r="JG20" s="30">
        <f t="shared" si="199"/>
        <v>0</v>
      </c>
      <c r="JH20" s="30">
        <f t="shared" si="199"/>
        <v>0</v>
      </c>
      <c r="JI20" s="30">
        <f t="shared" si="199"/>
        <v>0</v>
      </c>
      <c r="JJ20" s="30">
        <f t="shared" si="199"/>
        <v>0</v>
      </c>
      <c r="JK20" s="30">
        <f t="shared" si="199"/>
        <v>0</v>
      </c>
      <c r="JL20" s="30">
        <f t="shared" si="199"/>
        <v>0</v>
      </c>
      <c r="JM20" s="30">
        <f t="shared" si="199"/>
        <v>0</v>
      </c>
      <c r="JN20" s="30">
        <f t="shared" si="199"/>
        <v>0</v>
      </c>
      <c r="JO20" s="30">
        <f t="shared" si="199"/>
        <v>0</v>
      </c>
      <c r="JP20" s="30">
        <f t="shared" si="199"/>
        <v>0</v>
      </c>
      <c r="JR20" s="30">
        <f t="shared" ref="JR20:KU20" si="200">SUM(JR21:JR33)</f>
        <v>3175900000</v>
      </c>
      <c r="JS20" s="30">
        <f t="shared" si="200"/>
        <v>3175900000</v>
      </c>
      <c r="JT20" s="30">
        <f t="shared" si="200"/>
        <v>3175900000</v>
      </c>
      <c r="JU20" s="30">
        <f t="shared" si="200"/>
        <v>3175900000</v>
      </c>
      <c r="JV20" s="30">
        <f t="shared" si="200"/>
        <v>3175900000</v>
      </c>
      <c r="JW20" s="30">
        <f t="shared" si="200"/>
        <v>3175900000</v>
      </c>
      <c r="JX20" s="30">
        <f t="shared" si="200"/>
        <v>3175900000</v>
      </c>
      <c r="JY20" s="30">
        <f t="shared" si="200"/>
        <v>3175900000</v>
      </c>
      <c r="JZ20" s="30">
        <f t="shared" si="200"/>
        <v>3175900000</v>
      </c>
      <c r="KA20" s="30">
        <f t="shared" si="200"/>
        <v>3175900000</v>
      </c>
      <c r="KB20" s="30">
        <f t="shared" si="200"/>
        <v>3175900000</v>
      </c>
      <c r="KC20" s="30">
        <f t="shared" si="200"/>
        <v>3175900000</v>
      </c>
      <c r="KD20" s="30">
        <f t="shared" si="200"/>
        <v>0</v>
      </c>
      <c r="KE20" s="30">
        <f t="shared" si="200"/>
        <v>0</v>
      </c>
      <c r="KF20" s="30">
        <f t="shared" si="200"/>
        <v>0</v>
      </c>
      <c r="KG20" s="30">
        <f t="shared" si="200"/>
        <v>0</v>
      </c>
      <c r="KH20" s="30">
        <f t="shared" si="200"/>
        <v>0</v>
      </c>
      <c r="KI20" s="30">
        <f t="shared" si="200"/>
        <v>0</v>
      </c>
      <c r="KJ20" s="30">
        <f t="shared" si="200"/>
        <v>0</v>
      </c>
      <c r="KK20" s="30">
        <f t="shared" si="200"/>
        <v>0</v>
      </c>
      <c r="KL20" s="30">
        <f t="shared" si="200"/>
        <v>0</v>
      </c>
      <c r="KM20" s="30">
        <f t="shared" si="200"/>
        <v>0</v>
      </c>
      <c r="KN20" s="30">
        <f t="shared" si="200"/>
        <v>0</v>
      </c>
      <c r="KO20" s="30">
        <f t="shared" si="200"/>
        <v>0</v>
      </c>
      <c r="KP20" s="30">
        <f t="shared" si="200"/>
        <v>0</v>
      </c>
      <c r="KQ20" s="30">
        <f t="shared" si="200"/>
        <v>0</v>
      </c>
      <c r="KR20" s="30">
        <f t="shared" si="200"/>
        <v>0</v>
      </c>
      <c r="KS20" s="30">
        <f t="shared" si="200"/>
        <v>0</v>
      </c>
      <c r="KT20" s="30">
        <f t="shared" si="200"/>
        <v>0</v>
      </c>
      <c r="KU20" s="30">
        <f t="shared" si="200"/>
        <v>0</v>
      </c>
      <c r="KW20" s="30">
        <f t="shared" ref="KW20:LZ20" si="201">SUM(KW21:KW33)</f>
        <v>3175900000</v>
      </c>
      <c r="KX20" s="30">
        <f t="shared" si="201"/>
        <v>3175900000</v>
      </c>
      <c r="KY20" s="30">
        <f t="shared" si="201"/>
        <v>3175900000</v>
      </c>
      <c r="KZ20" s="30">
        <f t="shared" si="201"/>
        <v>3175900000</v>
      </c>
      <c r="LA20" s="30">
        <f t="shared" si="201"/>
        <v>3175900000</v>
      </c>
      <c r="LB20" s="30">
        <f t="shared" si="201"/>
        <v>3175900000</v>
      </c>
      <c r="LC20" s="30">
        <f t="shared" si="201"/>
        <v>3175900000</v>
      </c>
      <c r="LD20" s="30">
        <f t="shared" si="201"/>
        <v>3175900000</v>
      </c>
      <c r="LE20" s="30">
        <f t="shared" si="201"/>
        <v>3175900000</v>
      </c>
      <c r="LF20" s="30">
        <f t="shared" si="201"/>
        <v>3175900000</v>
      </c>
      <c r="LG20" s="30">
        <f t="shared" si="201"/>
        <v>3175900000</v>
      </c>
      <c r="LH20" s="30">
        <f t="shared" si="201"/>
        <v>3175900000</v>
      </c>
      <c r="LI20" s="30">
        <f t="shared" si="201"/>
        <v>0</v>
      </c>
      <c r="LJ20" s="30">
        <f t="shared" si="201"/>
        <v>0</v>
      </c>
      <c r="LK20" s="30">
        <f t="shared" si="201"/>
        <v>0</v>
      </c>
      <c r="LL20" s="30">
        <f t="shared" si="201"/>
        <v>0</v>
      </c>
      <c r="LM20" s="30">
        <f t="shared" si="201"/>
        <v>0</v>
      </c>
      <c r="LN20" s="30">
        <f t="shared" si="201"/>
        <v>0</v>
      </c>
      <c r="LO20" s="30">
        <f t="shared" si="201"/>
        <v>0</v>
      </c>
      <c r="LP20" s="30">
        <f t="shared" si="201"/>
        <v>0</v>
      </c>
      <c r="LQ20" s="30">
        <f t="shared" si="201"/>
        <v>0</v>
      </c>
      <c r="LR20" s="30">
        <f t="shared" si="201"/>
        <v>0</v>
      </c>
      <c r="LS20" s="30">
        <f t="shared" si="201"/>
        <v>0</v>
      </c>
      <c r="LT20" s="30">
        <f t="shared" si="201"/>
        <v>0</v>
      </c>
      <c r="LU20" s="30">
        <f t="shared" si="201"/>
        <v>0</v>
      </c>
      <c r="LV20" s="30">
        <f t="shared" si="201"/>
        <v>0</v>
      </c>
      <c r="LW20" s="30">
        <f t="shared" si="201"/>
        <v>0</v>
      </c>
      <c r="LX20" s="30">
        <f t="shared" si="201"/>
        <v>0</v>
      </c>
      <c r="LY20" s="30">
        <f t="shared" si="201"/>
        <v>0</v>
      </c>
      <c r="LZ20" s="30">
        <f t="shared" si="201"/>
        <v>0</v>
      </c>
      <c r="MB20" s="30">
        <f t="shared" ref="MB20:NE20" si="202">SUM(MB21:MB33)</f>
        <v>3175900000</v>
      </c>
      <c r="MC20" s="30">
        <f t="shared" si="202"/>
        <v>3175900000</v>
      </c>
      <c r="MD20" s="30">
        <f t="shared" si="202"/>
        <v>3175900000</v>
      </c>
      <c r="ME20" s="30">
        <f t="shared" si="202"/>
        <v>3175900000</v>
      </c>
      <c r="MF20" s="30">
        <f t="shared" si="202"/>
        <v>3175900000</v>
      </c>
      <c r="MG20" s="30">
        <f t="shared" si="202"/>
        <v>3175900000</v>
      </c>
      <c r="MH20" s="30">
        <f t="shared" si="202"/>
        <v>3175900000</v>
      </c>
      <c r="MI20" s="30">
        <f t="shared" si="202"/>
        <v>3175900000</v>
      </c>
      <c r="MJ20" s="30">
        <f t="shared" si="202"/>
        <v>3175900000</v>
      </c>
      <c r="MK20" s="30">
        <f t="shared" si="202"/>
        <v>3175900000</v>
      </c>
      <c r="ML20" s="30">
        <f t="shared" si="202"/>
        <v>3175900000</v>
      </c>
      <c r="MM20" s="30">
        <f t="shared" si="202"/>
        <v>3175900000</v>
      </c>
      <c r="MN20" s="30">
        <f t="shared" si="202"/>
        <v>0</v>
      </c>
      <c r="MO20" s="30">
        <f t="shared" si="202"/>
        <v>0</v>
      </c>
      <c r="MP20" s="30">
        <f t="shared" si="202"/>
        <v>0</v>
      </c>
      <c r="MQ20" s="30">
        <f t="shared" si="202"/>
        <v>0</v>
      </c>
      <c r="MR20" s="30">
        <f t="shared" si="202"/>
        <v>0</v>
      </c>
      <c r="MS20" s="30">
        <f t="shared" si="202"/>
        <v>0</v>
      </c>
      <c r="MT20" s="30">
        <f t="shared" si="202"/>
        <v>0</v>
      </c>
      <c r="MU20" s="30">
        <f t="shared" si="202"/>
        <v>0</v>
      </c>
      <c r="MV20" s="30">
        <f t="shared" si="202"/>
        <v>0</v>
      </c>
      <c r="MW20" s="30">
        <f t="shared" si="202"/>
        <v>0</v>
      </c>
      <c r="MX20" s="30">
        <f t="shared" si="202"/>
        <v>0</v>
      </c>
      <c r="MY20" s="30">
        <f t="shared" si="202"/>
        <v>0</v>
      </c>
      <c r="MZ20" s="30">
        <f t="shared" si="202"/>
        <v>0</v>
      </c>
      <c r="NA20" s="30">
        <f t="shared" si="202"/>
        <v>0</v>
      </c>
      <c r="NB20" s="30">
        <f t="shared" si="202"/>
        <v>0</v>
      </c>
      <c r="NC20" s="30">
        <f t="shared" si="202"/>
        <v>0</v>
      </c>
      <c r="ND20" s="30">
        <f t="shared" si="202"/>
        <v>0</v>
      </c>
      <c r="NE20" s="30">
        <f t="shared" si="202"/>
        <v>0</v>
      </c>
    </row>
    <row r="21" spans="1:369" outlineLevel="1" x14ac:dyDescent="0.25">
      <c r="B21" t="s">
        <v>346</v>
      </c>
      <c r="C21" s="609" t="s">
        <v>220</v>
      </c>
      <c r="D21" s="610" t="s">
        <v>210</v>
      </c>
      <c r="E21" s="611">
        <v>1</v>
      </c>
      <c r="F21" s="221"/>
      <c r="G21" s="612">
        <v>12</v>
      </c>
      <c r="H21" s="614">
        <f>(7500000000/$D$6)*1.04</f>
        <v>7800000000</v>
      </c>
      <c r="I21" s="612">
        <f t="shared" ref="I21:I33" si="203">$E21*$H21</f>
        <v>7800000000</v>
      </c>
      <c r="J21" s="612">
        <f t="shared" ref="J21:J33" si="204">I21/G21</f>
        <v>650000000</v>
      </c>
      <c r="K21" s="221"/>
      <c r="L21" s="612">
        <v>12</v>
      </c>
      <c r="M21" s="612">
        <f t="shared" ref="M21:M33" si="205">$H21*(1+O$6)</f>
        <v>7800000000</v>
      </c>
      <c r="N21" s="612">
        <f t="shared" ref="N21:N33" si="206">$E21*M21</f>
        <v>7800000000</v>
      </c>
      <c r="O21" s="612">
        <f t="shared" ref="O21:O33" si="207">N21/L21</f>
        <v>650000000</v>
      </c>
      <c r="P21" s="221"/>
      <c r="Q21" s="612">
        <v>12</v>
      </c>
      <c r="R21" s="612">
        <f t="shared" ref="R21:R33" si="208">$H21*(1+T$6)</f>
        <v>7800000000</v>
      </c>
      <c r="S21" s="612">
        <f t="shared" ref="S21:S33" si="209">$E21*R21</f>
        <v>7800000000</v>
      </c>
      <c r="T21" s="612">
        <f t="shared" ref="T21:T33" si="210">S21/Q21</f>
        <v>650000000</v>
      </c>
      <c r="U21" s="221"/>
      <c r="V21" s="612">
        <v>12</v>
      </c>
      <c r="W21" s="612">
        <f t="shared" ref="W21:W33" si="211">$H21*(1+Y$6)</f>
        <v>7800000000</v>
      </c>
      <c r="X21" s="612">
        <f t="shared" ref="X21:X33" si="212">$E21*W21</f>
        <v>7800000000</v>
      </c>
      <c r="Y21" s="612">
        <f t="shared" ref="Y21:Y33" si="213">X21/V21</f>
        <v>650000000</v>
      </c>
      <c r="Z21" s="221"/>
      <c r="AA21" s="612">
        <v>12</v>
      </c>
      <c r="AB21" s="612">
        <f t="shared" ref="AB21:AB33" si="214">$H21*(1+AD$6)</f>
        <v>7800000000</v>
      </c>
      <c r="AC21" s="612">
        <f t="shared" ref="AC21:AC33" si="215">$E21*AB21</f>
        <v>7800000000</v>
      </c>
      <c r="AD21" s="612">
        <f t="shared" ref="AD21:AD33" si="216">AC21/AA21</f>
        <v>650000000</v>
      </c>
      <c r="AE21" s="221"/>
      <c r="AF21" s="612">
        <v>12</v>
      </c>
      <c r="AG21" s="612">
        <f t="shared" ref="AG21:AG33" si="217">$H21*(1+AI$6)</f>
        <v>7800000000</v>
      </c>
      <c r="AH21" s="612">
        <f t="shared" ref="AH21:AH33" si="218">$E21*AG21</f>
        <v>7800000000</v>
      </c>
      <c r="AI21" s="612">
        <f t="shared" ref="AI21:AI33" si="219">AH21/AF21</f>
        <v>650000000</v>
      </c>
      <c r="AJ21" s="221"/>
      <c r="AK21" s="612">
        <v>12</v>
      </c>
      <c r="AL21" s="612">
        <f t="shared" ref="AL21:AL33" si="220">$H21*(1+AN$6)</f>
        <v>7800000000</v>
      </c>
      <c r="AM21" s="612">
        <f t="shared" ref="AM21:AM33" si="221">$E21*AL21</f>
        <v>7800000000</v>
      </c>
      <c r="AN21" s="612">
        <f t="shared" ref="AN21:AN33" si="222">AM21/AK21</f>
        <v>650000000</v>
      </c>
      <c r="AO21" s="221"/>
      <c r="AP21" s="612">
        <v>12</v>
      </c>
      <c r="AQ21" s="612">
        <f t="shared" ref="AQ21:AQ33" si="223">$H21*(1+AS$6)</f>
        <v>7800000000</v>
      </c>
      <c r="AR21" s="612">
        <f t="shared" ref="AR21:AR33" si="224">$E21*AQ21</f>
        <v>7800000000</v>
      </c>
      <c r="AS21" s="612">
        <f t="shared" ref="AS21:AS33" si="225">AR21/AP21</f>
        <v>650000000</v>
      </c>
      <c r="AT21" s="221"/>
      <c r="AU21" s="612">
        <v>12</v>
      </c>
      <c r="AV21" s="612">
        <f t="shared" ref="AV21:AV33" si="226">$H21*(1+AX$6)</f>
        <v>7800000000</v>
      </c>
      <c r="AW21" s="612">
        <f t="shared" ref="AW21:AW33" si="227">$E21*AV21</f>
        <v>7800000000</v>
      </c>
      <c r="AX21" s="612">
        <f t="shared" ref="AX21:AX33" si="228">AW21/AU21</f>
        <v>650000000</v>
      </c>
      <c r="AY21" s="221"/>
      <c r="AZ21" s="612">
        <v>12</v>
      </c>
      <c r="BA21" s="612">
        <f t="shared" ref="BA21:BA33" si="229">$H21*(1+BC$6)</f>
        <v>7800000000</v>
      </c>
      <c r="BB21" s="612">
        <f t="shared" ref="BB21:BB33" si="230">$E21*BA21</f>
        <v>7800000000</v>
      </c>
      <c r="BC21" s="612">
        <f t="shared" ref="BC21:BC33" si="231">BB21/AZ21</f>
        <v>650000000</v>
      </c>
      <c r="BD21" s="221"/>
      <c r="BF21" t="s">
        <v>547</v>
      </c>
      <c r="BG21" t="s">
        <v>337</v>
      </c>
      <c r="BI21" s="15">
        <f t="shared" ref="BI21:BX33" si="232">IF($G21&gt;=BI$8,$J21,0)</f>
        <v>650000000</v>
      </c>
      <c r="BJ21" s="15">
        <f t="shared" si="232"/>
        <v>650000000</v>
      </c>
      <c r="BK21" s="15">
        <f t="shared" si="232"/>
        <v>650000000</v>
      </c>
      <c r="BL21" s="15">
        <f t="shared" si="232"/>
        <v>650000000</v>
      </c>
      <c r="BM21" s="15">
        <f t="shared" si="232"/>
        <v>650000000</v>
      </c>
      <c r="BN21" s="15">
        <f t="shared" si="232"/>
        <v>650000000</v>
      </c>
      <c r="BO21" s="15">
        <f t="shared" si="232"/>
        <v>650000000</v>
      </c>
      <c r="BP21" s="15">
        <f t="shared" si="232"/>
        <v>650000000</v>
      </c>
      <c r="BQ21" s="15">
        <f t="shared" si="232"/>
        <v>650000000</v>
      </c>
      <c r="BR21" s="15">
        <f t="shared" si="232"/>
        <v>650000000</v>
      </c>
      <c r="BS21" s="15">
        <f t="shared" si="232"/>
        <v>650000000</v>
      </c>
      <c r="BT21" s="15">
        <f t="shared" si="232"/>
        <v>650000000</v>
      </c>
      <c r="BU21" s="15">
        <f t="shared" si="232"/>
        <v>0</v>
      </c>
      <c r="BV21" s="15">
        <f t="shared" si="232"/>
        <v>0</v>
      </c>
      <c r="BW21" s="15">
        <f t="shared" si="232"/>
        <v>0</v>
      </c>
      <c r="BX21" s="15">
        <f t="shared" si="232"/>
        <v>0</v>
      </c>
      <c r="BY21" s="15">
        <f t="shared" ref="BY21:CL33" si="233">IF($G21&gt;=BY$8,$J21,0)</f>
        <v>0</v>
      </c>
      <c r="BZ21" s="15">
        <f t="shared" si="233"/>
        <v>0</v>
      </c>
      <c r="CA21" s="15">
        <f t="shared" si="233"/>
        <v>0</v>
      </c>
      <c r="CB21" s="15">
        <f t="shared" si="233"/>
        <v>0</v>
      </c>
      <c r="CC21" s="15">
        <f t="shared" si="233"/>
        <v>0</v>
      </c>
      <c r="CD21" s="15">
        <f t="shared" si="233"/>
        <v>0</v>
      </c>
      <c r="CE21" s="15">
        <f t="shared" si="233"/>
        <v>0</v>
      </c>
      <c r="CF21" s="15">
        <f t="shared" si="233"/>
        <v>0</v>
      </c>
      <c r="CG21" s="15">
        <f t="shared" si="233"/>
        <v>0</v>
      </c>
      <c r="CH21" s="15">
        <f t="shared" si="233"/>
        <v>0</v>
      </c>
      <c r="CI21" s="15">
        <f t="shared" si="233"/>
        <v>0</v>
      </c>
      <c r="CJ21" s="15">
        <f t="shared" si="233"/>
        <v>0</v>
      </c>
      <c r="CK21" s="15">
        <f t="shared" si="233"/>
        <v>0</v>
      </c>
      <c r="CL21" s="15">
        <f t="shared" si="233"/>
        <v>0</v>
      </c>
      <c r="CN21" s="15">
        <f t="shared" ref="CN21:DC33" si="234">IF($L21&gt;=CN$8,$O21,0)</f>
        <v>650000000</v>
      </c>
      <c r="CO21" s="15">
        <f t="shared" si="234"/>
        <v>650000000</v>
      </c>
      <c r="CP21" s="15">
        <f t="shared" si="234"/>
        <v>650000000</v>
      </c>
      <c r="CQ21" s="15">
        <f t="shared" si="234"/>
        <v>650000000</v>
      </c>
      <c r="CR21" s="15">
        <f t="shared" si="234"/>
        <v>650000000</v>
      </c>
      <c r="CS21" s="15">
        <f t="shared" si="234"/>
        <v>650000000</v>
      </c>
      <c r="CT21" s="15">
        <f t="shared" si="234"/>
        <v>650000000</v>
      </c>
      <c r="CU21" s="15">
        <f t="shared" si="234"/>
        <v>650000000</v>
      </c>
      <c r="CV21" s="15">
        <f t="shared" si="234"/>
        <v>650000000</v>
      </c>
      <c r="CW21" s="15">
        <f t="shared" si="234"/>
        <v>650000000</v>
      </c>
      <c r="CX21" s="15">
        <f t="shared" si="234"/>
        <v>650000000</v>
      </c>
      <c r="CY21" s="15">
        <f t="shared" si="234"/>
        <v>650000000</v>
      </c>
      <c r="CZ21" s="15">
        <f t="shared" si="234"/>
        <v>0</v>
      </c>
      <c r="DA21" s="15">
        <f t="shared" si="234"/>
        <v>0</v>
      </c>
      <c r="DB21" s="15">
        <f t="shared" si="234"/>
        <v>0</v>
      </c>
      <c r="DC21" s="15">
        <f t="shared" si="234"/>
        <v>0</v>
      </c>
      <c r="DD21" s="15">
        <f t="shared" ref="DD21:DQ33" si="235">IF($L21&gt;=DD$8,$O21,0)</f>
        <v>0</v>
      </c>
      <c r="DE21" s="15">
        <f t="shared" si="235"/>
        <v>0</v>
      </c>
      <c r="DF21" s="15">
        <f t="shared" si="235"/>
        <v>0</v>
      </c>
      <c r="DG21" s="15">
        <f t="shared" si="235"/>
        <v>0</v>
      </c>
      <c r="DH21" s="15">
        <f t="shared" si="235"/>
        <v>0</v>
      </c>
      <c r="DI21" s="15">
        <f t="shared" si="235"/>
        <v>0</v>
      </c>
      <c r="DJ21" s="15">
        <f t="shared" si="235"/>
        <v>0</v>
      </c>
      <c r="DK21" s="15">
        <f t="shared" si="235"/>
        <v>0</v>
      </c>
      <c r="DL21" s="15">
        <f t="shared" si="235"/>
        <v>0</v>
      </c>
      <c r="DM21" s="15">
        <f t="shared" si="235"/>
        <v>0</v>
      </c>
      <c r="DN21" s="15">
        <f t="shared" si="235"/>
        <v>0</v>
      </c>
      <c r="DO21" s="15">
        <f t="shared" si="235"/>
        <v>0</v>
      </c>
      <c r="DP21" s="15">
        <f t="shared" si="235"/>
        <v>0</v>
      </c>
      <c r="DQ21" s="15">
        <f t="shared" si="235"/>
        <v>0</v>
      </c>
      <c r="DS21" s="15">
        <f t="shared" ref="DS21:EH33" si="236">IF($Q21&gt;=DS$8,$T21,0)</f>
        <v>650000000</v>
      </c>
      <c r="DT21" s="15">
        <f t="shared" si="236"/>
        <v>650000000</v>
      </c>
      <c r="DU21" s="15">
        <f t="shared" si="236"/>
        <v>650000000</v>
      </c>
      <c r="DV21" s="15">
        <f t="shared" si="236"/>
        <v>650000000</v>
      </c>
      <c r="DW21" s="15">
        <f t="shared" si="236"/>
        <v>650000000</v>
      </c>
      <c r="DX21" s="15">
        <f t="shared" si="236"/>
        <v>650000000</v>
      </c>
      <c r="DY21" s="15">
        <f t="shared" si="236"/>
        <v>650000000</v>
      </c>
      <c r="DZ21" s="15">
        <f t="shared" si="236"/>
        <v>650000000</v>
      </c>
      <c r="EA21" s="15">
        <f t="shared" si="236"/>
        <v>650000000</v>
      </c>
      <c r="EB21" s="15">
        <f t="shared" si="236"/>
        <v>650000000</v>
      </c>
      <c r="EC21" s="15">
        <f t="shared" si="236"/>
        <v>650000000</v>
      </c>
      <c r="ED21" s="15">
        <f t="shared" si="236"/>
        <v>650000000</v>
      </c>
      <c r="EE21" s="15">
        <f t="shared" si="236"/>
        <v>0</v>
      </c>
      <c r="EF21" s="15">
        <f t="shared" si="236"/>
        <v>0</v>
      </c>
      <c r="EG21" s="15">
        <f t="shared" si="236"/>
        <v>0</v>
      </c>
      <c r="EH21" s="15">
        <f t="shared" si="236"/>
        <v>0</v>
      </c>
      <c r="EI21" s="15">
        <f t="shared" ref="EI21:EV33" si="237">IF($Q21&gt;=EI$8,$T21,0)</f>
        <v>0</v>
      </c>
      <c r="EJ21" s="15">
        <f t="shared" si="237"/>
        <v>0</v>
      </c>
      <c r="EK21" s="15">
        <f t="shared" si="237"/>
        <v>0</v>
      </c>
      <c r="EL21" s="15">
        <f t="shared" si="237"/>
        <v>0</v>
      </c>
      <c r="EM21" s="15">
        <f t="shared" si="237"/>
        <v>0</v>
      </c>
      <c r="EN21" s="15">
        <f t="shared" si="237"/>
        <v>0</v>
      </c>
      <c r="EO21" s="15">
        <f t="shared" si="237"/>
        <v>0</v>
      </c>
      <c r="EP21" s="15">
        <f t="shared" si="237"/>
        <v>0</v>
      </c>
      <c r="EQ21" s="15">
        <f t="shared" si="237"/>
        <v>0</v>
      </c>
      <c r="ER21" s="15">
        <f t="shared" si="237"/>
        <v>0</v>
      </c>
      <c r="ES21" s="15">
        <f t="shared" si="237"/>
        <v>0</v>
      </c>
      <c r="ET21" s="15">
        <f t="shared" si="237"/>
        <v>0</v>
      </c>
      <c r="EU21" s="15">
        <f t="shared" si="237"/>
        <v>0</v>
      </c>
      <c r="EV21" s="15">
        <f t="shared" si="237"/>
        <v>0</v>
      </c>
      <c r="EX21" s="15">
        <f t="shared" ref="EX21:FM33" si="238">IF($V21&gt;=EX$8,$Y21,0)</f>
        <v>650000000</v>
      </c>
      <c r="EY21" s="15">
        <f t="shared" si="238"/>
        <v>650000000</v>
      </c>
      <c r="EZ21" s="15">
        <f t="shared" si="238"/>
        <v>650000000</v>
      </c>
      <c r="FA21" s="15">
        <f t="shared" si="238"/>
        <v>650000000</v>
      </c>
      <c r="FB21" s="15">
        <f t="shared" si="238"/>
        <v>650000000</v>
      </c>
      <c r="FC21" s="15">
        <f t="shared" si="238"/>
        <v>650000000</v>
      </c>
      <c r="FD21" s="15">
        <f t="shared" si="238"/>
        <v>650000000</v>
      </c>
      <c r="FE21" s="15">
        <f t="shared" si="238"/>
        <v>650000000</v>
      </c>
      <c r="FF21" s="15">
        <f t="shared" si="238"/>
        <v>650000000</v>
      </c>
      <c r="FG21" s="15">
        <f t="shared" si="238"/>
        <v>650000000</v>
      </c>
      <c r="FH21" s="15">
        <f t="shared" si="238"/>
        <v>650000000</v>
      </c>
      <c r="FI21" s="15">
        <f t="shared" si="238"/>
        <v>650000000</v>
      </c>
      <c r="FJ21" s="15">
        <f t="shared" si="238"/>
        <v>0</v>
      </c>
      <c r="FK21" s="15">
        <f t="shared" si="238"/>
        <v>0</v>
      </c>
      <c r="FL21" s="15">
        <f t="shared" si="238"/>
        <v>0</v>
      </c>
      <c r="FM21" s="15">
        <f t="shared" si="238"/>
        <v>0</v>
      </c>
      <c r="FN21" s="15">
        <f t="shared" ref="FN21:GA33" si="239">IF($V21&gt;=FN$8,$Y21,0)</f>
        <v>0</v>
      </c>
      <c r="FO21" s="15">
        <f t="shared" si="239"/>
        <v>0</v>
      </c>
      <c r="FP21" s="15">
        <f t="shared" si="239"/>
        <v>0</v>
      </c>
      <c r="FQ21" s="15">
        <f t="shared" si="239"/>
        <v>0</v>
      </c>
      <c r="FR21" s="15">
        <f t="shared" si="239"/>
        <v>0</v>
      </c>
      <c r="FS21" s="15">
        <f t="shared" si="239"/>
        <v>0</v>
      </c>
      <c r="FT21" s="15">
        <f t="shared" si="239"/>
        <v>0</v>
      </c>
      <c r="FU21" s="15">
        <f t="shared" si="239"/>
        <v>0</v>
      </c>
      <c r="FV21" s="15">
        <f t="shared" si="239"/>
        <v>0</v>
      </c>
      <c r="FW21" s="15">
        <f t="shared" si="239"/>
        <v>0</v>
      </c>
      <c r="FX21" s="15">
        <f t="shared" si="239"/>
        <v>0</v>
      </c>
      <c r="FY21" s="15">
        <f t="shared" si="239"/>
        <v>0</v>
      </c>
      <c r="FZ21" s="15">
        <f t="shared" si="239"/>
        <v>0</v>
      </c>
      <c r="GA21" s="15">
        <f t="shared" si="239"/>
        <v>0</v>
      </c>
      <c r="GC21" s="15">
        <f t="shared" ref="GC21:GR33" si="240">IF($AA21&gt;=GC$8,$AD21,0)</f>
        <v>650000000</v>
      </c>
      <c r="GD21" s="15">
        <f t="shared" si="240"/>
        <v>650000000</v>
      </c>
      <c r="GE21" s="15">
        <f t="shared" si="240"/>
        <v>650000000</v>
      </c>
      <c r="GF21" s="15">
        <f t="shared" si="240"/>
        <v>650000000</v>
      </c>
      <c r="GG21" s="15">
        <f t="shared" si="240"/>
        <v>650000000</v>
      </c>
      <c r="GH21" s="15">
        <f t="shared" si="240"/>
        <v>650000000</v>
      </c>
      <c r="GI21" s="15">
        <f t="shared" si="240"/>
        <v>650000000</v>
      </c>
      <c r="GJ21" s="15">
        <f t="shared" si="240"/>
        <v>650000000</v>
      </c>
      <c r="GK21" s="15">
        <f t="shared" si="240"/>
        <v>650000000</v>
      </c>
      <c r="GL21" s="15">
        <f t="shared" si="240"/>
        <v>650000000</v>
      </c>
      <c r="GM21" s="15">
        <f t="shared" si="240"/>
        <v>650000000</v>
      </c>
      <c r="GN21" s="15">
        <f t="shared" si="240"/>
        <v>650000000</v>
      </c>
      <c r="GO21" s="15">
        <f t="shared" si="240"/>
        <v>0</v>
      </c>
      <c r="GP21" s="15">
        <f t="shared" si="240"/>
        <v>0</v>
      </c>
      <c r="GQ21" s="15">
        <f t="shared" si="240"/>
        <v>0</v>
      </c>
      <c r="GR21" s="15">
        <f t="shared" si="240"/>
        <v>0</v>
      </c>
      <c r="GS21" s="15">
        <f t="shared" ref="GS21:HF33" si="241">IF($AA21&gt;=GS$8,$AD21,0)</f>
        <v>0</v>
      </c>
      <c r="GT21" s="15">
        <f t="shared" si="241"/>
        <v>0</v>
      </c>
      <c r="GU21" s="15">
        <f t="shared" si="241"/>
        <v>0</v>
      </c>
      <c r="GV21" s="15">
        <f t="shared" si="241"/>
        <v>0</v>
      </c>
      <c r="GW21" s="15">
        <f t="shared" si="241"/>
        <v>0</v>
      </c>
      <c r="GX21" s="15">
        <f t="shared" si="241"/>
        <v>0</v>
      </c>
      <c r="GY21" s="15">
        <f t="shared" si="241"/>
        <v>0</v>
      </c>
      <c r="GZ21" s="15">
        <f t="shared" si="241"/>
        <v>0</v>
      </c>
      <c r="HA21" s="15">
        <f t="shared" si="241"/>
        <v>0</v>
      </c>
      <c r="HB21" s="15">
        <f t="shared" si="241"/>
        <v>0</v>
      </c>
      <c r="HC21" s="15">
        <f t="shared" si="241"/>
        <v>0</v>
      </c>
      <c r="HD21" s="15">
        <f t="shared" si="241"/>
        <v>0</v>
      </c>
      <c r="HE21" s="15">
        <f t="shared" si="241"/>
        <v>0</v>
      </c>
      <c r="HF21" s="15">
        <f t="shared" si="241"/>
        <v>0</v>
      </c>
      <c r="HH21" s="15">
        <f t="shared" ref="HH21:HW33" si="242">IF($AF21&gt;=HH$8,$AI21,0)</f>
        <v>650000000</v>
      </c>
      <c r="HI21" s="15">
        <f t="shared" si="242"/>
        <v>650000000</v>
      </c>
      <c r="HJ21" s="15">
        <f t="shared" si="242"/>
        <v>650000000</v>
      </c>
      <c r="HK21" s="15">
        <f t="shared" si="242"/>
        <v>650000000</v>
      </c>
      <c r="HL21" s="15">
        <f t="shared" si="242"/>
        <v>650000000</v>
      </c>
      <c r="HM21" s="15">
        <f t="shared" si="242"/>
        <v>650000000</v>
      </c>
      <c r="HN21" s="15">
        <f t="shared" si="242"/>
        <v>650000000</v>
      </c>
      <c r="HO21" s="15">
        <f t="shared" si="242"/>
        <v>650000000</v>
      </c>
      <c r="HP21" s="15">
        <f t="shared" si="242"/>
        <v>650000000</v>
      </c>
      <c r="HQ21" s="15">
        <f t="shared" si="242"/>
        <v>650000000</v>
      </c>
      <c r="HR21" s="15">
        <f t="shared" si="242"/>
        <v>650000000</v>
      </c>
      <c r="HS21" s="15">
        <f t="shared" si="242"/>
        <v>650000000</v>
      </c>
      <c r="HT21" s="15">
        <f t="shared" si="242"/>
        <v>0</v>
      </c>
      <c r="HU21" s="15">
        <f t="shared" si="242"/>
        <v>0</v>
      </c>
      <c r="HV21" s="15">
        <f t="shared" si="242"/>
        <v>0</v>
      </c>
      <c r="HW21" s="15">
        <f t="shared" si="242"/>
        <v>0</v>
      </c>
      <c r="HX21" s="15">
        <f t="shared" ref="HX21:IK33" si="243">IF($AF21&gt;=HX$8,$AI21,0)</f>
        <v>0</v>
      </c>
      <c r="HY21" s="15">
        <f t="shared" si="243"/>
        <v>0</v>
      </c>
      <c r="HZ21" s="15">
        <f t="shared" si="243"/>
        <v>0</v>
      </c>
      <c r="IA21" s="15">
        <f t="shared" si="243"/>
        <v>0</v>
      </c>
      <c r="IB21" s="15">
        <f t="shared" si="243"/>
        <v>0</v>
      </c>
      <c r="IC21" s="15">
        <f t="shared" si="243"/>
        <v>0</v>
      </c>
      <c r="ID21" s="15">
        <f t="shared" si="243"/>
        <v>0</v>
      </c>
      <c r="IE21" s="15">
        <f t="shared" si="243"/>
        <v>0</v>
      </c>
      <c r="IF21" s="15">
        <f t="shared" si="243"/>
        <v>0</v>
      </c>
      <c r="IG21" s="15">
        <f t="shared" si="243"/>
        <v>0</v>
      </c>
      <c r="IH21" s="15">
        <f t="shared" si="243"/>
        <v>0</v>
      </c>
      <c r="II21" s="15">
        <f t="shared" si="243"/>
        <v>0</v>
      </c>
      <c r="IJ21" s="15">
        <f t="shared" si="243"/>
        <v>0</v>
      </c>
      <c r="IK21" s="15">
        <f t="shared" si="243"/>
        <v>0</v>
      </c>
      <c r="IM21" s="15">
        <f t="shared" ref="IM21:JB33" si="244">IF($AK21&gt;=IM$8,$AN21,0)</f>
        <v>650000000</v>
      </c>
      <c r="IN21" s="15">
        <f t="shared" si="244"/>
        <v>650000000</v>
      </c>
      <c r="IO21" s="15">
        <f t="shared" si="244"/>
        <v>650000000</v>
      </c>
      <c r="IP21" s="15">
        <f t="shared" si="244"/>
        <v>650000000</v>
      </c>
      <c r="IQ21" s="15">
        <f t="shared" si="244"/>
        <v>650000000</v>
      </c>
      <c r="IR21" s="15">
        <f t="shared" si="244"/>
        <v>650000000</v>
      </c>
      <c r="IS21" s="15">
        <f t="shared" si="244"/>
        <v>650000000</v>
      </c>
      <c r="IT21" s="15">
        <f t="shared" si="244"/>
        <v>650000000</v>
      </c>
      <c r="IU21" s="15">
        <f t="shared" si="244"/>
        <v>650000000</v>
      </c>
      <c r="IV21" s="15">
        <f t="shared" si="244"/>
        <v>650000000</v>
      </c>
      <c r="IW21" s="15">
        <f t="shared" si="244"/>
        <v>650000000</v>
      </c>
      <c r="IX21" s="15">
        <f t="shared" si="244"/>
        <v>650000000</v>
      </c>
      <c r="IY21" s="15">
        <f t="shared" si="244"/>
        <v>0</v>
      </c>
      <c r="IZ21" s="15">
        <f t="shared" si="244"/>
        <v>0</v>
      </c>
      <c r="JA21" s="15">
        <f t="shared" si="244"/>
        <v>0</v>
      </c>
      <c r="JB21" s="15">
        <f t="shared" si="244"/>
        <v>0</v>
      </c>
      <c r="JC21" s="15">
        <f t="shared" ref="JC21:JP33" si="245">IF($AK21&gt;=JC$8,$AN21,0)</f>
        <v>0</v>
      </c>
      <c r="JD21" s="15">
        <f t="shared" si="245"/>
        <v>0</v>
      </c>
      <c r="JE21" s="15">
        <f t="shared" si="245"/>
        <v>0</v>
      </c>
      <c r="JF21" s="15">
        <f t="shared" si="245"/>
        <v>0</v>
      </c>
      <c r="JG21" s="15">
        <f t="shared" si="245"/>
        <v>0</v>
      </c>
      <c r="JH21" s="15">
        <f t="shared" si="245"/>
        <v>0</v>
      </c>
      <c r="JI21" s="15">
        <f t="shared" si="245"/>
        <v>0</v>
      </c>
      <c r="JJ21" s="15">
        <f t="shared" si="245"/>
        <v>0</v>
      </c>
      <c r="JK21" s="15">
        <f t="shared" si="245"/>
        <v>0</v>
      </c>
      <c r="JL21" s="15">
        <f t="shared" si="245"/>
        <v>0</v>
      </c>
      <c r="JM21" s="15">
        <f t="shared" si="245"/>
        <v>0</v>
      </c>
      <c r="JN21" s="15">
        <f t="shared" si="245"/>
        <v>0</v>
      </c>
      <c r="JO21" s="15">
        <f t="shared" si="245"/>
        <v>0</v>
      </c>
      <c r="JP21" s="15">
        <f t="shared" si="245"/>
        <v>0</v>
      </c>
      <c r="JR21" s="15">
        <f t="shared" ref="JR21:KG33" si="246">IF($AP21&gt;=JR$8,$AS21,0)</f>
        <v>650000000</v>
      </c>
      <c r="JS21" s="15">
        <f t="shared" si="246"/>
        <v>650000000</v>
      </c>
      <c r="JT21" s="15">
        <f t="shared" si="246"/>
        <v>650000000</v>
      </c>
      <c r="JU21" s="15">
        <f t="shared" si="246"/>
        <v>650000000</v>
      </c>
      <c r="JV21" s="15">
        <f t="shared" si="246"/>
        <v>650000000</v>
      </c>
      <c r="JW21" s="15">
        <f t="shared" si="246"/>
        <v>650000000</v>
      </c>
      <c r="JX21" s="15">
        <f t="shared" si="246"/>
        <v>650000000</v>
      </c>
      <c r="JY21" s="15">
        <f t="shared" si="246"/>
        <v>650000000</v>
      </c>
      <c r="JZ21" s="15">
        <f t="shared" si="246"/>
        <v>650000000</v>
      </c>
      <c r="KA21" s="15">
        <f t="shared" si="246"/>
        <v>650000000</v>
      </c>
      <c r="KB21" s="15">
        <f t="shared" si="246"/>
        <v>650000000</v>
      </c>
      <c r="KC21" s="15">
        <f t="shared" si="246"/>
        <v>650000000</v>
      </c>
      <c r="KD21" s="15">
        <f t="shared" si="246"/>
        <v>0</v>
      </c>
      <c r="KE21" s="15">
        <f t="shared" si="246"/>
        <v>0</v>
      </c>
      <c r="KF21" s="15">
        <f t="shared" si="246"/>
        <v>0</v>
      </c>
      <c r="KG21" s="15">
        <f t="shared" si="246"/>
        <v>0</v>
      </c>
      <c r="KH21" s="15">
        <f t="shared" ref="KH21:KU33" si="247">IF($AP21&gt;=KH$8,$AS21,0)</f>
        <v>0</v>
      </c>
      <c r="KI21" s="15">
        <f t="shared" si="247"/>
        <v>0</v>
      </c>
      <c r="KJ21" s="15">
        <f t="shared" si="247"/>
        <v>0</v>
      </c>
      <c r="KK21" s="15">
        <f t="shared" si="247"/>
        <v>0</v>
      </c>
      <c r="KL21" s="15">
        <f t="shared" si="247"/>
        <v>0</v>
      </c>
      <c r="KM21" s="15">
        <f t="shared" si="247"/>
        <v>0</v>
      </c>
      <c r="KN21" s="15">
        <f t="shared" si="247"/>
        <v>0</v>
      </c>
      <c r="KO21" s="15">
        <f t="shared" si="247"/>
        <v>0</v>
      </c>
      <c r="KP21" s="15">
        <f t="shared" si="247"/>
        <v>0</v>
      </c>
      <c r="KQ21" s="15">
        <f t="shared" si="247"/>
        <v>0</v>
      </c>
      <c r="KR21" s="15">
        <f t="shared" si="247"/>
        <v>0</v>
      </c>
      <c r="KS21" s="15">
        <f t="shared" si="247"/>
        <v>0</v>
      </c>
      <c r="KT21" s="15">
        <f t="shared" si="247"/>
        <v>0</v>
      </c>
      <c r="KU21" s="15">
        <f t="shared" si="247"/>
        <v>0</v>
      </c>
      <c r="KW21" s="15">
        <f t="shared" ref="KW21:LL33" si="248">IF($AU21&gt;=KW$8,$AX21,0)</f>
        <v>650000000</v>
      </c>
      <c r="KX21" s="15">
        <f t="shared" si="248"/>
        <v>650000000</v>
      </c>
      <c r="KY21" s="15">
        <f t="shared" si="248"/>
        <v>650000000</v>
      </c>
      <c r="KZ21" s="15">
        <f t="shared" si="248"/>
        <v>650000000</v>
      </c>
      <c r="LA21" s="15">
        <f t="shared" si="248"/>
        <v>650000000</v>
      </c>
      <c r="LB21" s="15">
        <f t="shared" si="248"/>
        <v>650000000</v>
      </c>
      <c r="LC21" s="15">
        <f t="shared" si="248"/>
        <v>650000000</v>
      </c>
      <c r="LD21" s="15">
        <f t="shared" si="248"/>
        <v>650000000</v>
      </c>
      <c r="LE21" s="15">
        <f t="shared" si="248"/>
        <v>650000000</v>
      </c>
      <c r="LF21" s="15">
        <f t="shared" si="248"/>
        <v>650000000</v>
      </c>
      <c r="LG21" s="15">
        <f t="shared" si="248"/>
        <v>650000000</v>
      </c>
      <c r="LH21" s="15">
        <f t="shared" si="248"/>
        <v>650000000</v>
      </c>
      <c r="LI21" s="15">
        <f t="shared" si="248"/>
        <v>0</v>
      </c>
      <c r="LJ21" s="15">
        <f t="shared" si="248"/>
        <v>0</v>
      </c>
      <c r="LK21" s="15">
        <f t="shared" si="248"/>
        <v>0</v>
      </c>
      <c r="LL21" s="15">
        <f t="shared" si="248"/>
        <v>0</v>
      </c>
      <c r="LM21" s="15">
        <f t="shared" ref="LM21:LZ33" si="249">IF($AU21&gt;=LM$8,$AX21,0)</f>
        <v>0</v>
      </c>
      <c r="LN21" s="15">
        <f t="shared" si="249"/>
        <v>0</v>
      </c>
      <c r="LO21" s="15">
        <f t="shared" si="249"/>
        <v>0</v>
      </c>
      <c r="LP21" s="15">
        <f t="shared" si="249"/>
        <v>0</v>
      </c>
      <c r="LQ21" s="15">
        <f t="shared" si="249"/>
        <v>0</v>
      </c>
      <c r="LR21" s="15">
        <f t="shared" si="249"/>
        <v>0</v>
      </c>
      <c r="LS21" s="15">
        <f t="shared" si="249"/>
        <v>0</v>
      </c>
      <c r="LT21" s="15">
        <f t="shared" si="249"/>
        <v>0</v>
      </c>
      <c r="LU21" s="15">
        <f t="shared" si="249"/>
        <v>0</v>
      </c>
      <c r="LV21" s="15">
        <f t="shared" si="249"/>
        <v>0</v>
      </c>
      <c r="LW21" s="15">
        <f t="shared" si="249"/>
        <v>0</v>
      </c>
      <c r="LX21" s="15">
        <f t="shared" si="249"/>
        <v>0</v>
      </c>
      <c r="LY21" s="15">
        <f t="shared" si="249"/>
        <v>0</v>
      </c>
      <c r="LZ21" s="15">
        <f t="shared" si="249"/>
        <v>0</v>
      </c>
      <c r="MB21" s="15">
        <f t="shared" ref="MB21:MQ33" si="250">IF($AZ21&gt;=MB$8,$BC21,0)</f>
        <v>650000000</v>
      </c>
      <c r="MC21" s="15">
        <f t="shared" si="250"/>
        <v>650000000</v>
      </c>
      <c r="MD21" s="15">
        <f t="shared" si="250"/>
        <v>650000000</v>
      </c>
      <c r="ME21" s="15">
        <f t="shared" si="250"/>
        <v>650000000</v>
      </c>
      <c r="MF21" s="15">
        <f t="shared" si="250"/>
        <v>650000000</v>
      </c>
      <c r="MG21" s="15">
        <f t="shared" si="250"/>
        <v>650000000</v>
      </c>
      <c r="MH21" s="15">
        <f t="shared" si="250"/>
        <v>650000000</v>
      </c>
      <c r="MI21" s="15">
        <f t="shared" si="250"/>
        <v>650000000</v>
      </c>
      <c r="MJ21" s="15">
        <f t="shared" si="250"/>
        <v>650000000</v>
      </c>
      <c r="MK21" s="15">
        <f t="shared" si="250"/>
        <v>650000000</v>
      </c>
      <c r="ML21" s="15">
        <f t="shared" si="250"/>
        <v>650000000</v>
      </c>
      <c r="MM21" s="15">
        <f t="shared" si="250"/>
        <v>650000000</v>
      </c>
      <c r="MN21" s="15">
        <f t="shared" si="250"/>
        <v>0</v>
      </c>
      <c r="MO21" s="15">
        <f t="shared" si="250"/>
        <v>0</v>
      </c>
      <c r="MP21" s="15">
        <f t="shared" si="250"/>
        <v>0</v>
      </c>
      <c r="MQ21" s="15">
        <f t="shared" si="250"/>
        <v>0</v>
      </c>
      <c r="MR21" s="15">
        <f t="shared" ref="MR21:NE33" si="251">IF($AZ21&gt;=MR$8,$BC21,0)</f>
        <v>0</v>
      </c>
      <c r="MS21" s="15">
        <f t="shared" si="251"/>
        <v>0</v>
      </c>
      <c r="MT21" s="15">
        <f t="shared" si="251"/>
        <v>0</v>
      </c>
      <c r="MU21" s="15">
        <f t="shared" si="251"/>
        <v>0</v>
      </c>
      <c r="MV21" s="15">
        <f t="shared" si="251"/>
        <v>0</v>
      </c>
      <c r="MW21" s="15">
        <f t="shared" si="251"/>
        <v>0</v>
      </c>
      <c r="MX21" s="15">
        <f t="shared" si="251"/>
        <v>0</v>
      </c>
      <c r="MY21" s="15">
        <f t="shared" si="251"/>
        <v>0</v>
      </c>
      <c r="MZ21" s="15">
        <f t="shared" si="251"/>
        <v>0</v>
      </c>
      <c r="NA21" s="15">
        <f t="shared" si="251"/>
        <v>0</v>
      </c>
      <c r="NB21" s="15">
        <f t="shared" si="251"/>
        <v>0</v>
      </c>
      <c r="NC21" s="15">
        <f t="shared" si="251"/>
        <v>0</v>
      </c>
      <c r="ND21" s="15">
        <f t="shared" si="251"/>
        <v>0</v>
      </c>
      <c r="NE21" s="15">
        <f t="shared" si="251"/>
        <v>0</v>
      </c>
    </row>
    <row r="22" spans="1:369" outlineLevel="1" x14ac:dyDescent="0.25">
      <c r="B22" t="s">
        <v>346</v>
      </c>
      <c r="C22" s="495" t="s">
        <v>221</v>
      </c>
      <c r="D22" s="613" t="s">
        <v>212</v>
      </c>
      <c r="E22" s="467">
        <v>1</v>
      </c>
      <c r="F22" s="221"/>
      <c r="G22" s="457">
        <v>12</v>
      </c>
      <c r="H22" s="468">
        <f>(7500000000/$D$6)*1.04</f>
        <v>7800000000</v>
      </c>
      <c r="I22" s="457">
        <f t="shared" si="203"/>
        <v>7800000000</v>
      </c>
      <c r="J22" s="457">
        <f t="shared" si="204"/>
        <v>650000000</v>
      </c>
      <c r="K22" s="221"/>
      <c r="L22" s="457">
        <v>12</v>
      </c>
      <c r="M22" s="457">
        <f t="shared" si="205"/>
        <v>7800000000</v>
      </c>
      <c r="N22" s="457">
        <f t="shared" si="206"/>
        <v>7800000000</v>
      </c>
      <c r="O22" s="457">
        <f t="shared" si="207"/>
        <v>650000000</v>
      </c>
      <c r="P22" s="221"/>
      <c r="Q22" s="457">
        <v>12</v>
      </c>
      <c r="R22" s="457">
        <f t="shared" si="208"/>
        <v>7800000000</v>
      </c>
      <c r="S22" s="457">
        <f t="shared" si="209"/>
        <v>7800000000</v>
      </c>
      <c r="T22" s="457">
        <f t="shared" si="210"/>
        <v>650000000</v>
      </c>
      <c r="U22" s="221"/>
      <c r="V22" s="457">
        <v>12</v>
      </c>
      <c r="W22" s="457">
        <f t="shared" si="211"/>
        <v>7800000000</v>
      </c>
      <c r="X22" s="457">
        <f t="shared" si="212"/>
        <v>7800000000</v>
      </c>
      <c r="Y22" s="457">
        <f t="shared" si="213"/>
        <v>650000000</v>
      </c>
      <c r="Z22" s="221"/>
      <c r="AA22" s="457">
        <v>12</v>
      </c>
      <c r="AB22" s="457">
        <f t="shared" si="214"/>
        <v>7800000000</v>
      </c>
      <c r="AC22" s="457">
        <f t="shared" si="215"/>
        <v>7800000000</v>
      </c>
      <c r="AD22" s="457">
        <f t="shared" si="216"/>
        <v>650000000</v>
      </c>
      <c r="AE22" s="221"/>
      <c r="AF22" s="457">
        <v>12</v>
      </c>
      <c r="AG22" s="457">
        <f t="shared" si="217"/>
        <v>7800000000</v>
      </c>
      <c r="AH22" s="457">
        <f t="shared" si="218"/>
        <v>7800000000</v>
      </c>
      <c r="AI22" s="457">
        <f t="shared" si="219"/>
        <v>650000000</v>
      </c>
      <c r="AJ22" s="221"/>
      <c r="AK22" s="457">
        <v>12</v>
      </c>
      <c r="AL22" s="457">
        <f t="shared" si="220"/>
        <v>7800000000</v>
      </c>
      <c r="AM22" s="457">
        <f t="shared" si="221"/>
        <v>7800000000</v>
      </c>
      <c r="AN22" s="457">
        <f t="shared" si="222"/>
        <v>650000000</v>
      </c>
      <c r="AO22" s="221"/>
      <c r="AP22" s="457">
        <v>12</v>
      </c>
      <c r="AQ22" s="457">
        <f t="shared" si="223"/>
        <v>7800000000</v>
      </c>
      <c r="AR22" s="457">
        <f t="shared" si="224"/>
        <v>7800000000</v>
      </c>
      <c r="AS22" s="457">
        <f t="shared" si="225"/>
        <v>650000000</v>
      </c>
      <c r="AT22" s="221"/>
      <c r="AU22" s="457">
        <v>12</v>
      </c>
      <c r="AV22" s="457">
        <f t="shared" si="226"/>
        <v>7800000000</v>
      </c>
      <c r="AW22" s="457">
        <f t="shared" si="227"/>
        <v>7800000000</v>
      </c>
      <c r="AX22" s="457">
        <f t="shared" si="228"/>
        <v>650000000</v>
      </c>
      <c r="AY22" s="221"/>
      <c r="AZ22" s="457">
        <v>12</v>
      </c>
      <c r="BA22" s="457">
        <f t="shared" si="229"/>
        <v>7800000000</v>
      </c>
      <c r="BB22" s="457">
        <f t="shared" si="230"/>
        <v>7800000000</v>
      </c>
      <c r="BC22" s="457">
        <f t="shared" si="231"/>
        <v>650000000</v>
      </c>
      <c r="BD22" s="221"/>
      <c r="BF22" t="s">
        <v>547</v>
      </c>
      <c r="BG22" t="s">
        <v>337</v>
      </c>
      <c r="BI22" s="15">
        <f t="shared" si="232"/>
        <v>650000000</v>
      </c>
      <c r="BJ22" s="15">
        <f t="shared" si="232"/>
        <v>650000000</v>
      </c>
      <c r="BK22" s="15">
        <f t="shared" si="232"/>
        <v>650000000</v>
      </c>
      <c r="BL22" s="15">
        <f t="shared" si="232"/>
        <v>650000000</v>
      </c>
      <c r="BM22" s="15">
        <f t="shared" si="232"/>
        <v>650000000</v>
      </c>
      <c r="BN22" s="15">
        <f t="shared" si="232"/>
        <v>650000000</v>
      </c>
      <c r="BO22" s="15">
        <f t="shared" si="232"/>
        <v>650000000</v>
      </c>
      <c r="BP22" s="15">
        <f t="shared" si="232"/>
        <v>650000000</v>
      </c>
      <c r="BQ22" s="15">
        <f t="shared" si="232"/>
        <v>650000000</v>
      </c>
      <c r="BR22" s="15">
        <f t="shared" si="232"/>
        <v>650000000</v>
      </c>
      <c r="BS22" s="15">
        <f t="shared" si="232"/>
        <v>650000000</v>
      </c>
      <c r="BT22" s="15">
        <f t="shared" si="232"/>
        <v>650000000</v>
      </c>
      <c r="BU22" s="15">
        <f t="shared" si="232"/>
        <v>0</v>
      </c>
      <c r="BV22" s="15">
        <f t="shared" si="232"/>
        <v>0</v>
      </c>
      <c r="BW22" s="15">
        <f t="shared" si="232"/>
        <v>0</v>
      </c>
      <c r="BX22" s="15">
        <f t="shared" si="232"/>
        <v>0</v>
      </c>
      <c r="BY22" s="15">
        <f t="shared" si="233"/>
        <v>0</v>
      </c>
      <c r="BZ22" s="15">
        <f t="shared" si="233"/>
        <v>0</v>
      </c>
      <c r="CA22" s="15">
        <f t="shared" si="233"/>
        <v>0</v>
      </c>
      <c r="CB22" s="15">
        <f t="shared" si="233"/>
        <v>0</v>
      </c>
      <c r="CC22" s="15">
        <f t="shared" si="233"/>
        <v>0</v>
      </c>
      <c r="CD22" s="15">
        <f t="shared" si="233"/>
        <v>0</v>
      </c>
      <c r="CE22" s="15">
        <f t="shared" si="233"/>
        <v>0</v>
      </c>
      <c r="CF22" s="15">
        <f t="shared" si="233"/>
        <v>0</v>
      </c>
      <c r="CG22" s="15">
        <f t="shared" si="233"/>
        <v>0</v>
      </c>
      <c r="CH22" s="15">
        <f t="shared" si="233"/>
        <v>0</v>
      </c>
      <c r="CI22" s="15">
        <f t="shared" si="233"/>
        <v>0</v>
      </c>
      <c r="CJ22" s="15">
        <f t="shared" si="233"/>
        <v>0</v>
      </c>
      <c r="CK22" s="15">
        <f t="shared" si="233"/>
        <v>0</v>
      </c>
      <c r="CL22" s="15">
        <f t="shared" si="233"/>
        <v>0</v>
      </c>
      <c r="CN22" s="15">
        <f t="shared" si="234"/>
        <v>650000000</v>
      </c>
      <c r="CO22" s="15">
        <f t="shared" si="234"/>
        <v>650000000</v>
      </c>
      <c r="CP22" s="15">
        <f t="shared" si="234"/>
        <v>650000000</v>
      </c>
      <c r="CQ22" s="15">
        <f t="shared" si="234"/>
        <v>650000000</v>
      </c>
      <c r="CR22" s="15">
        <f t="shared" si="234"/>
        <v>650000000</v>
      </c>
      <c r="CS22" s="15">
        <f t="shared" si="234"/>
        <v>650000000</v>
      </c>
      <c r="CT22" s="15">
        <f t="shared" si="234"/>
        <v>650000000</v>
      </c>
      <c r="CU22" s="15">
        <f t="shared" si="234"/>
        <v>650000000</v>
      </c>
      <c r="CV22" s="15">
        <f t="shared" si="234"/>
        <v>650000000</v>
      </c>
      <c r="CW22" s="15">
        <f t="shared" si="234"/>
        <v>650000000</v>
      </c>
      <c r="CX22" s="15">
        <f t="shared" si="234"/>
        <v>650000000</v>
      </c>
      <c r="CY22" s="15">
        <f t="shared" si="234"/>
        <v>650000000</v>
      </c>
      <c r="CZ22" s="15">
        <f t="shared" si="234"/>
        <v>0</v>
      </c>
      <c r="DA22" s="15">
        <f t="shared" si="234"/>
        <v>0</v>
      </c>
      <c r="DB22" s="15">
        <f t="shared" si="234"/>
        <v>0</v>
      </c>
      <c r="DC22" s="15">
        <f t="shared" si="234"/>
        <v>0</v>
      </c>
      <c r="DD22" s="15">
        <f t="shared" si="235"/>
        <v>0</v>
      </c>
      <c r="DE22" s="15">
        <f t="shared" si="235"/>
        <v>0</v>
      </c>
      <c r="DF22" s="15">
        <f t="shared" si="235"/>
        <v>0</v>
      </c>
      <c r="DG22" s="15">
        <f t="shared" si="235"/>
        <v>0</v>
      </c>
      <c r="DH22" s="15">
        <f t="shared" si="235"/>
        <v>0</v>
      </c>
      <c r="DI22" s="15">
        <f t="shared" si="235"/>
        <v>0</v>
      </c>
      <c r="DJ22" s="15">
        <f t="shared" si="235"/>
        <v>0</v>
      </c>
      <c r="DK22" s="15">
        <f t="shared" si="235"/>
        <v>0</v>
      </c>
      <c r="DL22" s="15">
        <f t="shared" si="235"/>
        <v>0</v>
      </c>
      <c r="DM22" s="15">
        <f t="shared" si="235"/>
        <v>0</v>
      </c>
      <c r="DN22" s="15">
        <f t="shared" si="235"/>
        <v>0</v>
      </c>
      <c r="DO22" s="15">
        <f t="shared" si="235"/>
        <v>0</v>
      </c>
      <c r="DP22" s="15">
        <f t="shared" si="235"/>
        <v>0</v>
      </c>
      <c r="DQ22" s="15">
        <f t="shared" si="235"/>
        <v>0</v>
      </c>
      <c r="DS22" s="15">
        <f t="shared" si="236"/>
        <v>650000000</v>
      </c>
      <c r="DT22" s="15">
        <f t="shared" si="236"/>
        <v>650000000</v>
      </c>
      <c r="DU22" s="15">
        <f t="shared" si="236"/>
        <v>650000000</v>
      </c>
      <c r="DV22" s="15">
        <f t="shared" si="236"/>
        <v>650000000</v>
      </c>
      <c r="DW22" s="15">
        <f t="shared" si="236"/>
        <v>650000000</v>
      </c>
      <c r="DX22" s="15">
        <f t="shared" si="236"/>
        <v>650000000</v>
      </c>
      <c r="DY22" s="15">
        <f t="shared" si="236"/>
        <v>650000000</v>
      </c>
      <c r="DZ22" s="15">
        <f t="shared" si="236"/>
        <v>650000000</v>
      </c>
      <c r="EA22" s="15">
        <f t="shared" si="236"/>
        <v>650000000</v>
      </c>
      <c r="EB22" s="15">
        <f t="shared" si="236"/>
        <v>650000000</v>
      </c>
      <c r="EC22" s="15">
        <f t="shared" si="236"/>
        <v>650000000</v>
      </c>
      <c r="ED22" s="15">
        <f t="shared" si="236"/>
        <v>650000000</v>
      </c>
      <c r="EE22" s="15">
        <f t="shared" si="236"/>
        <v>0</v>
      </c>
      <c r="EF22" s="15">
        <f t="shared" si="236"/>
        <v>0</v>
      </c>
      <c r="EG22" s="15">
        <f t="shared" si="236"/>
        <v>0</v>
      </c>
      <c r="EH22" s="15">
        <f t="shared" si="236"/>
        <v>0</v>
      </c>
      <c r="EI22" s="15">
        <f t="shared" si="237"/>
        <v>0</v>
      </c>
      <c r="EJ22" s="15">
        <f t="shared" si="237"/>
        <v>0</v>
      </c>
      <c r="EK22" s="15">
        <f t="shared" si="237"/>
        <v>0</v>
      </c>
      <c r="EL22" s="15">
        <f t="shared" si="237"/>
        <v>0</v>
      </c>
      <c r="EM22" s="15">
        <f t="shared" si="237"/>
        <v>0</v>
      </c>
      <c r="EN22" s="15">
        <f t="shared" si="237"/>
        <v>0</v>
      </c>
      <c r="EO22" s="15">
        <f t="shared" si="237"/>
        <v>0</v>
      </c>
      <c r="EP22" s="15">
        <f t="shared" si="237"/>
        <v>0</v>
      </c>
      <c r="EQ22" s="15">
        <f t="shared" si="237"/>
        <v>0</v>
      </c>
      <c r="ER22" s="15">
        <f t="shared" si="237"/>
        <v>0</v>
      </c>
      <c r="ES22" s="15">
        <f t="shared" si="237"/>
        <v>0</v>
      </c>
      <c r="ET22" s="15">
        <f t="shared" si="237"/>
        <v>0</v>
      </c>
      <c r="EU22" s="15">
        <f t="shared" si="237"/>
        <v>0</v>
      </c>
      <c r="EV22" s="15">
        <f t="shared" si="237"/>
        <v>0</v>
      </c>
      <c r="EX22" s="15">
        <f t="shared" si="238"/>
        <v>650000000</v>
      </c>
      <c r="EY22" s="15">
        <f t="shared" si="238"/>
        <v>650000000</v>
      </c>
      <c r="EZ22" s="15">
        <f t="shared" si="238"/>
        <v>650000000</v>
      </c>
      <c r="FA22" s="15">
        <f t="shared" si="238"/>
        <v>650000000</v>
      </c>
      <c r="FB22" s="15">
        <f t="shared" si="238"/>
        <v>650000000</v>
      </c>
      <c r="FC22" s="15">
        <f t="shared" si="238"/>
        <v>650000000</v>
      </c>
      <c r="FD22" s="15">
        <f t="shared" si="238"/>
        <v>650000000</v>
      </c>
      <c r="FE22" s="15">
        <f t="shared" si="238"/>
        <v>650000000</v>
      </c>
      <c r="FF22" s="15">
        <f t="shared" si="238"/>
        <v>650000000</v>
      </c>
      <c r="FG22" s="15">
        <f t="shared" si="238"/>
        <v>650000000</v>
      </c>
      <c r="FH22" s="15">
        <f t="shared" si="238"/>
        <v>650000000</v>
      </c>
      <c r="FI22" s="15">
        <f t="shared" si="238"/>
        <v>650000000</v>
      </c>
      <c r="FJ22" s="15">
        <f t="shared" si="238"/>
        <v>0</v>
      </c>
      <c r="FK22" s="15">
        <f t="shared" si="238"/>
        <v>0</v>
      </c>
      <c r="FL22" s="15">
        <f t="shared" si="238"/>
        <v>0</v>
      </c>
      <c r="FM22" s="15">
        <f t="shared" si="238"/>
        <v>0</v>
      </c>
      <c r="FN22" s="15">
        <f t="shared" si="239"/>
        <v>0</v>
      </c>
      <c r="FO22" s="15">
        <f t="shared" si="239"/>
        <v>0</v>
      </c>
      <c r="FP22" s="15">
        <f t="shared" si="239"/>
        <v>0</v>
      </c>
      <c r="FQ22" s="15">
        <f t="shared" si="239"/>
        <v>0</v>
      </c>
      <c r="FR22" s="15">
        <f t="shared" si="239"/>
        <v>0</v>
      </c>
      <c r="FS22" s="15">
        <f t="shared" si="239"/>
        <v>0</v>
      </c>
      <c r="FT22" s="15">
        <f t="shared" si="239"/>
        <v>0</v>
      </c>
      <c r="FU22" s="15">
        <f t="shared" si="239"/>
        <v>0</v>
      </c>
      <c r="FV22" s="15">
        <f t="shared" si="239"/>
        <v>0</v>
      </c>
      <c r="FW22" s="15">
        <f t="shared" si="239"/>
        <v>0</v>
      </c>
      <c r="FX22" s="15">
        <f t="shared" si="239"/>
        <v>0</v>
      </c>
      <c r="FY22" s="15">
        <f t="shared" si="239"/>
        <v>0</v>
      </c>
      <c r="FZ22" s="15">
        <f t="shared" si="239"/>
        <v>0</v>
      </c>
      <c r="GA22" s="15">
        <f t="shared" si="239"/>
        <v>0</v>
      </c>
      <c r="GC22" s="15">
        <f t="shared" si="240"/>
        <v>650000000</v>
      </c>
      <c r="GD22" s="15">
        <f t="shared" si="240"/>
        <v>650000000</v>
      </c>
      <c r="GE22" s="15">
        <f t="shared" si="240"/>
        <v>650000000</v>
      </c>
      <c r="GF22" s="15">
        <f t="shared" si="240"/>
        <v>650000000</v>
      </c>
      <c r="GG22" s="15">
        <f t="shared" si="240"/>
        <v>650000000</v>
      </c>
      <c r="GH22" s="15">
        <f t="shared" si="240"/>
        <v>650000000</v>
      </c>
      <c r="GI22" s="15">
        <f t="shared" si="240"/>
        <v>650000000</v>
      </c>
      <c r="GJ22" s="15">
        <f t="shared" si="240"/>
        <v>650000000</v>
      </c>
      <c r="GK22" s="15">
        <f t="shared" si="240"/>
        <v>650000000</v>
      </c>
      <c r="GL22" s="15">
        <f t="shared" si="240"/>
        <v>650000000</v>
      </c>
      <c r="GM22" s="15">
        <f t="shared" si="240"/>
        <v>650000000</v>
      </c>
      <c r="GN22" s="15">
        <f t="shared" si="240"/>
        <v>650000000</v>
      </c>
      <c r="GO22" s="15">
        <f t="shared" si="240"/>
        <v>0</v>
      </c>
      <c r="GP22" s="15">
        <f t="shared" si="240"/>
        <v>0</v>
      </c>
      <c r="GQ22" s="15">
        <f t="shared" si="240"/>
        <v>0</v>
      </c>
      <c r="GR22" s="15">
        <f t="shared" si="240"/>
        <v>0</v>
      </c>
      <c r="GS22" s="15">
        <f t="shared" si="241"/>
        <v>0</v>
      </c>
      <c r="GT22" s="15">
        <f t="shared" si="241"/>
        <v>0</v>
      </c>
      <c r="GU22" s="15">
        <f t="shared" si="241"/>
        <v>0</v>
      </c>
      <c r="GV22" s="15">
        <f t="shared" si="241"/>
        <v>0</v>
      </c>
      <c r="GW22" s="15">
        <f t="shared" si="241"/>
        <v>0</v>
      </c>
      <c r="GX22" s="15">
        <f t="shared" si="241"/>
        <v>0</v>
      </c>
      <c r="GY22" s="15">
        <f t="shared" si="241"/>
        <v>0</v>
      </c>
      <c r="GZ22" s="15">
        <f t="shared" si="241"/>
        <v>0</v>
      </c>
      <c r="HA22" s="15">
        <f t="shared" si="241"/>
        <v>0</v>
      </c>
      <c r="HB22" s="15">
        <f t="shared" si="241"/>
        <v>0</v>
      </c>
      <c r="HC22" s="15">
        <f t="shared" si="241"/>
        <v>0</v>
      </c>
      <c r="HD22" s="15">
        <f t="shared" si="241"/>
        <v>0</v>
      </c>
      <c r="HE22" s="15">
        <f t="shared" si="241"/>
        <v>0</v>
      </c>
      <c r="HF22" s="15">
        <f t="shared" si="241"/>
        <v>0</v>
      </c>
      <c r="HH22" s="15">
        <f t="shared" si="242"/>
        <v>650000000</v>
      </c>
      <c r="HI22" s="15">
        <f t="shared" si="242"/>
        <v>650000000</v>
      </c>
      <c r="HJ22" s="15">
        <f t="shared" si="242"/>
        <v>650000000</v>
      </c>
      <c r="HK22" s="15">
        <f t="shared" si="242"/>
        <v>650000000</v>
      </c>
      <c r="HL22" s="15">
        <f t="shared" si="242"/>
        <v>650000000</v>
      </c>
      <c r="HM22" s="15">
        <f t="shared" si="242"/>
        <v>650000000</v>
      </c>
      <c r="HN22" s="15">
        <f t="shared" si="242"/>
        <v>650000000</v>
      </c>
      <c r="HO22" s="15">
        <f t="shared" si="242"/>
        <v>650000000</v>
      </c>
      <c r="HP22" s="15">
        <f t="shared" si="242"/>
        <v>650000000</v>
      </c>
      <c r="HQ22" s="15">
        <f t="shared" si="242"/>
        <v>650000000</v>
      </c>
      <c r="HR22" s="15">
        <f t="shared" si="242"/>
        <v>650000000</v>
      </c>
      <c r="HS22" s="15">
        <f t="shared" si="242"/>
        <v>650000000</v>
      </c>
      <c r="HT22" s="15">
        <f t="shared" si="242"/>
        <v>0</v>
      </c>
      <c r="HU22" s="15">
        <f t="shared" si="242"/>
        <v>0</v>
      </c>
      <c r="HV22" s="15">
        <f t="shared" si="242"/>
        <v>0</v>
      </c>
      <c r="HW22" s="15">
        <f t="shared" si="242"/>
        <v>0</v>
      </c>
      <c r="HX22" s="15">
        <f t="shared" si="243"/>
        <v>0</v>
      </c>
      <c r="HY22" s="15">
        <f t="shared" si="243"/>
        <v>0</v>
      </c>
      <c r="HZ22" s="15">
        <f t="shared" si="243"/>
        <v>0</v>
      </c>
      <c r="IA22" s="15">
        <f t="shared" si="243"/>
        <v>0</v>
      </c>
      <c r="IB22" s="15">
        <f t="shared" si="243"/>
        <v>0</v>
      </c>
      <c r="IC22" s="15">
        <f t="shared" si="243"/>
        <v>0</v>
      </c>
      <c r="ID22" s="15">
        <f t="shared" si="243"/>
        <v>0</v>
      </c>
      <c r="IE22" s="15">
        <f t="shared" si="243"/>
        <v>0</v>
      </c>
      <c r="IF22" s="15">
        <f t="shared" si="243"/>
        <v>0</v>
      </c>
      <c r="IG22" s="15">
        <f t="shared" si="243"/>
        <v>0</v>
      </c>
      <c r="IH22" s="15">
        <f t="shared" si="243"/>
        <v>0</v>
      </c>
      <c r="II22" s="15">
        <f t="shared" si="243"/>
        <v>0</v>
      </c>
      <c r="IJ22" s="15">
        <f t="shared" si="243"/>
        <v>0</v>
      </c>
      <c r="IK22" s="15">
        <f t="shared" si="243"/>
        <v>0</v>
      </c>
      <c r="IM22" s="15">
        <f t="shared" si="244"/>
        <v>650000000</v>
      </c>
      <c r="IN22" s="15">
        <f t="shared" si="244"/>
        <v>650000000</v>
      </c>
      <c r="IO22" s="15">
        <f t="shared" si="244"/>
        <v>650000000</v>
      </c>
      <c r="IP22" s="15">
        <f t="shared" si="244"/>
        <v>650000000</v>
      </c>
      <c r="IQ22" s="15">
        <f t="shared" si="244"/>
        <v>650000000</v>
      </c>
      <c r="IR22" s="15">
        <f t="shared" si="244"/>
        <v>650000000</v>
      </c>
      <c r="IS22" s="15">
        <f t="shared" si="244"/>
        <v>650000000</v>
      </c>
      <c r="IT22" s="15">
        <f t="shared" si="244"/>
        <v>650000000</v>
      </c>
      <c r="IU22" s="15">
        <f t="shared" si="244"/>
        <v>650000000</v>
      </c>
      <c r="IV22" s="15">
        <f t="shared" si="244"/>
        <v>650000000</v>
      </c>
      <c r="IW22" s="15">
        <f t="shared" si="244"/>
        <v>650000000</v>
      </c>
      <c r="IX22" s="15">
        <f t="shared" si="244"/>
        <v>650000000</v>
      </c>
      <c r="IY22" s="15">
        <f t="shared" si="244"/>
        <v>0</v>
      </c>
      <c r="IZ22" s="15">
        <f t="shared" si="244"/>
        <v>0</v>
      </c>
      <c r="JA22" s="15">
        <f t="shared" si="244"/>
        <v>0</v>
      </c>
      <c r="JB22" s="15">
        <f t="shared" si="244"/>
        <v>0</v>
      </c>
      <c r="JC22" s="15">
        <f t="shared" si="245"/>
        <v>0</v>
      </c>
      <c r="JD22" s="15">
        <f t="shared" si="245"/>
        <v>0</v>
      </c>
      <c r="JE22" s="15">
        <f t="shared" si="245"/>
        <v>0</v>
      </c>
      <c r="JF22" s="15">
        <f t="shared" si="245"/>
        <v>0</v>
      </c>
      <c r="JG22" s="15">
        <f t="shared" si="245"/>
        <v>0</v>
      </c>
      <c r="JH22" s="15">
        <f t="shared" si="245"/>
        <v>0</v>
      </c>
      <c r="JI22" s="15">
        <f t="shared" si="245"/>
        <v>0</v>
      </c>
      <c r="JJ22" s="15">
        <f t="shared" si="245"/>
        <v>0</v>
      </c>
      <c r="JK22" s="15">
        <f t="shared" si="245"/>
        <v>0</v>
      </c>
      <c r="JL22" s="15">
        <f t="shared" si="245"/>
        <v>0</v>
      </c>
      <c r="JM22" s="15">
        <f t="shared" si="245"/>
        <v>0</v>
      </c>
      <c r="JN22" s="15">
        <f t="shared" si="245"/>
        <v>0</v>
      </c>
      <c r="JO22" s="15">
        <f t="shared" si="245"/>
        <v>0</v>
      </c>
      <c r="JP22" s="15">
        <f t="shared" si="245"/>
        <v>0</v>
      </c>
      <c r="JR22" s="15">
        <f t="shared" si="246"/>
        <v>650000000</v>
      </c>
      <c r="JS22" s="15">
        <f t="shared" si="246"/>
        <v>650000000</v>
      </c>
      <c r="JT22" s="15">
        <f t="shared" si="246"/>
        <v>650000000</v>
      </c>
      <c r="JU22" s="15">
        <f t="shared" si="246"/>
        <v>650000000</v>
      </c>
      <c r="JV22" s="15">
        <f t="shared" si="246"/>
        <v>650000000</v>
      </c>
      <c r="JW22" s="15">
        <f t="shared" si="246"/>
        <v>650000000</v>
      </c>
      <c r="JX22" s="15">
        <f t="shared" si="246"/>
        <v>650000000</v>
      </c>
      <c r="JY22" s="15">
        <f t="shared" si="246"/>
        <v>650000000</v>
      </c>
      <c r="JZ22" s="15">
        <f t="shared" si="246"/>
        <v>650000000</v>
      </c>
      <c r="KA22" s="15">
        <f t="shared" si="246"/>
        <v>650000000</v>
      </c>
      <c r="KB22" s="15">
        <f t="shared" si="246"/>
        <v>650000000</v>
      </c>
      <c r="KC22" s="15">
        <f t="shared" si="246"/>
        <v>650000000</v>
      </c>
      <c r="KD22" s="15">
        <f t="shared" si="246"/>
        <v>0</v>
      </c>
      <c r="KE22" s="15">
        <f t="shared" si="246"/>
        <v>0</v>
      </c>
      <c r="KF22" s="15">
        <f t="shared" si="246"/>
        <v>0</v>
      </c>
      <c r="KG22" s="15">
        <f t="shared" si="246"/>
        <v>0</v>
      </c>
      <c r="KH22" s="15">
        <f t="shared" si="247"/>
        <v>0</v>
      </c>
      <c r="KI22" s="15">
        <f t="shared" si="247"/>
        <v>0</v>
      </c>
      <c r="KJ22" s="15">
        <f t="shared" si="247"/>
        <v>0</v>
      </c>
      <c r="KK22" s="15">
        <f t="shared" si="247"/>
        <v>0</v>
      </c>
      <c r="KL22" s="15">
        <f t="shared" si="247"/>
        <v>0</v>
      </c>
      <c r="KM22" s="15">
        <f t="shared" si="247"/>
        <v>0</v>
      </c>
      <c r="KN22" s="15">
        <f t="shared" si="247"/>
        <v>0</v>
      </c>
      <c r="KO22" s="15">
        <f t="shared" si="247"/>
        <v>0</v>
      </c>
      <c r="KP22" s="15">
        <f t="shared" si="247"/>
        <v>0</v>
      </c>
      <c r="KQ22" s="15">
        <f t="shared" si="247"/>
        <v>0</v>
      </c>
      <c r="KR22" s="15">
        <f t="shared" si="247"/>
        <v>0</v>
      </c>
      <c r="KS22" s="15">
        <f t="shared" si="247"/>
        <v>0</v>
      </c>
      <c r="KT22" s="15">
        <f t="shared" si="247"/>
        <v>0</v>
      </c>
      <c r="KU22" s="15">
        <f t="shared" si="247"/>
        <v>0</v>
      </c>
      <c r="KW22" s="15">
        <f t="shared" si="248"/>
        <v>650000000</v>
      </c>
      <c r="KX22" s="15">
        <f t="shared" si="248"/>
        <v>650000000</v>
      </c>
      <c r="KY22" s="15">
        <f t="shared" si="248"/>
        <v>650000000</v>
      </c>
      <c r="KZ22" s="15">
        <f t="shared" si="248"/>
        <v>650000000</v>
      </c>
      <c r="LA22" s="15">
        <f t="shared" si="248"/>
        <v>650000000</v>
      </c>
      <c r="LB22" s="15">
        <f t="shared" si="248"/>
        <v>650000000</v>
      </c>
      <c r="LC22" s="15">
        <f t="shared" si="248"/>
        <v>650000000</v>
      </c>
      <c r="LD22" s="15">
        <f t="shared" si="248"/>
        <v>650000000</v>
      </c>
      <c r="LE22" s="15">
        <f t="shared" si="248"/>
        <v>650000000</v>
      </c>
      <c r="LF22" s="15">
        <f t="shared" si="248"/>
        <v>650000000</v>
      </c>
      <c r="LG22" s="15">
        <f t="shared" si="248"/>
        <v>650000000</v>
      </c>
      <c r="LH22" s="15">
        <f t="shared" si="248"/>
        <v>650000000</v>
      </c>
      <c r="LI22" s="15">
        <f t="shared" si="248"/>
        <v>0</v>
      </c>
      <c r="LJ22" s="15">
        <f t="shared" si="248"/>
        <v>0</v>
      </c>
      <c r="LK22" s="15">
        <f t="shared" si="248"/>
        <v>0</v>
      </c>
      <c r="LL22" s="15">
        <f t="shared" si="248"/>
        <v>0</v>
      </c>
      <c r="LM22" s="15">
        <f t="shared" si="249"/>
        <v>0</v>
      </c>
      <c r="LN22" s="15">
        <f t="shared" si="249"/>
        <v>0</v>
      </c>
      <c r="LO22" s="15">
        <f t="shared" si="249"/>
        <v>0</v>
      </c>
      <c r="LP22" s="15">
        <f t="shared" si="249"/>
        <v>0</v>
      </c>
      <c r="LQ22" s="15">
        <f t="shared" si="249"/>
        <v>0</v>
      </c>
      <c r="LR22" s="15">
        <f t="shared" si="249"/>
        <v>0</v>
      </c>
      <c r="LS22" s="15">
        <f t="shared" si="249"/>
        <v>0</v>
      </c>
      <c r="LT22" s="15">
        <f t="shared" si="249"/>
        <v>0</v>
      </c>
      <c r="LU22" s="15">
        <f t="shared" si="249"/>
        <v>0</v>
      </c>
      <c r="LV22" s="15">
        <f t="shared" si="249"/>
        <v>0</v>
      </c>
      <c r="LW22" s="15">
        <f t="shared" si="249"/>
        <v>0</v>
      </c>
      <c r="LX22" s="15">
        <f t="shared" si="249"/>
        <v>0</v>
      </c>
      <c r="LY22" s="15">
        <f t="shared" si="249"/>
        <v>0</v>
      </c>
      <c r="LZ22" s="15">
        <f t="shared" si="249"/>
        <v>0</v>
      </c>
      <c r="MB22" s="15">
        <f t="shared" si="250"/>
        <v>650000000</v>
      </c>
      <c r="MC22" s="15">
        <f t="shared" si="250"/>
        <v>650000000</v>
      </c>
      <c r="MD22" s="15">
        <f t="shared" si="250"/>
        <v>650000000</v>
      </c>
      <c r="ME22" s="15">
        <f t="shared" si="250"/>
        <v>650000000</v>
      </c>
      <c r="MF22" s="15">
        <f t="shared" si="250"/>
        <v>650000000</v>
      </c>
      <c r="MG22" s="15">
        <f t="shared" si="250"/>
        <v>650000000</v>
      </c>
      <c r="MH22" s="15">
        <f t="shared" si="250"/>
        <v>650000000</v>
      </c>
      <c r="MI22" s="15">
        <f t="shared" si="250"/>
        <v>650000000</v>
      </c>
      <c r="MJ22" s="15">
        <f t="shared" si="250"/>
        <v>650000000</v>
      </c>
      <c r="MK22" s="15">
        <f t="shared" si="250"/>
        <v>650000000</v>
      </c>
      <c r="ML22" s="15">
        <f t="shared" si="250"/>
        <v>650000000</v>
      </c>
      <c r="MM22" s="15">
        <f t="shared" si="250"/>
        <v>650000000</v>
      </c>
      <c r="MN22" s="15">
        <f t="shared" si="250"/>
        <v>0</v>
      </c>
      <c r="MO22" s="15">
        <f t="shared" si="250"/>
        <v>0</v>
      </c>
      <c r="MP22" s="15">
        <f t="shared" si="250"/>
        <v>0</v>
      </c>
      <c r="MQ22" s="15">
        <f t="shared" si="250"/>
        <v>0</v>
      </c>
      <c r="MR22" s="15">
        <f t="shared" si="251"/>
        <v>0</v>
      </c>
      <c r="MS22" s="15">
        <f t="shared" si="251"/>
        <v>0</v>
      </c>
      <c r="MT22" s="15">
        <f t="shared" si="251"/>
        <v>0</v>
      </c>
      <c r="MU22" s="15">
        <f t="shared" si="251"/>
        <v>0</v>
      </c>
      <c r="MV22" s="15">
        <f t="shared" si="251"/>
        <v>0</v>
      </c>
      <c r="MW22" s="15">
        <f t="shared" si="251"/>
        <v>0</v>
      </c>
      <c r="MX22" s="15">
        <f t="shared" si="251"/>
        <v>0</v>
      </c>
      <c r="MY22" s="15">
        <f t="shared" si="251"/>
        <v>0</v>
      </c>
      <c r="MZ22" s="15">
        <f t="shared" si="251"/>
        <v>0</v>
      </c>
      <c r="NA22" s="15">
        <f t="shared" si="251"/>
        <v>0</v>
      </c>
      <c r="NB22" s="15">
        <f t="shared" si="251"/>
        <v>0</v>
      </c>
      <c r="NC22" s="15">
        <f t="shared" si="251"/>
        <v>0</v>
      </c>
      <c r="ND22" s="15">
        <f t="shared" si="251"/>
        <v>0</v>
      </c>
      <c r="NE22" s="15">
        <f t="shared" si="251"/>
        <v>0</v>
      </c>
    </row>
    <row r="23" spans="1:369" outlineLevel="1" x14ac:dyDescent="0.25">
      <c r="B23" t="s">
        <v>346</v>
      </c>
      <c r="C23" s="495" t="s">
        <v>222</v>
      </c>
      <c r="D23" s="613" t="s">
        <v>208</v>
      </c>
      <c r="E23" s="467">
        <v>1</v>
      </c>
      <c r="F23" s="221"/>
      <c r="G23" s="457">
        <v>12</v>
      </c>
      <c r="H23" s="468">
        <f>(3750000000/$D$6)*1.04</f>
        <v>3900000000</v>
      </c>
      <c r="I23" s="457">
        <f t="shared" si="203"/>
        <v>3900000000</v>
      </c>
      <c r="J23" s="457">
        <f t="shared" si="204"/>
        <v>325000000</v>
      </c>
      <c r="K23" s="221"/>
      <c r="L23" s="457">
        <v>12</v>
      </c>
      <c r="M23" s="457">
        <f t="shared" si="205"/>
        <v>3900000000</v>
      </c>
      <c r="N23" s="457">
        <f t="shared" si="206"/>
        <v>3900000000</v>
      </c>
      <c r="O23" s="457">
        <f t="shared" si="207"/>
        <v>325000000</v>
      </c>
      <c r="P23" s="221"/>
      <c r="Q23" s="457">
        <v>12</v>
      </c>
      <c r="R23" s="457">
        <f t="shared" si="208"/>
        <v>3900000000</v>
      </c>
      <c r="S23" s="457">
        <f t="shared" si="209"/>
        <v>3900000000</v>
      </c>
      <c r="T23" s="457">
        <f t="shared" si="210"/>
        <v>325000000</v>
      </c>
      <c r="U23" s="221"/>
      <c r="V23" s="457">
        <v>12</v>
      </c>
      <c r="W23" s="457">
        <f t="shared" si="211"/>
        <v>3900000000</v>
      </c>
      <c r="X23" s="457">
        <f t="shared" si="212"/>
        <v>3900000000</v>
      </c>
      <c r="Y23" s="457">
        <f t="shared" si="213"/>
        <v>325000000</v>
      </c>
      <c r="Z23" s="221"/>
      <c r="AA23" s="457">
        <v>12</v>
      </c>
      <c r="AB23" s="457">
        <f t="shared" si="214"/>
        <v>3900000000</v>
      </c>
      <c r="AC23" s="457">
        <f t="shared" si="215"/>
        <v>3900000000</v>
      </c>
      <c r="AD23" s="457">
        <f t="shared" si="216"/>
        <v>325000000</v>
      </c>
      <c r="AE23" s="221"/>
      <c r="AF23" s="457">
        <v>12</v>
      </c>
      <c r="AG23" s="457">
        <f t="shared" si="217"/>
        <v>3900000000</v>
      </c>
      <c r="AH23" s="457">
        <f t="shared" si="218"/>
        <v>3900000000</v>
      </c>
      <c r="AI23" s="457">
        <f t="shared" si="219"/>
        <v>325000000</v>
      </c>
      <c r="AJ23" s="221"/>
      <c r="AK23" s="457">
        <v>12</v>
      </c>
      <c r="AL23" s="457">
        <f t="shared" si="220"/>
        <v>3900000000</v>
      </c>
      <c r="AM23" s="457">
        <f t="shared" si="221"/>
        <v>3900000000</v>
      </c>
      <c r="AN23" s="457">
        <f t="shared" si="222"/>
        <v>325000000</v>
      </c>
      <c r="AO23" s="221"/>
      <c r="AP23" s="457">
        <v>12</v>
      </c>
      <c r="AQ23" s="457">
        <f t="shared" si="223"/>
        <v>3900000000</v>
      </c>
      <c r="AR23" s="457">
        <f t="shared" si="224"/>
        <v>3900000000</v>
      </c>
      <c r="AS23" s="457">
        <f t="shared" si="225"/>
        <v>325000000</v>
      </c>
      <c r="AT23" s="221"/>
      <c r="AU23" s="457">
        <v>12</v>
      </c>
      <c r="AV23" s="457">
        <f t="shared" si="226"/>
        <v>3900000000</v>
      </c>
      <c r="AW23" s="457">
        <f t="shared" si="227"/>
        <v>3900000000</v>
      </c>
      <c r="AX23" s="457">
        <f t="shared" si="228"/>
        <v>325000000</v>
      </c>
      <c r="AY23" s="221"/>
      <c r="AZ23" s="457">
        <v>12</v>
      </c>
      <c r="BA23" s="457">
        <f t="shared" si="229"/>
        <v>3900000000</v>
      </c>
      <c r="BB23" s="457">
        <f t="shared" si="230"/>
        <v>3900000000</v>
      </c>
      <c r="BC23" s="457">
        <f t="shared" si="231"/>
        <v>325000000</v>
      </c>
      <c r="BD23" s="221"/>
      <c r="BF23" t="s">
        <v>547</v>
      </c>
      <c r="BG23" t="s">
        <v>337</v>
      </c>
      <c r="BI23" s="15">
        <f t="shared" si="232"/>
        <v>325000000</v>
      </c>
      <c r="BJ23" s="15">
        <f t="shared" si="232"/>
        <v>325000000</v>
      </c>
      <c r="BK23" s="15">
        <f t="shared" si="232"/>
        <v>325000000</v>
      </c>
      <c r="BL23" s="15">
        <f t="shared" si="232"/>
        <v>325000000</v>
      </c>
      <c r="BM23" s="15">
        <f t="shared" si="232"/>
        <v>325000000</v>
      </c>
      <c r="BN23" s="15">
        <f t="shared" si="232"/>
        <v>325000000</v>
      </c>
      <c r="BO23" s="15">
        <f t="shared" si="232"/>
        <v>325000000</v>
      </c>
      <c r="BP23" s="15">
        <f t="shared" si="232"/>
        <v>325000000</v>
      </c>
      <c r="BQ23" s="15">
        <f t="shared" si="232"/>
        <v>325000000</v>
      </c>
      <c r="BR23" s="15">
        <f t="shared" si="232"/>
        <v>325000000</v>
      </c>
      <c r="BS23" s="15">
        <f t="shared" si="232"/>
        <v>325000000</v>
      </c>
      <c r="BT23" s="15">
        <f t="shared" si="232"/>
        <v>325000000</v>
      </c>
      <c r="BU23" s="15">
        <f t="shared" si="232"/>
        <v>0</v>
      </c>
      <c r="BV23" s="15">
        <f t="shared" si="232"/>
        <v>0</v>
      </c>
      <c r="BW23" s="15">
        <f t="shared" si="232"/>
        <v>0</v>
      </c>
      <c r="BX23" s="15">
        <f t="shared" si="232"/>
        <v>0</v>
      </c>
      <c r="BY23" s="15">
        <f t="shared" si="233"/>
        <v>0</v>
      </c>
      <c r="BZ23" s="15">
        <f t="shared" si="233"/>
        <v>0</v>
      </c>
      <c r="CA23" s="15">
        <f t="shared" si="233"/>
        <v>0</v>
      </c>
      <c r="CB23" s="15">
        <f t="shared" si="233"/>
        <v>0</v>
      </c>
      <c r="CC23" s="15">
        <f t="shared" si="233"/>
        <v>0</v>
      </c>
      <c r="CD23" s="15">
        <f t="shared" si="233"/>
        <v>0</v>
      </c>
      <c r="CE23" s="15">
        <f t="shared" si="233"/>
        <v>0</v>
      </c>
      <c r="CF23" s="15">
        <f t="shared" si="233"/>
        <v>0</v>
      </c>
      <c r="CG23" s="15">
        <f t="shared" si="233"/>
        <v>0</v>
      </c>
      <c r="CH23" s="15">
        <f t="shared" si="233"/>
        <v>0</v>
      </c>
      <c r="CI23" s="15">
        <f t="shared" si="233"/>
        <v>0</v>
      </c>
      <c r="CJ23" s="15">
        <f t="shared" si="233"/>
        <v>0</v>
      </c>
      <c r="CK23" s="15">
        <f t="shared" si="233"/>
        <v>0</v>
      </c>
      <c r="CL23" s="15">
        <f t="shared" si="233"/>
        <v>0</v>
      </c>
      <c r="CN23" s="15">
        <f t="shared" si="234"/>
        <v>325000000</v>
      </c>
      <c r="CO23" s="15">
        <f t="shared" si="234"/>
        <v>325000000</v>
      </c>
      <c r="CP23" s="15">
        <f t="shared" si="234"/>
        <v>325000000</v>
      </c>
      <c r="CQ23" s="15">
        <f t="shared" si="234"/>
        <v>325000000</v>
      </c>
      <c r="CR23" s="15">
        <f t="shared" si="234"/>
        <v>325000000</v>
      </c>
      <c r="CS23" s="15">
        <f t="shared" si="234"/>
        <v>325000000</v>
      </c>
      <c r="CT23" s="15">
        <f t="shared" si="234"/>
        <v>325000000</v>
      </c>
      <c r="CU23" s="15">
        <f t="shared" si="234"/>
        <v>325000000</v>
      </c>
      <c r="CV23" s="15">
        <f t="shared" si="234"/>
        <v>325000000</v>
      </c>
      <c r="CW23" s="15">
        <f t="shared" si="234"/>
        <v>325000000</v>
      </c>
      <c r="CX23" s="15">
        <f t="shared" si="234"/>
        <v>325000000</v>
      </c>
      <c r="CY23" s="15">
        <f t="shared" si="234"/>
        <v>325000000</v>
      </c>
      <c r="CZ23" s="15">
        <f t="shared" si="234"/>
        <v>0</v>
      </c>
      <c r="DA23" s="15">
        <f t="shared" si="234"/>
        <v>0</v>
      </c>
      <c r="DB23" s="15">
        <f t="shared" si="234"/>
        <v>0</v>
      </c>
      <c r="DC23" s="15">
        <f t="shared" si="234"/>
        <v>0</v>
      </c>
      <c r="DD23" s="15">
        <f t="shared" si="235"/>
        <v>0</v>
      </c>
      <c r="DE23" s="15">
        <f t="shared" si="235"/>
        <v>0</v>
      </c>
      <c r="DF23" s="15">
        <f t="shared" si="235"/>
        <v>0</v>
      </c>
      <c r="DG23" s="15">
        <f t="shared" si="235"/>
        <v>0</v>
      </c>
      <c r="DH23" s="15">
        <f t="shared" si="235"/>
        <v>0</v>
      </c>
      <c r="DI23" s="15">
        <f t="shared" si="235"/>
        <v>0</v>
      </c>
      <c r="DJ23" s="15">
        <f t="shared" si="235"/>
        <v>0</v>
      </c>
      <c r="DK23" s="15">
        <f t="shared" si="235"/>
        <v>0</v>
      </c>
      <c r="DL23" s="15">
        <f t="shared" si="235"/>
        <v>0</v>
      </c>
      <c r="DM23" s="15">
        <f t="shared" si="235"/>
        <v>0</v>
      </c>
      <c r="DN23" s="15">
        <f t="shared" si="235"/>
        <v>0</v>
      </c>
      <c r="DO23" s="15">
        <f t="shared" si="235"/>
        <v>0</v>
      </c>
      <c r="DP23" s="15">
        <f t="shared" si="235"/>
        <v>0</v>
      </c>
      <c r="DQ23" s="15">
        <f t="shared" si="235"/>
        <v>0</v>
      </c>
      <c r="DS23" s="15">
        <f t="shared" si="236"/>
        <v>325000000</v>
      </c>
      <c r="DT23" s="15">
        <f t="shared" si="236"/>
        <v>325000000</v>
      </c>
      <c r="DU23" s="15">
        <f t="shared" si="236"/>
        <v>325000000</v>
      </c>
      <c r="DV23" s="15">
        <f t="shared" si="236"/>
        <v>325000000</v>
      </c>
      <c r="DW23" s="15">
        <f t="shared" si="236"/>
        <v>325000000</v>
      </c>
      <c r="DX23" s="15">
        <f t="shared" si="236"/>
        <v>325000000</v>
      </c>
      <c r="DY23" s="15">
        <f t="shared" si="236"/>
        <v>325000000</v>
      </c>
      <c r="DZ23" s="15">
        <f t="shared" si="236"/>
        <v>325000000</v>
      </c>
      <c r="EA23" s="15">
        <f t="shared" si="236"/>
        <v>325000000</v>
      </c>
      <c r="EB23" s="15">
        <f t="shared" si="236"/>
        <v>325000000</v>
      </c>
      <c r="EC23" s="15">
        <f t="shared" si="236"/>
        <v>325000000</v>
      </c>
      <c r="ED23" s="15">
        <f t="shared" si="236"/>
        <v>325000000</v>
      </c>
      <c r="EE23" s="15">
        <f t="shared" si="236"/>
        <v>0</v>
      </c>
      <c r="EF23" s="15">
        <f t="shared" si="236"/>
        <v>0</v>
      </c>
      <c r="EG23" s="15">
        <f t="shared" si="236"/>
        <v>0</v>
      </c>
      <c r="EH23" s="15">
        <f t="shared" si="236"/>
        <v>0</v>
      </c>
      <c r="EI23" s="15">
        <f t="shared" si="237"/>
        <v>0</v>
      </c>
      <c r="EJ23" s="15">
        <f t="shared" si="237"/>
        <v>0</v>
      </c>
      <c r="EK23" s="15">
        <f t="shared" si="237"/>
        <v>0</v>
      </c>
      <c r="EL23" s="15">
        <f t="shared" si="237"/>
        <v>0</v>
      </c>
      <c r="EM23" s="15">
        <f t="shared" si="237"/>
        <v>0</v>
      </c>
      <c r="EN23" s="15">
        <f t="shared" si="237"/>
        <v>0</v>
      </c>
      <c r="EO23" s="15">
        <f t="shared" si="237"/>
        <v>0</v>
      </c>
      <c r="EP23" s="15">
        <f t="shared" si="237"/>
        <v>0</v>
      </c>
      <c r="EQ23" s="15">
        <f t="shared" si="237"/>
        <v>0</v>
      </c>
      <c r="ER23" s="15">
        <f t="shared" si="237"/>
        <v>0</v>
      </c>
      <c r="ES23" s="15">
        <f t="shared" si="237"/>
        <v>0</v>
      </c>
      <c r="ET23" s="15">
        <f t="shared" si="237"/>
        <v>0</v>
      </c>
      <c r="EU23" s="15">
        <f t="shared" si="237"/>
        <v>0</v>
      </c>
      <c r="EV23" s="15">
        <f t="shared" si="237"/>
        <v>0</v>
      </c>
      <c r="EX23" s="15">
        <f t="shared" si="238"/>
        <v>325000000</v>
      </c>
      <c r="EY23" s="15">
        <f t="shared" si="238"/>
        <v>325000000</v>
      </c>
      <c r="EZ23" s="15">
        <f t="shared" si="238"/>
        <v>325000000</v>
      </c>
      <c r="FA23" s="15">
        <f t="shared" si="238"/>
        <v>325000000</v>
      </c>
      <c r="FB23" s="15">
        <f t="shared" si="238"/>
        <v>325000000</v>
      </c>
      <c r="FC23" s="15">
        <f t="shared" si="238"/>
        <v>325000000</v>
      </c>
      <c r="FD23" s="15">
        <f t="shared" si="238"/>
        <v>325000000</v>
      </c>
      <c r="FE23" s="15">
        <f t="shared" si="238"/>
        <v>325000000</v>
      </c>
      <c r="FF23" s="15">
        <f t="shared" si="238"/>
        <v>325000000</v>
      </c>
      <c r="FG23" s="15">
        <f t="shared" si="238"/>
        <v>325000000</v>
      </c>
      <c r="FH23" s="15">
        <f t="shared" si="238"/>
        <v>325000000</v>
      </c>
      <c r="FI23" s="15">
        <f t="shared" si="238"/>
        <v>325000000</v>
      </c>
      <c r="FJ23" s="15">
        <f t="shared" si="238"/>
        <v>0</v>
      </c>
      <c r="FK23" s="15">
        <f t="shared" si="238"/>
        <v>0</v>
      </c>
      <c r="FL23" s="15">
        <f t="shared" si="238"/>
        <v>0</v>
      </c>
      <c r="FM23" s="15">
        <f t="shared" si="238"/>
        <v>0</v>
      </c>
      <c r="FN23" s="15">
        <f t="shared" si="239"/>
        <v>0</v>
      </c>
      <c r="FO23" s="15">
        <f t="shared" si="239"/>
        <v>0</v>
      </c>
      <c r="FP23" s="15">
        <f t="shared" si="239"/>
        <v>0</v>
      </c>
      <c r="FQ23" s="15">
        <f t="shared" si="239"/>
        <v>0</v>
      </c>
      <c r="FR23" s="15">
        <f t="shared" si="239"/>
        <v>0</v>
      </c>
      <c r="FS23" s="15">
        <f t="shared" si="239"/>
        <v>0</v>
      </c>
      <c r="FT23" s="15">
        <f t="shared" si="239"/>
        <v>0</v>
      </c>
      <c r="FU23" s="15">
        <f t="shared" si="239"/>
        <v>0</v>
      </c>
      <c r="FV23" s="15">
        <f t="shared" si="239"/>
        <v>0</v>
      </c>
      <c r="FW23" s="15">
        <f t="shared" si="239"/>
        <v>0</v>
      </c>
      <c r="FX23" s="15">
        <f t="shared" si="239"/>
        <v>0</v>
      </c>
      <c r="FY23" s="15">
        <f t="shared" si="239"/>
        <v>0</v>
      </c>
      <c r="FZ23" s="15">
        <f t="shared" si="239"/>
        <v>0</v>
      </c>
      <c r="GA23" s="15">
        <f t="shared" si="239"/>
        <v>0</v>
      </c>
      <c r="GC23" s="15">
        <f t="shared" si="240"/>
        <v>325000000</v>
      </c>
      <c r="GD23" s="15">
        <f t="shared" si="240"/>
        <v>325000000</v>
      </c>
      <c r="GE23" s="15">
        <f t="shared" si="240"/>
        <v>325000000</v>
      </c>
      <c r="GF23" s="15">
        <f t="shared" si="240"/>
        <v>325000000</v>
      </c>
      <c r="GG23" s="15">
        <f t="shared" si="240"/>
        <v>325000000</v>
      </c>
      <c r="GH23" s="15">
        <f t="shared" si="240"/>
        <v>325000000</v>
      </c>
      <c r="GI23" s="15">
        <f t="shared" si="240"/>
        <v>325000000</v>
      </c>
      <c r="GJ23" s="15">
        <f t="shared" si="240"/>
        <v>325000000</v>
      </c>
      <c r="GK23" s="15">
        <f t="shared" si="240"/>
        <v>325000000</v>
      </c>
      <c r="GL23" s="15">
        <f t="shared" si="240"/>
        <v>325000000</v>
      </c>
      <c r="GM23" s="15">
        <f t="shared" si="240"/>
        <v>325000000</v>
      </c>
      <c r="GN23" s="15">
        <f t="shared" si="240"/>
        <v>325000000</v>
      </c>
      <c r="GO23" s="15">
        <f t="shared" si="240"/>
        <v>0</v>
      </c>
      <c r="GP23" s="15">
        <f t="shared" si="240"/>
        <v>0</v>
      </c>
      <c r="GQ23" s="15">
        <f t="shared" si="240"/>
        <v>0</v>
      </c>
      <c r="GR23" s="15">
        <f t="shared" si="240"/>
        <v>0</v>
      </c>
      <c r="GS23" s="15">
        <f t="shared" si="241"/>
        <v>0</v>
      </c>
      <c r="GT23" s="15">
        <f t="shared" si="241"/>
        <v>0</v>
      </c>
      <c r="GU23" s="15">
        <f t="shared" si="241"/>
        <v>0</v>
      </c>
      <c r="GV23" s="15">
        <f t="shared" si="241"/>
        <v>0</v>
      </c>
      <c r="GW23" s="15">
        <f t="shared" si="241"/>
        <v>0</v>
      </c>
      <c r="GX23" s="15">
        <f t="shared" si="241"/>
        <v>0</v>
      </c>
      <c r="GY23" s="15">
        <f t="shared" si="241"/>
        <v>0</v>
      </c>
      <c r="GZ23" s="15">
        <f t="shared" si="241"/>
        <v>0</v>
      </c>
      <c r="HA23" s="15">
        <f t="shared" si="241"/>
        <v>0</v>
      </c>
      <c r="HB23" s="15">
        <f t="shared" si="241"/>
        <v>0</v>
      </c>
      <c r="HC23" s="15">
        <f t="shared" si="241"/>
        <v>0</v>
      </c>
      <c r="HD23" s="15">
        <f t="shared" si="241"/>
        <v>0</v>
      </c>
      <c r="HE23" s="15">
        <f t="shared" si="241"/>
        <v>0</v>
      </c>
      <c r="HF23" s="15">
        <f t="shared" si="241"/>
        <v>0</v>
      </c>
      <c r="HH23" s="15">
        <f t="shared" si="242"/>
        <v>325000000</v>
      </c>
      <c r="HI23" s="15">
        <f t="shared" si="242"/>
        <v>325000000</v>
      </c>
      <c r="HJ23" s="15">
        <f t="shared" si="242"/>
        <v>325000000</v>
      </c>
      <c r="HK23" s="15">
        <f t="shared" si="242"/>
        <v>325000000</v>
      </c>
      <c r="HL23" s="15">
        <f t="shared" si="242"/>
        <v>325000000</v>
      </c>
      <c r="HM23" s="15">
        <f t="shared" si="242"/>
        <v>325000000</v>
      </c>
      <c r="HN23" s="15">
        <f t="shared" si="242"/>
        <v>325000000</v>
      </c>
      <c r="HO23" s="15">
        <f t="shared" si="242"/>
        <v>325000000</v>
      </c>
      <c r="HP23" s="15">
        <f t="shared" si="242"/>
        <v>325000000</v>
      </c>
      <c r="HQ23" s="15">
        <f t="shared" si="242"/>
        <v>325000000</v>
      </c>
      <c r="HR23" s="15">
        <f t="shared" si="242"/>
        <v>325000000</v>
      </c>
      <c r="HS23" s="15">
        <f t="shared" si="242"/>
        <v>325000000</v>
      </c>
      <c r="HT23" s="15">
        <f t="shared" si="242"/>
        <v>0</v>
      </c>
      <c r="HU23" s="15">
        <f t="shared" si="242"/>
        <v>0</v>
      </c>
      <c r="HV23" s="15">
        <f t="shared" si="242"/>
        <v>0</v>
      </c>
      <c r="HW23" s="15">
        <f t="shared" si="242"/>
        <v>0</v>
      </c>
      <c r="HX23" s="15">
        <f t="shared" si="243"/>
        <v>0</v>
      </c>
      <c r="HY23" s="15">
        <f t="shared" si="243"/>
        <v>0</v>
      </c>
      <c r="HZ23" s="15">
        <f t="shared" si="243"/>
        <v>0</v>
      </c>
      <c r="IA23" s="15">
        <f t="shared" si="243"/>
        <v>0</v>
      </c>
      <c r="IB23" s="15">
        <f t="shared" si="243"/>
        <v>0</v>
      </c>
      <c r="IC23" s="15">
        <f t="shared" si="243"/>
        <v>0</v>
      </c>
      <c r="ID23" s="15">
        <f t="shared" si="243"/>
        <v>0</v>
      </c>
      <c r="IE23" s="15">
        <f t="shared" si="243"/>
        <v>0</v>
      </c>
      <c r="IF23" s="15">
        <f t="shared" si="243"/>
        <v>0</v>
      </c>
      <c r="IG23" s="15">
        <f t="shared" si="243"/>
        <v>0</v>
      </c>
      <c r="IH23" s="15">
        <f t="shared" si="243"/>
        <v>0</v>
      </c>
      <c r="II23" s="15">
        <f t="shared" si="243"/>
        <v>0</v>
      </c>
      <c r="IJ23" s="15">
        <f t="shared" si="243"/>
        <v>0</v>
      </c>
      <c r="IK23" s="15">
        <f t="shared" si="243"/>
        <v>0</v>
      </c>
      <c r="IM23" s="15">
        <f t="shared" si="244"/>
        <v>325000000</v>
      </c>
      <c r="IN23" s="15">
        <f t="shared" si="244"/>
        <v>325000000</v>
      </c>
      <c r="IO23" s="15">
        <f t="shared" si="244"/>
        <v>325000000</v>
      </c>
      <c r="IP23" s="15">
        <f t="shared" si="244"/>
        <v>325000000</v>
      </c>
      <c r="IQ23" s="15">
        <f t="shared" si="244"/>
        <v>325000000</v>
      </c>
      <c r="IR23" s="15">
        <f t="shared" si="244"/>
        <v>325000000</v>
      </c>
      <c r="IS23" s="15">
        <f t="shared" si="244"/>
        <v>325000000</v>
      </c>
      <c r="IT23" s="15">
        <f t="shared" si="244"/>
        <v>325000000</v>
      </c>
      <c r="IU23" s="15">
        <f t="shared" si="244"/>
        <v>325000000</v>
      </c>
      <c r="IV23" s="15">
        <f t="shared" si="244"/>
        <v>325000000</v>
      </c>
      <c r="IW23" s="15">
        <f t="shared" si="244"/>
        <v>325000000</v>
      </c>
      <c r="IX23" s="15">
        <f t="shared" si="244"/>
        <v>325000000</v>
      </c>
      <c r="IY23" s="15">
        <f t="shared" si="244"/>
        <v>0</v>
      </c>
      <c r="IZ23" s="15">
        <f t="shared" si="244"/>
        <v>0</v>
      </c>
      <c r="JA23" s="15">
        <f t="shared" si="244"/>
        <v>0</v>
      </c>
      <c r="JB23" s="15">
        <f t="shared" si="244"/>
        <v>0</v>
      </c>
      <c r="JC23" s="15">
        <f t="shared" si="245"/>
        <v>0</v>
      </c>
      <c r="JD23" s="15">
        <f t="shared" si="245"/>
        <v>0</v>
      </c>
      <c r="JE23" s="15">
        <f t="shared" si="245"/>
        <v>0</v>
      </c>
      <c r="JF23" s="15">
        <f t="shared" si="245"/>
        <v>0</v>
      </c>
      <c r="JG23" s="15">
        <f t="shared" si="245"/>
        <v>0</v>
      </c>
      <c r="JH23" s="15">
        <f t="shared" si="245"/>
        <v>0</v>
      </c>
      <c r="JI23" s="15">
        <f t="shared" si="245"/>
        <v>0</v>
      </c>
      <c r="JJ23" s="15">
        <f t="shared" si="245"/>
        <v>0</v>
      </c>
      <c r="JK23" s="15">
        <f t="shared" si="245"/>
        <v>0</v>
      </c>
      <c r="JL23" s="15">
        <f t="shared" si="245"/>
        <v>0</v>
      </c>
      <c r="JM23" s="15">
        <f t="shared" si="245"/>
        <v>0</v>
      </c>
      <c r="JN23" s="15">
        <f t="shared" si="245"/>
        <v>0</v>
      </c>
      <c r="JO23" s="15">
        <f t="shared" si="245"/>
        <v>0</v>
      </c>
      <c r="JP23" s="15">
        <f t="shared" si="245"/>
        <v>0</v>
      </c>
      <c r="JR23" s="15">
        <f t="shared" si="246"/>
        <v>325000000</v>
      </c>
      <c r="JS23" s="15">
        <f t="shared" si="246"/>
        <v>325000000</v>
      </c>
      <c r="JT23" s="15">
        <f t="shared" si="246"/>
        <v>325000000</v>
      </c>
      <c r="JU23" s="15">
        <f t="shared" si="246"/>
        <v>325000000</v>
      </c>
      <c r="JV23" s="15">
        <f t="shared" si="246"/>
        <v>325000000</v>
      </c>
      <c r="JW23" s="15">
        <f t="shared" si="246"/>
        <v>325000000</v>
      </c>
      <c r="JX23" s="15">
        <f t="shared" si="246"/>
        <v>325000000</v>
      </c>
      <c r="JY23" s="15">
        <f t="shared" si="246"/>
        <v>325000000</v>
      </c>
      <c r="JZ23" s="15">
        <f t="shared" si="246"/>
        <v>325000000</v>
      </c>
      <c r="KA23" s="15">
        <f t="shared" si="246"/>
        <v>325000000</v>
      </c>
      <c r="KB23" s="15">
        <f t="shared" si="246"/>
        <v>325000000</v>
      </c>
      <c r="KC23" s="15">
        <f t="shared" si="246"/>
        <v>325000000</v>
      </c>
      <c r="KD23" s="15">
        <f t="shared" si="246"/>
        <v>0</v>
      </c>
      <c r="KE23" s="15">
        <f t="shared" si="246"/>
        <v>0</v>
      </c>
      <c r="KF23" s="15">
        <f t="shared" si="246"/>
        <v>0</v>
      </c>
      <c r="KG23" s="15">
        <f t="shared" si="246"/>
        <v>0</v>
      </c>
      <c r="KH23" s="15">
        <f t="shared" si="247"/>
        <v>0</v>
      </c>
      <c r="KI23" s="15">
        <f t="shared" si="247"/>
        <v>0</v>
      </c>
      <c r="KJ23" s="15">
        <f t="shared" si="247"/>
        <v>0</v>
      </c>
      <c r="KK23" s="15">
        <f t="shared" si="247"/>
        <v>0</v>
      </c>
      <c r="KL23" s="15">
        <f t="shared" si="247"/>
        <v>0</v>
      </c>
      <c r="KM23" s="15">
        <f t="shared" si="247"/>
        <v>0</v>
      </c>
      <c r="KN23" s="15">
        <f t="shared" si="247"/>
        <v>0</v>
      </c>
      <c r="KO23" s="15">
        <f t="shared" si="247"/>
        <v>0</v>
      </c>
      <c r="KP23" s="15">
        <f t="shared" si="247"/>
        <v>0</v>
      </c>
      <c r="KQ23" s="15">
        <f t="shared" si="247"/>
        <v>0</v>
      </c>
      <c r="KR23" s="15">
        <f t="shared" si="247"/>
        <v>0</v>
      </c>
      <c r="KS23" s="15">
        <f t="shared" si="247"/>
        <v>0</v>
      </c>
      <c r="KT23" s="15">
        <f t="shared" si="247"/>
        <v>0</v>
      </c>
      <c r="KU23" s="15">
        <f t="shared" si="247"/>
        <v>0</v>
      </c>
      <c r="KW23" s="15">
        <f t="shared" si="248"/>
        <v>325000000</v>
      </c>
      <c r="KX23" s="15">
        <f t="shared" si="248"/>
        <v>325000000</v>
      </c>
      <c r="KY23" s="15">
        <f t="shared" si="248"/>
        <v>325000000</v>
      </c>
      <c r="KZ23" s="15">
        <f t="shared" si="248"/>
        <v>325000000</v>
      </c>
      <c r="LA23" s="15">
        <f t="shared" si="248"/>
        <v>325000000</v>
      </c>
      <c r="LB23" s="15">
        <f t="shared" si="248"/>
        <v>325000000</v>
      </c>
      <c r="LC23" s="15">
        <f t="shared" si="248"/>
        <v>325000000</v>
      </c>
      <c r="LD23" s="15">
        <f t="shared" si="248"/>
        <v>325000000</v>
      </c>
      <c r="LE23" s="15">
        <f t="shared" si="248"/>
        <v>325000000</v>
      </c>
      <c r="LF23" s="15">
        <f t="shared" si="248"/>
        <v>325000000</v>
      </c>
      <c r="LG23" s="15">
        <f t="shared" si="248"/>
        <v>325000000</v>
      </c>
      <c r="LH23" s="15">
        <f t="shared" si="248"/>
        <v>325000000</v>
      </c>
      <c r="LI23" s="15">
        <f t="shared" si="248"/>
        <v>0</v>
      </c>
      <c r="LJ23" s="15">
        <f t="shared" si="248"/>
        <v>0</v>
      </c>
      <c r="LK23" s="15">
        <f t="shared" si="248"/>
        <v>0</v>
      </c>
      <c r="LL23" s="15">
        <f t="shared" si="248"/>
        <v>0</v>
      </c>
      <c r="LM23" s="15">
        <f t="shared" si="249"/>
        <v>0</v>
      </c>
      <c r="LN23" s="15">
        <f t="shared" si="249"/>
        <v>0</v>
      </c>
      <c r="LO23" s="15">
        <f t="shared" si="249"/>
        <v>0</v>
      </c>
      <c r="LP23" s="15">
        <f t="shared" si="249"/>
        <v>0</v>
      </c>
      <c r="LQ23" s="15">
        <f t="shared" si="249"/>
        <v>0</v>
      </c>
      <c r="LR23" s="15">
        <f t="shared" si="249"/>
        <v>0</v>
      </c>
      <c r="LS23" s="15">
        <f t="shared" si="249"/>
        <v>0</v>
      </c>
      <c r="LT23" s="15">
        <f t="shared" si="249"/>
        <v>0</v>
      </c>
      <c r="LU23" s="15">
        <f t="shared" si="249"/>
        <v>0</v>
      </c>
      <c r="LV23" s="15">
        <f t="shared" si="249"/>
        <v>0</v>
      </c>
      <c r="LW23" s="15">
        <f t="shared" si="249"/>
        <v>0</v>
      </c>
      <c r="LX23" s="15">
        <f t="shared" si="249"/>
        <v>0</v>
      </c>
      <c r="LY23" s="15">
        <f t="shared" si="249"/>
        <v>0</v>
      </c>
      <c r="LZ23" s="15">
        <f t="shared" si="249"/>
        <v>0</v>
      </c>
      <c r="MB23" s="15">
        <f t="shared" si="250"/>
        <v>325000000</v>
      </c>
      <c r="MC23" s="15">
        <f t="shared" si="250"/>
        <v>325000000</v>
      </c>
      <c r="MD23" s="15">
        <f t="shared" si="250"/>
        <v>325000000</v>
      </c>
      <c r="ME23" s="15">
        <f t="shared" si="250"/>
        <v>325000000</v>
      </c>
      <c r="MF23" s="15">
        <f t="shared" si="250"/>
        <v>325000000</v>
      </c>
      <c r="MG23" s="15">
        <f t="shared" si="250"/>
        <v>325000000</v>
      </c>
      <c r="MH23" s="15">
        <f t="shared" si="250"/>
        <v>325000000</v>
      </c>
      <c r="MI23" s="15">
        <f t="shared" si="250"/>
        <v>325000000</v>
      </c>
      <c r="MJ23" s="15">
        <f t="shared" si="250"/>
        <v>325000000</v>
      </c>
      <c r="MK23" s="15">
        <f t="shared" si="250"/>
        <v>325000000</v>
      </c>
      <c r="ML23" s="15">
        <f t="shared" si="250"/>
        <v>325000000</v>
      </c>
      <c r="MM23" s="15">
        <f t="shared" si="250"/>
        <v>325000000</v>
      </c>
      <c r="MN23" s="15">
        <f t="shared" si="250"/>
        <v>0</v>
      </c>
      <c r="MO23" s="15">
        <f t="shared" si="250"/>
        <v>0</v>
      </c>
      <c r="MP23" s="15">
        <f t="shared" si="250"/>
        <v>0</v>
      </c>
      <c r="MQ23" s="15">
        <f t="shared" si="250"/>
        <v>0</v>
      </c>
      <c r="MR23" s="15">
        <f t="shared" si="251"/>
        <v>0</v>
      </c>
      <c r="MS23" s="15">
        <f t="shared" si="251"/>
        <v>0</v>
      </c>
      <c r="MT23" s="15">
        <f t="shared" si="251"/>
        <v>0</v>
      </c>
      <c r="MU23" s="15">
        <f t="shared" si="251"/>
        <v>0</v>
      </c>
      <c r="MV23" s="15">
        <f t="shared" si="251"/>
        <v>0</v>
      </c>
      <c r="MW23" s="15">
        <f t="shared" si="251"/>
        <v>0</v>
      </c>
      <c r="MX23" s="15">
        <f t="shared" si="251"/>
        <v>0</v>
      </c>
      <c r="MY23" s="15">
        <f t="shared" si="251"/>
        <v>0</v>
      </c>
      <c r="MZ23" s="15">
        <f t="shared" si="251"/>
        <v>0</v>
      </c>
      <c r="NA23" s="15">
        <f t="shared" si="251"/>
        <v>0</v>
      </c>
      <c r="NB23" s="15">
        <f t="shared" si="251"/>
        <v>0</v>
      </c>
      <c r="NC23" s="15">
        <f t="shared" si="251"/>
        <v>0</v>
      </c>
      <c r="ND23" s="15">
        <f t="shared" si="251"/>
        <v>0</v>
      </c>
      <c r="NE23" s="15">
        <f t="shared" si="251"/>
        <v>0</v>
      </c>
    </row>
    <row r="24" spans="1:369" outlineLevel="1" x14ac:dyDescent="0.25">
      <c r="B24" t="s">
        <v>346</v>
      </c>
      <c r="C24" s="495" t="s">
        <v>223</v>
      </c>
      <c r="D24" s="613" t="s">
        <v>33</v>
      </c>
      <c r="E24" s="467">
        <v>1</v>
      </c>
      <c r="F24" s="221"/>
      <c r="G24" s="457">
        <v>12</v>
      </c>
      <c r="H24" s="468">
        <f>(3125000000/$D$6)*1.04</f>
        <v>3250000000</v>
      </c>
      <c r="I24" s="457">
        <f t="shared" si="203"/>
        <v>3250000000</v>
      </c>
      <c r="J24" s="457">
        <f t="shared" si="204"/>
        <v>270833333.33333331</v>
      </c>
      <c r="K24" s="221"/>
      <c r="L24" s="457">
        <v>12</v>
      </c>
      <c r="M24" s="457">
        <f t="shared" si="205"/>
        <v>3250000000</v>
      </c>
      <c r="N24" s="457">
        <f t="shared" si="206"/>
        <v>3250000000</v>
      </c>
      <c r="O24" s="457">
        <f t="shared" si="207"/>
        <v>270833333.33333331</v>
      </c>
      <c r="P24" s="221"/>
      <c r="Q24" s="457">
        <v>12</v>
      </c>
      <c r="R24" s="457">
        <f t="shared" si="208"/>
        <v>3250000000</v>
      </c>
      <c r="S24" s="457">
        <f t="shared" si="209"/>
        <v>3250000000</v>
      </c>
      <c r="T24" s="457">
        <f t="shared" si="210"/>
        <v>270833333.33333331</v>
      </c>
      <c r="U24" s="221"/>
      <c r="V24" s="457">
        <v>12</v>
      </c>
      <c r="W24" s="457">
        <f t="shared" si="211"/>
        <v>3250000000</v>
      </c>
      <c r="X24" s="457">
        <f t="shared" si="212"/>
        <v>3250000000</v>
      </c>
      <c r="Y24" s="457">
        <f t="shared" si="213"/>
        <v>270833333.33333331</v>
      </c>
      <c r="Z24" s="221"/>
      <c r="AA24" s="457">
        <v>12</v>
      </c>
      <c r="AB24" s="457">
        <f t="shared" si="214"/>
        <v>3250000000</v>
      </c>
      <c r="AC24" s="457">
        <f t="shared" si="215"/>
        <v>3250000000</v>
      </c>
      <c r="AD24" s="457">
        <f t="shared" si="216"/>
        <v>270833333.33333331</v>
      </c>
      <c r="AE24" s="221"/>
      <c r="AF24" s="457">
        <v>12</v>
      </c>
      <c r="AG24" s="457">
        <f t="shared" si="217"/>
        <v>3250000000</v>
      </c>
      <c r="AH24" s="457">
        <f t="shared" si="218"/>
        <v>3250000000</v>
      </c>
      <c r="AI24" s="457">
        <f t="shared" si="219"/>
        <v>270833333.33333331</v>
      </c>
      <c r="AJ24" s="221"/>
      <c r="AK24" s="457">
        <v>12</v>
      </c>
      <c r="AL24" s="457">
        <f t="shared" si="220"/>
        <v>3250000000</v>
      </c>
      <c r="AM24" s="457">
        <f t="shared" si="221"/>
        <v>3250000000</v>
      </c>
      <c r="AN24" s="457">
        <f t="shared" si="222"/>
        <v>270833333.33333331</v>
      </c>
      <c r="AO24" s="221"/>
      <c r="AP24" s="457">
        <v>12</v>
      </c>
      <c r="AQ24" s="457">
        <f t="shared" si="223"/>
        <v>3250000000</v>
      </c>
      <c r="AR24" s="457">
        <f t="shared" si="224"/>
        <v>3250000000</v>
      </c>
      <c r="AS24" s="457">
        <f t="shared" si="225"/>
        <v>270833333.33333331</v>
      </c>
      <c r="AT24" s="221"/>
      <c r="AU24" s="457">
        <v>12</v>
      </c>
      <c r="AV24" s="457">
        <f t="shared" si="226"/>
        <v>3250000000</v>
      </c>
      <c r="AW24" s="457">
        <f t="shared" si="227"/>
        <v>3250000000</v>
      </c>
      <c r="AX24" s="457">
        <f t="shared" si="228"/>
        <v>270833333.33333331</v>
      </c>
      <c r="AY24" s="221"/>
      <c r="AZ24" s="457">
        <v>12</v>
      </c>
      <c r="BA24" s="457">
        <f t="shared" si="229"/>
        <v>3250000000</v>
      </c>
      <c r="BB24" s="457">
        <f t="shared" si="230"/>
        <v>3250000000</v>
      </c>
      <c r="BC24" s="457">
        <f t="shared" si="231"/>
        <v>270833333.33333331</v>
      </c>
      <c r="BD24" s="221"/>
      <c r="BF24" t="s">
        <v>547</v>
      </c>
      <c r="BG24" t="s">
        <v>336</v>
      </c>
      <c r="BI24" s="15">
        <f t="shared" si="232"/>
        <v>270833333.33333331</v>
      </c>
      <c r="BJ24" s="15">
        <f t="shared" si="232"/>
        <v>270833333.33333331</v>
      </c>
      <c r="BK24" s="15">
        <f t="shared" si="232"/>
        <v>270833333.33333331</v>
      </c>
      <c r="BL24" s="15">
        <f t="shared" si="232"/>
        <v>270833333.33333331</v>
      </c>
      <c r="BM24" s="15">
        <f t="shared" si="232"/>
        <v>270833333.33333331</v>
      </c>
      <c r="BN24" s="15">
        <f t="shared" si="232"/>
        <v>270833333.33333331</v>
      </c>
      <c r="BO24" s="15">
        <f t="shared" si="232"/>
        <v>270833333.33333331</v>
      </c>
      <c r="BP24" s="15">
        <f t="shared" si="232"/>
        <v>270833333.33333331</v>
      </c>
      <c r="BQ24" s="15">
        <f t="shared" si="232"/>
        <v>270833333.33333331</v>
      </c>
      <c r="BR24" s="15">
        <f t="shared" si="232"/>
        <v>270833333.33333331</v>
      </c>
      <c r="BS24" s="15">
        <f t="shared" si="232"/>
        <v>270833333.33333331</v>
      </c>
      <c r="BT24" s="15">
        <f t="shared" si="232"/>
        <v>270833333.33333331</v>
      </c>
      <c r="BU24" s="15">
        <f t="shared" si="232"/>
        <v>0</v>
      </c>
      <c r="BV24" s="15">
        <f t="shared" si="232"/>
        <v>0</v>
      </c>
      <c r="BW24" s="15">
        <f t="shared" si="232"/>
        <v>0</v>
      </c>
      <c r="BX24" s="15">
        <f t="shared" si="232"/>
        <v>0</v>
      </c>
      <c r="BY24" s="15">
        <f t="shared" si="233"/>
        <v>0</v>
      </c>
      <c r="BZ24" s="15">
        <f t="shared" si="233"/>
        <v>0</v>
      </c>
      <c r="CA24" s="15">
        <f t="shared" si="233"/>
        <v>0</v>
      </c>
      <c r="CB24" s="15">
        <f t="shared" si="233"/>
        <v>0</v>
      </c>
      <c r="CC24" s="15">
        <f t="shared" si="233"/>
        <v>0</v>
      </c>
      <c r="CD24" s="15">
        <f t="shared" si="233"/>
        <v>0</v>
      </c>
      <c r="CE24" s="15">
        <f t="shared" si="233"/>
        <v>0</v>
      </c>
      <c r="CF24" s="15">
        <f t="shared" si="233"/>
        <v>0</v>
      </c>
      <c r="CG24" s="15">
        <f t="shared" si="233"/>
        <v>0</v>
      </c>
      <c r="CH24" s="15">
        <f t="shared" si="233"/>
        <v>0</v>
      </c>
      <c r="CI24" s="15">
        <f t="shared" si="233"/>
        <v>0</v>
      </c>
      <c r="CJ24" s="15">
        <f t="shared" si="233"/>
        <v>0</v>
      </c>
      <c r="CK24" s="15">
        <f t="shared" si="233"/>
        <v>0</v>
      </c>
      <c r="CL24" s="15">
        <f t="shared" si="233"/>
        <v>0</v>
      </c>
      <c r="CN24" s="15">
        <f t="shared" si="234"/>
        <v>270833333.33333331</v>
      </c>
      <c r="CO24" s="15">
        <f t="shared" si="234"/>
        <v>270833333.33333331</v>
      </c>
      <c r="CP24" s="15">
        <f t="shared" si="234"/>
        <v>270833333.33333331</v>
      </c>
      <c r="CQ24" s="15">
        <f t="shared" si="234"/>
        <v>270833333.33333331</v>
      </c>
      <c r="CR24" s="15">
        <f t="shared" si="234"/>
        <v>270833333.33333331</v>
      </c>
      <c r="CS24" s="15">
        <f t="shared" si="234"/>
        <v>270833333.33333331</v>
      </c>
      <c r="CT24" s="15">
        <f t="shared" si="234"/>
        <v>270833333.33333331</v>
      </c>
      <c r="CU24" s="15">
        <f t="shared" si="234"/>
        <v>270833333.33333331</v>
      </c>
      <c r="CV24" s="15">
        <f t="shared" si="234"/>
        <v>270833333.33333331</v>
      </c>
      <c r="CW24" s="15">
        <f t="shared" si="234"/>
        <v>270833333.33333331</v>
      </c>
      <c r="CX24" s="15">
        <f t="shared" si="234"/>
        <v>270833333.33333331</v>
      </c>
      <c r="CY24" s="15">
        <f t="shared" si="234"/>
        <v>270833333.33333331</v>
      </c>
      <c r="CZ24" s="15">
        <f t="shared" si="234"/>
        <v>0</v>
      </c>
      <c r="DA24" s="15">
        <f t="shared" si="234"/>
        <v>0</v>
      </c>
      <c r="DB24" s="15">
        <f t="shared" si="234"/>
        <v>0</v>
      </c>
      <c r="DC24" s="15">
        <f t="shared" si="234"/>
        <v>0</v>
      </c>
      <c r="DD24" s="15">
        <f t="shared" si="235"/>
        <v>0</v>
      </c>
      <c r="DE24" s="15">
        <f t="shared" si="235"/>
        <v>0</v>
      </c>
      <c r="DF24" s="15">
        <f t="shared" si="235"/>
        <v>0</v>
      </c>
      <c r="DG24" s="15">
        <f t="shared" si="235"/>
        <v>0</v>
      </c>
      <c r="DH24" s="15">
        <f t="shared" si="235"/>
        <v>0</v>
      </c>
      <c r="DI24" s="15">
        <f t="shared" si="235"/>
        <v>0</v>
      </c>
      <c r="DJ24" s="15">
        <f t="shared" si="235"/>
        <v>0</v>
      </c>
      <c r="DK24" s="15">
        <f t="shared" si="235"/>
        <v>0</v>
      </c>
      <c r="DL24" s="15">
        <f t="shared" si="235"/>
        <v>0</v>
      </c>
      <c r="DM24" s="15">
        <f t="shared" si="235"/>
        <v>0</v>
      </c>
      <c r="DN24" s="15">
        <f t="shared" si="235"/>
        <v>0</v>
      </c>
      <c r="DO24" s="15">
        <f t="shared" si="235"/>
        <v>0</v>
      </c>
      <c r="DP24" s="15">
        <f t="shared" si="235"/>
        <v>0</v>
      </c>
      <c r="DQ24" s="15">
        <f t="shared" si="235"/>
        <v>0</v>
      </c>
      <c r="DS24" s="15">
        <f t="shared" si="236"/>
        <v>270833333.33333331</v>
      </c>
      <c r="DT24" s="15">
        <f t="shared" si="236"/>
        <v>270833333.33333331</v>
      </c>
      <c r="DU24" s="15">
        <f t="shared" si="236"/>
        <v>270833333.33333331</v>
      </c>
      <c r="DV24" s="15">
        <f t="shared" si="236"/>
        <v>270833333.33333331</v>
      </c>
      <c r="DW24" s="15">
        <f t="shared" si="236"/>
        <v>270833333.33333331</v>
      </c>
      <c r="DX24" s="15">
        <f t="shared" si="236"/>
        <v>270833333.33333331</v>
      </c>
      <c r="DY24" s="15">
        <f t="shared" si="236"/>
        <v>270833333.33333331</v>
      </c>
      <c r="DZ24" s="15">
        <f t="shared" si="236"/>
        <v>270833333.33333331</v>
      </c>
      <c r="EA24" s="15">
        <f t="shared" si="236"/>
        <v>270833333.33333331</v>
      </c>
      <c r="EB24" s="15">
        <f t="shared" si="236"/>
        <v>270833333.33333331</v>
      </c>
      <c r="EC24" s="15">
        <f t="shared" si="236"/>
        <v>270833333.33333331</v>
      </c>
      <c r="ED24" s="15">
        <f t="shared" si="236"/>
        <v>270833333.33333331</v>
      </c>
      <c r="EE24" s="15">
        <f t="shared" si="236"/>
        <v>0</v>
      </c>
      <c r="EF24" s="15">
        <f t="shared" si="236"/>
        <v>0</v>
      </c>
      <c r="EG24" s="15">
        <f t="shared" si="236"/>
        <v>0</v>
      </c>
      <c r="EH24" s="15">
        <f t="shared" si="236"/>
        <v>0</v>
      </c>
      <c r="EI24" s="15">
        <f t="shared" si="237"/>
        <v>0</v>
      </c>
      <c r="EJ24" s="15">
        <f t="shared" si="237"/>
        <v>0</v>
      </c>
      <c r="EK24" s="15">
        <f t="shared" si="237"/>
        <v>0</v>
      </c>
      <c r="EL24" s="15">
        <f t="shared" si="237"/>
        <v>0</v>
      </c>
      <c r="EM24" s="15">
        <f t="shared" si="237"/>
        <v>0</v>
      </c>
      <c r="EN24" s="15">
        <f t="shared" si="237"/>
        <v>0</v>
      </c>
      <c r="EO24" s="15">
        <f t="shared" si="237"/>
        <v>0</v>
      </c>
      <c r="EP24" s="15">
        <f t="shared" si="237"/>
        <v>0</v>
      </c>
      <c r="EQ24" s="15">
        <f t="shared" si="237"/>
        <v>0</v>
      </c>
      <c r="ER24" s="15">
        <f t="shared" si="237"/>
        <v>0</v>
      </c>
      <c r="ES24" s="15">
        <f t="shared" si="237"/>
        <v>0</v>
      </c>
      <c r="ET24" s="15">
        <f t="shared" si="237"/>
        <v>0</v>
      </c>
      <c r="EU24" s="15">
        <f t="shared" si="237"/>
        <v>0</v>
      </c>
      <c r="EV24" s="15">
        <f t="shared" si="237"/>
        <v>0</v>
      </c>
      <c r="EX24" s="15">
        <f t="shared" si="238"/>
        <v>270833333.33333331</v>
      </c>
      <c r="EY24" s="15">
        <f t="shared" si="238"/>
        <v>270833333.33333331</v>
      </c>
      <c r="EZ24" s="15">
        <f t="shared" si="238"/>
        <v>270833333.33333331</v>
      </c>
      <c r="FA24" s="15">
        <f t="shared" si="238"/>
        <v>270833333.33333331</v>
      </c>
      <c r="FB24" s="15">
        <f t="shared" si="238"/>
        <v>270833333.33333331</v>
      </c>
      <c r="FC24" s="15">
        <f t="shared" si="238"/>
        <v>270833333.33333331</v>
      </c>
      <c r="FD24" s="15">
        <f t="shared" si="238"/>
        <v>270833333.33333331</v>
      </c>
      <c r="FE24" s="15">
        <f t="shared" si="238"/>
        <v>270833333.33333331</v>
      </c>
      <c r="FF24" s="15">
        <f t="shared" si="238"/>
        <v>270833333.33333331</v>
      </c>
      <c r="FG24" s="15">
        <f t="shared" si="238"/>
        <v>270833333.33333331</v>
      </c>
      <c r="FH24" s="15">
        <f t="shared" si="238"/>
        <v>270833333.33333331</v>
      </c>
      <c r="FI24" s="15">
        <f t="shared" si="238"/>
        <v>270833333.33333331</v>
      </c>
      <c r="FJ24" s="15">
        <f t="shared" si="238"/>
        <v>0</v>
      </c>
      <c r="FK24" s="15">
        <f t="shared" si="238"/>
        <v>0</v>
      </c>
      <c r="FL24" s="15">
        <f t="shared" si="238"/>
        <v>0</v>
      </c>
      <c r="FM24" s="15">
        <f t="shared" si="238"/>
        <v>0</v>
      </c>
      <c r="FN24" s="15">
        <f t="shared" si="239"/>
        <v>0</v>
      </c>
      <c r="FO24" s="15">
        <f t="shared" si="239"/>
        <v>0</v>
      </c>
      <c r="FP24" s="15">
        <f t="shared" si="239"/>
        <v>0</v>
      </c>
      <c r="FQ24" s="15">
        <f t="shared" si="239"/>
        <v>0</v>
      </c>
      <c r="FR24" s="15">
        <f t="shared" si="239"/>
        <v>0</v>
      </c>
      <c r="FS24" s="15">
        <f t="shared" si="239"/>
        <v>0</v>
      </c>
      <c r="FT24" s="15">
        <f t="shared" si="239"/>
        <v>0</v>
      </c>
      <c r="FU24" s="15">
        <f t="shared" si="239"/>
        <v>0</v>
      </c>
      <c r="FV24" s="15">
        <f t="shared" si="239"/>
        <v>0</v>
      </c>
      <c r="FW24" s="15">
        <f t="shared" si="239"/>
        <v>0</v>
      </c>
      <c r="FX24" s="15">
        <f t="shared" si="239"/>
        <v>0</v>
      </c>
      <c r="FY24" s="15">
        <f t="shared" si="239"/>
        <v>0</v>
      </c>
      <c r="FZ24" s="15">
        <f t="shared" si="239"/>
        <v>0</v>
      </c>
      <c r="GA24" s="15">
        <f t="shared" si="239"/>
        <v>0</v>
      </c>
      <c r="GC24" s="15">
        <f t="shared" si="240"/>
        <v>270833333.33333331</v>
      </c>
      <c r="GD24" s="15">
        <f t="shared" si="240"/>
        <v>270833333.33333331</v>
      </c>
      <c r="GE24" s="15">
        <f t="shared" si="240"/>
        <v>270833333.33333331</v>
      </c>
      <c r="GF24" s="15">
        <f t="shared" si="240"/>
        <v>270833333.33333331</v>
      </c>
      <c r="GG24" s="15">
        <f t="shared" si="240"/>
        <v>270833333.33333331</v>
      </c>
      <c r="GH24" s="15">
        <f t="shared" si="240"/>
        <v>270833333.33333331</v>
      </c>
      <c r="GI24" s="15">
        <f t="shared" si="240"/>
        <v>270833333.33333331</v>
      </c>
      <c r="GJ24" s="15">
        <f t="shared" si="240"/>
        <v>270833333.33333331</v>
      </c>
      <c r="GK24" s="15">
        <f t="shared" si="240"/>
        <v>270833333.33333331</v>
      </c>
      <c r="GL24" s="15">
        <f t="shared" si="240"/>
        <v>270833333.33333331</v>
      </c>
      <c r="GM24" s="15">
        <f t="shared" si="240"/>
        <v>270833333.33333331</v>
      </c>
      <c r="GN24" s="15">
        <f t="shared" si="240"/>
        <v>270833333.33333331</v>
      </c>
      <c r="GO24" s="15">
        <f t="shared" si="240"/>
        <v>0</v>
      </c>
      <c r="GP24" s="15">
        <f t="shared" si="240"/>
        <v>0</v>
      </c>
      <c r="GQ24" s="15">
        <f t="shared" si="240"/>
        <v>0</v>
      </c>
      <c r="GR24" s="15">
        <f t="shared" si="240"/>
        <v>0</v>
      </c>
      <c r="GS24" s="15">
        <f t="shared" si="241"/>
        <v>0</v>
      </c>
      <c r="GT24" s="15">
        <f t="shared" si="241"/>
        <v>0</v>
      </c>
      <c r="GU24" s="15">
        <f t="shared" si="241"/>
        <v>0</v>
      </c>
      <c r="GV24" s="15">
        <f t="shared" si="241"/>
        <v>0</v>
      </c>
      <c r="GW24" s="15">
        <f t="shared" si="241"/>
        <v>0</v>
      </c>
      <c r="GX24" s="15">
        <f t="shared" si="241"/>
        <v>0</v>
      </c>
      <c r="GY24" s="15">
        <f t="shared" si="241"/>
        <v>0</v>
      </c>
      <c r="GZ24" s="15">
        <f t="shared" si="241"/>
        <v>0</v>
      </c>
      <c r="HA24" s="15">
        <f t="shared" si="241"/>
        <v>0</v>
      </c>
      <c r="HB24" s="15">
        <f t="shared" si="241"/>
        <v>0</v>
      </c>
      <c r="HC24" s="15">
        <f t="shared" si="241"/>
        <v>0</v>
      </c>
      <c r="HD24" s="15">
        <f t="shared" si="241"/>
        <v>0</v>
      </c>
      <c r="HE24" s="15">
        <f t="shared" si="241"/>
        <v>0</v>
      </c>
      <c r="HF24" s="15">
        <f t="shared" si="241"/>
        <v>0</v>
      </c>
      <c r="HH24" s="15">
        <f t="shared" si="242"/>
        <v>270833333.33333331</v>
      </c>
      <c r="HI24" s="15">
        <f t="shared" si="242"/>
        <v>270833333.33333331</v>
      </c>
      <c r="HJ24" s="15">
        <f t="shared" si="242"/>
        <v>270833333.33333331</v>
      </c>
      <c r="HK24" s="15">
        <f t="shared" si="242"/>
        <v>270833333.33333331</v>
      </c>
      <c r="HL24" s="15">
        <f t="shared" si="242"/>
        <v>270833333.33333331</v>
      </c>
      <c r="HM24" s="15">
        <f t="shared" si="242"/>
        <v>270833333.33333331</v>
      </c>
      <c r="HN24" s="15">
        <f t="shared" si="242"/>
        <v>270833333.33333331</v>
      </c>
      <c r="HO24" s="15">
        <f t="shared" si="242"/>
        <v>270833333.33333331</v>
      </c>
      <c r="HP24" s="15">
        <f t="shared" si="242"/>
        <v>270833333.33333331</v>
      </c>
      <c r="HQ24" s="15">
        <f t="shared" si="242"/>
        <v>270833333.33333331</v>
      </c>
      <c r="HR24" s="15">
        <f t="shared" si="242"/>
        <v>270833333.33333331</v>
      </c>
      <c r="HS24" s="15">
        <f t="shared" si="242"/>
        <v>270833333.33333331</v>
      </c>
      <c r="HT24" s="15">
        <f t="shared" si="242"/>
        <v>0</v>
      </c>
      <c r="HU24" s="15">
        <f t="shared" si="242"/>
        <v>0</v>
      </c>
      <c r="HV24" s="15">
        <f t="shared" si="242"/>
        <v>0</v>
      </c>
      <c r="HW24" s="15">
        <f t="shared" si="242"/>
        <v>0</v>
      </c>
      <c r="HX24" s="15">
        <f t="shared" si="243"/>
        <v>0</v>
      </c>
      <c r="HY24" s="15">
        <f t="shared" si="243"/>
        <v>0</v>
      </c>
      <c r="HZ24" s="15">
        <f t="shared" si="243"/>
        <v>0</v>
      </c>
      <c r="IA24" s="15">
        <f t="shared" si="243"/>
        <v>0</v>
      </c>
      <c r="IB24" s="15">
        <f t="shared" si="243"/>
        <v>0</v>
      </c>
      <c r="IC24" s="15">
        <f t="shared" si="243"/>
        <v>0</v>
      </c>
      <c r="ID24" s="15">
        <f t="shared" si="243"/>
        <v>0</v>
      </c>
      <c r="IE24" s="15">
        <f t="shared" si="243"/>
        <v>0</v>
      </c>
      <c r="IF24" s="15">
        <f t="shared" si="243"/>
        <v>0</v>
      </c>
      <c r="IG24" s="15">
        <f t="shared" si="243"/>
        <v>0</v>
      </c>
      <c r="IH24" s="15">
        <f t="shared" si="243"/>
        <v>0</v>
      </c>
      <c r="II24" s="15">
        <f t="shared" si="243"/>
        <v>0</v>
      </c>
      <c r="IJ24" s="15">
        <f t="shared" si="243"/>
        <v>0</v>
      </c>
      <c r="IK24" s="15">
        <f t="shared" si="243"/>
        <v>0</v>
      </c>
      <c r="IM24" s="15">
        <f t="shared" si="244"/>
        <v>270833333.33333331</v>
      </c>
      <c r="IN24" s="15">
        <f t="shared" si="244"/>
        <v>270833333.33333331</v>
      </c>
      <c r="IO24" s="15">
        <f t="shared" si="244"/>
        <v>270833333.33333331</v>
      </c>
      <c r="IP24" s="15">
        <f t="shared" si="244"/>
        <v>270833333.33333331</v>
      </c>
      <c r="IQ24" s="15">
        <f t="shared" si="244"/>
        <v>270833333.33333331</v>
      </c>
      <c r="IR24" s="15">
        <f t="shared" si="244"/>
        <v>270833333.33333331</v>
      </c>
      <c r="IS24" s="15">
        <f t="shared" si="244"/>
        <v>270833333.33333331</v>
      </c>
      <c r="IT24" s="15">
        <f t="shared" si="244"/>
        <v>270833333.33333331</v>
      </c>
      <c r="IU24" s="15">
        <f t="shared" si="244"/>
        <v>270833333.33333331</v>
      </c>
      <c r="IV24" s="15">
        <f t="shared" si="244"/>
        <v>270833333.33333331</v>
      </c>
      <c r="IW24" s="15">
        <f t="shared" si="244"/>
        <v>270833333.33333331</v>
      </c>
      <c r="IX24" s="15">
        <f t="shared" si="244"/>
        <v>270833333.33333331</v>
      </c>
      <c r="IY24" s="15">
        <f t="shared" si="244"/>
        <v>0</v>
      </c>
      <c r="IZ24" s="15">
        <f t="shared" si="244"/>
        <v>0</v>
      </c>
      <c r="JA24" s="15">
        <f t="shared" si="244"/>
        <v>0</v>
      </c>
      <c r="JB24" s="15">
        <f t="shared" si="244"/>
        <v>0</v>
      </c>
      <c r="JC24" s="15">
        <f t="shared" si="245"/>
        <v>0</v>
      </c>
      <c r="JD24" s="15">
        <f t="shared" si="245"/>
        <v>0</v>
      </c>
      <c r="JE24" s="15">
        <f t="shared" si="245"/>
        <v>0</v>
      </c>
      <c r="JF24" s="15">
        <f t="shared" si="245"/>
        <v>0</v>
      </c>
      <c r="JG24" s="15">
        <f t="shared" si="245"/>
        <v>0</v>
      </c>
      <c r="JH24" s="15">
        <f t="shared" si="245"/>
        <v>0</v>
      </c>
      <c r="JI24" s="15">
        <f t="shared" si="245"/>
        <v>0</v>
      </c>
      <c r="JJ24" s="15">
        <f t="shared" si="245"/>
        <v>0</v>
      </c>
      <c r="JK24" s="15">
        <f t="shared" si="245"/>
        <v>0</v>
      </c>
      <c r="JL24" s="15">
        <f t="shared" si="245"/>
        <v>0</v>
      </c>
      <c r="JM24" s="15">
        <f t="shared" si="245"/>
        <v>0</v>
      </c>
      <c r="JN24" s="15">
        <f t="shared" si="245"/>
        <v>0</v>
      </c>
      <c r="JO24" s="15">
        <f t="shared" si="245"/>
        <v>0</v>
      </c>
      <c r="JP24" s="15">
        <f t="shared" si="245"/>
        <v>0</v>
      </c>
      <c r="JR24" s="15">
        <f t="shared" si="246"/>
        <v>270833333.33333331</v>
      </c>
      <c r="JS24" s="15">
        <f t="shared" si="246"/>
        <v>270833333.33333331</v>
      </c>
      <c r="JT24" s="15">
        <f t="shared" si="246"/>
        <v>270833333.33333331</v>
      </c>
      <c r="JU24" s="15">
        <f t="shared" si="246"/>
        <v>270833333.33333331</v>
      </c>
      <c r="JV24" s="15">
        <f t="shared" si="246"/>
        <v>270833333.33333331</v>
      </c>
      <c r="JW24" s="15">
        <f t="shared" si="246"/>
        <v>270833333.33333331</v>
      </c>
      <c r="JX24" s="15">
        <f t="shared" si="246"/>
        <v>270833333.33333331</v>
      </c>
      <c r="JY24" s="15">
        <f t="shared" si="246"/>
        <v>270833333.33333331</v>
      </c>
      <c r="JZ24" s="15">
        <f t="shared" si="246"/>
        <v>270833333.33333331</v>
      </c>
      <c r="KA24" s="15">
        <f t="shared" si="246"/>
        <v>270833333.33333331</v>
      </c>
      <c r="KB24" s="15">
        <f t="shared" si="246"/>
        <v>270833333.33333331</v>
      </c>
      <c r="KC24" s="15">
        <f t="shared" si="246"/>
        <v>270833333.33333331</v>
      </c>
      <c r="KD24" s="15">
        <f t="shared" si="246"/>
        <v>0</v>
      </c>
      <c r="KE24" s="15">
        <f t="shared" si="246"/>
        <v>0</v>
      </c>
      <c r="KF24" s="15">
        <f t="shared" si="246"/>
        <v>0</v>
      </c>
      <c r="KG24" s="15">
        <f t="shared" si="246"/>
        <v>0</v>
      </c>
      <c r="KH24" s="15">
        <f t="shared" si="247"/>
        <v>0</v>
      </c>
      <c r="KI24" s="15">
        <f t="shared" si="247"/>
        <v>0</v>
      </c>
      <c r="KJ24" s="15">
        <f t="shared" si="247"/>
        <v>0</v>
      </c>
      <c r="KK24" s="15">
        <f t="shared" si="247"/>
        <v>0</v>
      </c>
      <c r="KL24" s="15">
        <f t="shared" si="247"/>
        <v>0</v>
      </c>
      <c r="KM24" s="15">
        <f t="shared" si="247"/>
        <v>0</v>
      </c>
      <c r="KN24" s="15">
        <f t="shared" si="247"/>
        <v>0</v>
      </c>
      <c r="KO24" s="15">
        <f t="shared" si="247"/>
        <v>0</v>
      </c>
      <c r="KP24" s="15">
        <f t="shared" si="247"/>
        <v>0</v>
      </c>
      <c r="KQ24" s="15">
        <f t="shared" si="247"/>
        <v>0</v>
      </c>
      <c r="KR24" s="15">
        <f t="shared" si="247"/>
        <v>0</v>
      </c>
      <c r="KS24" s="15">
        <f t="shared" si="247"/>
        <v>0</v>
      </c>
      <c r="KT24" s="15">
        <f t="shared" si="247"/>
        <v>0</v>
      </c>
      <c r="KU24" s="15">
        <f t="shared" si="247"/>
        <v>0</v>
      </c>
      <c r="KW24" s="15">
        <f t="shared" si="248"/>
        <v>270833333.33333331</v>
      </c>
      <c r="KX24" s="15">
        <f t="shared" si="248"/>
        <v>270833333.33333331</v>
      </c>
      <c r="KY24" s="15">
        <f t="shared" si="248"/>
        <v>270833333.33333331</v>
      </c>
      <c r="KZ24" s="15">
        <f t="shared" si="248"/>
        <v>270833333.33333331</v>
      </c>
      <c r="LA24" s="15">
        <f t="shared" si="248"/>
        <v>270833333.33333331</v>
      </c>
      <c r="LB24" s="15">
        <f t="shared" si="248"/>
        <v>270833333.33333331</v>
      </c>
      <c r="LC24" s="15">
        <f t="shared" si="248"/>
        <v>270833333.33333331</v>
      </c>
      <c r="LD24" s="15">
        <f t="shared" si="248"/>
        <v>270833333.33333331</v>
      </c>
      <c r="LE24" s="15">
        <f t="shared" si="248"/>
        <v>270833333.33333331</v>
      </c>
      <c r="LF24" s="15">
        <f t="shared" si="248"/>
        <v>270833333.33333331</v>
      </c>
      <c r="LG24" s="15">
        <f t="shared" si="248"/>
        <v>270833333.33333331</v>
      </c>
      <c r="LH24" s="15">
        <f t="shared" si="248"/>
        <v>270833333.33333331</v>
      </c>
      <c r="LI24" s="15">
        <f t="shared" si="248"/>
        <v>0</v>
      </c>
      <c r="LJ24" s="15">
        <f t="shared" si="248"/>
        <v>0</v>
      </c>
      <c r="LK24" s="15">
        <f t="shared" si="248"/>
        <v>0</v>
      </c>
      <c r="LL24" s="15">
        <f t="shared" si="248"/>
        <v>0</v>
      </c>
      <c r="LM24" s="15">
        <f t="shared" si="249"/>
        <v>0</v>
      </c>
      <c r="LN24" s="15">
        <f t="shared" si="249"/>
        <v>0</v>
      </c>
      <c r="LO24" s="15">
        <f t="shared" si="249"/>
        <v>0</v>
      </c>
      <c r="LP24" s="15">
        <f t="shared" si="249"/>
        <v>0</v>
      </c>
      <c r="LQ24" s="15">
        <f t="shared" si="249"/>
        <v>0</v>
      </c>
      <c r="LR24" s="15">
        <f t="shared" si="249"/>
        <v>0</v>
      </c>
      <c r="LS24" s="15">
        <f t="shared" si="249"/>
        <v>0</v>
      </c>
      <c r="LT24" s="15">
        <f t="shared" si="249"/>
        <v>0</v>
      </c>
      <c r="LU24" s="15">
        <f t="shared" si="249"/>
        <v>0</v>
      </c>
      <c r="LV24" s="15">
        <f t="shared" si="249"/>
        <v>0</v>
      </c>
      <c r="LW24" s="15">
        <f t="shared" si="249"/>
        <v>0</v>
      </c>
      <c r="LX24" s="15">
        <f t="shared" si="249"/>
        <v>0</v>
      </c>
      <c r="LY24" s="15">
        <f t="shared" si="249"/>
        <v>0</v>
      </c>
      <c r="LZ24" s="15">
        <f t="shared" si="249"/>
        <v>0</v>
      </c>
      <c r="MB24" s="15">
        <f t="shared" si="250"/>
        <v>270833333.33333331</v>
      </c>
      <c r="MC24" s="15">
        <f t="shared" si="250"/>
        <v>270833333.33333331</v>
      </c>
      <c r="MD24" s="15">
        <f t="shared" si="250"/>
        <v>270833333.33333331</v>
      </c>
      <c r="ME24" s="15">
        <f t="shared" si="250"/>
        <v>270833333.33333331</v>
      </c>
      <c r="MF24" s="15">
        <f t="shared" si="250"/>
        <v>270833333.33333331</v>
      </c>
      <c r="MG24" s="15">
        <f t="shared" si="250"/>
        <v>270833333.33333331</v>
      </c>
      <c r="MH24" s="15">
        <f t="shared" si="250"/>
        <v>270833333.33333331</v>
      </c>
      <c r="MI24" s="15">
        <f t="shared" si="250"/>
        <v>270833333.33333331</v>
      </c>
      <c r="MJ24" s="15">
        <f t="shared" si="250"/>
        <v>270833333.33333331</v>
      </c>
      <c r="MK24" s="15">
        <f t="shared" si="250"/>
        <v>270833333.33333331</v>
      </c>
      <c r="ML24" s="15">
        <f t="shared" si="250"/>
        <v>270833333.33333331</v>
      </c>
      <c r="MM24" s="15">
        <f t="shared" si="250"/>
        <v>270833333.33333331</v>
      </c>
      <c r="MN24" s="15">
        <f t="shared" si="250"/>
        <v>0</v>
      </c>
      <c r="MO24" s="15">
        <f t="shared" si="250"/>
        <v>0</v>
      </c>
      <c r="MP24" s="15">
        <f t="shared" si="250"/>
        <v>0</v>
      </c>
      <c r="MQ24" s="15">
        <f t="shared" si="250"/>
        <v>0</v>
      </c>
      <c r="MR24" s="15">
        <f t="shared" si="251"/>
        <v>0</v>
      </c>
      <c r="MS24" s="15">
        <f t="shared" si="251"/>
        <v>0</v>
      </c>
      <c r="MT24" s="15">
        <f t="shared" si="251"/>
        <v>0</v>
      </c>
      <c r="MU24" s="15">
        <f t="shared" si="251"/>
        <v>0</v>
      </c>
      <c r="MV24" s="15">
        <f t="shared" si="251"/>
        <v>0</v>
      </c>
      <c r="MW24" s="15">
        <f t="shared" si="251"/>
        <v>0</v>
      </c>
      <c r="MX24" s="15">
        <f t="shared" si="251"/>
        <v>0</v>
      </c>
      <c r="MY24" s="15">
        <f t="shared" si="251"/>
        <v>0</v>
      </c>
      <c r="MZ24" s="15">
        <f t="shared" si="251"/>
        <v>0</v>
      </c>
      <c r="NA24" s="15">
        <f t="shared" si="251"/>
        <v>0</v>
      </c>
      <c r="NB24" s="15">
        <f t="shared" si="251"/>
        <v>0</v>
      </c>
      <c r="NC24" s="15">
        <f t="shared" si="251"/>
        <v>0</v>
      </c>
      <c r="ND24" s="15">
        <f t="shared" si="251"/>
        <v>0</v>
      </c>
      <c r="NE24" s="15">
        <f t="shared" si="251"/>
        <v>0</v>
      </c>
    </row>
    <row r="25" spans="1:369" outlineLevel="1" x14ac:dyDescent="0.25">
      <c r="B25" t="s">
        <v>346</v>
      </c>
      <c r="C25" s="495" t="s">
        <v>214</v>
      </c>
      <c r="D25" s="613" t="s">
        <v>209</v>
      </c>
      <c r="E25" s="467">
        <v>1</v>
      </c>
      <c r="F25" s="221"/>
      <c r="G25" s="457">
        <v>12</v>
      </c>
      <c r="H25" s="468">
        <f>(2500000000/$D$6)*1.04</f>
        <v>2600000000</v>
      </c>
      <c r="I25" s="457">
        <f t="shared" si="203"/>
        <v>2600000000</v>
      </c>
      <c r="J25" s="457">
        <f t="shared" si="204"/>
        <v>216666666.66666666</v>
      </c>
      <c r="K25" s="221"/>
      <c r="L25" s="457">
        <v>12</v>
      </c>
      <c r="M25" s="457">
        <f t="shared" si="205"/>
        <v>2600000000</v>
      </c>
      <c r="N25" s="457">
        <f t="shared" si="206"/>
        <v>2600000000</v>
      </c>
      <c r="O25" s="457">
        <f t="shared" si="207"/>
        <v>216666666.66666666</v>
      </c>
      <c r="P25" s="221"/>
      <c r="Q25" s="457">
        <v>12</v>
      </c>
      <c r="R25" s="457">
        <f t="shared" si="208"/>
        <v>2600000000</v>
      </c>
      <c r="S25" s="457">
        <f t="shared" si="209"/>
        <v>2600000000</v>
      </c>
      <c r="T25" s="457">
        <f t="shared" si="210"/>
        <v>216666666.66666666</v>
      </c>
      <c r="U25" s="221"/>
      <c r="V25" s="457">
        <v>12</v>
      </c>
      <c r="W25" s="457">
        <f t="shared" si="211"/>
        <v>2600000000</v>
      </c>
      <c r="X25" s="457">
        <f t="shared" si="212"/>
        <v>2600000000</v>
      </c>
      <c r="Y25" s="457">
        <f t="shared" si="213"/>
        <v>216666666.66666666</v>
      </c>
      <c r="Z25" s="221"/>
      <c r="AA25" s="457">
        <v>12</v>
      </c>
      <c r="AB25" s="457">
        <f t="shared" si="214"/>
        <v>2600000000</v>
      </c>
      <c r="AC25" s="457">
        <f t="shared" si="215"/>
        <v>2600000000</v>
      </c>
      <c r="AD25" s="457">
        <f t="shared" si="216"/>
        <v>216666666.66666666</v>
      </c>
      <c r="AE25" s="221"/>
      <c r="AF25" s="457">
        <v>12</v>
      </c>
      <c r="AG25" s="457">
        <f t="shared" si="217"/>
        <v>2600000000</v>
      </c>
      <c r="AH25" s="457">
        <f t="shared" si="218"/>
        <v>2600000000</v>
      </c>
      <c r="AI25" s="457">
        <f t="shared" si="219"/>
        <v>216666666.66666666</v>
      </c>
      <c r="AJ25" s="221"/>
      <c r="AK25" s="457">
        <v>12</v>
      </c>
      <c r="AL25" s="457">
        <f t="shared" si="220"/>
        <v>2600000000</v>
      </c>
      <c r="AM25" s="457">
        <f t="shared" si="221"/>
        <v>2600000000</v>
      </c>
      <c r="AN25" s="457">
        <f t="shared" si="222"/>
        <v>216666666.66666666</v>
      </c>
      <c r="AO25" s="221"/>
      <c r="AP25" s="457">
        <v>12</v>
      </c>
      <c r="AQ25" s="457">
        <f t="shared" si="223"/>
        <v>2600000000</v>
      </c>
      <c r="AR25" s="457">
        <f t="shared" si="224"/>
        <v>2600000000</v>
      </c>
      <c r="AS25" s="457">
        <f t="shared" si="225"/>
        <v>216666666.66666666</v>
      </c>
      <c r="AT25" s="221"/>
      <c r="AU25" s="457">
        <v>12</v>
      </c>
      <c r="AV25" s="457">
        <f t="shared" si="226"/>
        <v>2600000000</v>
      </c>
      <c r="AW25" s="457">
        <f t="shared" si="227"/>
        <v>2600000000</v>
      </c>
      <c r="AX25" s="457">
        <f t="shared" si="228"/>
        <v>216666666.66666666</v>
      </c>
      <c r="AY25" s="221"/>
      <c r="AZ25" s="457">
        <v>12</v>
      </c>
      <c r="BA25" s="457">
        <f t="shared" si="229"/>
        <v>2600000000</v>
      </c>
      <c r="BB25" s="457">
        <f t="shared" si="230"/>
        <v>2600000000</v>
      </c>
      <c r="BC25" s="457">
        <f t="shared" si="231"/>
        <v>216666666.66666666</v>
      </c>
      <c r="BD25" s="221"/>
      <c r="BF25" t="s">
        <v>547</v>
      </c>
      <c r="BG25" t="s">
        <v>337</v>
      </c>
      <c r="BI25" s="15">
        <f t="shared" si="232"/>
        <v>216666666.66666666</v>
      </c>
      <c r="BJ25" s="15">
        <f t="shared" si="232"/>
        <v>216666666.66666666</v>
      </c>
      <c r="BK25" s="15">
        <f t="shared" si="232"/>
        <v>216666666.66666666</v>
      </c>
      <c r="BL25" s="15">
        <f t="shared" si="232"/>
        <v>216666666.66666666</v>
      </c>
      <c r="BM25" s="15">
        <f t="shared" si="232"/>
        <v>216666666.66666666</v>
      </c>
      <c r="BN25" s="15">
        <f t="shared" si="232"/>
        <v>216666666.66666666</v>
      </c>
      <c r="BO25" s="15">
        <f t="shared" si="232"/>
        <v>216666666.66666666</v>
      </c>
      <c r="BP25" s="15">
        <f t="shared" si="232"/>
        <v>216666666.66666666</v>
      </c>
      <c r="BQ25" s="15">
        <f t="shared" si="232"/>
        <v>216666666.66666666</v>
      </c>
      <c r="BR25" s="15">
        <f t="shared" si="232"/>
        <v>216666666.66666666</v>
      </c>
      <c r="BS25" s="15">
        <f t="shared" si="232"/>
        <v>216666666.66666666</v>
      </c>
      <c r="BT25" s="15">
        <f t="shared" si="232"/>
        <v>216666666.66666666</v>
      </c>
      <c r="BU25" s="15">
        <f t="shared" si="232"/>
        <v>0</v>
      </c>
      <c r="BV25" s="15">
        <f t="shared" si="232"/>
        <v>0</v>
      </c>
      <c r="BW25" s="15">
        <f t="shared" si="232"/>
        <v>0</v>
      </c>
      <c r="BX25" s="15">
        <f t="shared" si="232"/>
        <v>0</v>
      </c>
      <c r="BY25" s="15">
        <f t="shared" si="233"/>
        <v>0</v>
      </c>
      <c r="BZ25" s="15">
        <f t="shared" si="233"/>
        <v>0</v>
      </c>
      <c r="CA25" s="15">
        <f t="shared" si="233"/>
        <v>0</v>
      </c>
      <c r="CB25" s="15">
        <f t="shared" si="233"/>
        <v>0</v>
      </c>
      <c r="CC25" s="15">
        <f t="shared" si="233"/>
        <v>0</v>
      </c>
      <c r="CD25" s="15">
        <f t="shared" si="233"/>
        <v>0</v>
      </c>
      <c r="CE25" s="15">
        <f t="shared" si="233"/>
        <v>0</v>
      </c>
      <c r="CF25" s="15">
        <f t="shared" si="233"/>
        <v>0</v>
      </c>
      <c r="CG25" s="15">
        <f t="shared" si="233"/>
        <v>0</v>
      </c>
      <c r="CH25" s="15">
        <f t="shared" si="233"/>
        <v>0</v>
      </c>
      <c r="CI25" s="15">
        <f t="shared" si="233"/>
        <v>0</v>
      </c>
      <c r="CJ25" s="15">
        <f t="shared" si="233"/>
        <v>0</v>
      </c>
      <c r="CK25" s="15">
        <f t="shared" si="233"/>
        <v>0</v>
      </c>
      <c r="CL25" s="15">
        <f t="shared" si="233"/>
        <v>0</v>
      </c>
      <c r="CN25" s="15">
        <f t="shared" si="234"/>
        <v>216666666.66666666</v>
      </c>
      <c r="CO25" s="15">
        <f t="shared" si="234"/>
        <v>216666666.66666666</v>
      </c>
      <c r="CP25" s="15">
        <f t="shared" si="234"/>
        <v>216666666.66666666</v>
      </c>
      <c r="CQ25" s="15">
        <f t="shared" si="234"/>
        <v>216666666.66666666</v>
      </c>
      <c r="CR25" s="15">
        <f t="shared" si="234"/>
        <v>216666666.66666666</v>
      </c>
      <c r="CS25" s="15">
        <f t="shared" si="234"/>
        <v>216666666.66666666</v>
      </c>
      <c r="CT25" s="15">
        <f t="shared" si="234"/>
        <v>216666666.66666666</v>
      </c>
      <c r="CU25" s="15">
        <f t="shared" si="234"/>
        <v>216666666.66666666</v>
      </c>
      <c r="CV25" s="15">
        <f t="shared" si="234"/>
        <v>216666666.66666666</v>
      </c>
      <c r="CW25" s="15">
        <f t="shared" si="234"/>
        <v>216666666.66666666</v>
      </c>
      <c r="CX25" s="15">
        <f t="shared" si="234"/>
        <v>216666666.66666666</v>
      </c>
      <c r="CY25" s="15">
        <f t="shared" si="234"/>
        <v>216666666.66666666</v>
      </c>
      <c r="CZ25" s="15">
        <f t="shared" si="234"/>
        <v>0</v>
      </c>
      <c r="DA25" s="15">
        <f t="shared" si="234"/>
        <v>0</v>
      </c>
      <c r="DB25" s="15">
        <f t="shared" si="234"/>
        <v>0</v>
      </c>
      <c r="DC25" s="15">
        <f t="shared" si="234"/>
        <v>0</v>
      </c>
      <c r="DD25" s="15">
        <f t="shared" si="235"/>
        <v>0</v>
      </c>
      <c r="DE25" s="15">
        <f t="shared" si="235"/>
        <v>0</v>
      </c>
      <c r="DF25" s="15">
        <f t="shared" si="235"/>
        <v>0</v>
      </c>
      <c r="DG25" s="15">
        <f t="shared" si="235"/>
        <v>0</v>
      </c>
      <c r="DH25" s="15">
        <f t="shared" si="235"/>
        <v>0</v>
      </c>
      <c r="DI25" s="15">
        <f t="shared" si="235"/>
        <v>0</v>
      </c>
      <c r="DJ25" s="15">
        <f t="shared" si="235"/>
        <v>0</v>
      </c>
      <c r="DK25" s="15">
        <f t="shared" si="235"/>
        <v>0</v>
      </c>
      <c r="DL25" s="15">
        <f t="shared" si="235"/>
        <v>0</v>
      </c>
      <c r="DM25" s="15">
        <f t="shared" si="235"/>
        <v>0</v>
      </c>
      <c r="DN25" s="15">
        <f t="shared" si="235"/>
        <v>0</v>
      </c>
      <c r="DO25" s="15">
        <f t="shared" si="235"/>
        <v>0</v>
      </c>
      <c r="DP25" s="15">
        <f t="shared" si="235"/>
        <v>0</v>
      </c>
      <c r="DQ25" s="15">
        <f t="shared" si="235"/>
        <v>0</v>
      </c>
      <c r="DS25" s="15">
        <f t="shared" si="236"/>
        <v>216666666.66666666</v>
      </c>
      <c r="DT25" s="15">
        <f t="shared" si="236"/>
        <v>216666666.66666666</v>
      </c>
      <c r="DU25" s="15">
        <f t="shared" si="236"/>
        <v>216666666.66666666</v>
      </c>
      <c r="DV25" s="15">
        <f t="shared" si="236"/>
        <v>216666666.66666666</v>
      </c>
      <c r="DW25" s="15">
        <f t="shared" si="236"/>
        <v>216666666.66666666</v>
      </c>
      <c r="DX25" s="15">
        <f t="shared" si="236"/>
        <v>216666666.66666666</v>
      </c>
      <c r="DY25" s="15">
        <f t="shared" si="236"/>
        <v>216666666.66666666</v>
      </c>
      <c r="DZ25" s="15">
        <f t="shared" si="236"/>
        <v>216666666.66666666</v>
      </c>
      <c r="EA25" s="15">
        <f t="shared" si="236"/>
        <v>216666666.66666666</v>
      </c>
      <c r="EB25" s="15">
        <f t="shared" si="236"/>
        <v>216666666.66666666</v>
      </c>
      <c r="EC25" s="15">
        <f t="shared" si="236"/>
        <v>216666666.66666666</v>
      </c>
      <c r="ED25" s="15">
        <f t="shared" si="236"/>
        <v>216666666.66666666</v>
      </c>
      <c r="EE25" s="15">
        <f t="shared" si="236"/>
        <v>0</v>
      </c>
      <c r="EF25" s="15">
        <f t="shared" si="236"/>
        <v>0</v>
      </c>
      <c r="EG25" s="15">
        <f t="shared" si="236"/>
        <v>0</v>
      </c>
      <c r="EH25" s="15">
        <f t="shared" si="236"/>
        <v>0</v>
      </c>
      <c r="EI25" s="15">
        <f t="shared" si="237"/>
        <v>0</v>
      </c>
      <c r="EJ25" s="15">
        <f t="shared" si="237"/>
        <v>0</v>
      </c>
      <c r="EK25" s="15">
        <f t="shared" si="237"/>
        <v>0</v>
      </c>
      <c r="EL25" s="15">
        <f t="shared" si="237"/>
        <v>0</v>
      </c>
      <c r="EM25" s="15">
        <f t="shared" si="237"/>
        <v>0</v>
      </c>
      <c r="EN25" s="15">
        <f t="shared" si="237"/>
        <v>0</v>
      </c>
      <c r="EO25" s="15">
        <f t="shared" si="237"/>
        <v>0</v>
      </c>
      <c r="EP25" s="15">
        <f t="shared" si="237"/>
        <v>0</v>
      </c>
      <c r="EQ25" s="15">
        <f t="shared" si="237"/>
        <v>0</v>
      </c>
      <c r="ER25" s="15">
        <f t="shared" si="237"/>
        <v>0</v>
      </c>
      <c r="ES25" s="15">
        <f t="shared" si="237"/>
        <v>0</v>
      </c>
      <c r="ET25" s="15">
        <f t="shared" si="237"/>
        <v>0</v>
      </c>
      <c r="EU25" s="15">
        <f t="shared" si="237"/>
        <v>0</v>
      </c>
      <c r="EV25" s="15">
        <f t="shared" si="237"/>
        <v>0</v>
      </c>
      <c r="EX25" s="15">
        <f t="shared" si="238"/>
        <v>216666666.66666666</v>
      </c>
      <c r="EY25" s="15">
        <f t="shared" si="238"/>
        <v>216666666.66666666</v>
      </c>
      <c r="EZ25" s="15">
        <f t="shared" si="238"/>
        <v>216666666.66666666</v>
      </c>
      <c r="FA25" s="15">
        <f t="shared" si="238"/>
        <v>216666666.66666666</v>
      </c>
      <c r="FB25" s="15">
        <f t="shared" si="238"/>
        <v>216666666.66666666</v>
      </c>
      <c r="FC25" s="15">
        <f t="shared" si="238"/>
        <v>216666666.66666666</v>
      </c>
      <c r="FD25" s="15">
        <f t="shared" si="238"/>
        <v>216666666.66666666</v>
      </c>
      <c r="FE25" s="15">
        <f t="shared" si="238"/>
        <v>216666666.66666666</v>
      </c>
      <c r="FF25" s="15">
        <f t="shared" si="238"/>
        <v>216666666.66666666</v>
      </c>
      <c r="FG25" s="15">
        <f t="shared" si="238"/>
        <v>216666666.66666666</v>
      </c>
      <c r="FH25" s="15">
        <f t="shared" si="238"/>
        <v>216666666.66666666</v>
      </c>
      <c r="FI25" s="15">
        <f t="shared" si="238"/>
        <v>216666666.66666666</v>
      </c>
      <c r="FJ25" s="15">
        <f t="shared" si="238"/>
        <v>0</v>
      </c>
      <c r="FK25" s="15">
        <f t="shared" si="238"/>
        <v>0</v>
      </c>
      <c r="FL25" s="15">
        <f t="shared" si="238"/>
        <v>0</v>
      </c>
      <c r="FM25" s="15">
        <f t="shared" si="238"/>
        <v>0</v>
      </c>
      <c r="FN25" s="15">
        <f t="shared" si="239"/>
        <v>0</v>
      </c>
      <c r="FO25" s="15">
        <f t="shared" si="239"/>
        <v>0</v>
      </c>
      <c r="FP25" s="15">
        <f t="shared" si="239"/>
        <v>0</v>
      </c>
      <c r="FQ25" s="15">
        <f t="shared" si="239"/>
        <v>0</v>
      </c>
      <c r="FR25" s="15">
        <f t="shared" si="239"/>
        <v>0</v>
      </c>
      <c r="FS25" s="15">
        <f t="shared" si="239"/>
        <v>0</v>
      </c>
      <c r="FT25" s="15">
        <f t="shared" si="239"/>
        <v>0</v>
      </c>
      <c r="FU25" s="15">
        <f t="shared" si="239"/>
        <v>0</v>
      </c>
      <c r="FV25" s="15">
        <f t="shared" si="239"/>
        <v>0</v>
      </c>
      <c r="FW25" s="15">
        <f t="shared" si="239"/>
        <v>0</v>
      </c>
      <c r="FX25" s="15">
        <f t="shared" si="239"/>
        <v>0</v>
      </c>
      <c r="FY25" s="15">
        <f t="shared" si="239"/>
        <v>0</v>
      </c>
      <c r="FZ25" s="15">
        <f t="shared" si="239"/>
        <v>0</v>
      </c>
      <c r="GA25" s="15">
        <f t="shared" si="239"/>
        <v>0</v>
      </c>
      <c r="GC25" s="15">
        <f t="shared" si="240"/>
        <v>216666666.66666666</v>
      </c>
      <c r="GD25" s="15">
        <f t="shared" si="240"/>
        <v>216666666.66666666</v>
      </c>
      <c r="GE25" s="15">
        <f t="shared" si="240"/>
        <v>216666666.66666666</v>
      </c>
      <c r="GF25" s="15">
        <f t="shared" si="240"/>
        <v>216666666.66666666</v>
      </c>
      <c r="GG25" s="15">
        <f t="shared" si="240"/>
        <v>216666666.66666666</v>
      </c>
      <c r="GH25" s="15">
        <f t="shared" si="240"/>
        <v>216666666.66666666</v>
      </c>
      <c r="GI25" s="15">
        <f t="shared" si="240"/>
        <v>216666666.66666666</v>
      </c>
      <c r="GJ25" s="15">
        <f t="shared" si="240"/>
        <v>216666666.66666666</v>
      </c>
      <c r="GK25" s="15">
        <f t="shared" si="240"/>
        <v>216666666.66666666</v>
      </c>
      <c r="GL25" s="15">
        <f t="shared" si="240"/>
        <v>216666666.66666666</v>
      </c>
      <c r="GM25" s="15">
        <f t="shared" si="240"/>
        <v>216666666.66666666</v>
      </c>
      <c r="GN25" s="15">
        <f t="shared" si="240"/>
        <v>216666666.66666666</v>
      </c>
      <c r="GO25" s="15">
        <f t="shared" si="240"/>
        <v>0</v>
      </c>
      <c r="GP25" s="15">
        <f t="shared" si="240"/>
        <v>0</v>
      </c>
      <c r="GQ25" s="15">
        <f t="shared" si="240"/>
        <v>0</v>
      </c>
      <c r="GR25" s="15">
        <f t="shared" si="240"/>
        <v>0</v>
      </c>
      <c r="GS25" s="15">
        <f t="shared" si="241"/>
        <v>0</v>
      </c>
      <c r="GT25" s="15">
        <f t="shared" si="241"/>
        <v>0</v>
      </c>
      <c r="GU25" s="15">
        <f t="shared" si="241"/>
        <v>0</v>
      </c>
      <c r="GV25" s="15">
        <f t="shared" si="241"/>
        <v>0</v>
      </c>
      <c r="GW25" s="15">
        <f t="shared" si="241"/>
        <v>0</v>
      </c>
      <c r="GX25" s="15">
        <f t="shared" si="241"/>
        <v>0</v>
      </c>
      <c r="GY25" s="15">
        <f t="shared" si="241"/>
        <v>0</v>
      </c>
      <c r="GZ25" s="15">
        <f t="shared" si="241"/>
        <v>0</v>
      </c>
      <c r="HA25" s="15">
        <f t="shared" si="241"/>
        <v>0</v>
      </c>
      <c r="HB25" s="15">
        <f t="shared" si="241"/>
        <v>0</v>
      </c>
      <c r="HC25" s="15">
        <f t="shared" si="241"/>
        <v>0</v>
      </c>
      <c r="HD25" s="15">
        <f t="shared" si="241"/>
        <v>0</v>
      </c>
      <c r="HE25" s="15">
        <f t="shared" si="241"/>
        <v>0</v>
      </c>
      <c r="HF25" s="15">
        <f t="shared" si="241"/>
        <v>0</v>
      </c>
      <c r="HH25" s="15">
        <f t="shared" si="242"/>
        <v>216666666.66666666</v>
      </c>
      <c r="HI25" s="15">
        <f t="shared" si="242"/>
        <v>216666666.66666666</v>
      </c>
      <c r="HJ25" s="15">
        <f t="shared" si="242"/>
        <v>216666666.66666666</v>
      </c>
      <c r="HK25" s="15">
        <f t="shared" si="242"/>
        <v>216666666.66666666</v>
      </c>
      <c r="HL25" s="15">
        <f t="shared" si="242"/>
        <v>216666666.66666666</v>
      </c>
      <c r="HM25" s="15">
        <f t="shared" si="242"/>
        <v>216666666.66666666</v>
      </c>
      <c r="HN25" s="15">
        <f t="shared" si="242"/>
        <v>216666666.66666666</v>
      </c>
      <c r="HO25" s="15">
        <f t="shared" si="242"/>
        <v>216666666.66666666</v>
      </c>
      <c r="HP25" s="15">
        <f t="shared" si="242"/>
        <v>216666666.66666666</v>
      </c>
      <c r="HQ25" s="15">
        <f t="shared" si="242"/>
        <v>216666666.66666666</v>
      </c>
      <c r="HR25" s="15">
        <f t="shared" si="242"/>
        <v>216666666.66666666</v>
      </c>
      <c r="HS25" s="15">
        <f t="shared" si="242"/>
        <v>216666666.66666666</v>
      </c>
      <c r="HT25" s="15">
        <f t="shared" si="242"/>
        <v>0</v>
      </c>
      <c r="HU25" s="15">
        <f t="shared" si="242"/>
        <v>0</v>
      </c>
      <c r="HV25" s="15">
        <f t="shared" si="242"/>
        <v>0</v>
      </c>
      <c r="HW25" s="15">
        <f t="shared" si="242"/>
        <v>0</v>
      </c>
      <c r="HX25" s="15">
        <f t="shared" si="243"/>
        <v>0</v>
      </c>
      <c r="HY25" s="15">
        <f t="shared" si="243"/>
        <v>0</v>
      </c>
      <c r="HZ25" s="15">
        <f t="shared" si="243"/>
        <v>0</v>
      </c>
      <c r="IA25" s="15">
        <f t="shared" si="243"/>
        <v>0</v>
      </c>
      <c r="IB25" s="15">
        <f t="shared" si="243"/>
        <v>0</v>
      </c>
      <c r="IC25" s="15">
        <f t="shared" si="243"/>
        <v>0</v>
      </c>
      <c r="ID25" s="15">
        <f t="shared" si="243"/>
        <v>0</v>
      </c>
      <c r="IE25" s="15">
        <f t="shared" si="243"/>
        <v>0</v>
      </c>
      <c r="IF25" s="15">
        <f t="shared" si="243"/>
        <v>0</v>
      </c>
      <c r="IG25" s="15">
        <f t="shared" si="243"/>
        <v>0</v>
      </c>
      <c r="IH25" s="15">
        <f t="shared" si="243"/>
        <v>0</v>
      </c>
      <c r="II25" s="15">
        <f t="shared" si="243"/>
        <v>0</v>
      </c>
      <c r="IJ25" s="15">
        <f t="shared" si="243"/>
        <v>0</v>
      </c>
      <c r="IK25" s="15">
        <f t="shared" si="243"/>
        <v>0</v>
      </c>
      <c r="IM25" s="15">
        <f t="shared" si="244"/>
        <v>216666666.66666666</v>
      </c>
      <c r="IN25" s="15">
        <f t="shared" si="244"/>
        <v>216666666.66666666</v>
      </c>
      <c r="IO25" s="15">
        <f t="shared" si="244"/>
        <v>216666666.66666666</v>
      </c>
      <c r="IP25" s="15">
        <f t="shared" si="244"/>
        <v>216666666.66666666</v>
      </c>
      <c r="IQ25" s="15">
        <f t="shared" si="244"/>
        <v>216666666.66666666</v>
      </c>
      <c r="IR25" s="15">
        <f t="shared" si="244"/>
        <v>216666666.66666666</v>
      </c>
      <c r="IS25" s="15">
        <f t="shared" si="244"/>
        <v>216666666.66666666</v>
      </c>
      <c r="IT25" s="15">
        <f t="shared" si="244"/>
        <v>216666666.66666666</v>
      </c>
      <c r="IU25" s="15">
        <f t="shared" si="244"/>
        <v>216666666.66666666</v>
      </c>
      <c r="IV25" s="15">
        <f t="shared" si="244"/>
        <v>216666666.66666666</v>
      </c>
      <c r="IW25" s="15">
        <f t="shared" si="244"/>
        <v>216666666.66666666</v>
      </c>
      <c r="IX25" s="15">
        <f t="shared" si="244"/>
        <v>216666666.66666666</v>
      </c>
      <c r="IY25" s="15">
        <f t="shared" si="244"/>
        <v>0</v>
      </c>
      <c r="IZ25" s="15">
        <f t="shared" si="244"/>
        <v>0</v>
      </c>
      <c r="JA25" s="15">
        <f t="shared" si="244"/>
        <v>0</v>
      </c>
      <c r="JB25" s="15">
        <f t="shared" si="244"/>
        <v>0</v>
      </c>
      <c r="JC25" s="15">
        <f t="shared" si="245"/>
        <v>0</v>
      </c>
      <c r="JD25" s="15">
        <f t="shared" si="245"/>
        <v>0</v>
      </c>
      <c r="JE25" s="15">
        <f t="shared" si="245"/>
        <v>0</v>
      </c>
      <c r="JF25" s="15">
        <f t="shared" si="245"/>
        <v>0</v>
      </c>
      <c r="JG25" s="15">
        <f t="shared" si="245"/>
        <v>0</v>
      </c>
      <c r="JH25" s="15">
        <f t="shared" si="245"/>
        <v>0</v>
      </c>
      <c r="JI25" s="15">
        <f t="shared" si="245"/>
        <v>0</v>
      </c>
      <c r="JJ25" s="15">
        <f t="shared" si="245"/>
        <v>0</v>
      </c>
      <c r="JK25" s="15">
        <f t="shared" si="245"/>
        <v>0</v>
      </c>
      <c r="JL25" s="15">
        <f t="shared" si="245"/>
        <v>0</v>
      </c>
      <c r="JM25" s="15">
        <f t="shared" si="245"/>
        <v>0</v>
      </c>
      <c r="JN25" s="15">
        <f t="shared" si="245"/>
        <v>0</v>
      </c>
      <c r="JO25" s="15">
        <f t="shared" si="245"/>
        <v>0</v>
      </c>
      <c r="JP25" s="15">
        <f t="shared" si="245"/>
        <v>0</v>
      </c>
      <c r="JR25" s="15">
        <f t="shared" si="246"/>
        <v>216666666.66666666</v>
      </c>
      <c r="JS25" s="15">
        <f t="shared" si="246"/>
        <v>216666666.66666666</v>
      </c>
      <c r="JT25" s="15">
        <f t="shared" si="246"/>
        <v>216666666.66666666</v>
      </c>
      <c r="JU25" s="15">
        <f t="shared" si="246"/>
        <v>216666666.66666666</v>
      </c>
      <c r="JV25" s="15">
        <f t="shared" si="246"/>
        <v>216666666.66666666</v>
      </c>
      <c r="JW25" s="15">
        <f t="shared" si="246"/>
        <v>216666666.66666666</v>
      </c>
      <c r="JX25" s="15">
        <f t="shared" si="246"/>
        <v>216666666.66666666</v>
      </c>
      <c r="JY25" s="15">
        <f t="shared" si="246"/>
        <v>216666666.66666666</v>
      </c>
      <c r="JZ25" s="15">
        <f t="shared" si="246"/>
        <v>216666666.66666666</v>
      </c>
      <c r="KA25" s="15">
        <f t="shared" si="246"/>
        <v>216666666.66666666</v>
      </c>
      <c r="KB25" s="15">
        <f t="shared" si="246"/>
        <v>216666666.66666666</v>
      </c>
      <c r="KC25" s="15">
        <f t="shared" si="246"/>
        <v>216666666.66666666</v>
      </c>
      <c r="KD25" s="15">
        <f t="shared" si="246"/>
        <v>0</v>
      </c>
      <c r="KE25" s="15">
        <f t="shared" si="246"/>
        <v>0</v>
      </c>
      <c r="KF25" s="15">
        <f t="shared" si="246"/>
        <v>0</v>
      </c>
      <c r="KG25" s="15">
        <f t="shared" si="246"/>
        <v>0</v>
      </c>
      <c r="KH25" s="15">
        <f t="shared" si="247"/>
        <v>0</v>
      </c>
      <c r="KI25" s="15">
        <f t="shared" si="247"/>
        <v>0</v>
      </c>
      <c r="KJ25" s="15">
        <f t="shared" si="247"/>
        <v>0</v>
      </c>
      <c r="KK25" s="15">
        <f t="shared" si="247"/>
        <v>0</v>
      </c>
      <c r="KL25" s="15">
        <f t="shared" si="247"/>
        <v>0</v>
      </c>
      <c r="KM25" s="15">
        <f t="shared" si="247"/>
        <v>0</v>
      </c>
      <c r="KN25" s="15">
        <f t="shared" si="247"/>
        <v>0</v>
      </c>
      <c r="KO25" s="15">
        <f t="shared" si="247"/>
        <v>0</v>
      </c>
      <c r="KP25" s="15">
        <f t="shared" si="247"/>
        <v>0</v>
      </c>
      <c r="KQ25" s="15">
        <f t="shared" si="247"/>
        <v>0</v>
      </c>
      <c r="KR25" s="15">
        <f t="shared" si="247"/>
        <v>0</v>
      </c>
      <c r="KS25" s="15">
        <f t="shared" si="247"/>
        <v>0</v>
      </c>
      <c r="KT25" s="15">
        <f t="shared" si="247"/>
        <v>0</v>
      </c>
      <c r="KU25" s="15">
        <f t="shared" si="247"/>
        <v>0</v>
      </c>
      <c r="KW25" s="15">
        <f t="shared" si="248"/>
        <v>216666666.66666666</v>
      </c>
      <c r="KX25" s="15">
        <f t="shared" si="248"/>
        <v>216666666.66666666</v>
      </c>
      <c r="KY25" s="15">
        <f t="shared" si="248"/>
        <v>216666666.66666666</v>
      </c>
      <c r="KZ25" s="15">
        <f t="shared" si="248"/>
        <v>216666666.66666666</v>
      </c>
      <c r="LA25" s="15">
        <f t="shared" si="248"/>
        <v>216666666.66666666</v>
      </c>
      <c r="LB25" s="15">
        <f t="shared" si="248"/>
        <v>216666666.66666666</v>
      </c>
      <c r="LC25" s="15">
        <f t="shared" si="248"/>
        <v>216666666.66666666</v>
      </c>
      <c r="LD25" s="15">
        <f t="shared" si="248"/>
        <v>216666666.66666666</v>
      </c>
      <c r="LE25" s="15">
        <f t="shared" si="248"/>
        <v>216666666.66666666</v>
      </c>
      <c r="LF25" s="15">
        <f t="shared" si="248"/>
        <v>216666666.66666666</v>
      </c>
      <c r="LG25" s="15">
        <f t="shared" si="248"/>
        <v>216666666.66666666</v>
      </c>
      <c r="LH25" s="15">
        <f t="shared" si="248"/>
        <v>216666666.66666666</v>
      </c>
      <c r="LI25" s="15">
        <f t="shared" si="248"/>
        <v>0</v>
      </c>
      <c r="LJ25" s="15">
        <f t="shared" si="248"/>
        <v>0</v>
      </c>
      <c r="LK25" s="15">
        <f t="shared" si="248"/>
        <v>0</v>
      </c>
      <c r="LL25" s="15">
        <f t="shared" si="248"/>
        <v>0</v>
      </c>
      <c r="LM25" s="15">
        <f t="shared" si="249"/>
        <v>0</v>
      </c>
      <c r="LN25" s="15">
        <f t="shared" si="249"/>
        <v>0</v>
      </c>
      <c r="LO25" s="15">
        <f t="shared" si="249"/>
        <v>0</v>
      </c>
      <c r="LP25" s="15">
        <f t="shared" si="249"/>
        <v>0</v>
      </c>
      <c r="LQ25" s="15">
        <f t="shared" si="249"/>
        <v>0</v>
      </c>
      <c r="LR25" s="15">
        <f t="shared" si="249"/>
        <v>0</v>
      </c>
      <c r="LS25" s="15">
        <f t="shared" si="249"/>
        <v>0</v>
      </c>
      <c r="LT25" s="15">
        <f t="shared" si="249"/>
        <v>0</v>
      </c>
      <c r="LU25" s="15">
        <f t="shared" si="249"/>
        <v>0</v>
      </c>
      <c r="LV25" s="15">
        <f t="shared" si="249"/>
        <v>0</v>
      </c>
      <c r="LW25" s="15">
        <f t="shared" si="249"/>
        <v>0</v>
      </c>
      <c r="LX25" s="15">
        <f t="shared" si="249"/>
        <v>0</v>
      </c>
      <c r="LY25" s="15">
        <f t="shared" si="249"/>
        <v>0</v>
      </c>
      <c r="LZ25" s="15">
        <f t="shared" si="249"/>
        <v>0</v>
      </c>
      <c r="MB25" s="15">
        <f t="shared" si="250"/>
        <v>216666666.66666666</v>
      </c>
      <c r="MC25" s="15">
        <f t="shared" si="250"/>
        <v>216666666.66666666</v>
      </c>
      <c r="MD25" s="15">
        <f t="shared" si="250"/>
        <v>216666666.66666666</v>
      </c>
      <c r="ME25" s="15">
        <f t="shared" si="250"/>
        <v>216666666.66666666</v>
      </c>
      <c r="MF25" s="15">
        <f t="shared" si="250"/>
        <v>216666666.66666666</v>
      </c>
      <c r="MG25" s="15">
        <f t="shared" si="250"/>
        <v>216666666.66666666</v>
      </c>
      <c r="MH25" s="15">
        <f t="shared" si="250"/>
        <v>216666666.66666666</v>
      </c>
      <c r="MI25" s="15">
        <f t="shared" si="250"/>
        <v>216666666.66666666</v>
      </c>
      <c r="MJ25" s="15">
        <f t="shared" si="250"/>
        <v>216666666.66666666</v>
      </c>
      <c r="MK25" s="15">
        <f t="shared" si="250"/>
        <v>216666666.66666666</v>
      </c>
      <c r="ML25" s="15">
        <f t="shared" si="250"/>
        <v>216666666.66666666</v>
      </c>
      <c r="MM25" s="15">
        <f t="shared" si="250"/>
        <v>216666666.66666666</v>
      </c>
      <c r="MN25" s="15">
        <f t="shared" si="250"/>
        <v>0</v>
      </c>
      <c r="MO25" s="15">
        <f t="shared" si="250"/>
        <v>0</v>
      </c>
      <c r="MP25" s="15">
        <f t="shared" si="250"/>
        <v>0</v>
      </c>
      <c r="MQ25" s="15">
        <f t="shared" si="250"/>
        <v>0</v>
      </c>
      <c r="MR25" s="15">
        <f t="shared" si="251"/>
        <v>0</v>
      </c>
      <c r="MS25" s="15">
        <f t="shared" si="251"/>
        <v>0</v>
      </c>
      <c r="MT25" s="15">
        <f t="shared" si="251"/>
        <v>0</v>
      </c>
      <c r="MU25" s="15">
        <f t="shared" si="251"/>
        <v>0</v>
      </c>
      <c r="MV25" s="15">
        <f t="shared" si="251"/>
        <v>0</v>
      </c>
      <c r="MW25" s="15">
        <f t="shared" si="251"/>
        <v>0</v>
      </c>
      <c r="MX25" s="15">
        <f t="shared" si="251"/>
        <v>0</v>
      </c>
      <c r="MY25" s="15">
        <f t="shared" si="251"/>
        <v>0</v>
      </c>
      <c r="MZ25" s="15">
        <f t="shared" si="251"/>
        <v>0</v>
      </c>
      <c r="NA25" s="15">
        <f t="shared" si="251"/>
        <v>0</v>
      </c>
      <c r="NB25" s="15">
        <f t="shared" si="251"/>
        <v>0</v>
      </c>
      <c r="NC25" s="15">
        <f t="shared" si="251"/>
        <v>0</v>
      </c>
      <c r="ND25" s="15">
        <f t="shared" si="251"/>
        <v>0</v>
      </c>
      <c r="NE25" s="15">
        <f t="shared" si="251"/>
        <v>0</v>
      </c>
    </row>
    <row r="26" spans="1:369" outlineLevel="1" x14ac:dyDescent="0.25">
      <c r="B26" t="s">
        <v>346</v>
      </c>
      <c r="C26" s="495" t="s">
        <v>364</v>
      </c>
      <c r="D26" s="613" t="s">
        <v>211</v>
      </c>
      <c r="E26" s="467">
        <v>1</v>
      </c>
      <c r="F26" s="221"/>
      <c r="G26" s="457">
        <v>12</v>
      </c>
      <c r="H26" s="468">
        <f>(2500000000/$D$6)*1.04</f>
        <v>2600000000</v>
      </c>
      <c r="I26" s="457">
        <f t="shared" si="203"/>
        <v>2600000000</v>
      </c>
      <c r="J26" s="457">
        <f t="shared" si="204"/>
        <v>216666666.66666666</v>
      </c>
      <c r="K26" s="221"/>
      <c r="L26" s="457">
        <v>12</v>
      </c>
      <c r="M26" s="457">
        <f t="shared" si="205"/>
        <v>2600000000</v>
      </c>
      <c r="N26" s="457">
        <f t="shared" si="206"/>
        <v>2600000000</v>
      </c>
      <c r="O26" s="457">
        <f t="shared" si="207"/>
        <v>216666666.66666666</v>
      </c>
      <c r="P26" s="221"/>
      <c r="Q26" s="457">
        <v>12</v>
      </c>
      <c r="R26" s="457">
        <f t="shared" si="208"/>
        <v>2600000000</v>
      </c>
      <c r="S26" s="457">
        <f t="shared" si="209"/>
        <v>2600000000</v>
      </c>
      <c r="T26" s="457">
        <f t="shared" si="210"/>
        <v>216666666.66666666</v>
      </c>
      <c r="U26" s="221"/>
      <c r="V26" s="457">
        <v>12</v>
      </c>
      <c r="W26" s="457">
        <f t="shared" si="211"/>
        <v>2600000000</v>
      </c>
      <c r="X26" s="457">
        <f t="shared" si="212"/>
        <v>2600000000</v>
      </c>
      <c r="Y26" s="457">
        <f t="shared" si="213"/>
        <v>216666666.66666666</v>
      </c>
      <c r="Z26" s="221"/>
      <c r="AA26" s="457">
        <v>12</v>
      </c>
      <c r="AB26" s="457">
        <f t="shared" si="214"/>
        <v>2600000000</v>
      </c>
      <c r="AC26" s="457">
        <f t="shared" si="215"/>
        <v>2600000000</v>
      </c>
      <c r="AD26" s="457">
        <f t="shared" si="216"/>
        <v>216666666.66666666</v>
      </c>
      <c r="AE26" s="221"/>
      <c r="AF26" s="457">
        <v>12</v>
      </c>
      <c r="AG26" s="457">
        <f t="shared" si="217"/>
        <v>2600000000</v>
      </c>
      <c r="AH26" s="457">
        <f t="shared" si="218"/>
        <v>2600000000</v>
      </c>
      <c r="AI26" s="457">
        <f t="shared" si="219"/>
        <v>216666666.66666666</v>
      </c>
      <c r="AJ26" s="221"/>
      <c r="AK26" s="457">
        <v>12</v>
      </c>
      <c r="AL26" s="457">
        <f t="shared" si="220"/>
        <v>2600000000</v>
      </c>
      <c r="AM26" s="457">
        <f t="shared" si="221"/>
        <v>2600000000</v>
      </c>
      <c r="AN26" s="457">
        <f t="shared" si="222"/>
        <v>216666666.66666666</v>
      </c>
      <c r="AO26" s="221"/>
      <c r="AP26" s="457">
        <v>12</v>
      </c>
      <c r="AQ26" s="457">
        <f t="shared" si="223"/>
        <v>2600000000</v>
      </c>
      <c r="AR26" s="457">
        <f t="shared" si="224"/>
        <v>2600000000</v>
      </c>
      <c r="AS26" s="457">
        <f t="shared" si="225"/>
        <v>216666666.66666666</v>
      </c>
      <c r="AT26" s="221"/>
      <c r="AU26" s="457">
        <v>12</v>
      </c>
      <c r="AV26" s="457">
        <f t="shared" si="226"/>
        <v>2600000000</v>
      </c>
      <c r="AW26" s="457">
        <f t="shared" si="227"/>
        <v>2600000000</v>
      </c>
      <c r="AX26" s="457">
        <f t="shared" si="228"/>
        <v>216666666.66666666</v>
      </c>
      <c r="AY26" s="221"/>
      <c r="AZ26" s="457">
        <v>12</v>
      </c>
      <c r="BA26" s="457">
        <f t="shared" si="229"/>
        <v>2600000000</v>
      </c>
      <c r="BB26" s="457">
        <f t="shared" si="230"/>
        <v>2600000000</v>
      </c>
      <c r="BC26" s="457">
        <f t="shared" si="231"/>
        <v>216666666.66666666</v>
      </c>
      <c r="BD26" s="221"/>
      <c r="BF26" t="s">
        <v>547</v>
      </c>
      <c r="BG26" t="s">
        <v>337</v>
      </c>
      <c r="BI26" s="15">
        <f t="shared" si="232"/>
        <v>216666666.66666666</v>
      </c>
      <c r="BJ26" s="15">
        <f t="shared" si="232"/>
        <v>216666666.66666666</v>
      </c>
      <c r="BK26" s="15">
        <f t="shared" si="232"/>
        <v>216666666.66666666</v>
      </c>
      <c r="BL26" s="15">
        <f t="shared" si="232"/>
        <v>216666666.66666666</v>
      </c>
      <c r="BM26" s="15">
        <f t="shared" si="232"/>
        <v>216666666.66666666</v>
      </c>
      <c r="BN26" s="15">
        <f t="shared" si="232"/>
        <v>216666666.66666666</v>
      </c>
      <c r="BO26" s="15">
        <f t="shared" si="232"/>
        <v>216666666.66666666</v>
      </c>
      <c r="BP26" s="15">
        <f t="shared" si="232"/>
        <v>216666666.66666666</v>
      </c>
      <c r="BQ26" s="15">
        <f t="shared" si="232"/>
        <v>216666666.66666666</v>
      </c>
      <c r="BR26" s="15">
        <f t="shared" si="232"/>
        <v>216666666.66666666</v>
      </c>
      <c r="BS26" s="15">
        <f t="shared" si="232"/>
        <v>216666666.66666666</v>
      </c>
      <c r="BT26" s="15">
        <f t="shared" si="232"/>
        <v>216666666.66666666</v>
      </c>
      <c r="BU26" s="15">
        <f t="shared" si="232"/>
        <v>0</v>
      </c>
      <c r="BV26" s="15">
        <f t="shared" si="232"/>
        <v>0</v>
      </c>
      <c r="BW26" s="15">
        <f t="shared" si="232"/>
        <v>0</v>
      </c>
      <c r="BX26" s="15">
        <f t="shared" si="232"/>
        <v>0</v>
      </c>
      <c r="BY26" s="15">
        <f t="shared" si="233"/>
        <v>0</v>
      </c>
      <c r="BZ26" s="15">
        <f t="shared" si="233"/>
        <v>0</v>
      </c>
      <c r="CA26" s="15">
        <f t="shared" si="233"/>
        <v>0</v>
      </c>
      <c r="CB26" s="15">
        <f t="shared" si="233"/>
        <v>0</v>
      </c>
      <c r="CC26" s="15">
        <f t="shared" si="233"/>
        <v>0</v>
      </c>
      <c r="CD26" s="15">
        <f t="shared" si="233"/>
        <v>0</v>
      </c>
      <c r="CE26" s="15">
        <f t="shared" si="233"/>
        <v>0</v>
      </c>
      <c r="CF26" s="15">
        <f t="shared" si="233"/>
        <v>0</v>
      </c>
      <c r="CG26" s="15">
        <f t="shared" si="233"/>
        <v>0</v>
      </c>
      <c r="CH26" s="15">
        <f t="shared" si="233"/>
        <v>0</v>
      </c>
      <c r="CI26" s="15">
        <f t="shared" si="233"/>
        <v>0</v>
      </c>
      <c r="CJ26" s="15">
        <f t="shared" si="233"/>
        <v>0</v>
      </c>
      <c r="CK26" s="15">
        <f t="shared" si="233"/>
        <v>0</v>
      </c>
      <c r="CL26" s="15">
        <f t="shared" si="233"/>
        <v>0</v>
      </c>
      <c r="CN26" s="15">
        <f t="shared" si="234"/>
        <v>216666666.66666666</v>
      </c>
      <c r="CO26" s="15">
        <f t="shared" si="234"/>
        <v>216666666.66666666</v>
      </c>
      <c r="CP26" s="15">
        <f t="shared" si="234"/>
        <v>216666666.66666666</v>
      </c>
      <c r="CQ26" s="15">
        <f t="shared" si="234"/>
        <v>216666666.66666666</v>
      </c>
      <c r="CR26" s="15">
        <f t="shared" si="234"/>
        <v>216666666.66666666</v>
      </c>
      <c r="CS26" s="15">
        <f t="shared" si="234"/>
        <v>216666666.66666666</v>
      </c>
      <c r="CT26" s="15">
        <f t="shared" si="234"/>
        <v>216666666.66666666</v>
      </c>
      <c r="CU26" s="15">
        <f t="shared" si="234"/>
        <v>216666666.66666666</v>
      </c>
      <c r="CV26" s="15">
        <f t="shared" si="234"/>
        <v>216666666.66666666</v>
      </c>
      <c r="CW26" s="15">
        <f t="shared" si="234"/>
        <v>216666666.66666666</v>
      </c>
      <c r="CX26" s="15">
        <f t="shared" si="234"/>
        <v>216666666.66666666</v>
      </c>
      <c r="CY26" s="15">
        <f t="shared" si="234"/>
        <v>216666666.66666666</v>
      </c>
      <c r="CZ26" s="15">
        <f t="shared" si="234"/>
        <v>0</v>
      </c>
      <c r="DA26" s="15">
        <f t="shared" si="234"/>
        <v>0</v>
      </c>
      <c r="DB26" s="15">
        <f t="shared" si="234"/>
        <v>0</v>
      </c>
      <c r="DC26" s="15">
        <f t="shared" si="234"/>
        <v>0</v>
      </c>
      <c r="DD26" s="15">
        <f t="shared" si="235"/>
        <v>0</v>
      </c>
      <c r="DE26" s="15">
        <f t="shared" si="235"/>
        <v>0</v>
      </c>
      <c r="DF26" s="15">
        <f t="shared" si="235"/>
        <v>0</v>
      </c>
      <c r="DG26" s="15">
        <f t="shared" si="235"/>
        <v>0</v>
      </c>
      <c r="DH26" s="15">
        <f t="shared" si="235"/>
        <v>0</v>
      </c>
      <c r="DI26" s="15">
        <f t="shared" si="235"/>
        <v>0</v>
      </c>
      <c r="DJ26" s="15">
        <f t="shared" si="235"/>
        <v>0</v>
      </c>
      <c r="DK26" s="15">
        <f t="shared" si="235"/>
        <v>0</v>
      </c>
      <c r="DL26" s="15">
        <f t="shared" si="235"/>
        <v>0</v>
      </c>
      <c r="DM26" s="15">
        <f t="shared" si="235"/>
        <v>0</v>
      </c>
      <c r="DN26" s="15">
        <f t="shared" si="235"/>
        <v>0</v>
      </c>
      <c r="DO26" s="15">
        <f t="shared" si="235"/>
        <v>0</v>
      </c>
      <c r="DP26" s="15">
        <f t="shared" si="235"/>
        <v>0</v>
      </c>
      <c r="DQ26" s="15">
        <f t="shared" si="235"/>
        <v>0</v>
      </c>
      <c r="DS26" s="15">
        <f t="shared" si="236"/>
        <v>216666666.66666666</v>
      </c>
      <c r="DT26" s="15">
        <f t="shared" si="236"/>
        <v>216666666.66666666</v>
      </c>
      <c r="DU26" s="15">
        <f t="shared" si="236"/>
        <v>216666666.66666666</v>
      </c>
      <c r="DV26" s="15">
        <f t="shared" si="236"/>
        <v>216666666.66666666</v>
      </c>
      <c r="DW26" s="15">
        <f t="shared" si="236"/>
        <v>216666666.66666666</v>
      </c>
      <c r="DX26" s="15">
        <f t="shared" si="236"/>
        <v>216666666.66666666</v>
      </c>
      <c r="DY26" s="15">
        <f t="shared" si="236"/>
        <v>216666666.66666666</v>
      </c>
      <c r="DZ26" s="15">
        <f t="shared" si="236"/>
        <v>216666666.66666666</v>
      </c>
      <c r="EA26" s="15">
        <f t="shared" si="236"/>
        <v>216666666.66666666</v>
      </c>
      <c r="EB26" s="15">
        <f t="shared" si="236"/>
        <v>216666666.66666666</v>
      </c>
      <c r="EC26" s="15">
        <f t="shared" si="236"/>
        <v>216666666.66666666</v>
      </c>
      <c r="ED26" s="15">
        <f t="shared" si="236"/>
        <v>216666666.66666666</v>
      </c>
      <c r="EE26" s="15">
        <f t="shared" si="236"/>
        <v>0</v>
      </c>
      <c r="EF26" s="15">
        <f t="shared" si="236"/>
        <v>0</v>
      </c>
      <c r="EG26" s="15">
        <f t="shared" si="236"/>
        <v>0</v>
      </c>
      <c r="EH26" s="15">
        <f t="shared" si="236"/>
        <v>0</v>
      </c>
      <c r="EI26" s="15">
        <f t="shared" si="237"/>
        <v>0</v>
      </c>
      <c r="EJ26" s="15">
        <f t="shared" si="237"/>
        <v>0</v>
      </c>
      <c r="EK26" s="15">
        <f t="shared" si="237"/>
        <v>0</v>
      </c>
      <c r="EL26" s="15">
        <f t="shared" si="237"/>
        <v>0</v>
      </c>
      <c r="EM26" s="15">
        <f t="shared" si="237"/>
        <v>0</v>
      </c>
      <c r="EN26" s="15">
        <f t="shared" si="237"/>
        <v>0</v>
      </c>
      <c r="EO26" s="15">
        <f t="shared" si="237"/>
        <v>0</v>
      </c>
      <c r="EP26" s="15">
        <f t="shared" si="237"/>
        <v>0</v>
      </c>
      <c r="EQ26" s="15">
        <f t="shared" si="237"/>
        <v>0</v>
      </c>
      <c r="ER26" s="15">
        <f t="shared" si="237"/>
        <v>0</v>
      </c>
      <c r="ES26" s="15">
        <f t="shared" si="237"/>
        <v>0</v>
      </c>
      <c r="ET26" s="15">
        <f t="shared" si="237"/>
        <v>0</v>
      </c>
      <c r="EU26" s="15">
        <f t="shared" si="237"/>
        <v>0</v>
      </c>
      <c r="EV26" s="15">
        <f t="shared" si="237"/>
        <v>0</v>
      </c>
      <c r="EX26" s="15">
        <f t="shared" si="238"/>
        <v>216666666.66666666</v>
      </c>
      <c r="EY26" s="15">
        <f t="shared" si="238"/>
        <v>216666666.66666666</v>
      </c>
      <c r="EZ26" s="15">
        <f t="shared" si="238"/>
        <v>216666666.66666666</v>
      </c>
      <c r="FA26" s="15">
        <f t="shared" si="238"/>
        <v>216666666.66666666</v>
      </c>
      <c r="FB26" s="15">
        <f t="shared" si="238"/>
        <v>216666666.66666666</v>
      </c>
      <c r="FC26" s="15">
        <f t="shared" si="238"/>
        <v>216666666.66666666</v>
      </c>
      <c r="FD26" s="15">
        <f t="shared" si="238"/>
        <v>216666666.66666666</v>
      </c>
      <c r="FE26" s="15">
        <f t="shared" si="238"/>
        <v>216666666.66666666</v>
      </c>
      <c r="FF26" s="15">
        <f t="shared" si="238"/>
        <v>216666666.66666666</v>
      </c>
      <c r="FG26" s="15">
        <f t="shared" si="238"/>
        <v>216666666.66666666</v>
      </c>
      <c r="FH26" s="15">
        <f t="shared" si="238"/>
        <v>216666666.66666666</v>
      </c>
      <c r="FI26" s="15">
        <f t="shared" si="238"/>
        <v>216666666.66666666</v>
      </c>
      <c r="FJ26" s="15">
        <f t="shared" si="238"/>
        <v>0</v>
      </c>
      <c r="FK26" s="15">
        <f t="shared" si="238"/>
        <v>0</v>
      </c>
      <c r="FL26" s="15">
        <f t="shared" si="238"/>
        <v>0</v>
      </c>
      <c r="FM26" s="15">
        <f t="shared" si="238"/>
        <v>0</v>
      </c>
      <c r="FN26" s="15">
        <f t="shared" si="239"/>
        <v>0</v>
      </c>
      <c r="FO26" s="15">
        <f t="shared" si="239"/>
        <v>0</v>
      </c>
      <c r="FP26" s="15">
        <f t="shared" si="239"/>
        <v>0</v>
      </c>
      <c r="FQ26" s="15">
        <f t="shared" si="239"/>
        <v>0</v>
      </c>
      <c r="FR26" s="15">
        <f t="shared" si="239"/>
        <v>0</v>
      </c>
      <c r="FS26" s="15">
        <f t="shared" si="239"/>
        <v>0</v>
      </c>
      <c r="FT26" s="15">
        <f t="shared" si="239"/>
        <v>0</v>
      </c>
      <c r="FU26" s="15">
        <f t="shared" si="239"/>
        <v>0</v>
      </c>
      <c r="FV26" s="15">
        <f t="shared" si="239"/>
        <v>0</v>
      </c>
      <c r="FW26" s="15">
        <f t="shared" si="239"/>
        <v>0</v>
      </c>
      <c r="FX26" s="15">
        <f t="shared" si="239"/>
        <v>0</v>
      </c>
      <c r="FY26" s="15">
        <f t="shared" si="239"/>
        <v>0</v>
      </c>
      <c r="FZ26" s="15">
        <f t="shared" si="239"/>
        <v>0</v>
      </c>
      <c r="GA26" s="15">
        <f t="shared" si="239"/>
        <v>0</v>
      </c>
      <c r="GC26" s="15">
        <f t="shared" si="240"/>
        <v>216666666.66666666</v>
      </c>
      <c r="GD26" s="15">
        <f t="shared" si="240"/>
        <v>216666666.66666666</v>
      </c>
      <c r="GE26" s="15">
        <f t="shared" si="240"/>
        <v>216666666.66666666</v>
      </c>
      <c r="GF26" s="15">
        <f t="shared" si="240"/>
        <v>216666666.66666666</v>
      </c>
      <c r="GG26" s="15">
        <f t="shared" si="240"/>
        <v>216666666.66666666</v>
      </c>
      <c r="GH26" s="15">
        <f t="shared" si="240"/>
        <v>216666666.66666666</v>
      </c>
      <c r="GI26" s="15">
        <f t="shared" si="240"/>
        <v>216666666.66666666</v>
      </c>
      <c r="GJ26" s="15">
        <f t="shared" si="240"/>
        <v>216666666.66666666</v>
      </c>
      <c r="GK26" s="15">
        <f t="shared" si="240"/>
        <v>216666666.66666666</v>
      </c>
      <c r="GL26" s="15">
        <f t="shared" si="240"/>
        <v>216666666.66666666</v>
      </c>
      <c r="GM26" s="15">
        <f t="shared" si="240"/>
        <v>216666666.66666666</v>
      </c>
      <c r="GN26" s="15">
        <f t="shared" si="240"/>
        <v>216666666.66666666</v>
      </c>
      <c r="GO26" s="15">
        <f t="shared" si="240"/>
        <v>0</v>
      </c>
      <c r="GP26" s="15">
        <f t="shared" si="240"/>
        <v>0</v>
      </c>
      <c r="GQ26" s="15">
        <f t="shared" si="240"/>
        <v>0</v>
      </c>
      <c r="GR26" s="15">
        <f t="shared" si="240"/>
        <v>0</v>
      </c>
      <c r="GS26" s="15">
        <f t="shared" si="241"/>
        <v>0</v>
      </c>
      <c r="GT26" s="15">
        <f t="shared" si="241"/>
        <v>0</v>
      </c>
      <c r="GU26" s="15">
        <f t="shared" si="241"/>
        <v>0</v>
      </c>
      <c r="GV26" s="15">
        <f t="shared" si="241"/>
        <v>0</v>
      </c>
      <c r="GW26" s="15">
        <f t="shared" si="241"/>
        <v>0</v>
      </c>
      <c r="GX26" s="15">
        <f t="shared" si="241"/>
        <v>0</v>
      </c>
      <c r="GY26" s="15">
        <f t="shared" si="241"/>
        <v>0</v>
      </c>
      <c r="GZ26" s="15">
        <f t="shared" si="241"/>
        <v>0</v>
      </c>
      <c r="HA26" s="15">
        <f t="shared" si="241"/>
        <v>0</v>
      </c>
      <c r="HB26" s="15">
        <f t="shared" si="241"/>
        <v>0</v>
      </c>
      <c r="HC26" s="15">
        <f t="shared" si="241"/>
        <v>0</v>
      </c>
      <c r="HD26" s="15">
        <f t="shared" si="241"/>
        <v>0</v>
      </c>
      <c r="HE26" s="15">
        <f t="shared" si="241"/>
        <v>0</v>
      </c>
      <c r="HF26" s="15">
        <f t="shared" si="241"/>
        <v>0</v>
      </c>
      <c r="HH26" s="15">
        <f t="shared" si="242"/>
        <v>216666666.66666666</v>
      </c>
      <c r="HI26" s="15">
        <f t="shared" si="242"/>
        <v>216666666.66666666</v>
      </c>
      <c r="HJ26" s="15">
        <f t="shared" si="242"/>
        <v>216666666.66666666</v>
      </c>
      <c r="HK26" s="15">
        <f t="shared" si="242"/>
        <v>216666666.66666666</v>
      </c>
      <c r="HL26" s="15">
        <f t="shared" si="242"/>
        <v>216666666.66666666</v>
      </c>
      <c r="HM26" s="15">
        <f t="shared" si="242"/>
        <v>216666666.66666666</v>
      </c>
      <c r="HN26" s="15">
        <f t="shared" si="242"/>
        <v>216666666.66666666</v>
      </c>
      <c r="HO26" s="15">
        <f t="shared" si="242"/>
        <v>216666666.66666666</v>
      </c>
      <c r="HP26" s="15">
        <f t="shared" si="242"/>
        <v>216666666.66666666</v>
      </c>
      <c r="HQ26" s="15">
        <f t="shared" si="242"/>
        <v>216666666.66666666</v>
      </c>
      <c r="HR26" s="15">
        <f t="shared" si="242"/>
        <v>216666666.66666666</v>
      </c>
      <c r="HS26" s="15">
        <f t="shared" si="242"/>
        <v>216666666.66666666</v>
      </c>
      <c r="HT26" s="15">
        <f t="shared" si="242"/>
        <v>0</v>
      </c>
      <c r="HU26" s="15">
        <f t="shared" si="242"/>
        <v>0</v>
      </c>
      <c r="HV26" s="15">
        <f t="shared" si="242"/>
        <v>0</v>
      </c>
      <c r="HW26" s="15">
        <f t="shared" si="242"/>
        <v>0</v>
      </c>
      <c r="HX26" s="15">
        <f t="shared" si="243"/>
        <v>0</v>
      </c>
      <c r="HY26" s="15">
        <f t="shared" si="243"/>
        <v>0</v>
      </c>
      <c r="HZ26" s="15">
        <f t="shared" si="243"/>
        <v>0</v>
      </c>
      <c r="IA26" s="15">
        <f t="shared" si="243"/>
        <v>0</v>
      </c>
      <c r="IB26" s="15">
        <f t="shared" si="243"/>
        <v>0</v>
      </c>
      <c r="IC26" s="15">
        <f t="shared" si="243"/>
        <v>0</v>
      </c>
      <c r="ID26" s="15">
        <f t="shared" si="243"/>
        <v>0</v>
      </c>
      <c r="IE26" s="15">
        <f t="shared" si="243"/>
        <v>0</v>
      </c>
      <c r="IF26" s="15">
        <f t="shared" si="243"/>
        <v>0</v>
      </c>
      <c r="IG26" s="15">
        <f t="shared" si="243"/>
        <v>0</v>
      </c>
      <c r="IH26" s="15">
        <f t="shared" si="243"/>
        <v>0</v>
      </c>
      <c r="II26" s="15">
        <f t="shared" si="243"/>
        <v>0</v>
      </c>
      <c r="IJ26" s="15">
        <f t="shared" si="243"/>
        <v>0</v>
      </c>
      <c r="IK26" s="15">
        <f t="shared" si="243"/>
        <v>0</v>
      </c>
      <c r="IM26" s="15">
        <f t="shared" si="244"/>
        <v>216666666.66666666</v>
      </c>
      <c r="IN26" s="15">
        <f t="shared" si="244"/>
        <v>216666666.66666666</v>
      </c>
      <c r="IO26" s="15">
        <f t="shared" si="244"/>
        <v>216666666.66666666</v>
      </c>
      <c r="IP26" s="15">
        <f t="shared" si="244"/>
        <v>216666666.66666666</v>
      </c>
      <c r="IQ26" s="15">
        <f t="shared" si="244"/>
        <v>216666666.66666666</v>
      </c>
      <c r="IR26" s="15">
        <f t="shared" si="244"/>
        <v>216666666.66666666</v>
      </c>
      <c r="IS26" s="15">
        <f t="shared" si="244"/>
        <v>216666666.66666666</v>
      </c>
      <c r="IT26" s="15">
        <f t="shared" si="244"/>
        <v>216666666.66666666</v>
      </c>
      <c r="IU26" s="15">
        <f t="shared" si="244"/>
        <v>216666666.66666666</v>
      </c>
      <c r="IV26" s="15">
        <f t="shared" si="244"/>
        <v>216666666.66666666</v>
      </c>
      <c r="IW26" s="15">
        <f t="shared" si="244"/>
        <v>216666666.66666666</v>
      </c>
      <c r="IX26" s="15">
        <f t="shared" si="244"/>
        <v>216666666.66666666</v>
      </c>
      <c r="IY26" s="15">
        <f t="shared" si="244"/>
        <v>0</v>
      </c>
      <c r="IZ26" s="15">
        <f t="shared" si="244"/>
        <v>0</v>
      </c>
      <c r="JA26" s="15">
        <f t="shared" si="244"/>
        <v>0</v>
      </c>
      <c r="JB26" s="15">
        <f t="shared" si="244"/>
        <v>0</v>
      </c>
      <c r="JC26" s="15">
        <f t="shared" si="245"/>
        <v>0</v>
      </c>
      <c r="JD26" s="15">
        <f t="shared" si="245"/>
        <v>0</v>
      </c>
      <c r="JE26" s="15">
        <f t="shared" si="245"/>
        <v>0</v>
      </c>
      <c r="JF26" s="15">
        <f t="shared" si="245"/>
        <v>0</v>
      </c>
      <c r="JG26" s="15">
        <f t="shared" si="245"/>
        <v>0</v>
      </c>
      <c r="JH26" s="15">
        <f t="shared" si="245"/>
        <v>0</v>
      </c>
      <c r="JI26" s="15">
        <f t="shared" si="245"/>
        <v>0</v>
      </c>
      <c r="JJ26" s="15">
        <f t="shared" si="245"/>
        <v>0</v>
      </c>
      <c r="JK26" s="15">
        <f t="shared" si="245"/>
        <v>0</v>
      </c>
      <c r="JL26" s="15">
        <f t="shared" si="245"/>
        <v>0</v>
      </c>
      <c r="JM26" s="15">
        <f t="shared" si="245"/>
        <v>0</v>
      </c>
      <c r="JN26" s="15">
        <f t="shared" si="245"/>
        <v>0</v>
      </c>
      <c r="JO26" s="15">
        <f t="shared" si="245"/>
        <v>0</v>
      </c>
      <c r="JP26" s="15">
        <f t="shared" si="245"/>
        <v>0</v>
      </c>
      <c r="JR26" s="15">
        <f t="shared" si="246"/>
        <v>216666666.66666666</v>
      </c>
      <c r="JS26" s="15">
        <f t="shared" si="246"/>
        <v>216666666.66666666</v>
      </c>
      <c r="JT26" s="15">
        <f t="shared" si="246"/>
        <v>216666666.66666666</v>
      </c>
      <c r="JU26" s="15">
        <f t="shared" si="246"/>
        <v>216666666.66666666</v>
      </c>
      <c r="JV26" s="15">
        <f t="shared" si="246"/>
        <v>216666666.66666666</v>
      </c>
      <c r="JW26" s="15">
        <f t="shared" si="246"/>
        <v>216666666.66666666</v>
      </c>
      <c r="JX26" s="15">
        <f t="shared" si="246"/>
        <v>216666666.66666666</v>
      </c>
      <c r="JY26" s="15">
        <f t="shared" si="246"/>
        <v>216666666.66666666</v>
      </c>
      <c r="JZ26" s="15">
        <f t="shared" si="246"/>
        <v>216666666.66666666</v>
      </c>
      <c r="KA26" s="15">
        <f t="shared" si="246"/>
        <v>216666666.66666666</v>
      </c>
      <c r="KB26" s="15">
        <f t="shared" si="246"/>
        <v>216666666.66666666</v>
      </c>
      <c r="KC26" s="15">
        <f t="shared" si="246"/>
        <v>216666666.66666666</v>
      </c>
      <c r="KD26" s="15">
        <f t="shared" si="246"/>
        <v>0</v>
      </c>
      <c r="KE26" s="15">
        <f t="shared" si="246"/>
        <v>0</v>
      </c>
      <c r="KF26" s="15">
        <f t="shared" si="246"/>
        <v>0</v>
      </c>
      <c r="KG26" s="15">
        <f t="shared" si="246"/>
        <v>0</v>
      </c>
      <c r="KH26" s="15">
        <f t="shared" si="247"/>
        <v>0</v>
      </c>
      <c r="KI26" s="15">
        <f t="shared" si="247"/>
        <v>0</v>
      </c>
      <c r="KJ26" s="15">
        <f t="shared" si="247"/>
        <v>0</v>
      </c>
      <c r="KK26" s="15">
        <f t="shared" si="247"/>
        <v>0</v>
      </c>
      <c r="KL26" s="15">
        <f t="shared" si="247"/>
        <v>0</v>
      </c>
      <c r="KM26" s="15">
        <f t="shared" si="247"/>
        <v>0</v>
      </c>
      <c r="KN26" s="15">
        <f t="shared" si="247"/>
        <v>0</v>
      </c>
      <c r="KO26" s="15">
        <f t="shared" si="247"/>
        <v>0</v>
      </c>
      <c r="KP26" s="15">
        <f t="shared" si="247"/>
        <v>0</v>
      </c>
      <c r="KQ26" s="15">
        <f t="shared" si="247"/>
        <v>0</v>
      </c>
      <c r="KR26" s="15">
        <f t="shared" si="247"/>
        <v>0</v>
      </c>
      <c r="KS26" s="15">
        <f t="shared" si="247"/>
        <v>0</v>
      </c>
      <c r="KT26" s="15">
        <f t="shared" si="247"/>
        <v>0</v>
      </c>
      <c r="KU26" s="15">
        <f t="shared" si="247"/>
        <v>0</v>
      </c>
      <c r="KW26" s="15">
        <f t="shared" si="248"/>
        <v>216666666.66666666</v>
      </c>
      <c r="KX26" s="15">
        <f t="shared" si="248"/>
        <v>216666666.66666666</v>
      </c>
      <c r="KY26" s="15">
        <f t="shared" si="248"/>
        <v>216666666.66666666</v>
      </c>
      <c r="KZ26" s="15">
        <f t="shared" si="248"/>
        <v>216666666.66666666</v>
      </c>
      <c r="LA26" s="15">
        <f t="shared" si="248"/>
        <v>216666666.66666666</v>
      </c>
      <c r="LB26" s="15">
        <f t="shared" si="248"/>
        <v>216666666.66666666</v>
      </c>
      <c r="LC26" s="15">
        <f t="shared" si="248"/>
        <v>216666666.66666666</v>
      </c>
      <c r="LD26" s="15">
        <f t="shared" si="248"/>
        <v>216666666.66666666</v>
      </c>
      <c r="LE26" s="15">
        <f t="shared" si="248"/>
        <v>216666666.66666666</v>
      </c>
      <c r="LF26" s="15">
        <f t="shared" si="248"/>
        <v>216666666.66666666</v>
      </c>
      <c r="LG26" s="15">
        <f t="shared" si="248"/>
        <v>216666666.66666666</v>
      </c>
      <c r="LH26" s="15">
        <f t="shared" si="248"/>
        <v>216666666.66666666</v>
      </c>
      <c r="LI26" s="15">
        <f t="shared" si="248"/>
        <v>0</v>
      </c>
      <c r="LJ26" s="15">
        <f t="shared" si="248"/>
        <v>0</v>
      </c>
      <c r="LK26" s="15">
        <f t="shared" si="248"/>
        <v>0</v>
      </c>
      <c r="LL26" s="15">
        <f t="shared" si="248"/>
        <v>0</v>
      </c>
      <c r="LM26" s="15">
        <f t="shared" si="249"/>
        <v>0</v>
      </c>
      <c r="LN26" s="15">
        <f t="shared" si="249"/>
        <v>0</v>
      </c>
      <c r="LO26" s="15">
        <f t="shared" si="249"/>
        <v>0</v>
      </c>
      <c r="LP26" s="15">
        <f t="shared" si="249"/>
        <v>0</v>
      </c>
      <c r="LQ26" s="15">
        <f t="shared" si="249"/>
        <v>0</v>
      </c>
      <c r="LR26" s="15">
        <f t="shared" si="249"/>
        <v>0</v>
      </c>
      <c r="LS26" s="15">
        <f t="shared" si="249"/>
        <v>0</v>
      </c>
      <c r="LT26" s="15">
        <f t="shared" si="249"/>
        <v>0</v>
      </c>
      <c r="LU26" s="15">
        <f t="shared" si="249"/>
        <v>0</v>
      </c>
      <c r="LV26" s="15">
        <f t="shared" si="249"/>
        <v>0</v>
      </c>
      <c r="LW26" s="15">
        <f t="shared" si="249"/>
        <v>0</v>
      </c>
      <c r="LX26" s="15">
        <f t="shared" si="249"/>
        <v>0</v>
      </c>
      <c r="LY26" s="15">
        <f t="shared" si="249"/>
        <v>0</v>
      </c>
      <c r="LZ26" s="15">
        <f t="shared" si="249"/>
        <v>0</v>
      </c>
      <c r="MB26" s="15">
        <f t="shared" si="250"/>
        <v>216666666.66666666</v>
      </c>
      <c r="MC26" s="15">
        <f t="shared" si="250"/>
        <v>216666666.66666666</v>
      </c>
      <c r="MD26" s="15">
        <f t="shared" si="250"/>
        <v>216666666.66666666</v>
      </c>
      <c r="ME26" s="15">
        <f t="shared" si="250"/>
        <v>216666666.66666666</v>
      </c>
      <c r="MF26" s="15">
        <f t="shared" si="250"/>
        <v>216666666.66666666</v>
      </c>
      <c r="MG26" s="15">
        <f t="shared" si="250"/>
        <v>216666666.66666666</v>
      </c>
      <c r="MH26" s="15">
        <f t="shared" si="250"/>
        <v>216666666.66666666</v>
      </c>
      <c r="MI26" s="15">
        <f t="shared" si="250"/>
        <v>216666666.66666666</v>
      </c>
      <c r="MJ26" s="15">
        <f t="shared" si="250"/>
        <v>216666666.66666666</v>
      </c>
      <c r="MK26" s="15">
        <f t="shared" si="250"/>
        <v>216666666.66666666</v>
      </c>
      <c r="ML26" s="15">
        <f t="shared" si="250"/>
        <v>216666666.66666666</v>
      </c>
      <c r="MM26" s="15">
        <f t="shared" si="250"/>
        <v>216666666.66666666</v>
      </c>
      <c r="MN26" s="15">
        <f t="shared" si="250"/>
        <v>0</v>
      </c>
      <c r="MO26" s="15">
        <f t="shared" si="250"/>
        <v>0</v>
      </c>
      <c r="MP26" s="15">
        <f t="shared" si="250"/>
        <v>0</v>
      </c>
      <c r="MQ26" s="15">
        <f t="shared" si="250"/>
        <v>0</v>
      </c>
      <c r="MR26" s="15">
        <f t="shared" si="251"/>
        <v>0</v>
      </c>
      <c r="MS26" s="15">
        <f t="shared" si="251"/>
        <v>0</v>
      </c>
      <c r="MT26" s="15">
        <f t="shared" si="251"/>
        <v>0</v>
      </c>
      <c r="MU26" s="15">
        <f t="shared" si="251"/>
        <v>0</v>
      </c>
      <c r="MV26" s="15">
        <f t="shared" si="251"/>
        <v>0</v>
      </c>
      <c r="MW26" s="15">
        <f t="shared" si="251"/>
        <v>0</v>
      </c>
      <c r="MX26" s="15">
        <f t="shared" si="251"/>
        <v>0</v>
      </c>
      <c r="MY26" s="15">
        <f t="shared" si="251"/>
        <v>0</v>
      </c>
      <c r="MZ26" s="15">
        <f t="shared" si="251"/>
        <v>0</v>
      </c>
      <c r="NA26" s="15">
        <f t="shared" si="251"/>
        <v>0</v>
      </c>
      <c r="NB26" s="15">
        <f t="shared" si="251"/>
        <v>0</v>
      </c>
      <c r="NC26" s="15">
        <f t="shared" si="251"/>
        <v>0</v>
      </c>
      <c r="ND26" s="15">
        <f t="shared" si="251"/>
        <v>0</v>
      </c>
      <c r="NE26" s="15">
        <f t="shared" si="251"/>
        <v>0</v>
      </c>
    </row>
    <row r="27" spans="1:369" outlineLevel="1" x14ac:dyDescent="0.25">
      <c r="B27" t="s">
        <v>346</v>
      </c>
      <c r="C27" s="495" t="s">
        <v>372</v>
      </c>
      <c r="D27" s="613" t="s">
        <v>213</v>
      </c>
      <c r="E27" s="467">
        <v>1</v>
      </c>
      <c r="F27" s="221"/>
      <c r="G27" s="457">
        <v>12</v>
      </c>
      <c r="H27" s="468">
        <f>(2500000000/$D$6)*1.04</f>
        <v>2600000000</v>
      </c>
      <c r="I27" s="457">
        <f t="shared" si="203"/>
        <v>2600000000</v>
      </c>
      <c r="J27" s="457">
        <f t="shared" si="204"/>
        <v>216666666.66666666</v>
      </c>
      <c r="K27" s="221"/>
      <c r="L27" s="457">
        <v>12</v>
      </c>
      <c r="M27" s="457">
        <f t="shared" si="205"/>
        <v>2600000000</v>
      </c>
      <c r="N27" s="457">
        <f t="shared" si="206"/>
        <v>2600000000</v>
      </c>
      <c r="O27" s="457">
        <f t="shared" si="207"/>
        <v>216666666.66666666</v>
      </c>
      <c r="P27" s="221"/>
      <c r="Q27" s="457">
        <v>12</v>
      </c>
      <c r="R27" s="457">
        <f t="shared" si="208"/>
        <v>2600000000</v>
      </c>
      <c r="S27" s="457">
        <f t="shared" si="209"/>
        <v>2600000000</v>
      </c>
      <c r="T27" s="457">
        <f t="shared" si="210"/>
        <v>216666666.66666666</v>
      </c>
      <c r="U27" s="221"/>
      <c r="V27" s="457">
        <v>12</v>
      </c>
      <c r="W27" s="457">
        <f t="shared" si="211"/>
        <v>2600000000</v>
      </c>
      <c r="X27" s="457">
        <f t="shared" si="212"/>
        <v>2600000000</v>
      </c>
      <c r="Y27" s="457">
        <f t="shared" si="213"/>
        <v>216666666.66666666</v>
      </c>
      <c r="Z27" s="221"/>
      <c r="AA27" s="457">
        <v>12</v>
      </c>
      <c r="AB27" s="457">
        <f t="shared" si="214"/>
        <v>2600000000</v>
      </c>
      <c r="AC27" s="457">
        <f t="shared" si="215"/>
        <v>2600000000</v>
      </c>
      <c r="AD27" s="457">
        <f t="shared" si="216"/>
        <v>216666666.66666666</v>
      </c>
      <c r="AE27" s="221"/>
      <c r="AF27" s="457">
        <v>12</v>
      </c>
      <c r="AG27" s="457">
        <f t="shared" si="217"/>
        <v>2600000000</v>
      </c>
      <c r="AH27" s="457">
        <f t="shared" si="218"/>
        <v>2600000000</v>
      </c>
      <c r="AI27" s="457">
        <f t="shared" si="219"/>
        <v>216666666.66666666</v>
      </c>
      <c r="AJ27" s="221"/>
      <c r="AK27" s="457">
        <v>12</v>
      </c>
      <c r="AL27" s="457">
        <f t="shared" si="220"/>
        <v>2600000000</v>
      </c>
      <c r="AM27" s="457">
        <f t="shared" si="221"/>
        <v>2600000000</v>
      </c>
      <c r="AN27" s="457">
        <f t="shared" si="222"/>
        <v>216666666.66666666</v>
      </c>
      <c r="AO27" s="221"/>
      <c r="AP27" s="457">
        <v>12</v>
      </c>
      <c r="AQ27" s="457">
        <f t="shared" si="223"/>
        <v>2600000000</v>
      </c>
      <c r="AR27" s="457">
        <f t="shared" si="224"/>
        <v>2600000000</v>
      </c>
      <c r="AS27" s="457">
        <f t="shared" si="225"/>
        <v>216666666.66666666</v>
      </c>
      <c r="AT27" s="221"/>
      <c r="AU27" s="457">
        <v>12</v>
      </c>
      <c r="AV27" s="457">
        <f t="shared" si="226"/>
        <v>2600000000</v>
      </c>
      <c r="AW27" s="457">
        <f t="shared" si="227"/>
        <v>2600000000</v>
      </c>
      <c r="AX27" s="457">
        <f t="shared" si="228"/>
        <v>216666666.66666666</v>
      </c>
      <c r="AY27" s="221"/>
      <c r="AZ27" s="457">
        <v>12</v>
      </c>
      <c r="BA27" s="457">
        <f t="shared" si="229"/>
        <v>2600000000</v>
      </c>
      <c r="BB27" s="457">
        <f t="shared" si="230"/>
        <v>2600000000</v>
      </c>
      <c r="BC27" s="457">
        <f t="shared" si="231"/>
        <v>216666666.66666666</v>
      </c>
      <c r="BD27" s="221"/>
      <c r="BF27" t="s">
        <v>547</v>
      </c>
      <c r="BG27" t="s">
        <v>337</v>
      </c>
      <c r="BI27" s="15">
        <f t="shared" si="232"/>
        <v>216666666.66666666</v>
      </c>
      <c r="BJ27" s="15">
        <f t="shared" si="232"/>
        <v>216666666.66666666</v>
      </c>
      <c r="BK27" s="15">
        <f t="shared" si="232"/>
        <v>216666666.66666666</v>
      </c>
      <c r="BL27" s="15">
        <f t="shared" si="232"/>
        <v>216666666.66666666</v>
      </c>
      <c r="BM27" s="15">
        <f t="shared" si="232"/>
        <v>216666666.66666666</v>
      </c>
      <c r="BN27" s="15">
        <f t="shared" si="232"/>
        <v>216666666.66666666</v>
      </c>
      <c r="BO27" s="15">
        <f t="shared" si="232"/>
        <v>216666666.66666666</v>
      </c>
      <c r="BP27" s="15">
        <f t="shared" si="232"/>
        <v>216666666.66666666</v>
      </c>
      <c r="BQ27" s="15">
        <f t="shared" si="232"/>
        <v>216666666.66666666</v>
      </c>
      <c r="BR27" s="15">
        <f t="shared" si="232"/>
        <v>216666666.66666666</v>
      </c>
      <c r="BS27" s="15">
        <f t="shared" si="232"/>
        <v>216666666.66666666</v>
      </c>
      <c r="BT27" s="15">
        <f t="shared" si="232"/>
        <v>216666666.66666666</v>
      </c>
      <c r="BU27" s="15">
        <f t="shared" si="232"/>
        <v>0</v>
      </c>
      <c r="BV27" s="15">
        <f t="shared" si="232"/>
        <v>0</v>
      </c>
      <c r="BW27" s="15">
        <f t="shared" si="232"/>
        <v>0</v>
      </c>
      <c r="BX27" s="15">
        <f t="shared" si="232"/>
        <v>0</v>
      </c>
      <c r="BY27" s="15">
        <f t="shared" si="233"/>
        <v>0</v>
      </c>
      <c r="BZ27" s="15">
        <f t="shared" si="233"/>
        <v>0</v>
      </c>
      <c r="CA27" s="15">
        <f t="shared" si="233"/>
        <v>0</v>
      </c>
      <c r="CB27" s="15">
        <f t="shared" si="233"/>
        <v>0</v>
      </c>
      <c r="CC27" s="15">
        <f t="shared" si="233"/>
        <v>0</v>
      </c>
      <c r="CD27" s="15">
        <f t="shared" si="233"/>
        <v>0</v>
      </c>
      <c r="CE27" s="15">
        <f t="shared" si="233"/>
        <v>0</v>
      </c>
      <c r="CF27" s="15">
        <f t="shared" si="233"/>
        <v>0</v>
      </c>
      <c r="CG27" s="15">
        <f t="shared" si="233"/>
        <v>0</v>
      </c>
      <c r="CH27" s="15">
        <f t="shared" si="233"/>
        <v>0</v>
      </c>
      <c r="CI27" s="15">
        <f t="shared" si="233"/>
        <v>0</v>
      </c>
      <c r="CJ27" s="15">
        <f t="shared" si="233"/>
        <v>0</v>
      </c>
      <c r="CK27" s="15">
        <f t="shared" si="233"/>
        <v>0</v>
      </c>
      <c r="CL27" s="15">
        <f t="shared" si="233"/>
        <v>0</v>
      </c>
      <c r="CN27" s="15">
        <f t="shared" si="234"/>
        <v>216666666.66666666</v>
      </c>
      <c r="CO27" s="15">
        <f t="shared" si="234"/>
        <v>216666666.66666666</v>
      </c>
      <c r="CP27" s="15">
        <f t="shared" si="234"/>
        <v>216666666.66666666</v>
      </c>
      <c r="CQ27" s="15">
        <f t="shared" si="234"/>
        <v>216666666.66666666</v>
      </c>
      <c r="CR27" s="15">
        <f t="shared" si="234"/>
        <v>216666666.66666666</v>
      </c>
      <c r="CS27" s="15">
        <f t="shared" si="234"/>
        <v>216666666.66666666</v>
      </c>
      <c r="CT27" s="15">
        <f t="shared" si="234"/>
        <v>216666666.66666666</v>
      </c>
      <c r="CU27" s="15">
        <f t="shared" si="234"/>
        <v>216666666.66666666</v>
      </c>
      <c r="CV27" s="15">
        <f t="shared" si="234"/>
        <v>216666666.66666666</v>
      </c>
      <c r="CW27" s="15">
        <f t="shared" si="234"/>
        <v>216666666.66666666</v>
      </c>
      <c r="CX27" s="15">
        <f t="shared" si="234"/>
        <v>216666666.66666666</v>
      </c>
      <c r="CY27" s="15">
        <f t="shared" si="234"/>
        <v>216666666.66666666</v>
      </c>
      <c r="CZ27" s="15">
        <f t="shared" si="234"/>
        <v>0</v>
      </c>
      <c r="DA27" s="15">
        <f t="shared" si="234"/>
        <v>0</v>
      </c>
      <c r="DB27" s="15">
        <f t="shared" si="234"/>
        <v>0</v>
      </c>
      <c r="DC27" s="15">
        <f t="shared" si="234"/>
        <v>0</v>
      </c>
      <c r="DD27" s="15">
        <f t="shared" si="235"/>
        <v>0</v>
      </c>
      <c r="DE27" s="15">
        <f t="shared" si="235"/>
        <v>0</v>
      </c>
      <c r="DF27" s="15">
        <f t="shared" si="235"/>
        <v>0</v>
      </c>
      <c r="DG27" s="15">
        <f t="shared" si="235"/>
        <v>0</v>
      </c>
      <c r="DH27" s="15">
        <f t="shared" si="235"/>
        <v>0</v>
      </c>
      <c r="DI27" s="15">
        <f t="shared" si="235"/>
        <v>0</v>
      </c>
      <c r="DJ27" s="15">
        <f t="shared" si="235"/>
        <v>0</v>
      </c>
      <c r="DK27" s="15">
        <f t="shared" si="235"/>
        <v>0</v>
      </c>
      <c r="DL27" s="15">
        <f t="shared" si="235"/>
        <v>0</v>
      </c>
      <c r="DM27" s="15">
        <f t="shared" si="235"/>
        <v>0</v>
      </c>
      <c r="DN27" s="15">
        <f t="shared" si="235"/>
        <v>0</v>
      </c>
      <c r="DO27" s="15">
        <f t="shared" si="235"/>
        <v>0</v>
      </c>
      <c r="DP27" s="15">
        <f t="shared" si="235"/>
        <v>0</v>
      </c>
      <c r="DQ27" s="15">
        <f t="shared" si="235"/>
        <v>0</v>
      </c>
      <c r="DS27" s="15">
        <f t="shared" si="236"/>
        <v>216666666.66666666</v>
      </c>
      <c r="DT27" s="15">
        <f t="shared" si="236"/>
        <v>216666666.66666666</v>
      </c>
      <c r="DU27" s="15">
        <f t="shared" si="236"/>
        <v>216666666.66666666</v>
      </c>
      <c r="DV27" s="15">
        <f t="shared" si="236"/>
        <v>216666666.66666666</v>
      </c>
      <c r="DW27" s="15">
        <f t="shared" si="236"/>
        <v>216666666.66666666</v>
      </c>
      <c r="DX27" s="15">
        <f t="shared" si="236"/>
        <v>216666666.66666666</v>
      </c>
      <c r="DY27" s="15">
        <f t="shared" si="236"/>
        <v>216666666.66666666</v>
      </c>
      <c r="DZ27" s="15">
        <f t="shared" si="236"/>
        <v>216666666.66666666</v>
      </c>
      <c r="EA27" s="15">
        <f t="shared" si="236"/>
        <v>216666666.66666666</v>
      </c>
      <c r="EB27" s="15">
        <f t="shared" si="236"/>
        <v>216666666.66666666</v>
      </c>
      <c r="EC27" s="15">
        <f t="shared" si="236"/>
        <v>216666666.66666666</v>
      </c>
      <c r="ED27" s="15">
        <f t="shared" si="236"/>
        <v>216666666.66666666</v>
      </c>
      <c r="EE27" s="15">
        <f t="shared" si="236"/>
        <v>0</v>
      </c>
      <c r="EF27" s="15">
        <f t="shared" si="236"/>
        <v>0</v>
      </c>
      <c r="EG27" s="15">
        <f t="shared" si="236"/>
        <v>0</v>
      </c>
      <c r="EH27" s="15">
        <f t="shared" si="236"/>
        <v>0</v>
      </c>
      <c r="EI27" s="15">
        <f t="shared" si="237"/>
        <v>0</v>
      </c>
      <c r="EJ27" s="15">
        <f t="shared" si="237"/>
        <v>0</v>
      </c>
      <c r="EK27" s="15">
        <f t="shared" si="237"/>
        <v>0</v>
      </c>
      <c r="EL27" s="15">
        <f t="shared" si="237"/>
        <v>0</v>
      </c>
      <c r="EM27" s="15">
        <f t="shared" si="237"/>
        <v>0</v>
      </c>
      <c r="EN27" s="15">
        <f t="shared" si="237"/>
        <v>0</v>
      </c>
      <c r="EO27" s="15">
        <f t="shared" si="237"/>
        <v>0</v>
      </c>
      <c r="EP27" s="15">
        <f t="shared" si="237"/>
        <v>0</v>
      </c>
      <c r="EQ27" s="15">
        <f t="shared" si="237"/>
        <v>0</v>
      </c>
      <c r="ER27" s="15">
        <f t="shared" si="237"/>
        <v>0</v>
      </c>
      <c r="ES27" s="15">
        <f t="shared" si="237"/>
        <v>0</v>
      </c>
      <c r="ET27" s="15">
        <f t="shared" si="237"/>
        <v>0</v>
      </c>
      <c r="EU27" s="15">
        <f t="shared" si="237"/>
        <v>0</v>
      </c>
      <c r="EV27" s="15">
        <f t="shared" si="237"/>
        <v>0</v>
      </c>
      <c r="EX27" s="15">
        <f t="shared" si="238"/>
        <v>216666666.66666666</v>
      </c>
      <c r="EY27" s="15">
        <f t="shared" si="238"/>
        <v>216666666.66666666</v>
      </c>
      <c r="EZ27" s="15">
        <f t="shared" si="238"/>
        <v>216666666.66666666</v>
      </c>
      <c r="FA27" s="15">
        <f t="shared" si="238"/>
        <v>216666666.66666666</v>
      </c>
      <c r="FB27" s="15">
        <f t="shared" si="238"/>
        <v>216666666.66666666</v>
      </c>
      <c r="FC27" s="15">
        <f t="shared" si="238"/>
        <v>216666666.66666666</v>
      </c>
      <c r="FD27" s="15">
        <f t="shared" si="238"/>
        <v>216666666.66666666</v>
      </c>
      <c r="FE27" s="15">
        <f t="shared" si="238"/>
        <v>216666666.66666666</v>
      </c>
      <c r="FF27" s="15">
        <f t="shared" si="238"/>
        <v>216666666.66666666</v>
      </c>
      <c r="FG27" s="15">
        <f t="shared" si="238"/>
        <v>216666666.66666666</v>
      </c>
      <c r="FH27" s="15">
        <f t="shared" si="238"/>
        <v>216666666.66666666</v>
      </c>
      <c r="FI27" s="15">
        <f t="shared" si="238"/>
        <v>216666666.66666666</v>
      </c>
      <c r="FJ27" s="15">
        <f t="shared" si="238"/>
        <v>0</v>
      </c>
      <c r="FK27" s="15">
        <f t="shared" si="238"/>
        <v>0</v>
      </c>
      <c r="FL27" s="15">
        <f t="shared" si="238"/>
        <v>0</v>
      </c>
      <c r="FM27" s="15">
        <f t="shared" si="238"/>
        <v>0</v>
      </c>
      <c r="FN27" s="15">
        <f t="shared" si="239"/>
        <v>0</v>
      </c>
      <c r="FO27" s="15">
        <f t="shared" si="239"/>
        <v>0</v>
      </c>
      <c r="FP27" s="15">
        <f t="shared" si="239"/>
        <v>0</v>
      </c>
      <c r="FQ27" s="15">
        <f t="shared" si="239"/>
        <v>0</v>
      </c>
      <c r="FR27" s="15">
        <f t="shared" si="239"/>
        <v>0</v>
      </c>
      <c r="FS27" s="15">
        <f t="shared" si="239"/>
        <v>0</v>
      </c>
      <c r="FT27" s="15">
        <f t="shared" si="239"/>
        <v>0</v>
      </c>
      <c r="FU27" s="15">
        <f t="shared" si="239"/>
        <v>0</v>
      </c>
      <c r="FV27" s="15">
        <f t="shared" si="239"/>
        <v>0</v>
      </c>
      <c r="FW27" s="15">
        <f t="shared" si="239"/>
        <v>0</v>
      </c>
      <c r="FX27" s="15">
        <f t="shared" si="239"/>
        <v>0</v>
      </c>
      <c r="FY27" s="15">
        <f t="shared" si="239"/>
        <v>0</v>
      </c>
      <c r="FZ27" s="15">
        <f t="shared" si="239"/>
        <v>0</v>
      </c>
      <c r="GA27" s="15">
        <f t="shared" si="239"/>
        <v>0</v>
      </c>
      <c r="GC27" s="15">
        <f t="shared" si="240"/>
        <v>216666666.66666666</v>
      </c>
      <c r="GD27" s="15">
        <f t="shared" si="240"/>
        <v>216666666.66666666</v>
      </c>
      <c r="GE27" s="15">
        <f t="shared" si="240"/>
        <v>216666666.66666666</v>
      </c>
      <c r="GF27" s="15">
        <f t="shared" si="240"/>
        <v>216666666.66666666</v>
      </c>
      <c r="GG27" s="15">
        <f t="shared" si="240"/>
        <v>216666666.66666666</v>
      </c>
      <c r="GH27" s="15">
        <f t="shared" si="240"/>
        <v>216666666.66666666</v>
      </c>
      <c r="GI27" s="15">
        <f t="shared" si="240"/>
        <v>216666666.66666666</v>
      </c>
      <c r="GJ27" s="15">
        <f t="shared" si="240"/>
        <v>216666666.66666666</v>
      </c>
      <c r="GK27" s="15">
        <f t="shared" si="240"/>
        <v>216666666.66666666</v>
      </c>
      <c r="GL27" s="15">
        <f t="shared" si="240"/>
        <v>216666666.66666666</v>
      </c>
      <c r="GM27" s="15">
        <f t="shared" si="240"/>
        <v>216666666.66666666</v>
      </c>
      <c r="GN27" s="15">
        <f t="shared" si="240"/>
        <v>216666666.66666666</v>
      </c>
      <c r="GO27" s="15">
        <f t="shared" si="240"/>
        <v>0</v>
      </c>
      <c r="GP27" s="15">
        <f t="shared" si="240"/>
        <v>0</v>
      </c>
      <c r="GQ27" s="15">
        <f t="shared" si="240"/>
        <v>0</v>
      </c>
      <c r="GR27" s="15">
        <f t="shared" si="240"/>
        <v>0</v>
      </c>
      <c r="GS27" s="15">
        <f t="shared" si="241"/>
        <v>0</v>
      </c>
      <c r="GT27" s="15">
        <f t="shared" si="241"/>
        <v>0</v>
      </c>
      <c r="GU27" s="15">
        <f t="shared" si="241"/>
        <v>0</v>
      </c>
      <c r="GV27" s="15">
        <f t="shared" si="241"/>
        <v>0</v>
      </c>
      <c r="GW27" s="15">
        <f t="shared" si="241"/>
        <v>0</v>
      </c>
      <c r="GX27" s="15">
        <f t="shared" si="241"/>
        <v>0</v>
      </c>
      <c r="GY27" s="15">
        <f t="shared" si="241"/>
        <v>0</v>
      </c>
      <c r="GZ27" s="15">
        <f t="shared" si="241"/>
        <v>0</v>
      </c>
      <c r="HA27" s="15">
        <f t="shared" si="241"/>
        <v>0</v>
      </c>
      <c r="HB27" s="15">
        <f t="shared" si="241"/>
        <v>0</v>
      </c>
      <c r="HC27" s="15">
        <f t="shared" si="241"/>
        <v>0</v>
      </c>
      <c r="HD27" s="15">
        <f t="shared" si="241"/>
        <v>0</v>
      </c>
      <c r="HE27" s="15">
        <f t="shared" si="241"/>
        <v>0</v>
      </c>
      <c r="HF27" s="15">
        <f t="shared" si="241"/>
        <v>0</v>
      </c>
      <c r="HH27" s="15">
        <f t="shared" si="242"/>
        <v>216666666.66666666</v>
      </c>
      <c r="HI27" s="15">
        <f t="shared" si="242"/>
        <v>216666666.66666666</v>
      </c>
      <c r="HJ27" s="15">
        <f t="shared" si="242"/>
        <v>216666666.66666666</v>
      </c>
      <c r="HK27" s="15">
        <f t="shared" si="242"/>
        <v>216666666.66666666</v>
      </c>
      <c r="HL27" s="15">
        <f t="shared" si="242"/>
        <v>216666666.66666666</v>
      </c>
      <c r="HM27" s="15">
        <f t="shared" si="242"/>
        <v>216666666.66666666</v>
      </c>
      <c r="HN27" s="15">
        <f t="shared" si="242"/>
        <v>216666666.66666666</v>
      </c>
      <c r="HO27" s="15">
        <f t="shared" si="242"/>
        <v>216666666.66666666</v>
      </c>
      <c r="HP27" s="15">
        <f t="shared" si="242"/>
        <v>216666666.66666666</v>
      </c>
      <c r="HQ27" s="15">
        <f t="shared" si="242"/>
        <v>216666666.66666666</v>
      </c>
      <c r="HR27" s="15">
        <f t="shared" si="242"/>
        <v>216666666.66666666</v>
      </c>
      <c r="HS27" s="15">
        <f t="shared" si="242"/>
        <v>216666666.66666666</v>
      </c>
      <c r="HT27" s="15">
        <f t="shared" si="242"/>
        <v>0</v>
      </c>
      <c r="HU27" s="15">
        <f t="shared" si="242"/>
        <v>0</v>
      </c>
      <c r="HV27" s="15">
        <f t="shared" si="242"/>
        <v>0</v>
      </c>
      <c r="HW27" s="15">
        <f t="shared" si="242"/>
        <v>0</v>
      </c>
      <c r="HX27" s="15">
        <f t="shared" si="243"/>
        <v>0</v>
      </c>
      <c r="HY27" s="15">
        <f t="shared" si="243"/>
        <v>0</v>
      </c>
      <c r="HZ27" s="15">
        <f t="shared" si="243"/>
        <v>0</v>
      </c>
      <c r="IA27" s="15">
        <f t="shared" si="243"/>
        <v>0</v>
      </c>
      <c r="IB27" s="15">
        <f t="shared" si="243"/>
        <v>0</v>
      </c>
      <c r="IC27" s="15">
        <f t="shared" si="243"/>
        <v>0</v>
      </c>
      <c r="ID27" s="15">
        <f t="shared" si="243"/>
        <v>0</v>
      </c>
      <c r="IE27" s="15">
        <f t="shared" si="243"/>
        <v>0</v>
      </c>
      <c r="IF27" s="15">
        <f t="shared" si="243"/>
        <v>0</v>
      </c>
      <c r="IG27" s="15">
        <f t="shared" si="243"/>
        <v>0</v>
      </c>
      <c r="IH27" s="15">
        <f t="shared" si="243"/>
        <v>0</v>
      </c>
      <c r="II27" s="15">
        <f t="shared" si="243"/>
        <v>0</v>
      </c>
      <c r="IJ27" s="15">
        <f t="shared" si="243"/>
        <v>0</v>
      </c>
      <c r="IK27" s="15">
        <f t="shared" si="243"/>
        <v>0</v>
      </c>
      <c r="IM27" s="15">
        <f t="shared" si="244"/>
        <v>216666666.66666666</v>
      </c>
      <c r="IN27" s="15">
        <f t="shared" si="244"/>
        <v>216666666.66666666</v>
      </c>
      <c r="IO27" s="15">
        <f t="shared" si="244"/>
        <v>216666666.66666666</v>
      </c>
      <c r="IP27" s="15">
        <f t="shared" si="244"/>
        <v>216666666.66666666</v>
      </c>
      <c r="IQ27" s="15">
        <f t="shared" si="244"/>
        <v>216666666.66666666</v>
      </c>
      <c r="IR27" s="15">
        <f t="shared" si="244"/>
        <v>216666666.66666666</v>
      </c>
      <c r="IS27" s="15">
        <f t="shared" si="244"/>
        <v>216666666.66666666</v>
      </c>
      <c r="IT27" s="15">
        <f t="shared" si="244"/>
        <v>216666666.66666666</v>
      </c>
      <c r="IU27" s="15">
        <f t="shared" si="244"/>
        <v>216666666.66666666</v>
      </c>
      <c r="IV27" s="15">
        <f t="shared" si="244"/>
        <v>216666666.66666666</v>
      </c>
      <c r="IW27" s="15">
        <f t="shared" si="244"/>
        <v>216666666.66666666</v>
      </c>
      <c r="IX27" s="15">
        <f t="shared" si="244"/>
        <v>216666666.66666666</v>
      </c>
      <c r="IY27" s="15">
        <f t="shared" si="244"/>
        <v>0</v>
      </c>
      <c r="IZ27" s="15">
        <f t="shared" si="244"/>
        <v>0</v>
      </c>
      <c r="JA27" s="15">
        <f t="shared" si="244"/>
        <v>0</v>
      </c>
      <c r="JB27" s="15">
        <f t="shared" si="244"/>
        <v>0</v>
      </c>
      <c r="JC27" s="15">
        <f t="shared" si="245"/>
        <v>0</v>
      </c>
      <c r="JD27" s="15">
        <f t="shared" si="245"/>
        <v>0</v>
      </c>
      <c r="JE27" s="15">
        <f t="shared" si="245"/>
        <v>0</v>
      </c>
      <c r="JF27" s="15">
        <f t="shared" si="245"/>
        <v>0</v>
      </c>
      <c r="JG27" s="15">
        <f t="shared" si="245"/>
        <v>0</v>
      </c>
      <c r="JH27" s="15">
        <f t="shared" si="245"/>
        <v>0</v>
      </c>
      <c r="JI27" s="15">
        <f t="shared" si="245"/>
        <v>0</v>
      </c>
      <c r="JJ27" s="15">
        <f t="shared" si="245"/>
        <v>0</v>
      </c>
      <c r="JK27" s="15">
        <f t="shared" si="245"/>
        <v>0</v>
      </c>
      <c r="JL27" s="15">
        <f t="shared" si="245"/>
        <v>0</v>
      </c>
      <c r="JM27" s="15">
        <f t="shared" si="245"/>
        <v>0</v>
      </c>
      <c r="JN27" s="15">
        <f t="shared" si="245"/>
        <v>0</v>
      </c>
      <c r="JO27" s="15">
        <f t="shared" si="245"/>
        <v>0</v>
      </c>
      <c r="JP27" s="15">
        <f t="shared" si="245"/>
        <v>0</v>
      </c>
      <c r="JR27" s="15">
        <f t="shared" si="246"/>
        <v>216666666.66666666</v>
      </c>
      <c r="JS27" s="15">
        <f t="shared" si="246"/>
        <v>216666666.66666666</v>
      </c>
      <c r="JT27" s="15">
        <f t="shared" si="246"/>
        <v>216666666.66666666</v>
      </c>
      <c r="JU27" s="15">
        <f t="shared" si="246"/>
        <v>216666666.66666666</v>
      </c>
      <c r="JV27" s="15">
        <f t="shared" si="246"/>
        <v>216666666.66666666</v>
      </c>
      <c r="JW27" s="15">
        <f t="shared" si="246"/>
        <v>216666666.66666666</v>
      </c>
      <c r="JX27" s="15">
        <f t="shared" si="246"/>
        <v>216666666.66666666</v>
      </c>
      <c r="JY27" s="15">
        <f t="shared" si="246"/>
        <v>216666666.66666666</v>
      </c>
      <c r="JZ27" s="15">
        <f t="shared" si="246"/>
        <v>216666666.66666666</v>
      </c>
      <c r="KA27" s="15">
        <f t="shared" si="246"/>
        <v>216666666.66666666</v>
      </c>
      <c r="KB27" s="15">
        <f t="shared" si="246"/>
        <v>216666666.66666666</v>
      </c>
      <c r="KC27" s="15">
        <f t="shared" si="246"/>
        <v>216666666.66666666</v>
      </c>
      <c r="KD27" s="15">
        <f t="shared" si="246"/>
        <v>0</v>
      </c>
      <c r="KE27" s="15">
        <f t="shared" si="246"/>
        <v>0</v>
      </c>
      <c r="KF27" s="15">
        <f t="shared" si="246"/>
        <v>0</v>
      </c>
      <c r="KG27" s="15">
        <f t="shared" si="246"/>
        <v>0</v>
      </c>
      <c r="KH27" s="15">
        <f t="shared" si="247"/>
        <v>0</v>
      </c>
      <c r="KI27" s="15">
        <f t="shared" si="247"/>
        <v>0</v>
      </c>
      <c r="KJ27" s="15">
        <f t="shared" si="247"/>
        <v>0</v>
      </c>
      <c r="KK27" s="15">
        <f t="shared" si="247"/>
        <v>0</v>
      </c>
      <c r="KL27" s="15">
        <f t="shared" si="247"/>
        <v>0</v>
      </c>
      <c r="KM27" s="15">
        <f t="shared" si="247"/>
        <v>0</v>
      </c>
      <c r="KN27" s="15">
        <f t="shared" si="247"/>
        <v>0</v>
      </c>
      <c r="KO27" s="15">
        <f t="shared" si="247"/>
        <v>0</v>
      </c>
      <c r="KP27" s="15">
        <f t="shared" si="247"/>
        <v>0</v>
      </c>
      <c r="KQ27" s="15">
        <f t="shared" si="247"/>
        <v>0</v>
      </c>
      <c r="KR27" s="15">
        <f t="shared" si="247"/>
        <v>0</v>
      </c>
      <c r="KS27" s="15">
        <f t="shared" si="247"/>
        <v>0</v>
      </c>
      <c r="KT27" s="15">
        <f t="shared" si="247"/>
        <v>0</v>
      </c>
      <c r="KU27" s="15">
        <f t="shared" si="247"/>
        <v>0</v>
      </c>
      <c r="KW27" s="15">
        <f t="shared" si="248"/>
        <v>216666666.66666666</v>
      </c>
      <c r="KX27" s="15">
        <f t="shared" si="248"/>
        <v>216666666.66666666</v>
      </c>
      <c r="KY27" s="15">
        <f t="shared" si="248"/>
        <v>216666666.66666666</v>
      </c>
      <c r="KZ27" s="15">
        <f t="shared" si="248"/>
        <v>216666666.66666666</v>
      </c>
      <c r="LA27" s="15">
        <f t="shared" si="248"/>
        <v>216666666.66666666</v>
      </c>
      <c r="LB27" s="15">
        <f t="shared" si="248"/>
        <v>216666666.66666666</v>
      </c>
      <c r="LC27" s="15">
        <f t="shared" si="248"/>
        <v>216666666.66666666</v>
      </c>
      <c r="LD27" s="15">
        <f t="shared" si="248"/>
        <v>216666666.66666666</v>
      </c>
      <c r="LE27" s="15">
        <f t="shared" si="248"/>
        <v>216666666.66666666</v>
      </c>
      <c r="LF27" s="15">
        <f t="shared" si="248"/>
        <v>216666666.66666666</v>
      </c>
      <c r="LG27" s="15">
        <f t="shared" si="248"/>
        <v>216666666.66666666</v>
      </c>
      <c r="LH27" s="15">
        <f t="shared" si="248"/>
        <v>216666666.66666666</v>
      </c>
      <c r="LI27" s="15">
        <f t="shared" si="248"/>
        <v>0</v>
      </c>
      <c r="LJ27" s="15">
        <f t="shared" si="248"/>
        <v>0</v>
      </c>
      <c r="LK27" s="15">
        <f t="shared" si="248"/>
        <v>0</v>
      </c>
      <c r="LL27" s="15">
        <f t="shared" si="248"/>
        <v>0</v>
      </c>
      <c r="LM27" s="15">
        <f t="shared" si="249"/>
        <v>0</v>
      </c>
      <c r="LN27" s="15">
        <f t="shared" si="249"/>
        <v>0</v>
      </c>
      <c r="LO27" s="15">
        <f t="shared" si="249"/>
        <v>0</v>
      </c>
      <c r="LP27" s="15">
        <f t="shared" si="249"/>
        <v>0</v>
      </c>
      <c r="LQ27" s="15">
        <f t="shared" si="249"/>
        <v>0</v>
      </c>
      <c r="LR27" s="15">
        <f t="shared" si="249"/>
        <v>0</v>
      </c>
      <c r="LS27" s="15">
        <f t="shared" si="249"/>
        <v>0</v>
      </c>
      <c r="LT27" s="15">
        <f t="shared" si="249"/>
        <v>0</v>
      </c>
      <c r="LU27" s="15">
        <f t="shared" si="249"/>
        <v>0</v>
      </c>
      <c r="LV27" s="15">
        <f t="shared" si="249"/>
        <v>0</v>
      </c>
      <c r="LW27" s="15">
        <f t="shared" si="249"/>
        <v>0</v>
      </c>
      <c r="LX27" s="15">
        <f t="shared" si="249"/>
        <v>0</v>
      </c>
      <c r="LY27" s="15">
        <f t="shared" si="249"/>
        <v>0</v>
      </c>
      <c r="LZ27" s="15">
        <f t="shared" si="249"/>
        <v>0</v>
      </c>
      <c r="MB27" s="15">
        <f t="shared" si="250"/>
        <v>216666666.66666666</v>
      </c>
      <c r="MC27" s="15">
        <f t="shared" si="250"/>
        <v>216666666.66666666</v>
      </c>
      <c r="MD27" s="15">
        <f t="shared" si="250"/>
        <v>216666666.66666666</v>
      </c>
      <c r="ME27" s="15">
        <f t="shared" si="250"/>
        <v>216666666.66666666</v>
      </c>
      <c r="MF27" s="15">
        <f t="shared" si="250"/>
        <v>216666666.66666666</v>
      </c>
      <c r="MG27" s="15">
        <f t="shared" si="250"/>
        <v>216666666.66666666</v>
      </c>
      <c r="MH27" s="15">
        <f t="shared" si="250"/>
        <v>216666666.66666666</v>
      </c>
      <c r="MI27" s="15">
        <f t="shared" si="250"/>
        <v>216666666.66666666</v>
      </c>
      <c r="MJ27" s="15">
        <f t="shared" si="250"/>
        <v>216666666.66666666</v>
      </c>
      <c r="MK27" s="15">
        <f t="shared" si="250"/>
        <v>216666666.66666666</v>
      </c>
      <c r="ML27" s="15">
        <f t="shared" si="250"/>
        <v>216666666.66666666</v>
      </c>
      <c r="MM27" s="15">
        <f t="shared" si="250"/>
        <v>216666666.66666666</v>
      </c>
      <c r="MN27" s="15">
        <f t="shared" si="250"/>
        <v>0</v>
      </c>
      <c r="MO27" s="15">
        <f t="shared" si="250"/>
        <v>0</v>
      </c>
      <c r="MP27" s="15">
        <f t="shared" si="250"/>
        <v>0</v>
      </c>
      <c r="MQ27" s="15">
        <f t="shared" si="250"/>
        <v>0</v>
      </c>
      <c r="MR27" s="15">
        <f t="shared" si="251"/>
        <v>0</v>
      </c>
      <c r="MS27" s="15">
        <f t="shared" si="251"/>
        <v>0</v>
      </c>
      <c r="MT27" s="15">
        <f t="shared" si="251"/>
        <v>0</v>
      </c>
      <c r="MU27" s="15">
        <f t="shared" si="251"/>
        <v>0</v>
      </c>
      <c r="MV27" s="15">
        <f t="shared" si="251"/>
        <v>0</v>
      </c>
      <c r="MW27" s="15">
        <f t="shared" si="251"/>
        <v>0</v>
      </c>
      <c r="MX27" s="15">
        <f t="shared" si="251"/>
        <v>0</v>
      </c>
      <c r="MY27" s="15">
        <f t="shared" si="251"/>
        <v>0</v>
      </c>
      <c r="MZ27" s="15">
        <f t="shared" si="251"/>
        <v>0</v>
      </c>
      <c r="NA27" s="15">
        <f t="shared" si="251"/>
        <v>0</v>
      </c>
      <c r="NB27" s="15">
        <f t="shared" si="251"/>
        <v>0</v>
      </c>
      <c r="NC27" s="15">
        <f t="shared" si="251"/>
        <v>0</v>
      </c>
      <c r="ND27" s="15">
        <f t="shared" si="251"/>
        <v>0</v>
      </c>
      <c r="NE27" s="15">
        <f t="shared" si="251"/>
        <v>0</v>
      </c>
    </row>
    <row r="28" spans="1:369" s="142" customFormat="1" outlineLevel="1" x14ac:dyDescent="0.25">
      <c r="B28" s="142" t="s">
        <v>346</v>
      </c>
      <c r="C28" s="618" t="s">
        <v>373</v>
      </c>
      <c r="D28" s="619" t="s">
        <v>366</v>
      </c>
      <c r="E28" s="620">
        <v>1</v>
      </c>
      <c r="F28" s="224"/>
      <c r="G28" s="621">
        <v>12</v>
      </c>
      <c r="H28" s="472">
        <f>(2000000000/$D$6)*1.04</f>
        <v>2080000000</v>
      </c>
      <c r="I28" s="621">
        <f t="shared" si="203"/>
        <v>2080000000</v>
      </c>
      <c r="J28" s="621">
        <f t="shared" si="204"/>
        <v>173333333.33333334</v>
      </c>
      <c r="K28" s="224"/>
      <c r="L28" s="621">
        <v>12</v>
      </c>
      <c r="M28" s="621">
        <f t="shared" si="205"/>
        <v>2080000000</v>
      </c>
      <c r="N28" s="621">
        <f t="shared" si="206"/>
        <v>2080000000</v>
      </c>
      <c r="O28" s="621">
        <f t="shared" si="207"/>
        <v>173333333.33333334</v>
      </c>
      <c r="P28" s="224"/>
      <c r="Q28" s="621">
        <v>12</v>
      </c>
      <c r="R28" s="621">
        <f t="shared" si="208"/>
        <v>2080000000</v>
      </c>
      <c r="S28" s="621">
        <f t="shared" si="209"/>
        <v>2080000000</v>
      </c>
      <c r="T28" s="621">
        <f t="shared" si="210"/>
        <v>173333333.33333334</v>
      </c>
      <c r="U28" s="224"/>
      <c r="V28" s="621">
        <v>12</v>
      </c>
      <c r="W28" s="621">
        <f t="shared" si="211"/>
        <v>2080000000</v>
      </c>
      <c r="X28" s="621">
        <f t="shared" si="212"/>
        <v>2080000000</v>
      </c>
      <c r="Y28" s="621">
        <f t="shared" si="213"/>
        <v>173333333.33333334</v>
      </c>
      <c r="Z28" s="224"/>
      <c r="AA28" s="621">
        <v>12</v>
      </c>
      <c r="AB28" s="621">
        <f t="shared" si="214"/>
        <v>2080000000</v>
      </c>
      <c r="AC28" s="621">
        <f t="shared" si="215"/>
        <v>2080000000</v>
      </c>
      <c r="AD28" s="621">
        <f t="shared" si="216"/>
        <v>173333333.33333334</v>
      </c>
      <c r="AE28" s="224"/>
      <c r="AF28" s="621">
        <v>12</v>
      </c>
      <c r="AG28" s="621">
        <f t="shared" si="217"/>
        <v>2080000000</v>
      </c>
      <c r="AH28" s="621">
        <f t="shared" si="218"/>
        <v>2080000000</v>
      </c>
      <c r="AI28" s="621">
        <f t="shared" si="219"/>
        <v>173333333.33333334</v>
      </c>
      <c r="AJ28" s="224"/>
      <c r="AK28" s="621">
        <v>12</v>
      </c>
      <c r="AL28" s="621">
        <f t="shared" si="220"/>
        <v>2080000000</v>
      </c>
      <c r="AM28" s="621">
        <f t="shared" si="221"/>
        <v>2080000000</v>
      </c>
      <c r="AN28" s="621">
        <f t="shared" si="222"/>
        <v>173333333.33333334</v>
      </c>
      <c r="AO28" s="224"/>
      <c r="AP28" s="621">
        <v>12</v>
      </c>
      <c r="AQ28" s="621">
        <f t="shared" si="223"/>
        <v>2080000000</v>
      </c>
      <c r="AR28" s="621">
        <f t="shared" si="224"/>
        <v>2080000000</v>
      </c>
      <c r="AS28" s="621">
        <f t="shared" si="225"/>
        <v>173333333.33333334</v>
      </c>
      <c r="AT28" s="224"/>
      <c r="AU28" s="621">
        <v>12</v>
      </c>
      <c r="AV28" s="621">
        <f t="shared" si="226"/>
        <v>2080000000</v>
      </c>
      <c r="AW28" s="621">
        <f t="shared" si="227"/>
        <v>2080000000</v>
      </c>
      <c r="AX28" s="621">
        <f t="shared" si="228"/>
        <v>173333333.33333334</v>
      </c>
      <c r="AY28" s="224"/>
      <c r="AZ28" s="621">
        <v>12</v>
      </c>
      <c r="BA28" s="621">
        <f t="shared" si="229"/>
        <v>2080000000</v>
      </c>
      <c r="BB28" s="621">
        <f t="shared" si="230"/>
        <v>2080000000</v>
      </c>
      <c r="BC28" s="621">
        <f t="shared" si="231"/>
        <v>173333333.33333334</v>
      </c>
      <c r="BD28" s="224"/>
      <c r="BF28" t="s">
        <v>547</v>
      </c>
      <c r="BG28" s="142" t="s">
        <v>337</v>
      </c>
      <c r="BI28" s="143">
        <f t="shared" si="232"/>
        <v>173333333.33333334</v>
      </c>
      <c r="BJ28" s="143">
        <f t="shared" si="232"/>
        <v>173333333.33333334</v>
      </c>
      <c r="BK28" s="143">
        <f t="shared" si="232"/>
        <v>173333333.33333334</v>
      </c>
      <c r="BL28" s="143">
        <f t="shared" si="232"/>
        <v>173333333.33333334</v>
      </c>
      <c r="BM28" s="143">
        <f t="shared" si="232"/>
        <v>173333333.33333334</v>
      </c>
      <c r="BN28" s="143">
        <f t="shared" si="232"/>
        <v>173333333.33333334</v>
      </c>
      <c r="BO28" s="143">
        <f t="shared" si="232"/>
        <v>173333333.33333334</v>
      </c>
      <c r="BP28" s="143">
        <f t="shared" si="232"/>
        <v>173333333.33333334</v>
      </c>
      <c r="BQ28" s="143">
        <f t="shared" si="232"/>
        <v>173333333.33333334</v>
      </c>
      <c r="BR28" s="143">
        <f t="shared" si="232"/>
        <v>173333333.33333334</v>
      </c>
      <c r="BS28" s="143">
        <f t="shared" si="232"/>
        <v>173333333.33333334</v>
      </c>
      <c r="BT28" s="143">
        <f t="shared" si="232"/>
        <v>173333333.33333334</v>
      </c>
      <c r="BU28" s="143">
        <f t="shared" si="232"/>
        <v>0</v>
      </c>
      <c r="BV28" s="143">
        <f t="shared" si="232"/>
        <v>0</v>
      </c>
      <c r="BW28" s="143">
        <f t="shared" si="232"/>
        <v>0</v>
      </c>
      <c r="BX28" s="143">
        <f t="shared" si="232"/>
        <v>0</v>
      </c>
      <c r="BY28" s="143">
        <f t="shared" si="233"/>
        <v>0</v>
      </c>
      <c r="BZ28" s="143">
        <f t="shared" si="233"/>
        <v>0</v>
      </c>
      <c r="CA28" s="143">
        <f t="shared" si="233"/>
        <v>0</v>
      </c>
      <c r="CB28" s="143">
        <f t="shared" si="233"/>
        <v>0</v>
      </c>
      <c r="CC28" s="143">
        <f t="shared" si="233"/>
        <v>0</v>
      </c>
      <c r="CD28" s="143">
        <f t="shared" si="233"/>
        <v>0</v>
      </c>
      <c r="CE28" s="143">
        <f t="shared" si="233"/>
        <v>0</v>
      </c>
      <c r="CF28" s="143">
        <f t="shared" si="233"/>
        <v>0</v>
      </c>
      <c r="CG28" s="143">
        <f t="shared" si="233"/>
        <v>0</v>
      </c>
      <c r="CH28" s="143">
        <f t="shared" si="233"/>
        <v>0</v>
      </c>
      <c r="CI28" s="143">
        <f t="shared" si="233"/>
        <v>0</v>
      </c>
      <c r="CJ28" s="143">
        <f t="shared" si="233"/>
        <v>0</v>
      </c>
      <c r="CK28" s="143">
        <f t="shared" si="233"/>
        <v>0</v>
      </c>
      <c r="CL28" s="143">
        <f t="shared" si="233"/>
        <v>0</v>
      </c>
      <c r="CN28" s="143">
        <f t="shared" si="234"/>
        <v>173333333.33333334</v>
      </c>
      <c r="CO28" s="143">
        <f t="shared" si="234"/>
        <v>173333333.33333334</v>
      </c>
      <c r="CP28" s="143">
        <f t="shared" si="234"/>
        <v>173333333.33333334</v>
      </c>
      <c r="CQ28" s="143">
        <f t="shared" si="234"/>
        <v>173333333.33333334</v>
      </c>
      <c r="CR28" s="143">
        <f t="shared" si="234"/>
        <v>173333333.33333334</v>
      </c>
      <c r="CS28" s="143">
        <f t="shared" si="234"/>
        <v>173333333.33333334</v>
      </c>
      <c r="CT28" s="143">
        <f t="shared" si="234"/>
        <v>173333333.33333334</v>
      </c>
      <c r="CU28" s="143">
        <f t="shared" si="234"/>
        <v>173333333.33333334</v>
      </c>
      <c r="CV28" s="143">
        <f t="shared" si="234"/>
        <v>173333333.33333334</v>
      </c>
      <c r="CW28" s="143">
        <f t="shared" si="234"/>
        <v>173333333.33333334</v>
      </c>
      <c r="CX28" s="143">
        <f t="shared" si="234"/>
        <v>173333333.33333334</v>
      </c>
      <c r="CY28" s="143">
        <f t="shared" si="234"/>
        <v>173333333.33333334</v>
      </c>
      <c r="CZ28" s="143">
        <f t="shared" si="234"/>
        <v>0</v>
      </c>
      <c r="DA28" s="143">
        <f t="shared" si="234"/>
        <v>0</v>
      </c>
      <c r="DB28" s="143">
        <f t="shared" si="234"/>
        <v>0</v>
      </c>
      <c r="DC28" s="143">
        <f t="shared" si="234"/>
        <v>0</v>
      </c>
      <c r="DD28" s="143">
        <f t="shared" si="235"/>
        <v>0</v>
      </c>
      <c r="DE28" s="143">
        <f t="shared" si="235"/>
        <v>0</v>
      </c>
      <c r="DF28" s="143">
        <f t="shared" si="235"/>
        <v>0</v>
      </c>
      <c r="DG28" s="143">
        <f t="shared" si="235"/>
        <v>0</v>
      </c>
      <c r="DH28" s="143">
        <f t="shared" si="235"/>
        <v>0</v>
      </c>
      <c r="DI28" s="143">
        <f t="shared" si="235"/>
        <v>0</v>
      </c>
      <c r="DJ28" s="143">
        <f t="shared" si="235"/>
        <v>0</v>
      </c>
      <c r="DK28" s="143">
        <f t="shared" si="235"/>
        <v>0</v>
      </c>
      <c r="DL28" s="143">
        <f t="shared" si="235"/>
        <v>0</v>
      </c>
      <c r="DM28" s="143">
        <f t="shared" si="235"/>
        <v>0</v>
      </c>
      <c r="DN28" s="143">
        <f t="shared" si="235"/>
        <v>0</v>
      </c>
      <c r="DO28" s="143">
        <f t="shared" si="235"/>
        <v>0</v>
      </c>
      <c r="DP28" s="143">
        <f t="shared" si="235"/>
        <v>0</v>
      </c>
      <c r="DQ28" s="143">
        <f t="shared" si="235"/>
        <v>0</v>
      </c>
      <c r="DS28" s="143">
        <f t="shared" si="236"/>
        <v>173333333.33333334</v>
      </c>
      <c r="DT28" s="143">
        <f t="shared" si="236"/>
        <v>173333333.33333334</v>
      </c>
      <c r="DU28" s="143">
        <f t="shared" si="236"/>
        <v>173333333.33333334</v>
      </c>
      <c r="DV28" s="143">
        <f t="shared" si="236"/>
        <v>173333333.33333334</v>
      </c>
      <c r="DW28" s="143">
        <f t="shared" si="236"/>
        <v>173333333.33333334</v>
      </c>
      <c r="DX28" s="143">
        <f t="shared" si="236"/>
        <v>173333333.33333334</v>
      </c>
      <c r="DY28" s="143">
        <f t="shared" si="236"/>
        <v>173333333.33333334</v>
      </c>
      <c r="DZ28" s="143">
        <f t="shared" si="236"/>
        <v>173333333.33333334</v>
      </c>
      <c r="EA28" s="143">
        <f t="shared" si="236"/>
        <v>173333333.33333334</v>
      </c>
      <c r="EB28" s="143">
        <f t="shared" si="236"/>
        <v>173333333.33333334</v>
      </c>
      <c r="EC28" s="143">
        <f t="shared" si="236"/>
        <v>173333333.33333334</v>
      </c>
      <c r="ED28" s="143">
        <f t="shared" si="236"/>
        <v>173333333.33333334</v>
      </c>
      <c r="EE28" s="143">
        <f t="shared" si="236"/>
        <v>0</v>
      </c>
      <c r="EF28" s="143">
        <f t="shared" si="236"/>
        <v>0</v>
      </c>
      <c r="EG28" s="143">
        <f t="shared" si="236"/>
        <v>0</v>
      </c>
      <c r="EH28" s="143">
        <f t="shared" si="236"/>
        <v>0</v>
      </c>
      <c r="EI28" s="143">
        <f t="shared" si="237"/>
        <v>0</v>
      </c>
      <c r="EJ28" s="143">
        <f t="shared" si="237"/>
        <v>0</v>
      </c>
      <c r="EK28" s="143">
        <f t="shared" si="237"/>
        <v>0</v>
      </c>
      <c r="EL28" s="143">
        <f t="shared" si="237"/>
        <v>0</v>
      </c>
      <c r="EM28" s="143">
        <f t="shared" si="237"/>
        <v>0</v>
      </c>
      <c r="EN28" s="143">
        <f t="shared" si="237"/>
        <v>0</v>
      </c>
      <c r="EO28" s="143">
        <f t="shared" si="237"/>
        <v>0</v>
      </c>
      <c r="EP28" s="143">
        <f t="shared" si="237"/>
        <v>0</v>
      </c>
      <c r="EQ28" s="143">
        <f t="shared" si="237"/>
        <v>0</v>
      </c>
      <c r="ER28" s="143">
        <f t="shared" si="237"/>
        <v>0</v>
      </c>
      <c r="ES28" s="143">
        <f t="shared" si="237"/>
        <v>0</v>
      </c>
      <c r="ET28" s="143">
        <f t="shared" si="237"/>
        <v>0</v>
      </c>
      <c r="EU28" s="143">
        <f t="shared" si="237"/>
        <v>0</v>
      </c>
      <c r="EV28" s="143">
        <f t="shared" si="237"/>
        <v>0</v>
      </c>
      <c r="EX28" s="143">
        <f t="shared" si="238"/>
        <v>173333333.33333334</v>
      </c>
      <c r="EY28" s="143">
        <f t="shared" si="238"/>
        <v>173333333.33333334</v>
      </c>
      <c r="EZ28" s="143">
        <f t="shared" si="238"/>
        <v>173333333.33333334</v>
      </c>
      <c r="FA28" s="143">
        <f t="shared" si="238"/>
        <v>173333333.33333334</v>
      </c>
      <c r="FB28" s="143">
        <f t="shared" si="238"/>
        <v>173333333.33333334</v>
      </c>
      <c r="FC28" s="143">
        <f t="shared" si="238"/>
        <v>173333333.33333334</v>
      </c>
      <c r="FD28" s="143">
        <f t="shared" si="238"/>
        <v>173333333.33333334</v>
      </c>
      <c r="FE28" s="143">
        <f t="shared" si="238"/>
        <v>173333333.33333334</v>
      </c>
      <c r="FF28" s="143">
        <f t="shared" si="238"/>
        <v>173333333.33333334</v>
      </c>
      <c r="FG28" s="143">
        <f t="shared" si="238"/>
        <v>173333333.33333334</v>
      </c>
      <c r="FH28" s="143">
        <f t="shared" si="238"/>
        <v>173333333.33333334</v>
      </c>
      <c r="FI28" s="143">
        <f t="shared" si="238"/>
        <v>173333333.33333334</v>
      </c>
      <c r="FJ28" s="143">
        <f t="shared" si="238"/>
        <v>0</v>
      </c>
      <c r="FK28" s="143">
        <f t="shared" si="238"/>
        <v>0</v>
      </c>
      <c r="FL28" s="143">
        <f t="shared" si="238"/>
        <v>0</v>
      </c>
      <c r="FM28" s="143">
        <f t="shared" si="238"/>
        <v>0</v>
      </c>
      <c r="FN28" s="143">
        <f t="shared" si="239"/>
        <v>0</v>
      </c>
      <c r="FO28" s="143">
        <f t="shared" si="239"/>
        <v>0</v>
      </c>
      <c r="FP28" s="143">
        <f t="shared" si="239"/>
        <v>0</v>
      </c>
      <c r="FQ28" s="143">
        <f t="shared" si="239"/>
        <v>0</v>
      </c>
      <c r="FR28" s="143">
        <f t="shared" si="239"/>
        <v>0</v>
      </c>
      <c r="FS28" s="143">
        <f t="shared" si="239"/>
        <v>0</v>
      </c>
      <c r="FT28" s="143">
        <f t="shared" si="239"/>
        <v>0</v>
      </c>
      <c r="FU28" s="143">
        <f t="shared" si="239"/>
        <v>0</v>
      </c>
      <c r="FV28" s="143">
        <f t="shared" si="239"/>
        <v>0</v>
      </c>
      <c r="FW28" s="143">
        <f t="shared" si="239"/>
        <v>0</v>
      </c>
      <c r="FX28" s="143">
        <f t="shared" si="239"/>
        <v>0</v>
      </c>
      <c r="FY28" s="143">
        <f t="shared" si="239"/>
        <v>0</v>
      </c>
      <c r="FZ28" s="143">
        <f t="shared" si="239"/>
        <v>0</v>
      </c>
      <c r="GA28" s="143">
        <f t="shared" si="239"/>
        <v>0</v>
      </c>
      <c r="GC28" s="143">
        <f t="shared" si="240"/>
        <v>173333333.33333334</v>
      </c>
      <c r="GD28" s="143">
        <f t="shared" si="240"/>
        <v>173333333.33333334</v>
      </c>
      <c r="GE28" s="143">
        <f t="shared" si="240"/>
        <v>173333333.33333334</v>
      </c>
      <c r="GF28" s="143">
        <f t="shared" si="240"/>
        <v>173333333.33333334</v>
      </c>
      <c r="GG28" s="143">
        <f t="shared" si="240"/>
        <v>173333333.33333334</v>
      </c>
      <c r="GH28" s="143">
        <f t="shared" si="240"/>
        <v>173333333.33333334</v>
      </c>
      <c r="GI28" s="143">
        <f t="shared" si="240"/>
        <v>173333333.33333334</v>
      </c>
      <c r="GJ28" s="143">
        <f t="shared" si="240"/>
        <v>173333333.33333334</v>
      </c>
      <c r="GK28" s="143">
        <f t="shared" si="240"/>
        <v>173333333.33333334</v>
      </c>
      <c r="GL28" s="143">
        <f t="shared" si="240"/>
        <v>173333333.33333334</v>
      </c>
      <c r="GM28" s="143">
        <f t="shared" si="240"/>
        <v>173333333.33333334</v>
      </c>
      <c r="GN28" s="143">
        <f t="shared" si="240"/>
        <v>173333333.33333334</v>
      </c>
      <c r="GO28" s="143">
        <f t="shared" si="240"/>
        <v>0</v>
      </c>
      <c r="GP28" s="143">
        <f t="shared" si="240"/>
        <v>0</v>
      </c>
      <c r="GQ28" s="143">
        <f t="shared" si="240"/>
        <v>0</v>
      </c>
      <c r="GR28" s="143">
        <f t="shared" si="240"/>
        <v>0</v>
      </c>
      <c r="GS28" s="143">
        <f t="shared" si="241"/>
        <v>0</v>
      </c>
      <c r="GT28" s="143">
        <f t="shared" si="241"/>
        <v>0</v>
      </c>
      <c r="GU28" s="143">
        <f t="shared" si="241"/>
        <v>0</v>
      </c>
      <c r="GV28" s="143">
        <f t="shared" si="241"/>
        <v>0</v>
      </c>
      <c r="GW28" s="143">
        <f t="shared" si="241"/>
        <v>0</v>
      </c>
      <c r="GX28" s="143">
        <f t="shared" si="241"/>
        <v>0</v>
      </c>
      <c r="GY28" s="143">
        <f t="shared" si="241"/>
        <v>0</v>
      </c>
      <c r="GZ28" s="143">
        <f t="shared" si="241"/>
        <v>0</v>
      </c>
      <c r="HA28" s="143">
        <f t="shared" si="241"/>
        <v>0</v>
      </c>
      <c r="HB28" s="143">
        <f t="shared" si="241"/>
        <v>0</v>
      </c>
      <c r="HC28" s="143">
        <f t="shared" si="241"/>
        <v>0</v>
      </c>
      <c r="HD28" s="143">
        <f t="shared" si="241"/>
        <v>0</v>
      </c>
      <c r="HE28" s="143">
        <f t="shared" si="241"/>
        <v>0</v>
      </c>
      <c r="HF28" s="143">
        <f t="shared" si="241"/>
        <v>0</v>
      </c>
      <c r="HH28" s="143">
        <f t="shared" si="242"/>
        <v>173333333.33333334</v>
      </c>
      <c r="HI28" s="143">
        <f t="shared" si="242"/>
        <v>173333333.33333334</v>
      </c>
      <c r="HJ28" s="143">
        <f t="shared" si="242"/>
        <v>173333333.33333334</v>
      </c>
      <c r="HK28" s="143">
        <f t="shared" si="242"/>
        <v>173333333.33333334</v>
      </c>
      <c r="HL28" s="143">
        <f t="shared" si="242"/>
        <v>173333333.33333334</v>
      </c>
      <c r="HM28" s="143">
        <f t="shared" si="242"/>
        <v>173333333.33333334</v>
      </c>
      <c r="HN28" s="143">
        <f t="shared" si="242"/>
        <v>173333333.33333334</v>
      </c>
      <c r="HO28" s="143">
        <f t="shared" si="242"/>
        <v>173333333.33333334</v>
      </c>
      <c r="HP28" s="143">
        <f t="shared" si="242"/>
        <v>173333333.33333334</v>
      </c>
      <c r="HQ28" s="143">
        <f t="shared" si="242"/>
        <v>173333333.33333334</v>
      </c>
      <c r="HR28" s="143">
        <f t="shared" si="242"/>
        <v>173333333.33333334</v>
      </c>
      <c r="HS28" s="143">
        <f t="shared" si="242"/>
        <v>173333333.33333334</v>
      </c>
      <c r="HT28" s="143">
        <f t="shared" si="242"/>
        <v>0</v>
      </c>
      <c r="HU28" s="143">
        <f t="shared" si="242"/>
        <v>0</v>
      </c>
      <c r="HV28" s="143">
        <f t="shared" si="242"/>
        <v>0</v>
      </c>
      <c r="HW28" s="143">
        <f t="shared" si="242"/>
        <v>0</v>
      </c>
      <c r="HX28" s="143">
        <f t="shared" si="243"/>
        <v>0</v>
      </c>
      <c r="HY28" s="143">
        <f t="shared" si="243"/>
        <v>0</v>
      </c>
      <c r="HZ28" s="143">
        <f t="shared" si="243"/>
        <v>0</v>
      </c>
      <c r="IA28" s="143">
        <f t="shared" si="243"/>
        <v>0</v>
      </c>
      <c r="IB28" s="143">
        <f t="shared" si="243"/>
        <v>0</v>
      </c>
      <c r="IC28" s="143">
        <f t="shared" si="243"/>
        <v>0</v>
      </c>
      <c r="ID28" s="143">
        <f t="shared" si="243"/>
        <v>0</v>
      </c>
      <c r="IE28" s="143">
        <f t="shared" si="243"/>
        <v>0</v>
      </c>
      <c r="IF28" s="143">
        <f t="shared" si="243"/>
        <v>0</v>
      </c>
      <c r="IG28" s="143">
        <f t="shared" si="243"/>
        <v>0</v>
      </c>
      <c r="IH28" s="143">
        <f t="shared" si="243"/>
        <v>0</v>
      </c>
      <c r="II28" s="143">
        <f t="shared" si="243"/>
        <v>0</v>
      </c>
      <c r="IJ28" s="143">
        <f t="shared" si="243"/>
        <v>0</v>
      </c>
      <c r="IK28" s="143">
        <f t="shared" si="243"/>
        <v>0</v>
      </c>
      <c r="IM28" s="143">
        <f t="shared" si="244"/>
        <v>173333333.33333334</v>
      </c>
      <c r="IN28" s="143">
        <f t="shared" si="244"/>
        <v>173333333.33333334</v>
      </c>
      <c r="IO28" s="143">
        <f t="shared" si="244"/>
        <v>173333333.33333334</v>
      </c>
      <c r="IP28" s="143">
        <f t="shared" si="244"/>
        <v>173333333.33333334</v>
      </c>
      <c r="IQ28" s="143">
        <f t="shared" si="244"/>
        <v>173333333.33333334</v>
      </c>
      <c r="IR28" s="143">
        <f t="shared" si="244"/>
        <v>173333333.33333334</v>
      </c>
      <c r="IS28" s="143">
        <f t="shared" si="244"/>
        <v>173333333.33333334</v>
      </c>
      <c r="IT28" s="143">
        <f t="shared" si="244"/>
        <v>173333333.33333334</v>
      </c>
      <c r="IU28" s="143">
        <f t="shared" si="244"/>
        <v>173333333.33333334</v>
      </c>
      <c r="IV28" s="143">
        <f t="shared" si="244"/>
        <v>173333333.33333334</v>
      </c>
      <c r="IW28" s="143">
        <f t="shared" si="244"/>
        <v>173333333.33333334</v>
      </c>
      <c r="IX28" s="143">
        <f t="shared" si="244"/>
        <v>173333333.33333334</v>
      </c>
      <c r="IY28" s="143">
        <f t="shared" si="244"/>
        <v>0</v>
      </c>
      <c r="IZ28" s="143">
        <f t="shared" si="244"/>
        <v>0</v>
      </c>
      <c r="JA28" s="143">
        <f t="shared" si="244"/>
        <v>0</v>
      </c>
      <c r="JB28" s="143">
        <f t="shared" si="244"/>
        <v>0</v>
      </c>
      <c r="JC28" s="143">
        <f t="shared" si="245"/>
        <v>0</v>
      </c>
      <c r="JD28" s="143">
        <f t="shared" si="245"/>
        <v>0</v>
      </c>
      <c r="JE28" s="143">
        <f t="shared" si="245"/>
        <v>0</v>
      </c>
      <c r="JF28" s="143">
        <f t="shared" si="245"/>
        <v>0</v>
      </c>
      <c r="JG28" s="143">
        <f t="shared" si="245"/>
        <v>0</v>
      </c>
      <c r="JH28" s="143">
        <f t="shared" si="245"/>
        <v>0</v>
      </c>
      <c r="JI28" s="143">
        <f t="shared" si="245"/>
        <v>0</v>
      </c>
      <c r="JJ28" s="143">
        <f t="shared" si="245"/>
        <v>0</v>
      </c>
      <c r="JK28" s="143">
        <f t="shared" si="245"/>
        <v>0</v>
      </c>
      <c r="JL28" s="143">
        <f t="shared" si="245"/>
        <v>0</v>
      </c>
      <c r="JM28" s="143">
        <f t="shared" si="245"/>
        <v>0</v>
      </c>
      <c r="JN28" s="143">
        <f t="shared" si="245"/>
        <v>0</v>
      </c>
      <c r="JO28" s="143">
        <f t="shared" si="245"/>
        <v>0</v>
      </c>
      <c r="JP28" s="143">
        <f t="shared" si="245"/>
        <v>0</v>
      </c>
      <c r="JR28" s="143">
        <f t="shared" si="246"/>
        <v>173333333.33333334</v>
      </c>
      <c r="JS28" s="143">
        <f t="shared" si="246"/>
        <v>173333333.33333334</v>
      </c>
      <c r="JT28" s="143">
        <f t="shared" si="246"/>
        <v>173333333.33333334</v>
      </c>
      <c r="JU28" s="143">
        <f t="shared" si="246"/>
        <v>173333333.33333334</v>
      </c>
      <c r="JV28" s="143">
        <f t="shared" si="246"/>
        <v>173333333.33333334</v>
      </c>
      <c r="JW28" s="143">
        <f t="shared" si="246"/>
        <v>173333333.33333334</v>
      </c>
      <c r="JX28" s="143">
        <f t="shared" si="246"/>
        <v>173333333.33333334</v>
      </c>
      <c r="JY28" s="143">
        <f t="shared" si="246"/>
        <v>173333333.33333334</v>
      </c>
      <c r="JZ28" s="143">
        <f t="shared" si="246"/>
        <v>173333333.33333334</v>
      </c>
      <c r="KA28" s="143">
        <f t="shared" si="246"/>
        <v>173333333.33333334</v>
      </c>
      <c r="KB28" s="143">
        <f t="shared" si="246"/>
        <v>173333333.33333334</v>
      </c>
      <c r="KC28" s="143">
        <f t="shared" si="246"/>
        <v>173333333.33333334</v>
      </c>
      <c r="KD28" s="143">
        <f t="shared" si="246"/>
        <v>0</v>
      </c>
      <c r="KE28" s="143">
        <f t="shared" si="246"/>
        <v>0</v>
      </c>
      <c r="KF28" s="143">
        <f t="shared" si="246"/>
        <v>0</v>
      </c>
      <c r="KG28" s="143">
        <f t="shared" si="246"/>
        <v>0</v>
      </c>
      <c r="KH28" s="143">
        <f t="shared" si="247"/>
        <v>0</v>
      </c>
      <c r="KI28" s="143">
        <f t="shared" si="247"/>
        <v>0</v>
      </c>
      <c r="KJ28" s="143">
        <f t="shared" si="247"/>
        <v>0</v>
      </c>
      <c r="KK28" s="143">
        <f t="shared" si="247"/>
        <v>0</v>
      </c>
      <c r="KL28" s="143">
        <f t="shared" si="247"/>
        <v>0</v>
      </c>
      <c r="KM28" s="143">
        <f t="shared" si="247"/>
        <v>0</v>
      </c>
      <c r="KN28" s="143">
        <f t="shared" si="247"/>
        <v>0</v>
      </c>
      <c r="KO28" s="143">
        <f t="shared" si="247"/>
        <v>0</v>
      </c>
      <c r="KP28" s="143">
        <f t="shared" si="247"/>
        <v>0</v>
      </c>
      <c r="KQ28" s="143">
        <f t="shared" si="247"/>
        <v>0</v>
      </c>
      <c r="KR28" s="143">
        <f t="shared" si="247"/>
        <v>0</v>
      </c>
      <c r="KS28" s="143">
        <f t="shared" si="247"/>
        <v>0</v>
      </c>
      <c r="KT28" s="143">
        <f t="shared" si="247"/>
        <v>0</v>
      </c>
      <c r="KU28" s="143">
        <f t="shared" si="247"/>
        <v>0</v>
      </c>
      <c r="KW28" s="143">
        <f t="shared" si="248"/>
        <v>173333333.33333334</v>
      </c>
      <c r="KX28" s="143">
        <f t="shared" si="248"/>
        <v>173333333.33333334</v>
      </c>
      <c r="KY28" s="143">
        <f t="shared" si="248"/>
        <v>173333333.33333334</v>
      </c>
      <c r="KZ28" s="143">
        <f t="shared" si="248"/>
        <v>173333333.33333334</v>
      </c>
      <c r="LA28" s="143">
        <f t="shared" si="248"/>
        <v>173333333.33333334</v>
      </c>
      <c r="LB28" s="143">
        <f t="shared" si="248"/>
        <v>173333333.33333334</v>
      </c>
      <c r="LC28" s="143">
        <f t="shared" si="248"/>
        <v>173333333.33333334</v>
      </c>
      <c r="LD28" s="143">
        <f t="shared" si="248"/>
        <v>173333333.33333334</v>
      </c>
      <c r="LE28" s="143">
        <f t="shared" si="248"/>
        <v>173333333.33333334</v>
      </c>
      <c r="LF28" s="143">
        <f t="shared" si="248"/>
        <v>173333333.33333334</v>
      </c>
      <c r="LG28" s="143">
        <f t="shared" si="248"/>
        <v>173333333.33333334</v>
      </c>
      <c r="LH28" s="143">
        <f t="shared" si="248"/>
        <v>173333333.33333334</v>
      </c>
      <c r="LI28" s="143">
        <f t="shared" si="248"/>
        <v>0</v>
      </c>
      <c r="LJ28" s="143">
        <f t="shared" si="248"/>
        <v>0</v>
      </c>
      <c r="LK28" s="143">
        <f t="shared" si="248"/>
        <v>0</v>
      </c>
      <c r="LL28" s="143">
        <f t="shared" si="248"/>
        <v>0</v>
      </c>
      <c r="LM28" s="143">
        <f t="shared" si="249"/>
        <v>0</v>
      </c>
      <c r="LN28" s="143">
        <f t="shared" si="249"/>
        <v>0</v>
      </c>
      <c r="LO28" s="143">
        <f t="shared" si="249"/>
        <v>0</v>
      </c>
      <c r="LP28" s="143">
        <f t="shared" si="249"/>
        <v>0</v>
      </c>
      <c r="LQ28" s="143">
        <f t="shared" si="249"/>
        <v>0</v>
      </c>
      <c r="LR28" s="143">
        <f t="shared" si="249"/>
        <v>0</v>
      </c>
      <c r="LS28" s="143">
        <f t="shared" si="249"/>
        <v>0</v>
      </c>
      <c r="LT28" s="143">
        <f t="shared" si="249"/>
        <v>0</v>
      </c>
      <c r="LU28" s="143">
        <f t="shared" si="249"/>
        <v>0</v>
      </c>
      <c r="LV28" s="143">
        <f t="shared" si="249"/>
        <v>0</v>
      </c>
      <c r="LW28" s="143">
        <f t="shared" si="249"/>
        <v>0</v>
      </c>
      <c r="LX28" s="143">
        <f t="shared" si="249"/>
        <v>0</v>
      </c>
      <c r="LY28" s="143">
        <f t="shared" si="249"/>
        <v>0</v>
      </c>
      <c r="LZ28" s="143">
        <f t="shared" si="249"/>
        <v>0</v>
      </c>
      <c r="MB28" s="143">
        <f t="shared" si="250"/>
        <v>173333333.33333334</v>
      </c>
      <c r="MC28" s="143">
        <f t="shared" si="250"/>
        <v>173333333.33333334</v>
      </c>
      <c r="MD28" s="143">
        <f t="shared" si="250"/>
        <v>173333333.33333334</v>
      </c>
      <c r="ME28" s="143">
        <f t="shared" si="250"/>
        <v>173333333.33333334</v>
      </c>
      <c r="MF28" s="143">
        <f t="shared" si="250"/>
        <v>173333333.33333334</v>
      </c>
      <c r="MG28" s="143">
        <f t="shared" si="250"/>
        <v>173333333.33333334</v>
      </c>
      <c r="MH28" s="143">
        <f t="shared" si="250"/>
        <v>173333333.33333334</v>
      </c>
      <c r="MI28" s="143">
        <f t="shared" si="250"/>
        <v>173333333.33333334</v>
      </c>
      <c r="MJ28" s="143">
        <f t="shared" si="250"/>
        <v>173333333.33333334</v>
      </c>
      <c r="MK28" s="143">
        <f t="shared" si="250"/>
        <v>173333333.33333334</v>
      </c>
      <c r="ML28" s="143">
        <f t="shared" si="250"/>
        <v>173333333.33333334</v>
      </c>
      <c r="MM28" s="143">
        <f t="shared" si="250"/>
        <v>173333333.33333334</v>
      </c>
      <c r="MN28" s="143">
        <f t="shared" si="250"/>
        <v>0</v>
      </c>
      <c r="MO28" s="143">
        <f t="shared" si="250"/>
        <v>0</v>
      </c>
      <c r="MP28" s="143">
        <f t="shared" si="250"/>
        <v>0</v>
      </c>
      <c r="MQ28" s="143">
        <f t="shared" si="250"/>
        <v>0</v>
      </c>
      <c r="MR28" s="143">
        <f t="shared" si="251"/>
        <v>0</v>
      </c>
      <c r="MS28" s="143">
        <f t="shared" si="251"/>
        <v>0</v>
      </c>
      <c r="MT28" s="143">
        <f t="shared" si="251"/>
        <v>0</v>
      </c>
      <c r="MU28" s="143">
        <f t="shared" si="251"/>
        <v>0</v>
      </c>
      <c r="MV28" s="143">
        <f t="shared" si="251"/>
        <v>0</v>
      </c>
      <c r="MW28" s="143">
        <f t="shared" si="251"/>
        <v>0</v>
      </c>
      <c r="MX28" s="143">
        <f t="shared" si="251"/>
        <v>0</v>
      </c>
      <c r="MY28" s="143">
        <f t="shared" si="251"/>
        <v>0</v>
      </c>
      <c r="MZ28" s="143">
        <f t="shared" si="251"/>
        <v>0</v>
      </c>
      <c r="NA28" s="143">
        <f t="shared" si="251"/>
        <v>0</v>
      </c>
      <c r="NB28" s="143">
        <f t="shared" si="251"/>
        <v>0</v>
      </c>
      <c r="NC28" s="143">
        <f t="shared" si="251"/>
        <v>0</v>
      </c>
      <c r="ND28" s="143">
        <f t="shared" si="251"/>
        <v>0</v>
      </c>
      <c r="NE28" s="143">
        <f t="shared" si="251"/>
        <v>0</v>
      </c>
    </row>
    <row r="29" spans="1:369" s="142" customFormat="1" outlineLevel="1" x14ac:dyDescent="0.25">
      <c r="B29" s="142" t="s">
        <v>346</v>
      </c>
      <c r="C29" s="618" t="s">
        <v>413</v>
      </c>
      <c r="D29" s="619" t="s">
        <v>365</v>
      </c>
      <c r="E29" s="620">
        <v>1</v>
      </c>
      <c r="F29" s="224"/>
      <c r="G29" s="621">
        <v>12</v>
      </c>
      <c r="H29" s="472">
        <f>(2000000000/$D$6)*1.04</f>
        <v>2080000000</v>
      </c>
      <c r="I29" s="621">
        <f t="shared" si="203"/>
        <v>2080000000</v>
      </c>
      <c r="J29" s="621">
        <f t="shared" si="204"/>
        <v>173333333.33333334</v>
      </c>
      <c r="K29" s="224"/>
      <c r="L29" s="621">
        <v>12</v>
      </c>
      <c r="M29" s="621">
        <f t="shared" si="205"/>
        <v>2080000000</v>
      </c>
      <c r="N29" s="621">
        <f t="shared" si="206"/>
        <v>2080000000</v>
      </c>
      <c r="O29" s="621">
        <f t="shared" si="207"/>
        <v>173333333.33333334</v>
      </c>
      <c r="P29" s="224"/>
      <c r="Q29" s="621">
        <v>12</v>
      </c>
      <c r="R29" s="621">
        <f t="shared" si="208"/>
        <v>2080000000</v>
      </c>
      <c r="S29" s="621">
        <f t="shared" si="209"/>
        <v>2080000000</v>
      </c>
      <c r="T29" s="621">
        <f t="shared" si="210"/>
        <v>173333333.33333334</v>
      </c>
      <c r="U29" s="224"/>
      <c r="V29" s="621">
        <v>12</v>
      </c>
      <c r="W29" s="621">
        <f t="shared" si="211"/>
        <v>2080000000</v>
      </c>
      <c r="X29" s="621">
        <f t="shared" si="212"/>
        <v>2080000000</v>
      </c>
      <c r="Y29" s="621">
        <f t="shared" si="213"/>
        <v>173333333.33333334</v>
      </c>
      <c r="Z29" s="224"/>
      <c r="AA29" s="621">
        <v>12</v>
      </c>
      <c r="AB29" s="621">
        <f t="shared" si="214"/>
        <v>2080000000</v>
      </c>
      <c r="AC29" s="621">
        <f t="shared" si="215"/>
        <v>2080000000</v>
      </c>
      <c r="AD29" s="621">
        <f t="shared" si="216"/>
        <v>173333333.33333334</v>
      </c>
      <c r="AE29" s="224"/>
      <c r="AF29" s="621">
        <v>12</v>
      </c>
      <c r="AG29" s="621">
        <f t="shared" si="217"/>
        <v>2080000000</v>
      </c>
      <c r="AH29" s="621">
        <f t="shared" si="218"/>
        <v>2080000000</v>
      </c>
      <c r="AI29" s="621">
        <f t="shared" si="219"/>
        <v>173333333.33333334</v>
      </c>
      <c r="AJ29" s="224"/>
      <c r="AK29" s="621">
        <v>12</v>
      </c>
      <c r="AL29" s="621">
        <f t="shared" si="220"/>
        <v>2080000000</v>
      </c>
      <c r="AM29" s="621">
        <f t="shared" si="221"/>
        <v>2080000000</v>
      </c>
      <c r="AN29" s="621">
        <f t="shared" si="222"/>
        <v>173333333.33333334</v>
      </c>
      <c r="AO29" s="224"/>
      <c r="AP29" s="621">
        <v>12</v>
      </c>
      <c r="AQ29" s="621">
        <f t="shared" si="223"/>
        <v>2080000000</v>
      </c>
      <c r="AR29" s="621">
        <f t="shared" si="224"/>
        <v>2080000000</v>
      </c>
      <c r="AS29" s="621">
        <f t="shared" si="225"/>
        <v>173333333.33333334</v>
      </c>
      <c r="AT29" s="224"/>
      <c r="AU29" s="621">
        <v>12</v>
      </c>
      <c r="AV29" s="621">
        <f t="shared" si="226"/>
        <v>2080000000</v>
      </c>
      <c r="AW29" s="621">
        <f t="shared" si="227"/>
        <v>2080000000</v>
      </c>
      <c r="AX29" s="621">
        <f t="shared" si="228"/>
        <v>173333333.33333334</v>
      </c>
      <c r="AY29" s="224"/>
      <c r="AZ29" s="621">
        <v>12</v>
      </c>
      <c r="BA29" s="621">
        <f t="shared" si="229"/>
        <v>2080000000</v>
      </c>
      <c r="BB29" s="621">
        <f t="shared" si="230"/>
        <v>2080000000</v>
      </c>
      <c r="BC29" s="621">
        <f t="shared" si="231"/>
        <v>173333333.33333334</v>
      </c>
      <c r="BD29" s="224"/>
      <c r="BF29" t="s">
        <v>547</v>
      </c>
      <c r="BG29" s="142" t="s">
        <v>337</v>
      </c>
      <c r="BI29" s="143">
        <f t="shared" si="232"/>
        <v>173333333.33333334</v>
      </c>
      <c r="BJ29" s="143">
        <f t="shared" si="232"/>
        <v>173333333.33333334</v>
      </c>
      <c r="BK29" s="143">
        <f t="shared" si="232"/>
        <v>173333333.33333334</v>
      </c>
      <c r="BL29" s="143">
        <f t="shared" si="232"/>
        <v>173333333.33333334</v>
      </c>
      <c r="BM29" s="143">
        <f t="shared" si="232"/>
        <v>173333333.33333334</v>
      </c>
      <c r="BN29" s="143">
        <f t="shared" si="232"/>
        <v>173333333.33333334</v>
      </c>
      <c r="BO29" s="143">
        <f t="shared" si="232"/>
        <v>173333333.33333334</v>
      </c>
      <c r="BP29" s="143">
        <f t="shared" si="232"/>
        <v>173333333.33333334</v>
      </c>
      <c r="BQ29" s="143">
        <f t="shared" si="232"/>
        <v>173333333.33333334</v>
      </c>
      <c r="BR29" s="143">
        <f t="shared" si="232"/>
        <v>173333333.33333334</v>
      </c>
      <c r="BS29" s="143">
        <f t="shared" si="232"/>
        <v>173333333.33333334</v>
      </c>
      <c r="BT29" s="143">
        <f t="shared" si="232"/>
        <v>173333333.33333334</v>
      </c>
      <c r="BU29" s="143">
        <f t="shared" si="232"/>
        <v>0</v>
      </c>
      <c r="BV29" s="143">
        <f t="shared" si="232"/>
        <v>0</v>
      </c>
      <c r="BW29" s="143">
        <f t="shared" si="232"/>
        <v>0</v>
      </c>
      <c r="BX29" s="143">
        <f t="shared" si="232"/>
        <v>0</v>
      </c>
      <c r="BY29" s="143">
        <f t="shared" si="233"/>
        <v>0</v>
      </c>
      <c r="BZ29" s="143">
        <f t="shared" si="233"/>
        <v>0</v>
      </c>
      <c r="CA29" s="143">
        <f t="shared" si="233"/>
        <v>0</v>
      </c>
      <c r="CB29" s="143">
        <f t="shared" si="233"/>
        <v>0</v>
      </c>
      <c r="CC29" s="143">
        <f t="shared" si="233"/>
        <v>0</v>
      </c>
      <c r="CD29" s="143">
        <f t="shared" si="233"/>
        <v>0</v>
      </c>
      <c r="CE29" s="143">
        <f t="shared" si="233"/>
        <v>0</v>
      </c>
      <c r="CF29" s="143">
        <f t="shared" si="233"/>
        <v>0</v>
      </c>
      <c r="CG29" s="143">
        <f t="shared" si="233"/>
        <v>0</v>
      </c>
      <c r="CH29" s="143">
        <f t="shared" si="233"/>
        <v>0</v>
      </c>
      <c r="CI29" s="143">
        <f t="shared" si="233"/>
        <v>0</v>
      </c>
      <c r="CJ29" s="143">
        <f t="shared" si="233"/>
        <v>0</v>
      </c>
      <c r="CK29" s="143">
        <f t="shared" si="233"/>
        <v>0</v>
      </c>
      <c r="CL29" s="143">
        <f t="shared" si="233"/>
        <v>0</v>
      </c>
      <c r="CN29" s="143">
        <f t="shared" si="234"/>
        <v>173333333.33333334</v>
      </c>
      <c r="CO29" s="143">
        <f t="shared" si="234"/>
        <v>173333333.33333334</v>
      </c>
      <c r="CP29" s="143">
        <f t="shared" si="234"/>
        <v>173333333.33333334</v>
      </c>
      <c r="CQ29" s="143">
        <f t="shared" si="234"/>
        <v>173333333.33333334</v>
      </c>
      <c r="CR29" s="143">
        <f t="shared" si="234"/>
        <v>173333333.33333334</v>
      </c>
      <c r="CS29" s="143">
        <f t="shared" si="234"/>
        <v>173333333.33333334</v>
      </c>
      <c r="CT29" s="143">
        <f t="shared" si="234"/>
        <v>173333333.33333334</v>
      </c>
      <c r="CU29" s="143">
        <f t="shared" si="234"/>
        <v>173333333.33333334</v>
      </c>
      <c r="CV29" s="143">
        <f t="shared" si="234"/>
        <v>173333333.33333334</v>
      </c>
      <c r="CW29" s="143">
        <f t="shared" si="234"/>
        <v>173333333.33333334</v>
      </c>
      <c r="CX29" s="143">
        <f t="shared" si="234"/>
        <v>173333333.33333334</v>
      </c>
      <c r="CY29" s="143">
        <f t="shared" si="234"/>
        <v>173333333.33333334</v>
      </c>
      <c r="CZ29" s="143">
        <f t="shared" si="234"/>
        <v>0</v>
      </c>
      <c r="DA29" s="143">
        <f t="shared" si="234"/>
        <v>0</v>
      </c>
      <c r="DB29" s="143">
        <f t="shared" si="234"/>
        <v>0</v>
      </c>
      <c r="DC29" s="143">
        <f t="shared" si="234"/>
        <v>0</v>
      </c>
      <c r="DD29" s="143">
        <f t="shared" si="235"/>
        <v>0</v>
      </c>
      <c r="DE29" s="143">
        <f t="shared" si="235"/>
        <v>0</v>
      </c>
      <c r="DF29" s="143">
        <f t="shared" si="235"/>
        <v>0</v>
      </c>
      <c r="DG29" s="143">
        <f t="shared" si="235"/>
        <v>0</v>
      </c>
      <c r="DH29" s="143">
        <f t="shared" si="235"/>
        <v>0</v>
      </c>
      <c r="DI29" s="143">
        <f t="shared" si="235"/>
        <v>0</v>
      </c>
      <c r="DJ29" s="143">
        <f t="shared" si="235"/>
        <v>0</v>
      </c>
      <c r="DK29" s="143">
        <f t="shared" si="235"/>
        <v>0</v>
      </c>
      <c r="DL29" s="143">
        <f t="shared" si="235"/>
        <v>0</v>
      </c>
      <c r="DM29" s="143">
        <f t="shared" si="235"/>
        <v>0</v>
      </c>
      <c r="DN29" s="143">
        <f t="shared" si="235"/>
        <v>0</v>
      </c>
      <c r="DO29" s="143">
        <f t="shared" si="235"/>
        <v>0</v>
      </c>
      <c r="DP29" s="143">
        <f t="shared" si="235"/>
        <v>0</v>
      </c>
      <c r="DQ29" s="143">
        <f t="shared" si="235"/>
        <v>0</v>
      </c>
      <c r="DS29" s="143">
        <f t="shared" si="236"/>
        <v>173333333.33333334</v>
      </c>
      <c r="DT29" s="143">
        <f t="shared" si="236"/>
        <v>173333333.33333334</v>
      </c>
      <c r="DU29" s="143">
        <f t="shared" si="236"/>
        <v>173333333.33333334</v>
      </c>
      <c r="DV29" s="143">
        <f t="shared" si="236"/>
        <v>173333333.33333334</v>
      </c>
      <c r="DW29" s="143">
        <f t="shared" si="236"/>
        <v>173333333.33333334</v>
      </c>
      <c r="DX29" s="143">
        <f t="shared" si="236"/>
        <v>173333333.33333334</v>
      </c>
      <c r="DY29" s="143">
        <f t="shared" si="236"/>
        <v>173333333.33333334</v>
      </c>
      <c r="DZ29" s="143">
        <f t="shared" si="236"/>
        <v>173333333.33333334</v>
      </c>
      <c r="EA29" s="143">
        <f t="shared" si="236"/>
        <v>173333333.33333334</v>
      </c>
      <c r="EB29" s="143">
        <f t="shared" si="236"/>
        <v>173333333.33333334</v>
      </c>
      <c r="EC29" s="143">
        <f t="shared" si="236"/>
        <v>173333333.33333334</v>
      </c>
      <c r="ED29" s="143">
        <f t="shared" si="236"/>
        <v>173333333.33333334</v>
      </c>
      <c r="EE29" s="143">
        <f t="shared" si="236"/>
        <v>0</v>
      </c>
      <c r="EF29" s="143">
        <f t="shared" si="236"/>
        <v>0</v>
      </c>
      <c r="EG29" s="143">
        <f t="shared" si="236"/>
        <v>0</v>
      </c>
      <c r="EH29" s="143">
        <f t="shared" si="236"/>
        <v>0</v>
      </c>
      <c r="EI29" s="143">
        <f t="shared" si="237"/>
        <v>0</v>
      </c>
      <c r="EJ29" s="143">
        <f t="shared" si="237"/>
        <v>0</v>
      </c>
      <c r="EK29" s="143">
        <f t="shared" si="237"/>
        <v>0</v>
      </c>
      <c r="EL29" s="143">
        <f t="shared" si="237"/>
        <v>0</v>
      </c>
      <c r="EM29" s="143">
        <f t="shared" si="237"/>
        <v>0</v>
      </c>
      <c r="EN29" s="143">
        <f t="shared" si="237"/>
        <v>0</v>
      </c>
      <c r="EO29" s="143">
        <f t="shared" si="237"/>
        <v>0</v>
      </c>
      <c r="EP29" s="143">
        <f t="shared" si="237"/>
        <v>0</v>
      </c>
      <c r="EQ29" s="143">
        <f t="shared" si="237"/>
        <v>0</v>
      </c>
      <c r="ER29" s="143">
        <f t="shared" si="237"/>
        <v>0</v>
      </c>
      <c r="ES29" s="143">
        <f t="shared" si="237"/>
        <v>0</v>
      </c>
      <c r="ET29" s="143">
        <f t="shared" si="237"/>
        <v>0</v>
      </c>
      <c r="EU29" s="143">
        <f t="shared" si="237"/>
        <v>0</v>
      </c>
      <c r="EV29" s="143">
        <f t="shared" si="237"/>
        <v>0</v>
      </c>
      <c r="EX29" s="143">
        <f t="shared" si="238"/>
        <v>173333333.33333334</v>
      </c>
      <c r="EY29" s="143">
        <f t="shared" si="238"/>
        <v>173333333.33333334</v>
      </c>
      <c r="EZ29" s="143">
        <f t="shared" si="238"/>
        <v>173333333.33333334</v>
      </c>
      <c r="FA29" s="143">
        <f t="shared" si="238"/>
        <v>173333333.33333334</v>
      </c>
      <c r="FB29" s="143">
        <f t="shared" si="238"/>
        <v>173333333.33333334</v>
      </c>
      <c r="FC29" s="143">
        <f t="shared" si="238"/>
        <v>173333333.33333334</v>
      </c>
      <c r="FD29" s="143">
        <f t="shared" si="238"/>
        <v>173333333.33333334</v>
      </c>
      <c r="FE29" s="143">
        <f t="shared" si="238"/>
        <v>173333333.33333334</v>
      </c>
      <c r="FF29" s="143">
        <f t="shared" si="238"/>
        <v>173333333.33333334</v>
      </c>
      <c r="FG29" s="143">
        <f t="shared" si="238"/>
        <v>173333333.33333334</v>
      </c>
      <c r="FH29" s="143">
        <f t="shared" si="238"/>
        <v>173333333.33333334</v>
      </c>
      <c r="FI29" s="143">
        <f t="shared" si="238"/>
        <v>173333333.33333334</v>
      </c>
      <c r="FJ29" s="143">
        <f t="shared" si="238"/>
        <v>0</v>
      </c>
      <c r="FK29" s="143">
        <f t="shared" si="238"/>
        <v>0</v>
      </c>
      <c r="FL29" s="143">
        <f t="shared" si="238"/>
        <v>0</v>
      </c>
      <c r="FM29" s="143">
        <f t="shared" si="238"/>
        <v>0</v>
      </c>
      <c r="FN29" s="143">
        <f t="shared" si="239"/>
        <v>0</v>
      </c>
      <c r="FO29" s="143">
        <f t="shared" si="239"/>
        <v>0</v>
      </c>
      <c r="FP29" s="143">
        <f t="shared" si="239"/>
        <v>0</v>
      </c>
      <c r="FQ29" s="143">
        <f t="shared" si="239"/>
        <v>0</v>
      </c>
      <c r="FR29" s="143">
        <f t="shared" si="239"/>
        <v>0</v>
      </c>
      <c r="FS29" s="143">
        <f t="shared" si="239"/>
        <v>0</v>
      </c>
      <c r="FT29" s="143">
        <f t="shared" si="239"/>
        <v>0</v>
      </c>
      <c r="FU29" s="143">
        <f t="shared" si="239"/>
        <v>0</v>
      </c>
      <c r="FV29" s="143">
        <f t="shared" si="239"/>
        <v>0</v>
      </c>
      <c r="FW29" s="143">
        <f t="shared" si="239"/>
        <v>0</v>
      </c>
      <c r="FX29" s="143">
        <f t="shared" si="239"/>
        <v>0</v>
      </c>
      <c r="FY29" s="143">
        <f t="shared" si="239"/>
        <v>0</v>
      </c>
      <c r="FZ29" s="143">
        <f t="shared" si="239"/>
        <v>0</v>
      </c>
      <c r="GA29" s="143">
        <f t="shared" si="239"/>
        <v>0</v>
      </c>
      <c r="GC29" s="143">
        <f t="shared" si="240"/>
        <v>173333333.33333334</v>
      </c>
      <c r="GD29" s="143">
        <f t="shared" si="240"/>
        <v>173333333.33333334</v>
      </c>
      <c r="GE29" s="143">
        <f t="shared" si="240"/>
        <v>173333333.33333334</v>
      </c>
      <c r="GF29" s="143">
        <f t="shared" si="240"/>
        <v>173333333.33333334</v>
      </c>
      <c r="GG29" s="143">
        <f t="shared" si="240"/>
        <v>173333333.33333334</v>
      </c>
      <c r="GH29" s="143">
        <f t="shared" si="240"/>
        <v>173333333.33333334</v>
      </c>
      <c r="GI29" s="143">
        <f t="shared" si="240"/>
        <v>173333333.33333334</v>
      </c>
      <c r="GJ29" s="143">
        <f t="shared" si="240"/>
        <v>173333333.33333334</v>
      </c>
      <c r="GK29" s="143">
        <f t="shared" si="240"/>
        <v>173333333.33333334</v>
      </c>
      <c r="GL29" s="143">
        <f t="shared" si="240"/>
        <v>173333333.33333334</v>
      </c>
      <c r="GM29" s="143">
        <f t="shared" si="240"/>
        <v>173333333.33333334</v>
      </c>
      <c r="GN29" s="143">
        <f t="shared" si="240"/>
        <v>173333333.33333334</v>
      </c>
      <c r="GO29" s="143">
        <f t="shared" si="240"/>
        <v>0</v>
      </c>
      <c r="GP29" s="143">
        <f t="shared" si="240"/>
        <v>0</v>
      </c>
      <c r="GQ29" s="143">
        <f t="shared" si="240"/>
        <v>0</v>
      </c>
      <c r="GR29" s="143">
        <f t="shared" si="240"/>
        <v>0</v>
      </c>
      <c r="GS29" s="143">
        <f t="shared" si="241"/>
        <v>0</v>
      </c>
      <c r="GT29" s="143">
        <f t="shared" si="241"/>
        <v>0</v>
      </c>
      <c r="GU29" s="143">
        <f t="shared" si="241"/>
        <v>0</v>
      </c>
      <c r="GV29" s="143">
        <f t="shared" si="241"/>
        <v>0</v>
      </c>
      <c r="GW29" s="143">
        <f t="shared" si="241"/>
        <v>0</v>
      </c>
      <c r="GX29" s="143">
        <f t="shared" si="241"/>
        <v>0</v>
      </c>
      <c r="GY29" s="143">
        <f t="shared" si="241"/>
        <v>0</v>
      </c>
      <c r="GZ29" s="143">
        <f t="shared" si="241"/>
        <v>0</v>
      </c>
      <c r="HA29" s="143">
        <f t="shared" si="241"/>
        <v>0</v>
      </c>
      <c r="HB29" s="143">
        <f t="shared" si="241"/>
        <v>0</v>
      </c>
      <c r="HC29" s="143">
        <f t="shared" si="241"/>
        <v>0</v>
      </c>
      <c r="HD29" s="143">
        <f t="shared" si="241"/>
        <v>0</v>
      </c>
      <c r="HE29" s="143">
        <f t="shared" si="241"/>
        <v>0</v>
      </c>
      <c r="HF29" s="143">
        <f t="shared" si="241"/>
        <v>0</v>
      </c>
      <c r="HH29" s="143">
        <f t="shared" si="242"/>
        <v>173333333.33333334</v>
      </c>
      <c r="HI29" s="143">
        <f t="shared" si="242"/>
        <v>173333333.33333334</v>
      </c>
      <c r="HJ29" s="143">
        <f t="shared" si="242"/>
        <v>173333333.33333334</v>
      </c>
      <c r="HK29" s="143">
        <f t="shared" si="242"/>
        <v>173333333.33333334</v>
      </c>
      <c r="HL29" s="143">
        <f t="shared" si="242"/>
        <v>173333333.33333334</v>
      </c>
      <c r="HM29" s="143">
        <f t="shared" si="242"/>
        <v>173333333.33333334</v>
      </c>
      <c r="HN29" s="143">
        <f t="shared" si="242"/>
        <v>173333333.33333334</v>
      </c>
      <c r="HO29" s="143">
        <f t="shared" si="242"/>
        <v>173333333.33333334</v>
      </c>
      <c r="HP29" s="143">
        <f t="shared" si="242"/>
        <v>173333333.33333334</v>
      </c>
      <c r="HQ29" s="143">
        <f t="shared" si="242"/>
        <v>173333333.33333334</v>
      </c>
      <c r="HR29" s="143">
        <f t="shared" si="242"/>
        <v>173333333.33333334</v>
      </c>
      <c r="HS29" s="143">
        <f t="shared" si="242"/>
        <v>173333333.33333334</v>
      </c>
      <c r="HT29" s="143">
        <f t="shared" si="242"/>
        <v>0</v>
      </c>
      <c r="HU29" s="143">
        <f t="shared" si="242"/>
        <v>0</v>
      </c>
      <c r="HV29" s="143">
        <f t="shared" si="242"/>
        <v>0</v>
      </c>
      <c r="HW29" s="143">
        <f t="shared" si="242"/>
        <v>0</v>
      </c>
      <c r="HX29" s="143">
        <f t="shared" si="243"/>
        <v>0</v>
      </c>
      <c r="HY29" s="143">
        <f t="shared" si="243"/>
        <v>0</v>
      </c>
      <c r="HZ29" s="143">
        <f t="shared" si="243"/>
        <v>0</v>
      </c>
      <c r="IA29" s="143">
        <f t="shared" si="243"/>
        <v>0</v>
      </c>
      <c r="IB29" s="143">
        <f t="shared" si="243"/>
        <v>0</v>
      </c>
      <c r="IC29" s="143">
        <f t="shared" si="243"/>
        <v>0</v>
      </c>
      <c r="ID29" s="143">
        <f t="shared" si="243"/>
        <v>0</v>
      </c>
      <c r="IE29" s="143">
        <f t="shared" si="243"/>
        <v>0</v>
      </c>
      <c r="IF29" s="143">
        <f t="shared" si="243"/>
        <v>0</v>
      </c>
      <c r="IG29" s="143">
        <f t="shared" si="243"/>
        <v>0</v>
      </c>
      <c r="IH29" s="143">
        <f t="shared" si="243"/>
        <v>0</v>
      </c>
      <c r="II29" s="143">
        <f t="shared" si="243"/>
        <v>0</v>
      </c>
      <c r="IJ29" s="143">
        <f t="shared" si="243"/>
        <v>0</v>
      </c>
      <c r="IK29" s="143">
        <f t="shared" si="243"/>
        <v>0</v>
      </c>
      <c r="IM29" s="143">
        <f t="shared" si="244"/>
        <v>173333333.33333334</v>
      </c>
      <c r="IN29" s="143">
        <f t="shared" si="244"/>
        <v>173333333.33333334</v>
      </c>
      <c r="IO29" s="143">
        <f t="shared" si="244"/>
        <v>173333333.33333334</v>
      </c>
      <c r="IP29" s="143">
        <f t="shared" si="244"/>
        <v>173333333.33333334</v>
      </c>
      <c r="IQ29" s="143">
        <f t="shared" si="244"/>
        <v>173333333.33333334</v>
      </c>
      <c r="IR29" s="143">
        <f t="shared" si="244"/>
        <v>173333333.33333334</v>
      </c>
      <c r="IS29" s="143">
        <f t="shared" si="244"/>
        <v>173333333.33333334</v>
      </c>
      <c r="IT29" s="143">
        <f t="shared" si="244"/>
        <v>173333333.33333334</v>
      </c>
      <c r="IU29" s="143">
        <f t="shared" si="244"/>
        <v>173333333.33333334</v>
      </c>
      <c r="IV29" s="143">
        <f t="shared" si="244"/>
        <v>173333333.33333334</v>
      </c>
      <c r="IW29" s="143">
        <f t="shared" si="244"/>
        <v>173333333.33333334</v>
      </c>
      <c r="IX29" s="143">
        <f t="shared" si="244"/>
        <v>173333333.33333334</v>
      </c>
      <c r="IY29" s="143">
        <f t="shared" si="244"/>
        <v>0</v>
      </c>
      <c r="IZ29" s="143">
        <f t="shared" si="244"/>
        <v>0</v>
      </c>
      <c r="JA29" s="143">
        <f t="shared" si="244"/>
        <v>0</v>
      </c>
      <c r="JB29" s="143">
        <f t="shared" si="244"/>
        <v>0</v>
      </c>
      <c r="JC29" s="143">
        <f t="shared" si="245"/>
        <v>0</v>
      </c>
      <c r="JD29" s="143">
        <f t="shared" si="245"/>
        <v>0</v>
      </c>
      <c r="JE29" s="143">
        <f t="shared" si="245"/>
        <v>0</v>
      </c>
      <c r="JF29" s="143">
        <f t="shared" si="245"/>
        <v>0</v>
      </c>
      <c r="JG29" s="143">
        <f t="shared" si="245"/>
        <v>0</v>
      </c>
      <c r="JH29" s="143">
        <f t="shared" si="245"/>
        <v>0</v>
      </c>
      <c r="JI29" s="143">
        <f t="shared" si="245"/>
        <v>0</v>
      </c>
      <c r="JJ29" s="143">
        <f t="shared" si="245"/>
        <v>0</v>
      </c>
      <c r="JK29" s="143">
        <f t="shared" si="245"/>
        <v>0</v>
      </c>
      <c r="JL29" s="143">
        <f t="shared" si="245"/>
        <v>0</v>
      </c>
      <c r="JM29" s="143">
        <f t="shared" si="245"/>
        <v>0</v>
      </c>
      <c r="JN29" s="143">
        <f t="shared" si="245"/>
        <v>0</v>
      </c>
      <c r="JO29" s="143">
        <f t="shared" si="245"/>
        <v>0</v>
      </c>
      <c r="JP29" s="143">
        <f t="shared" si="245"/>
        <v>0</v>
      </c>
      <c r="JR29" s="143">
        <f t="shared" si="246"/>
        <v>173333333.33333334</v>
      </c>
      <c r="JS29" s="143">
        <f t="shared" si="246"/>
        <v>173333333.33333334</v>
      </c>
      <c r="JT29" s="143">
        <f t="shared" si="246"/>
        <v>173333333.33333334</v>
      </c>
      <c r="JU29" s="143">
        <f t="shared" si="246"/>
        <v>173333333.33333334</v>
      </c>
      <c r="JV29" s="143">
        <f t="shared" si="246"/>
        <v>173333333.33333334</v>
      </c>
      <c r="JW29" s="143">
        <f t="shared" si="246"/>
        <v>173333333.33333334</v>
      </c>
      <c r="JX29" s="143">
        <f t="shared" si="246"/>
        <v>173333333.33333334</v>
      </c>
      <c r="JY29" s="143">
        <f t="shared" si="246"/>
        <v>173333333.33333334</v>
      </c>
      <c r="JZ29" s="143">
        <f t="shared" si="246"/>
        <v>173333333.33333334</v>
      </c>
      <c r="KA29" s="143">
        <f t="shared" si="246"/>
        <v>173333333.33333334</v>
      </c>
      <c r="KB29" s="143">
        <f t="shared" si="246"/>
        <v>173333333.33333334</v>
      </c>
      <c r="KC29" s="143">
        <f t="shared" si="246"/>
        <v>173333333.33333334</v>
      </c>
      <c r="KD29" s="143">
        <f t="shared" si="246"/>
        <v>0</v>
      </c>
      <c r="KE29" s="143">
        <f t="shared" si="246"/>
        <v>0</v>
      </c>
      <c r="KF29" s="143">
        <f t="shared" si="246"/>
        <v>0</v>
      </c>
      <c r="KG29" s="143">
        <f t="shared" si="246"/>
        <v>0</v>
      </c>
      <c r="KH29" s="143">
        <f t="shared" si="247"/>
        <v>0</v>
      </c>
      <c r="KI29" s="143">
        <f t="shared" si="247"/>
        <v>0</v>
      </c>
      <c r="KJ29" s="143">
        <f t="shared" si="247"/>
        <v>0</v>
      </c>
      <c r="KK29" s="143">
        <f t="shared" si="247"/>
        <v>0</v>
      </c>
      <c r="KL29" s="143">
        <f t="shared" si="247"/>
        <v>0</v>
      </c>
      <c r="KM29" s="143">
        <f t="shared" si="247"/>
        <v>0</v>
      </c>
      <c r="KN29" s="143">
        <f t="shared" si="247"/>
        <v>0</v>
      </c>
      <c r="KO29" s="143">
        <f t="shared" si="247"/>
        <v>0</v>
      </c>
      <c r="KP29" s="143">
        <f t="shared" si="247"/>
        <v>0</v>
      </c>
      <c r="KQ29" s="143">
        <f t="shared" si="247"/>
        <v>0</v>
      </c>
      <c r="KR29" s="143">
        <f t="shared" si="247"/>
        <v>0</v>
      </c>
      <c r="KS29" s="143">
        <f t="shared" si="247"/>
        <v>0</v>
      </c>
      <c r="KT29" s="143">
        <f t="shared" si="247"/>
        <v>0</v>
      </c>
      <c r="KU29" s="143">
        <f t="shared" si="247"/>
        <v>0</v>
      </c>
      <c r="KW29" s="143">
        <f t="shared" si="248"/>
        <v>173333333.33333334</v>
      </c>
      <c r="KX29" s="143">
        <f t="shared" si="248"/>
        <v>173333333.33333334</v>
      </c>
      <c r="KY29" s="143">
        <f t="shared" si="248"/>
        <v>173333333.33333334</v>
      </c>
      <c r="KZ29" s="143">
        <f t="shared" si="248"/>
        <v>173333333.33333334</v>
      </c>
      <c r="LA29" s="143">
        <f t="shared" si="248"/>
        <v>173333333.33333334</v>
      </c>
      <c r="LB29" s="143">
        <f t="shared" si="248"/>
        <v>173333333.33333334</v>
      </c>
      <c r="LC29" s="143">
        <f t="shared" si="248"/>
        <v>173333333.33333334</v>
      </c>
      <c r="LD29" s="143">
        <f t="shared" si="248"/>
        <v>173333333.33333334</v>
      </c>
      <c r="LE29" s="143">
        <f t="shared" si="248"/>
        <v>173333333.33333334</v>
      </c>
      <c r="LF29" s="143">
        <f t="shared" si="248"/>
        <v>173333333.33333334</v>
      </c>
      <c r="LG29" s="143">
        <f t="shared" si="248"/>
        <v>173333333.33333334</v>
      </c>
      <c r="LH29" s="143">
        <f t="shared" si="248"/>
        <v>173333333.33333334</v>
      </c>
      <c r="LI29" s="143">
        <f t="shared" si="248"/>
        <v>0</v>
      </c>
      <c r="LJ29" s="143">
        <f t="shared" si="248"/>
        <v>0</v>
      </c>
      <c r="LK29" s="143">
        <f t="shared" si="248"/>
        <v>0</v>
      </c>
      <c r="LL29" s="143">
        <f t="shared" si="248"/>
        <v>0</v>
      </c>
      <c r="LM29" s="143">
        <f t="shared" si="249"/>
        <v>0</v>
      </c>
      <c r="LN29" s="143">
        <f t="shared" si="249"/>
        <v>0</v>
      </c>
      <c r="LO29" s="143">
        <f t="shared" si="249"/>
        <v>0</v>
      </c>
      <c r="LP29" s="143">
        <f t="shared" si="249"/>
        <v>0</v>
      </c>
      <c r="LQ29" s="143">
        <f t="shared" si="249"/>
        <v>0</v>
      </c>
      <c r="LR29" s="143">
        <f t="shared" si="249"/>
        <v>0</v>
      </c>
      <c r="LS29" s="143">
        <f t="shared" si="249"/>
        <v>0</v>
      </c>
      <c r="LT29" s="143">
        <f t="shared" si="249"/>
        <v>0</v>
      </c>
      <c r="LU29" s="143">
        <f t="shared" si="249"/>
        <v>0</v>
      </c>
      <c r="LV29" s="143">
        <f t="shared" si="249"/>
        <v>0</v>
      </c>
      <c r="LW29" s="143">
        <f t="shared" si="249"/>
        <v>0</v>
      </c>
      <c r="LX29" s="143">
        <f t="shared" si="249"/>
        <v>0</v>
      </c>
      <c r="LY29" s="143">
        <f t="shared" si="249"/>
        <v>0</v>
      </c>
      <c r="LZ29" s="143">
        <f t="shared" si="249"/>
        <v>0</v>
      </c>
      <c r="MB29" s="143">
        <f t="shared" si="250"/>
        <v>173333333.33333334</v>
      </c>
      <c r="MC29" s="143">
        <f t="shared" si="250"/>
        <v>173333333.33333334</v>
      </c>
      <c r="MD29" s="143">
        <f t="shared" si="250"/>
        <v>173333333.33333334</v>
      </c>
      <c r="ME29" s="143">
        <f t="shared" si="250"/>
        <v>173333333.33333334</v>
      </c>
      <c r="MF29" s="143">
        <f t="shared" si="250"/>
        <v>173333333.33333334</v>
      </c>
      <c r="MG29" s="143">
        <f t="shared" si="250"/>
        <v>173333333.33333334</v>
      </c>
      <c r="MH29" s="143">
        <f t="shared" si="250"/>
        <v>173333333.33333334</v>
      </c>
      <c r="MI29" s="143">
        <f t="shared" si="250"/>
        <v>173333333.33333334</v>
      </c>
      <c r="MJ29" s="143">
        <f t="shared" si="250"/>
        <v>173333333.33333334</v>
      </c>
      <c r="MK29" s="143">
        <f t="shared" si="250"/>
        <v>173333333.33333334</v>
      </c>
      <c r="ML29" s="143">
        <f t="shared" si="250"/>
        <v>173333333.33333334</v>
      </c>
      <c r="MM29" s="143">
        <f t="shared" si="250"/>
        <v>173333333.33333334</v>
      </c>
      <c r="MN29" s="143">
        <f t="shared" si="250"/>
        <v>0</v>
      </c>
      <c r="MO29" s="143">
        <f t="shared" si="250"/>
        <v>0</v>
      </c>
      <c r="MP29" s="143">
        <f t="shared" si="250"/>
        <v>0</v>
      </c>
      <c r="MQ29" s="143">
        <f t="shared" si="250"/>
        <v>0</v>
      </c>
      <c r="MR29" s="143">
        <f t="shared" si="251"/>
        <v>0</v>
      </c>
      <c r="MS29" s="143">
        <f t="shared" si="251"/>
        <v>0</v>
      </c>
      <c r="MT29" s="143">
        <f t="shared" si="251"/>
        <v>0</v>
      </c>
      <c r="MU29" s="143">
        <f t="shared" si="251"/>
        <v>0</v>
      </c>
      <c r="MV29" s="143">
        <f t="shared" si="251"/>
        <v>0</v>
      </c>
      <c r="MW29" s="143">
        <f t="shared" si="251"/>
        <v>0</v>
      </c>
      <c r="MX29" s="143">
        <f t="shared" si="251"/>
        <v>0</v>
      </c>
      <c r="MY29" s="143">
        <f t="shared" si="251"/>
        <v>0</v>
      </c>
      <c r="MZ29" s="143">
        <f t="shared" si="251"/>
        <v>0</v>
      </c>
      <c r="NA29" s="143">
        <f t="shared" si="251"/>
        <v>0</v>
      </c>
      <c r="NB29" s="143">
        <f t="shared" si="251"/>
        <v>0</v>
      </c>
      <c r="NC29" s="143">
        <f t="shared" si="251"/>
        <v>0</v>
      </c>
      <c r="ND29" s="143">
        <f t="shared" si="251"/>
        <v>0</v>
      </c>
      <c r="NE29" s="143">
        <f t="shared" si="251"/>
        <v>0</v>
      </c>
    </row>
    <row r="30" spans="1:369" outlineLevel="1" x14ac:dyDescent="0.25">
      <c r="B30" t="s">
        <v>346</v>
      </c>
      <c r="C30" s="495" t="s">
        <v>414</v>
      </c>
      <c r="D30" s="613" t="s">
        <v>34</v>
      </c>
      <c r="E30" s="467">
        <v>1</v>
      </c>
      <c r="F30" s="221"/>
      <c r="G30" s="457">
        <v>12</v>
      </c>
      <c r="H30" s="468">
        <f>(1300000000/$D$6)*1.04</f>
        <v>1352000000</v>
      </c>
      <c r="I30" s="457">
        <f t="shared" si="203"/>
        <v>1352000000</v>
      </c>
      <c r="J30" s="457">
        <f t="shared" si="204"/>
        <v>112666666.66666667</v>
      </c>
      <c r="K30" s="221"/>
      <c r="L30" s="457">
        <v>12</v>
      </c>
      <c r="M30" s="457">
        <f t="shared" si="205"/>
        <v>1352000000</v>
      </c>
      <c r="N30" s="457">
        <f t="shared" si="206"/>
        <v>1352000000</v>
      </c>
      <c r="O30" s="457">
        <f t="shared" si="207"/>
        <v>112666666.66666667</v>
      </c>
      <c r="P30" s="221"/>
      <c r="Q30" s="457">
        <v>12</v>
      </c>
      <c r="R30" s="457">
        <f t="shared" si="208"/>
        <v>1352000000</v>
      </c>
      <c r="S30" s="457">
        <f t="shared" si="209"/>
        <v>1352000000</v>
      </c>
      <c r="T30" s="457">
        <f t="shared" si="210"/>
        <v>112666666.66666667</v>
      </c>
      <c r="U30" s="221"/>
      <c r="V30" s="457">
        <v>12</v>
      </c>
      <c r="W30" s="457">
        <f t="shared" si="211"/>
        <v>1352000000</v>
      </c>
      <c r="X30" s="457">
        <f t="shared" si="212"/>
        <v>1352000000</v>
      </c>
      <c r="Y30" s="457">
        <f t="shared" si="213"/>
        <v>112666666.66666667</v>
      </c>
      <c r="Z30" s="221"/>
      <c r="AA30" s="457">
        <v>12</v>
      </c>
      <c r="AB30" s="457">
        <f t="shared" si="214"/>
        <v>1352000000</v>
      </c>
      <c r="AC30" s="457">
        <f t="shared" si="215"/>
        <v>1352000000</v>
      </c>
      <c r="AD30" s="457">
        <f t="shared" si="216"/>
        <v>112666666.66666667</v>
      </c>
      <c r="AE30" s="221"/>
      <c r="AF30" s="457">
        <v>12</v>
      </c>
      <c r="AG30" s="457">
        <f t="shared" si="217"/>
        <v>1352000000</v>
      </c>
      <c r="AH30" s="457">
        <f t="shared" si="218"/>
        <v>1352000000</v>
      </c>
      <c r="AI30" s="457">
        <f t="shared" si="219"/>
        <v>112666666.66666667</v>
      </c>
      <c r="AJ30" s="221"/>
      <c r="AK30" s="457">
        <v>12</v>
      </c>
      <c r="AL30" s="457">
        <f t="shared" si="220"/>
        <v>1352000000</v>
      </c>
      <c r="AM30" s="457">
        <f t="shared" si="221"/>
        <v>1352000000</v>
      </c>
      <c r="AN30" s="457">
        <f t="shared" si="222"/>
        <v>112666666.66666667</v>
      </c>
      <c r="AO30" s="221"/>
      <c r="AP30" s="457">
        <v>12</v>
      </c>
      <c r="AQ30" s="457">
        <f t="shared" si="223"/>
        <v>1352000000</v>
      </c>
      <c r="AR30" s="457">
        <f t="shared" si="224"/>
        <v>1352000000</v>
      </c>
      <c r="AS30" s="457">
        <f t="shared" si="225"/>
        <v>112666666.66666667</v>
      </c>
      <c r="AT30" s="221"/>
      <c r="AU30" s="457">
        <v>12</v>
      </c>
      <c r="AV30" s="457">
        <f t="shared" si="226"/>
        <v>1352000000</v>
      </c>
      <c r="AW30" s="457">
        <f t="shared" si="227"/>
        <v>1352000000</v>
      </c>
      <c r="AX30" s="457">
        <f t="shared" si="228"/>
        <v>112666666.66666667</v>
      </c>
      <c r="AY30" s="221"/>
      <c r="AZ30" s="457">
        <v>12</v>
      </c>
      <c r="BA30" s="457">
        <f t="shared" si="229"/>
        <v>1352000000</v>
      </c>
      <c r="BB30" s="457">
        <f t="shared" si="230"/>
        <v>1352000000</v>
      </c>
      <c r="BC30" s="457">
        <f t="shared" si="231"/>
        <v>112666666.66666667</v>
      </c>
      <c r="BD30" s="221"/>
      <c r="BF30" t="s">
        <v>547</v>
      </c>
      <c r="BG30" t="s">
        <v>336</v>
      </c>
      <c r="BI30" s="15">
        <f t="shared" si="232"/>
        <v>112666666.66666667</v>
      </c>
      <c r="BJ30" s="15">
        <f t="shared" si="232"/>
        <v>112666666.66666667</v>
      </c>
      <c r="BK30" s="15">
        <f t="shared" si="232"/>
        <v>112666666.66666667</v>
      </c>
      <c r="BL30" s="15">
        <f t="shared" si="232"/>
        <v>112666666.66666667</v>
      </c>
      <c r="BM30" s="15">
        <f t="shared" si="232"/>
        <v>112666666.66666667</v>
      </c>
      <c r="BN30" s="15">
        <f t="shared" si="232"/>
        <v>112666666.66666667</v>
      </c>
      <c r="BO30" s="15">
        <f t="shared" si="232"/>
        <v>112666666.66666667</v>
      </c>
      <c r="BP30" s="15">
        <f t="shared" si="232"/>
        <v>112666666.66666667</v>
      </c>
      <c r="BQ30" s="15">
        <f t="shared" si="232"/>
        <v>112666666.66666667</v>
      </c>
      <c r="BR30" s="15">
        <f t="shared" si="232"/>
        <v>112666666.66666667</v>
      </c>
      <c r="BS30" s="15">
        <f t="shared" si="232"/>
        <v>112666666.66666667</v>
      </c>
      <c r="BT30" s="15">
        <f t="shared" si="232"/>
        <v>112666666.66666667</v>
      </c>
      <c r="BU30" s="15">
        <f t="shared" si="232"/>
        <v>0</v>
      </c>
      <c r="BV30" s="15">
        <f t="shared" si="232"/>
        <v>0</v>
      </c>
      <c r="BW30" s="15">
        <f t="shared" si="232"/>
        <v>0</v>
      </c>
      <c r="BX30" s="15">
        <f t="shared" si="232"/>
        <v>0</v>
      </c>
      <c r="BY30" s="15">
        <f t="shared" si="233"/>
        <v>0</v>
      </c>
      <c r="BZ30" s="15">
        <f t="shared" si="233"/>
        <v>0</v>
      </c>
      <c r="CA30" s="15">
        <f t="shared" si="233"/>
        <v>0</v>
      </c>
      <c r="CB30" s="15">
        <f t="shared" si="233"/>
        <v>0</v>
      </c>
      <c r="CC30" s="15">
        <f t="shared" si="233"/>
        <v>0</v>
      </c>
      <c r="CD30" s="15">
        <f t="shared" si="233"/>
        <v>0</v>
      </c>
      <c r="CE30" s="15">
        <f t="shared" si="233"/>
        <v>0</v>
      </c>
      <c r="CF30" s="15">
        <f t="shared" si="233"/>
        <v>0</v>
      </c>
      <c r="CG30" s="15">
        <f t="shared" si="233"/>
        <v>0</v>
      </c>
      <c r="CH30" s="15">
        <f t="shared" si="233"/>
        <v>0</v>
      </c>
      <c r="CI30" s="15">
        <f t="shared" si="233"/>
        <v>0</v>
      </c>
      <c r="CJ30" s="15">
        <f t="shared" si="233"/>
        <v>0</v>
      </c>
      <c r="CK30" s="15">
        <f t="shared" si="233"/>
        <v>0</v>
      </c>
      <c r="CL30" s="15">
        <f t="shared" si="233"/>
        <v>0</v>
      </c>
      <c r="CN30" s="15">
        <f t="shared" si="234"/>
        <v>112666666.66666667</v>
      </c>
      <c r="CO30" s="15">
        <f t="shared" si="234"/>
        <v>112666666.66666667</v>
      </c>
      <c r="CP30" s="15">
        <f t="shared" si="234"/>
        <v>112666666.66666667</v>
      </c>
      <c r="CQ30" s="15">
        <f t="shared" si="234"/>
        <v>112666666.66666667</v>
      </c>
      <c r="CR30" s="15">
        <f t="shared" si="234"/>
        <v>112666666.66666667</v>
      </c>
      <c r="CS30" s="15">
        <f t="shared" si="234"/>
        <v>112666666.66666667</v>
      </c>
      <c r="CT30" s="15">
        <f t="shared" si="234"/>
        <v>112666666.66666667</v>
      </c>
      <c r="CU30" s="15">
        <f t="shared" si="234"/>
        <v>112666666.66666667</v>
      </c>
      <c r="CV30" s="15">
        <f t="shared" si="234"/>
        <v>112666666.66666667</v>
      </c>
      <c r="CW30" s="15">
        <f t="shared" si="234"/>
        <v>112666666.66666667</v>
      </c>
      <c r="CX30" s="15">
        <f t="shared" si="234"/>
        <v>112666666.66666667</v>
      </c>
      <c r="CY30" s="15">
        <f t="shared" si="234"/>
        <v>112666666.66666667</v>
      </c>
      <c r="CZ30" s="15">
        <f t="shared" si="234"/>
        <v>0</v>
      </c>
      <c r="DA30" s="15">
        <f t="shared" si="234"/>
        <v>0</v>
      </c>
      <c r="DB30" s="15">
        <f t="shared" si="234"/>
        <v>0</v>
      </c>
      <c r="DC30" s="15">
        <f t="shared" si="234"/>
        <v>0</v>
      </c>
      <c r="DD30" s="15">
        <f t="shared" si="235"/>
        <v>0</v>
      </c>
      <c r="DE30" s="15">
        <f t="shared" si="235"/>
        <v>0</v>
      </c>
      <c r="DF30" s="15">
        <f t="shared" si="235"/>
        <v>0</v>
      </c>
      <c r="DG30" s="15">
        <f t="shared" si="235"/>
        <v>0</v>
      </c>
      <c r="DH30" s="15">
        <f t="shared" si="235"/>
        <v>0</v>
      </c>
      <c r="DI30" s="15">
        <f t="shared" si="235"/>
        <v>0</v>
      </c>
      <c r="DJ30" s="15">
        <f t="shared" si="235"/>
        <v>0</v>
      </c>
      <c r="DK30" s="15">
        <f t="shared" si="235"/>
        <v>0</v>
      </c>
      <c r="DL30" s="15">
        <f t="shared" si="235"/>
        <v>0</v>
      </c>
      <c r="DM30" s="15">
        <f t="shared" si="235"/>
        <v>0</v>
      </c>
      <c r="DN30" s="15">
        <f t="shared" si="235"/>
        <v>0</v>
      </c>
      <c r="DO30" s="15">
        <f t="shared" si="235"/>
        <v>0</v>
      </c>
      <c r="DP30" s="15">
        <f t="shared" si="235"/>
        <v>0</v>
      </c>
      <c r="DQ30" s="15">
        <f t="shared" si="235"/>
        <v>0</v>
      </c>
      <c r="DS30" s="15">
        <f t="shared" si="236"/>
        <v>112666666.66666667</v>
      </c>
      <c r="DT30" s="15">
        <f t="shared" si="236"/>
        <v>112666666.66666667</v>
      </c>
      <c r="DU30" s="15">
        <f t="shared" si="236"/>
        <v>112666666.66666667</v>
      </c>
      <c r="DV30" s="15">
        <f t="shared" si="236"/>
        <v>112666666.66666667</v>
      </c>
      <c r="DW30" s="15">
        <f t="shared" si="236"/>
        <v>112666666.66666667</v>
      </c>
      <c r="DX30" s="15">
        <f t="shared" si="236"/>
        <v>112666666.66666667</v>
      </c>
      <c r="DY30" s="15">
        <f t="shared" si="236"/>
        <v>112666666.66666667</v>
      </c>
      <c r="DZ30" s="15">
        <f t="shared" si="236"/>
        <v>112666666.66666667</v>
      </c>
      <c r="EA30" s="15">
        <f t="shared" si="236"/>
        <v>112666666.66666667</v>
      </c>
      <c r="EB30" s="15">
        <f t="shared" si="236"/>
        <v>112666666.66666667</v>
      </c>
      <c r="EC30" s="15">
        <f t="shared" si="236"/>
        <v>112666666.66666667</v>
      </c>
      <c r="ED30" s="15">
        <f t="shared" si="236"/>
        <v>112666666.66666667</v>
      </c>
      <c r="EE30" s="15">
        <f t="shared" si="236"/>
        <v>0</v>
      </c>
      <c r="EF30" s="15">
        <f t="shared" si="236"/>
        <v>0</v>
      </c>
      <c r="EG30" s="15">
        <f t="shared" si="236"/>
        <v>0</v>
      </c>
      <c r="EH30" s="15">
        <f t="shared" si="236"/>
        <v>0</v>
      </c>
      <c r="EI30" s="15">
        <f t="shared" si="237"/>
        <v>0</v>
      </c>
      <c r="EJ30" s="15">
        <f t="shared" si="237"/>
        <v>0</v>
      </c>
      <c r="EK30" s="15">
        <f t="shared" si="237"/>
        <v>0</v>
      </c>
      <c r="EL30" s="15">
        <f t="shared" si="237"/>
        <v>0</v>
      </c>
      <c r="EM30" s="15">
        <f t="shared" si="237"/>
        <v>0</v>
      </c>
      <c r="EN30" s="15">
        <f t="shared" si="237"/>
        <v>0</v>
      </c>
      <c r="EO30" s="15">
        <f t="shared" si="237"/>
        <v>0</v>
      </c>
      <c r="EP30" s="15">
        <f t="shared" si="237"/>
        <v>0</v>
      </c>
      <c r="EQ30" s="15">
        <f t="shared" si="237"/>
        <v>0</v>
      </c>
      <c r="ER30" s="15">
        <f t="shared" si="237"/>
        <v>0</v>
      </c>
      <c r="ES30" s="15">
        <f t="shared" si="237"/>
        <v>0</v>
      </c>
      <c r="ET30" s="15">
        <f t="shared" si="237"/>
        <v>0</v>
      </c>
      <c r="EU30" s="15">
        <f t="shared" si="237"/>
        <v>0</v>
      </c>
      <c r="EV30" s="15">
        <f t="shared" si="237"/>
        <v>0</v>
      </c>
      <c r="EX30" s="15">
        <f t="shared" si="238"/>
        <v>112666666.66666667</v>
      </c>
      <c r="EY30" s="15">
        <f t="shared" si="238"/>
        <v>112666666.66666667</v>
      </c>
      <c r="EZ30" s="15">
        <f t="shared" si="238"/>
        <v>112666666.66666667</v>
      </c>
      <c r="FA30" s="15">
        <f t="shared" si="238"/>
        <v>112666666.66666667</v>
      </c>
      <c r="FB30" s="15">
        <f t="shared" si="238"/>
        <v>112666666.66666667</v>
      </c>
      <c r="FC30" s="15">
        <f t="shared" si="238"/>
        <v>112666666.66666667</v>
      </c>
      <c r="FD30" s="15">
        <f t="shared" si="238"/>
        <v>112666666.66666667</v>
      </c>
      <c r="FE30" s="15">
        <f t="shared" si="238"/>
        <v>112666666.66666667</v>
      </c>
      <c r="FF30" s="15">
        <f t="shared" si="238"/>
        <v>112666666.66666667</v>
      </c>
      <c r="FG30" s="15">
        <f t="shared" si="238"/>
        <v>112666666.66666667</v>
      </c>
      <c r="FH30" s="15">
        <f t="shared" si="238"/>
        <v>112666666.66666667</v>
      </c>
      <c r="FI30" s="15">
        <f t="shared" si="238"/>
        <v>112666666.66666667</v>
      </c>
      <c r="FJ30" s="15">
        <f t="shared" si="238"/>
        <v>0</v>
      </c>
      <c r="FK30" s="15">
        <f t="shared" si="238"/>
        <v>0</v>
      </c>
      <c r="FL30" s="15">
        <f t="shared" si="238"/>
        <v>0</v>
      </c>
      <c r="FM30" s="15">
        <f t="shared" si="238"/>
        <v>0</v>
      </c>
      <c r="FN30" s="15">
        <f t="shared" si="239"/>
        <v>0</v>
      </c>
      <c r="FO30" s="15">
        <f t="shared" si="239"/>
        <v>0</v>
      </c>
      <c r="FP30" s="15">
        <f t="shared" si="239"/>
        <v>0</v>
      </c>
      <c r="FQ30" s="15">
        <f t="shared" si="239"/>
        <v>0</v>
      </c>
      <c r="FR30" s="15">
        <f t="shared" si="239"/>
        <v>0</v>
      </c>
      <c r="FS30" s="15">
        <f t="shared" si="239"/>
        <v>0</v>
      </c>
      <c r="FT30" s="15">
        <f t="shared" si="239"/>
        <v>0</v>
      </c>
      <c r="FU30" s="15">
        <f t="shared" si="239"/>
        <v>0</v>
      </c>
      <c r="FV30" s="15">
        <f t="shared" si="239"/>
        <v>0</v>
      </c>
      <c r="FW30" s="15">
        <f t="shared" si="239"/>
        <v>0</v>
      </c>
      <c r="FX30" s="15">
        <f t="shared" si="239"/>
        <v>0</v>
      </c>
      <c r="FY30" s="15">
        <f t="shared" si="239"/>
        <v>0</v>
      </c>
      <c r="FZ30" s="15">
        <f t="shared" si="239"/>
        <v>0</v>
      </c>
      <c r="GA30" s="15">
        <f t="shared" si="239"/>
        <v>0</v>
      </c>
      <c r="GC30" s="15">
        <f t="shared" si="240"/>
        <v>112666666.66666667</v>
      </c>
      <c r="GD30" s="15">
        <f t="shared" si="240"/>
        <v>112666666.66666667</v>
      </c>
      <c r="GE30" s="15">
        <f t="shared" si="240"/>
        <v>112666666.66666667</v>
      </c>
      <c r="GF30" s="15">
        <f t="shared" si="240"/>
        <v>112666666.66666667</v>
      </c>
      <c r="GG30" s="15">
        <f t="shared" si="240"/>
        <v>112666666.66666667</v>
      </c>
      <c r="GH30" s="15">
        <f t="shared" si="240"/>
        <v>112666666.66666667</v>
      </c>
      <c r="GI30" s="15">
        <f t="shared" si="240"/>
        <v>112666666.66666667</v>
      </c>
      <c r="GJ30" s="15">
        <f t="shared" si="240"/>
        <v>112666666.66666667</v>
      </c>
      <c r="GK30" s="15">
        <f t="shared" si="240"/>
        <v>112666666.66666667</v>
      </c>
      <c r="GL30" s="15">
        <f t="shared" si="240"/>
        <v>112666666.66666667</v>
      </c>
      <c r="GM30" s="15">
        <f t="shared" si="240"/>
        <v>112666666.66666667</v>
      </c>
      <c r="GN30" s="15">
        <f t="shared" si="240"/>
        <v>112666666.66666667</v>
      </c>
      <c r="GO30" s="15">
        <f t="shared" si="240"/>
        <v>0</v>
      </c>
      <c r="GP30" s="15">
        <f t="shared" si="240"/>
        <v>0</v>
      </c>
      <c r="GQ30" s="15">
        <f t="shared" si="240"/>
        <v>0</v>
      </c>
      <c r="GR30" s="15">
        <f t="shared" si="240"/>
        <v>0</v>
      </c>
      <c r="GS30" s="15">
        <f t="shared" si="241"/>
        <v>0</v>
      </c>
      <c r="GT30" s="15">
        <f t="shared" si="241"/>
        <v>0</v>
      </c>
      <c r="GU30" s="15">
        <f t="shared" si="241"/>
        <v>0</v>
      </c>
      <c r="GV30" s="15">
        <f t="shared" si="241"/>
        <v>0</v>
      </c>
      <c r="GW30" s="15">
        <f t="shared" si="241"/>
        <v>0</v>
      </c>
      <c r="GX30" s="15">
        <f t="shared" si="241"/>
        <v>0</v>
      </c>
      <c r="GY30" s="15">
        <f t="shared" si="241"/>
        <v>0</v>
      </c>
      <c r="GZ30" s="15">
        <f t="shared" si="241"/>
        <v>0</v>
      </c>
      <c r="HA30" s="15">
        <f t="shared" si="241"/>
        <v>0</v>
      </c>
      <c r="HB30" s="15">
        <f t="shared" si="241"/>
        <v>0</v>
      </c>
      <c r="HC30" s="15">
        <f t="shared" si="241"/>
        <v>0</v>
      </c>
      <c r="HD30" s="15">
        <f t="shared" si="241"/>
        <v>0</v>
      </c>
      <c r="HE30" s="15">
        <f t="shared" si="241"/>
        <v>0</v>
      </c>
      <c r="HF30" s="15">
        <f t="shared" si="241"/>
        <v>0</v>
      </c>
      <c r="HH30" s="15">
        <f t="shared" si="242"/>
        <v>112666666.66666667</v>
      </c>
      <c r="HI30" s="15">
        <f t="shared" si="242"/>
        <v>112666666.66666667</v>
      </c>
      <c r="HJ30" s="15">
        <f t="shared" si="242"/>
        <v>112666666.66666667</v>
      </c>
      <c r="HK30" s="15">
        <f t="shared" si="242"/>
        <v>112666666.66666667</v>
      </c>
      <c r="HL30" s="15">
        <f t="shared" si="242"/>
        <v>112666666.66666667</v>
      </c>
      <c r="HM30" s="15">
        <f t="shared" si="242"/>
        <v>112666666.66666667</v>
      </c>
      <c r="HN30" s="15">
        <f t="shared" si="242"/>
        <v>112666666.66666667</v>
      </c>
      <c r="HO30" s="15">
        <f t="shared" si="242"/>
        <v>112666666.66666667</v>
      </c>
      <c r="HP30" s="15">
        <f t="shared" si="242"/>
        <v>112666666.66666667</v>
      </c>
      <c r="HQ30" s="15">
        <f t="shared" si="242"/>
        <v>112666666.66666667</v>
      </c>
      <c r="HR30" s="15">
        <f t="shared" si="242"/>
        <v>112666666.66666667</v>
      </c>
      <c r="HS30" s="15">
        <f t="shared" si="242"/>
        <v>112666666.66666667</v>
      </c>
      <c r="HT30" s="15">
        <f t="shared" si="242"/>
        <v>0</v>
      </c>
      <c r="HU30" s="15">
        <f t="shared" si="242"/>
        <v>0</v>
      </c>
      <c r="HV30" s="15">
        <f t="shared" si="242"/>
        <v>0</v>
      </c>
      <c r="HW30" s="15">
        <f t="shared" si="242"/>
        <v>0</v>
      </c>
      <c r="HX30" s="15">
        <f t="shared" si="243"/>
        <v>0</v>
      </c>
      <c r="HY30" s="15">
        <f t="shared" si="243"/>
        <v>0</v>
      </c>
      <c r="HZ30" s="15">
        <f t="shared" si="243"/>
        <v>0</v>
      </c>
      <c r="IA30" s="15">
        <f t="shared" si="243"/>
        <v>0</v>
      </c>
      <c r="IB30" s="15">
        <f t="shared" si="243"/>
        <v>0</v>
      </c>
      <c r="IC30" s="15">
        <f t="shared" si="243"/>
        <v>0</v>
      </c>
      <c r="ID30" s="15">
        <f t="shared" si="243"/>
        <v>0</v>
      </c>
      <c r="IE30" s="15">
        <f t="shared" si="243"/>
        <v>0</v>
      </c>
      <c r="IF30" s="15">
        <f t="shared" si="243"/>
        <v>0</v>
      </c>
      <c r="IG30" s="15">
        <f t="shared" si="243"/>
        <v>0</v>
      </c>
      <c r="IH30" s="15">
        <f t="shared" si="243"/>
        <v>0</v>
      </c>
      <c r="II30" s="15">
        <f t="shared" si="243"/>
        <v>0</v>
      </c>
      <c r="IJ30" s="15">
        <f t="shared" si="243"/>
        <v>0</v>
      </c>
      <c r="IK30" s="15">
        <f t="shared" si="243"/>
        <v>0</v>
      </c>
      <c r="IM30" s="15">
        <f t="shared" si="244"/>
        <v>112666666.66666667</v>
      </c>
      <c r="IN30" s="15">
        <f t="shared" si="244"/>
        <v>112666666.66666667</v>
      </c>
      <c r="IO30" s="15">
        <f t="shared" si="244"/>
        <v>112666666.66666667</v>
      </c>
      <c r="IP30" s="15">
        <f t="shared" si="244"/>
        <v>112666666.66666667</v>
      </c>
      <c r="IQ30" s="15">
        <f t="shared" si="244"/>
        <v>112666666.66666667</v>
      </c>
      <c r="IR30" s="15">
        <f t="shared" si="244"/>
        <v>112666666.66666667</v>
      </c>
      <c r="IS30" s="15">
        <f t="shared" si="244"/>
        <v>112666666.66666667</v>
      </c>
      <c r="IT30" s="15">
        <f t="shared" si="244"/>
        <v>112666666.66666667</v>
      </c>
      <c r="IU30" s="15">
        <f t="shared" si="244"/>
        <v>112666666.66666667</v>
      </c>
      <c r="IV30" s="15">
        <f t="shared" si="244"/>
        <v>112666666.66666667</v>
      </c>
      <c r="IW30" s="15">
        <f t="shared" si="244"/>
        <v>112666666.66666667</v>
      </c>
      <c r="IX30" s="15">
        <f t="shared" si="244"/>
        <v>112666666.66666667</v>
      </c>
      <c r="IY30" s="15">
        <f t="shared" si="244"/>
        <v>0</v>
      </c>
      <c r="IZ30" s="15">
        <f t="shared" si="244"/>
        <v>0</v>
      </c>
      <c r="JA30" s="15">
        <f t="shared" si="244"/>
        <v>0</v>
      </c>
      <c r="JB30" s="15">
        <f t="shared" si="244"/>
        <v>0</v>
      </c>
      <c r="JC30" s="15">
        <f t="shared" si="245"/>
        <v>0</v>
      </c>
      <c r="JD30" s="15">
        <f t="shared" si="245"/>
        <v>0</v>
      </c>
      <c r="JE30" s="15">
        <f t="shared" si="245"/>
        <v>0</v>
      </c>
      <c r="JF30" s="15">
        <f t="shared" si="245"/>
        <v>0</v>
      </c>
      <c r="JG30" s="15">
        <f t="shared" si="245"/>
        <v>0</v>
      </c>
      <c r="JH30" s="15">
        <f t="shared" si="245"/>
        <v>0</v>
      </c>
      <c r="JI30" s="15">
        <f t="shared" si="245"/>
        <v>0</v>
      </c>
      <c r="JJ30" s="15">
        <f t="shared" si="245"/>
        <v>0</v>
      </c>
      <c r="JK30" s="15">
        <f t="shared" si="245"/>
        <v>0</v>
      </c>
      <c r="JL30" s="15">
        <f t="shared" si="245"/>
        <v>0</v>
      </c>
      <c r="JM30" s="15">
        <f t="shared" si="245"/>
        <v>0</v>
      </c>
      <c r="JN30" s="15">
        <f t="shared" si="245"/>
        <v>0</v>
      </c>
      <c r="JO30" s="15">
        <f t="shared" si="245"/>
        <v>0</v>
      </c>
      <c r="JP30" s="15">
        <f t="shared" si="245"/>
        <v>0</v>
      </c>
      <c r="JR30" s="15">
        <f t="shared" si="246"/>
        <v>112666666.66666667</v>
      </c>
      <c r="JS30" s="15">
        <f t="shared" si="246"/>
        <v>112666666.66666667</v>
      </c>
      <c r="JT30" s="15">
        <f t="shared" si="246"/>
        <v>112666666.66666667</v>
      </c>
      <c r="JU30" s="15">
        <f t="shared" si="246"/>
        <v>112666666.66666667</v>
      </c>
      <c r="JV30" s="15">
        <f t="shared" si="246"/>
        <v>112666666.66666667</v>
      </c>
      <c r="JW30" s="15">
        <f t="shared" si="246"/>
        <v>112666666.66666667</v>
      </c>
      <c r="JX30" s="15">
        <f t="shared" si="246"/>
        <v>112666666.66666667</v>
      </c>
      <c r="JY30" s="15">
        <f t="shared" si="246"/>
        <v>112666666.66666667</v>
      </c>
      <c r="JZ30" s="15">
        <f t="shared" si="246"/>
        <v>112666666.66666667</v>
      </c>
      <c r="KA30" s="15">
        <f t="shared" si="246"/>
        <v>112666666.66666667</v>
      </c>
      <c r="KB30" s="15">
        <f t="shared" si="246"/>
        <v>112666666.66666667</v>
      </c>
      <c r="KC30" s="15">
        <f t="shared" si="246"/>
        <v>112666666.66666667</v>
      </c>
      <c r="KD30" s="15">
        <f t="shared" si="246"/>
        <v>0</v>
      </c>
      <c r="KE30" s="15">
        <f t="shared" si="246"/>
        <v>0</v>
      </c>
      <c r="KF30" s="15">
        <f t="shared" si="246"/>
        <v>0</v>
      </c>
      <c r="KG30" s="15">
        <f t="shared" si="246"/>
        <v>0</v>
      </c>
      <c r="KH30" s="15">
        <f t="shared" si="247"/>
        <v>0</v>
      </c>
      <c r="KI30" s="15">
        <f t="shared" si="247"/>
        <v>0</v>
      </c>
      <c r="KJ30" s="15">
        <f t="shared" si="247"/>
        <v>0</v>
      </c>
      <c r="KK30" s="15">
        <f t="shared" si="247"/>
        <v>0</v>
      </c>
      <c r="KL30" s="15">
        <f t="shared" si="247"/>
        <v>0</v>
      </c>
      <c r="KM30" s="15">
        <f t="shared" si="247"/>
        <v>0</v>
      </c>
      <c r="KN30" s="15">
        <f t="shared" si="247"/>
        <v>0</v>
      </c>
      <c r="KO30" s="15">
        <f t="shared" si="247"/>
        <v>0</v>
      </c>
      <c r="KP30" s="15">
        <f t="shared" si="247"/>
        <v>0</v>
      </c>
      <c r="KQ30" s="15">
        <f t="shared" si="247"/>
        <v>0</v>
      </c>
      <c r="KR30" s="15">
        <f t="shared" si="247"/>
        <v>0</v>
      </c>
      <c r="KS30" s="15">
        <f t="shared" si="247"/>
        <v>0</v>
      </c>
      <c r="KT30" s="15">
        <f t="shared" si="247"/>
        <v>0</v>
      </c>
      <c r="KU30" s="15">
        <f t="shared" si="247"/>
        <v>0</v>
      </c>
      <c r="KW30" s="15">
        <f t="shared" si="248"/>
        <v>112666666.66666667</v>
      </c>
      <c r="KX30" s="15">
        <f t="shared" si="248"/>
        <v>112666666.66666667</v>
      </c>
      <c r="KY30" s="15">
        <f t="shared" si="248"/>
        <v>112666666.66666667</v>
      </c>
      <c r="KZ30" s="15">
        <f t="shared" si="248"/>
        <v>112666666.66666667</v>
      </c>
      <c r="LA30" s="15">
        <f t="shared" si="248"/>
        <v>112666666.66666667</v>
      </c>
      <c r="LB30" s="15">
        <f t="shared" si="248"/>
        <v>112666666.66666667</v>
      </c>
      <c r="LC30" s="15">
        <f t="shared" si="248"/>
        <v>112666666.66666667</v>
      </c>
      <c r="LD30" s="15">
        <f t="shared" si="248"/>
        <v>112666666.66666667</v>
      </c>
      <c r="LE30" s="15">
        <f t="shared" si="248"/>
        <v>112666666.66666667</v>
      </c>
      <c r="LF30" s="15">
        <f t="shared" si="248"/>
        <v>112666666.66666667</v>
      </c>
      <c r="LG30" s="15">
        <f t="shared" si="248"/>
        <v>112666666.66666667</v>
      </c>
      <c r="LH30" s="15">
        <f t="shared" si="248"/>
        <v>112666666.66666667</v>
      </c>
      <c r="LI30" s="15">
        <f t="shared" si="248"/>
        <v>0</v>
      </c>
      <c r="LJ30" s="15">
        <f t="shared" si="248"/>
        <v>0</v>
      </c>
      <c r="LK30" s="15">
        <f t="shared" si="248"/>
        <v>0</v>
      </c>
      <c r="LL30" s="15">
        <f t="shared" si="248"/>
        <v>0</v>
      </c>
      <c r="LM30" s="15">
        <f t="shared" si="249"/>
        <v>0</v>
      </c>
      <c r="LN30" s="15">
        <f t="shared" si="249"/>
        <v>0</v>
      </c>
      <c r="LO30" s="15">
        <f t="shared" si="249"/>
        <v>0</v>
      </c>
      <c r="LP30" s="15">
        <f t="shared" si="249"/>
        <v>0</v>
      </c>
      <c r="LQ30" s="15">
        <f t="shared" si="249"/>
        <v>0</v>
      </c>
      <c r="LR30" s="15">
        <f t="shared" si="249"/>
        <v>0</v>
      </c>
      <c r="LS30" s="15">
        <f t="shared" si="249"/>
        <v>0</v>
      </c>
      <c r="LT30" s="15">
        <f t="shared" si="249"/>
        <v>0</v>
      </c>
      <c r="LU30" s="15">
        <f t="shared" si="249"/>
        <v>0</v>
      </c>
      <c r="LV30" s="15">
        <f t="shared" si="249"/>
        <v>0</v>
      </c>
      <c r="LW30" s="15">
        <f t="shared" si="249"/>
        <v>0</v>
      </c>
      <c r="LX30" s="15">
        <f t="shared" si="249"/>
        <v>0</v>
      </c>
      <c r="LY30" s="15">
        <f t="shared" si="249"/>
        <v>0</v>
      </c>
      <c r="LZ30" s="15">
        <f t="shared" si="249"/>
        <v>0</v>
      </c>
      <c r="MB30" s="15">
        <f t="shared" si="250"/>
        <v>112666666.66666667</v>
      </c>
      <c r="MC30" s="15">
        <f t="shared" si="250"/>
        <v>112666666.66666667</v>
      </c>
      <c r="MD30" s="15">
        <f t="shared" si="250"/>
        <v>112666666.66666667</v>
      </c>
      <c r="ME30" s="15">
        <f t="shared" si="250"/>
        <v>112666666.66666667</v>
      </c>
      <c r="MF30" s="15">
        <f t="shared" si="250"/>
        <v>112666666.66666667</v>
      </c>
      <c r="MG30" s="15">
        <f t="shared" si="250"/>
        <v>112666666.66666667</v>
      </c>
      <c r="MH30" s="15">
        <f t="shared" si="250"/>
        <v>112666666.66666667</v>
      </c>
      <c r="MI30" s="15">
        <f t="shared" si="250"/>
        <v>112666666.66666667</v>
      </c>
      <c r="MJ30" s="15">
        <f t="shared" si="250"/>
        <v>112666666.66666667</v>
      </c>
      <c r="MK30" s="15">
        <f t="shared" si="250"/>
        <v>112666666.66666667</v>
      </c>
      <c r="ML30" s="15">
        <f t="shared" si="250"/>
        <v>112666666.66666667</v>
      </c>
      <c r="MM30" s="15">
        <f t="shared" si="250"/>
        <v>112666666.66666667</v>
      </c>
      <c r="MN30" s="15">
        <f t="shared" si="250"/>
        <v>0</v>
      </c>
      <c r="MO30" s="15">
        <f t="shared" si="250"/>
        <v>0</v>
      </c>
      <c r="MP30" s="15">
        <f t="shared" si="250"/>
        <v>0</v>
      </c>
      <c r="MQ30" s="15">
        <f t="shared" si="250"/>
        <v>0</v>
      </c>
      <c r="MR30" s="15">
        <f t="shared" si="251"/>
        <v>0</v>
      </c>
      <c r="MS30" s="15">
        <f t="shared" si="251"/>
        <v>0</v>
      </c>
      <c r="MT30" s="15">
        <f t="shared" si="251"/>
        <v>0</v>
      </c>
      <c r="MU30" s="15">
        <f t="shared" si="251"/>
        <v>0</v>
      </c>
      <c r="MV30" s="15">
        <f t="shared" si="251"/>
        <v>0</v>
      </c>
      <c r="MW30" s="15">
        <f t="shared" si="251"/>
        <v>0</v>
      </c>
      <c r="MX30" s="15">
        <f t="shared" si="251"/>
        <v>0</v>
      </c>
      <c r="MY30" s="15">
        <f t="shared" si="251"/>
        <v>0</v>
      </c>
      <c r="MZ30" s="15">
        <f t="shared" si="251"/>
        <v>0</v>
      </c>
      <c r="NA30" s="15">
        <f t="shared" si="251"/>
        <v>0</v>
      </c>
      <c r="NB30" s="15">
        <f t="shared" si="251"/>
        <v>0</v>
      </c>
      <c r="NC30" s="15">
        <f t="shared" si="251"/>
        <v>0</v>
      </c>
      <c r="ND30" s="15">
        <f t="shared" si="251"/>
        <v>0</v>
      </c>
      <c r="NE30" s="15">
        <f t="shared" si="251"/>
        <v>0</v>
      </c>
    </row>
    <row r="31" spans="1:369" outlineLevel="1" x14ac:dyDescent="0.25">
      <c r="B31" t="s">
        <v>346</v>
      </c>
      <c r="C31" s="495" t="s">
        <v>415</v>
      </c>
      <c r="D31" s="613" t="s">
        <v>206</v>
      </c>
      <c r="E31" s="467">
        <v>1</v>
      </c>
      <c r="F31" s="221"/>
      <c r="G31" s="457">
        <v>12</v>
      </c>
      <c r="H31" s="468">
        <f>(1200000000/$D$6)*1.04</f>
        <v>1248000000</v>
      </c>
      <c r="I31" s="457">
        <f t="shared" si="203"/>
        <v>1248000000</v>
      </c>
      <c r="J31" s="457">
        <f t="shared" si="204"/>
        <v>104000000</v>
      </c>
      <c r="K31" s="221"/>
      <c r="L31" s="457">
        <v>12</v>
      </c>
      <c r="M31" s="457">
        <f t="shared" si="205"/>
        <v>1248000000</v>
      </c>
      <c r="N31" s="457">
        <f t="shared" si="206"/>
        <v>1248000000</v>
      </c>
      <c r="O31" s="457">
        <f t="shared" si="207"/>
        <v>104000000</v>
      </c>
      <c r="P31" s="221"/>
      <c r="Q31" s="457">
        <v>12</v>
      </c>
      <c r="R31" s="457">
        <f t="shared" si="208"/>
        <v>1248000000</v>
      </c>
      <c r="S31" s="457">
        <f t="shared" si="209"/>
        <v>1248000000</v>
      </c>
      <c r="T31" s="457">
        <f t="shared" si="210"/>
        <v>104000000</v>
      </c>
      <c r="U31" s="221"/>
      <c r="V31" s="457">
        <v>12</v>
      </c>
      <c r="W31" s="457">
        <f t="shared" si="211"/>
        <v>1248000000</v>
      </c>
      <c r="X31" s="457">
        <f t="shared" si="212"/>
        <v>1248000000</v>
      </c>
      <c r="Y31" s="457">
        <f t="shared" si="213"/>
        <v>104000000</v>
      </c>
      <c r="Z31" s="221"/>
      <c r="AA31" s="457">
        <v>12</v>
      </c>
      <c r="AB31" s="457">
        <f t="shared" si="214"/>
        <v>1248000000</v>
      </c>
      <c r="AC31" s="457">
        <f t="shared" si="215"/>
        <v>1248000000</v>
      </c>
      <c r="AD31" s="457">
        <f t="shared" si="216"/>
        <v>104000000</v>
      </c>
      <c r="AE31" s="221"/>
      <c r="AF31" s="457">
        <v>12</v>
      </c>
      <c r="AG31" s="457">
        <f t="shared" si="217"/>
        <v>1248000000</v>
      </c>
      <c r="AH31" s="457">
        <f t="shared" si="218"/>
        <v>1248000000</v>
      </c>
      <c r="AI31" s="457">
        <f t="shared" si="219"/>
        <v>104000000</v>
      </c>
      <c r="AJ31" s="221"/>
      <c r="AK31" s="457">
        <v>12</v>
      </c>
      <c r="AL31" s="457">
        <f t="shared" si="220"/>
        <v>1248000000</v>
      </c>
      <c r="AM31" s="457">
        <f t="shared" si="221"/>
        <v>1248000000</v>
      </c>
      <c r="AN31" s="457">
        <f t="shared" si="222"/>
        <v>104000000</v>
      </c>
      <c r="AO31" s="221"/>
      <c r="AP31" s="457">
        <v>12</v>
      </c>
      <c r="AQ31" s="457">
        <f t="shared" si="223"/>
        <v>1248000000</v>
      </c>
      <c r="AR31" s="457">
        <f t="shared" si="224"/>
        <v>1248000000</v>
      </c>
      <c r="AS31" s="457">
        <f t="shared" si="225"/>
        <v>104000000</v>
      </c>
      <c r="AT31" s="221"/>
      <c r="AU31" s="457">
        <v>12</v>
      </c>
      <c r="AV31" s="457">
        <f t="shared" si="226"/>
        <v>1248000000</v>
      </c>
      <c r="AW31" s="457">
        <f t="shared" si="227"/>
        <v>1248000000</v>
      </c>
      <c r="AX31" s="457">
        <f t="shared" si="228"/>
        <v>104000000</v>
      </c>
      <c r="AY31" s="221"/>
      <c r="AZ31" s="457">
        <v>12</v>
      </c>
      <c r="BA31" s="457">
        <f t="shared" si="229"/>
        <v>1248000000</v>
      </c>
      <c r="BB31" s="457">
        <f t="shared" si="230"/>
        <v>1248000000</v>
      </c>
      <c r="BC31" s="457">
        <f t="shared" si="231"/>
        <v>104000000</v>
      </c>
      <c r="BD31" s="221"/>
      <c r="BF31" t="s">
        <v>547</v>
      </c>
      <c r="BG31" t="s">
        <v>337</v>
      </c>
      <c r="BI31" s="15">
        <f t="shared" si="232"/>
        <v>104000000</v>
      </c>
      <c r="BJ31" s="15">
        <f t="shared" si="232"/>
        <v>104000000</v>
      </c>
      <c r="BK31" s="15">
        <f t="shared" si="232"/>
        <v>104000000</v>
      </c>
      <c r="BL31" s="15">
        <f t="shared" si="232"/>
        <v>104000000</v>
      </c>
      <c r="BM31" s="15">
        <f t="shared" si="232"/>
        <v>104000000</v>
      </c>
      <c r="BN31" s="15">
        <f t="shared" si="232"/>
        <v>104000000</v>
      </c>
      <c r="BO31" s="15">
        <f t="shared" si="232"/>
        <v>104000000</v>
      </c>
      <c r="BP31" s="15">
        <f t="shared" si="232"/>
        <v>104000000</v>
      </c>
      <c r="BQ31" s="15">
        <f t="shared" si="232"/>
        <v>104000000</v>
      </c>
      <c r="BR31" s="15">
        <f t="shared" si="232"/>
        <v>104000000</v>
      </c>
      <c r="BS31" s="15">
        <f t="shared" si="232"/>
        <v>104000000</v>
      </c>
      <c r="BT31" s="15">
        <f t="shared" si="232"/>
        <v>104000000</v>
      </c>
      <c r="BU31" s="15">
        <f t="shared" si="232"/>
        <v>0</v>
      </c>
      <c r="BV31" s="15">
        <f t="shared" si="232"/>
        <v>0</v>
      </c>
      <c r="BW31" s="15">
        <f t="shared" si="232"/>
        <v>0</v>
      </c>
      <c r="BX31" s="15">
        <f t="shared" si="232"/>
        <v>0</v>
      </c>
      <c r="BY31" s="15">
        <f t="shared" si="233"/>
        <v>0</v>
      </c>
      <c r="BZ31" s="15">
        <f t="shared" si="233"/>
        <v>0</v>
      </c>
      <c r="CA31" s="15">
        <f t="shared" si="233"/>
        <v>0</v>
      </c>
      <c r="CB31" s="15">
        <f t="shared" si="233"/>
        <v>0</v>
      </c>
      <c r="CC31" s="15">
        <f t="shared" si="233"/>
        <v>0</v>
      </c>
      <c r="CD31" s="15">
        <f t="shared" si="233"/>
        <v>0</v>
      </c>
      <c r="CE31" s="15">
        <f t="shared" si="233"/>
        <v>0</v>
      </c>
      <c r="CF31" s="15">
        <f t="shared" si="233"/>
        <v>0</v>
      </c>
      <c r="CG31" s="15">
        <f t="shared" si="233"/>
        <v>0</v>
      </c>
      <c r="CH31" s="15">
        <f t="shared" si="233"/>
        <v>0</v>
      </c>
      <c r="CI31" s="15">
        <f t="shared" si="233"/>
        <v>0</v>
      </c>
      <c r="CJ31" s="15">
        <f t="shared" si="233"/>
        <v>0</v>
      </c>
      <c r="CK31" s="15">
        <f t="shared" si="233"/>
        <v>0</v>
      </c>
      <c r="CL31" s="15">
        <f t="shared" si="233"/>
        <v>0</v>
      </c>
      <c r="CN31" s="15">
        <f t="shared" si="234"/>
        <v>104000000</v>
      </c>
      <c r="CO31" s="15">
        <f t="shared" si="234"/>
        <v>104000000</v>
      </c>
      <c r="CP31" s="15">
        <f t="shared" si="234"/>
        <v>104000000</v>
      </c>
      <c r="CQ31" s="15">
        <f t="shared" si="234"/>
        <v>104000000</v>
      </c>
      <c r="CR31" s="15">
        <f t="shared" si="234"/>
        <v>104000000</v>
      </c>
      <c r="CS31" s="15">
        <f t="shared" si="234"/>
        <v>104000000</v>
      </c>
      <c r="CT31" s="15">
        <f t="shared" si="234"/>
        <v>104000000</v>
      </c>
      <c r="CU31" s="15">
        <f t="shared" si="234"/>
        <v>104000000</v>
      </c>
      <c r="CV31" s="15">
        <f t="shared" si="234"/>
        <v>104000000</v>
      </c>
      <c r="CW31" s="15">
        <f t="shared" si="234"/>
        <v>104000000</v>
      </c>
      <c r="CX31" s="15">
        <f t="shared" si="234"/>
        <v>104000000</v>
      </c>
      <c r="CY31" s="15">
        <f t="shared" si="234"/>
        <v>104000000</v>
      </c>
      <c r="CZ31" s="15">
        <f t="shared" si="234"/>
        <v>0</v>
      </c>
      <c r="DA31" s="15">
        <f t="shared" si="234"/>
        <v>0</v>
      </c>
      <c r="DB31" s="15">
        <f t="shared" si="234"/>
        <v>0</v>
      </c>
      <c r="DC31" s="15">
        <f t="shared" si="234"/>
        <v>0</v>
      </c>
      <c r="DD31" s="15">
        <f t="shared" si="235"/>
        <v>0</v>
      </c>
      <c r="DE31" s="15">
        <f t="shared" si="235"/>
        <v>0</v>
      </c>
      <c r="DF31" s="15">
        <f t="shared" si="235"/>
        <v>0</v>
      </c>
      <c r="DG31" s="15">
        <f t="shared" si="235"/>
        <v>0</v>
      </c>
      <c r="DH31" s="15">
        <f t="shared" si="235"/>
        <v>0</v>
      </c>
      <c r="DI31" s="15">
        <f t="shared" si="235"/>
        <v>0</v>
      </c>
      <c r="DJ31" s="15">
        <f t="shared" si="235"/>
        <v>0</v>
      </c>
      <c r="DK31" s="15">
        <f t="shared" si="235"/>
        <v>0</v>
      </c>
      <c r="DL31" s="15">
        <f t="shared" si="235"/>
        <v>0</v>
      </c>
      <c r="DM31" s="15">
        <f t="shared" si="235"/>
        <v>0</v>
      </c>
      <c r="DN31" s="15">
        <f t="shared" si="235"/>
        <v>0</v>
      </c>
      <c r="DO31" s="15">
        <f t="shared" si="235"/>
        <v>0</v>
      </c>
      <c r="DP31" s="15">
        <f t="shared" si="235"/>
        <v>0</v>
      </c>
      <c r="DQ31" s="15">
        <f t="shared" si="235"/>
        <v>0</v>
      </c>
      <c r="DS31" s="15">
        <f t="shared" si="236"/>
        <v>104000000</v>
      </c>
      <c r="DT31" s="15">
        <f t="shared" si="236"/>
        <v>104000000</v>
      </c>
      <c r="DU31" s="15">
        <f t="shared" si="236"/>
        <v>104000000</v>
      </c>
      <c r="DV31" s="15">
        <f t="shared" si="236"/>
        <v>104000000</v>
      </c>
      <c r="DW31" s="15">
        <f t="shared" si="236"/>
        <v>104000000</v>
      </c>
      <c r="DX31" s="15">
        <f t="shared" si="236"/>
        <v>104000000</v>
      </c>
      <c r="DY31" s="15">
        <f t="shared" si="236"/>
        <v>104000000</v>
      </c>
      <c r="DZ31" s="15">
        <f t="shared" si="236"/>
        <v>104000000</v>
      </c>
      <c r="EA31" s="15">
        <f t="shared" si="236"/>
        <v>104000000</v>
      </c>
      <c r="EB31" s="15">
        <f t="shared" si="236"/>
        <v>104000000</v>
      </c>
      <c r="EC31" s="15">
        <f t="shared" si="236"/>
        <v>104000000</v>
      </c>
      <c r="ED31" s="15">
        <f t="shared" si="236"/>
        <v>104000000</v>
      </c>
      <c r="EE31" s="15">
        <f t="shared" si="236"/>
        <v>0</v>
      </c>
      <c r="EF31" s="15">
        <f t="shared" si="236"/>
        <v>0</v>
      </c>
      <c r="EG31" s="15">
        <f t="shared" si="236"/>
        <v>0</v>
      </c>
      <c r="EH31" s="15">
        <f t="shared" si="236"/>
        <v>0</v>
      </c>
      <c r="EI31" s="15">
        <f t="shared" si="237"/>
        <v>0</v>
      </c>
      <c r="EJ31" s="15">
        <f t="shared" si="237"/>
        <v>0</v>
      </c>
      <c r="EK31" s="15">
        <f t="shared" si="237"/>
        <v>0</v>
      </c>
      <c r="EL31" s="15">
        <f t="shared" si="237"/>
        <v>0</v>
      </c>
      <c r="EM31" s="15">
        <f t="shared" si="237"/>
        <v>0</v>
      </c>
      <c r="EN31" s="15">
        <f t="shared" si="237"/>
        <v>0</v>
      </c>
      <c r="EO31" s="15">
        <f t="shared" si="237"/>
        <v>0</v>
      </c>
      <c r="EP31" s="15">
        <f t="shared" si="237"/>
        <v>0</v>
      </c>
      <c r="EQ31" s="15">
        <f t="shared" si="237"/>
        <v>0</v>
      </c>
      <c r="ER31" s="15">
        <f t="shared" si="237"/>
        <v>0</v>
      </c>
      <c r="ES31" s="15">
        <f t="shared" si="237"/>
        <v>0</v>
      </c>
      <c r="ET31" s="15">
        <f t="shared" si="237"/>
        <v>0</v>
      </c>
      <c r="EU31" s="15">
        <f t="shared" si="237"/>
        <v>0</v>
      </c>
      <c r="EV31" s="15">
        <f t="shared" si="237"/>
        <v>0</v>
      </c>
      <c r="EX31" s="15">
        <f t="shared" si="238"/>
        <v>104000000</v>
      </c>
      <c r="EY31" s="15">
        <f t="shared" si="238"/>
        <v>104000000</v>
      </c>
      <c r="EZ31" s="15">
        <f t="shared" si="238"/>
        <v>104000000</v>
      </c>
      <c r="FA31" s="15">
        <f t="shared" si="238"/>
        <v>104000000</v>
      </c>
      <c r="FB31" s="15">
        <f t="shared" si="238"/>
        <v>104000000</v>
      </c>
      <c r="FC31" s="15">
        <f t="shared" si="238"/>
        <v>104000000</v>
      </c>
      <c r="FD31" s="15">
        <f t="shared" si="238"/>
        <v>104000000</v>
      </c>
      <c r="FE31" s="15">
        <f t="shared" si="238"/>
        <v>104000000</v>
      </c>
      <c r="FF31" s="15">
        <f t="shared" si="238"/>
        <v>104000000</v>
      </c>
      <c r="FG31" s="15">
        <f t="shared" si="238"/>
        <v>104000000</v>
      </c>
      <c r="FH31" s="15">
        <f t="shared" si="238"/>
        <v>104000000</v>
      </c>
      <c r="FI31" s="15">
        <f t="shared" si="238"/>
        <v>104000000</v>
      </c>
      <c r="FJ31" s="15">
        <f t="shared" si="238"/>
        <v>0</v>
      </c>
      <c r="FK31" s="15">
        <f t="shared" si="238"/>
        <v>0</v>
      </c>
      <c r="FL31" s="15">
        <f t="shared" si="238"/>
        <v>0</v>
      </c>
      <c r="FM31" s="15">
        <f t="shared" si="238"/>
        <v>0</v>
      </c>
      <c r="FN31" s="15">
        <f t="shared" si="239"/>
        <v>0</v>
      </c>
      <c r="FO31" s="15">
        <f t="shared" si="239"/>
        <v>0</v>
      </c>
      <c r="FP31" s="15">
        <f t="shared" si="239"/>
        <v>0</v>
      </c>
      <c r="FQ31" s="15">
        <f t="shared" si="239"/>
        <v>0</v>
      </c>
      <c r="FR31" s="15">
        <f t="shared" si="239"/>
        <v>0</v>
      </c>
      <c r="FS31" s="15">
        <f t="shared" si="239"/>
        <v>0</v>
      </c>
      <c r="FT31" s="15">
        <f t="shared" si="239"/>
        <v>0</v>
      </c>
      <c r="FU31" s="15">
        <f t="shared" si="239"/>
        <v>0</v>
      </c>
      <c r="FV31" s="15">
        <f t="shared" si="239"/>
        <v>0</v>
      </c>
      <c r="FW31" s="15">
        <f t="shared" si="239"/>
        <v>0</v>
      </c>
      <c r="FX31" s="15">
        <f t="shared" si="239"/>
        <v>0</v>
      </c>
      <c r="FY31" s="15">
        <f t="shared" si="239"/>
        <v>0</v>
      </c>
      <c r="FZ31" s="15">
        <f t="shared" si="239"/>
        <v>0</v>
      </c>
      <c r="GA31" s="15">
        <f t="shared" si="239"/>
        <v>0</v>
      </c>
      <c r="GC31" s="15">
        <f t="shared" si="240"/>
        <v>104000000</v>
      </c>
      <c r="GD31" s="15">
        <f t="shared" si="240"/>
        <v>104000000</v>
      </c>
      <c r="GE31" s="15">
        <f t="shared" si="240"/>
        <v>104000000</v>
      </c>
      <c r="GF31" s="15">
        <f t="shared" si="240"/>
        <v>104000000</v>
      </c>
      <c r="GG31" s="15">
        <f t="shared" si="240"/>
        <v>104000000</v>
      </c>
      <c r="GH31" s="15">
        <f t="shared" si="240"/>
        <v>104000000</v>
      </c>
      <c r="GI31" s="15">
        <f t="shared" si="240"/>
        <v>104000000</v>
      </c>
      <c r="GJ31" s="15">
        <f t="shared" si="240"/>
        <v>104000000</v>
      </c>
      <c r="GK31" s="15">
        <f t="shared" si="240"/>
        <v>104000000</v>
      </c>
      <c r="GL31" s="15">
        <f t="shared" si="240"/>
        <v>104000000</v>
      </c>
      <c r="GM31" s="15">
        <f t="shared" si="240"/>
        <v>104000000</v>
      </c>
      <c r="GN31" s="15">
        <f t="shared" si="240"/>
        <v>104000000</v>
      </c>
      <c r="GO31" s="15">
        <f t="shared" si="240"/>
        <v>0</v>
      </c>
      <c r="GP31" s="15">
        <f t="shared" si="240"/>
        <v>0</v>
      </c>
      <c r="GQ31" s="15">
        <f t="shared" si="240"/>
        <v>0</v>
      </c>
      <c r="GR31" s="15">
        <f t="shared" si="240"/>
        <v>0</v>
      </c>
      <c r="GS31" s="15">
        <f t="shared" si="241"/>
        <v>0</v>
      </c>
      <c r="GT31" s="15">
        <f t="shared" si="241"/>
        <v>0</v>
      </c>
      <c r="GU31" s="15">
        <f t="shared" si="241"/>
        <v>0</v>
      </c>
      <c r="GV31" s="15">
        <f t="shared" si="241"/>
        <v>0</v>
      </c>
      <c r="GW31" s="15">
        <f t="shared" si="241"/>
        <v>0</v>
      </c>
      <c r="GX31" s="15">
        <f t="shared" si="241"/>
        <v>0</v>
      </c>
      <c r="GY31" s="15">
        <f t="shared" si="241"/>
        <v>0</v>
      </c>
      <c r="GZ31" s="15">
        <f t="shared" si="241"/>
        <v>0</v>
      </c>
      <c r="HA31" s="15">
        <f t="shared" si="241"/>
        <v>0</v>
      </c>
      <c r="HB31" s="15">
        <f t="shared" si="241"/>
        <v>0</v>
      </c>
      <c r="HC31" s="15">
        <f t="shared" si="241"/>
        <v>0</v>
      </c>
      <c r="HD31" s="15">
        <f t="shared" si="241"/>
        <v>0</v>
      </c>
      <c r="HE31" s="15">
        <f t="shared" si="241"/>
        <v>0</v>
      </c>
      <c r="HF31" s="15">
        <f t="shared" si="241"/>
        <v>0</v>
      </c>
      <c r="HH31" s="15">
        <f t="shared" si="242"/>
        <v>104000000</v>
      </c>
      <c r="HI31" s="15">
        <f t="shared" si="242"/>
        <v>104000000</v>
      </c>
      <c r="HJ31" s="15">
        <f t="shared" si="242"/>
        <v>104000000</v>
      </c>
      <c r="HK31" s="15">
        <f t="shared" si="242"/>
        <v>104000000</v>
      </c>
      <c r="HL31" s="15">
        <f t="shared" si="242"/>
        <v>104000000</v>
      </c>
      <c r="HM31" s="15">
        <f t="shared" si="242"/>
        <v>104000000</v>
      </c>
      <c r="HN31" s="15">
        <f t="shared" si="242"/>
        <v>104000000</v>
      </c>
      <c r="HO31" s="15">
        <f t="shared" si="242"/>
        <v>104000000</v>
      </c>
      <c r="HP31" s="15">
        <f t="shared" si="242"/>
        <v>104000000</v>
      </c>
      <c r="HQ31" s="15">
        <f t="shared" si="242"/>
        <v>104000000</v>
      </c>
      <c r="HR31" s="15">
        <f t="shared" si="242"/>
        <v>104000000</v>
      </c>
      <c r="HS31" s="15">
        <f t="shared" si="242"/>
        <v>104000000</v>
      </c>
      <c r="HT31" s="15">
        <f t="shared" si="242"/>
        <v>0</v>
      </c>
      <c r="HU31" s="15">
        <f t="shared" si="242"/>
        <v>0</v>
      </c>
      <c r="HV31" s="15">
        <f t="shared" si="242"/>
        <v>0</v>
      </c>
      <c r="HW31" s="15">
        <f t="shared" si="242"/>
        <v>0</v>
      </c>
      <c r="HX31" s="15">
        <f t="shared" si="243"/>
        <v>0</v>
      </c>
      <c r="HY31" s="15">
        <f t="shared" si="243"/>
        <v>0</v>
      </c>
      <c r="HZ31" s="15">
        <f t="shared" si="243"/>
        <v>0</v>
      </c>
      <c r="IA31" s="15">
        <f t="shared" si="243"/>
        <v>0</v>
      </c>
      <c r="IB31" s="15">
        <f t="shared" si="243"/>
        <v>0</v>
      </c>
      <c r="IC31" s="15">
        <f t="shared" si="243"/>
        <v>0</v>
      </c>
      <c r="ID31" s="15">
        <f t="shared" si="243"/>
        <v>0</v>
      </c>
      <c r="IE31" s="15">
        <f t="shared" si="243"/>
        <v>0</v>
      </c>
      <c r="IF31" s="15">
        <f t="shared" si="243"/>
        <v>0</v>
      </c>
      <c r="IG31" s="15">
        <f t="shared" si="243"/>
        <v>0</v>
      </c>
      <c r="IH31" s="15">
        <f t="shared" si="243"/>
        <v>0</v>
      </c>
      <c r="II31" s="15">
        <f t="shared" si="243"/>
        <v>0</v>
      </c>
      <c r="IJ31" s="15">
        <f t="shared" si="243"/>
        <v>0</v>
      </c>
      <c r="IK31" s="15">
        <f t="shared" si="243"/>
        <v>0</v>
      </c>
      <c r="IM31" s="15">
        <f t="shared" si="244"/>
        <v>104000000</v>
      </c>
      <c r="IN31" s="15">
        <f t="shared" si="244"/>
        <v>104000000</v>
      </c>
      <c r="IO31" s="15">
        <f t="shared" si="244"/>
        <v>104000000</v>
      </c>
      <c r="IP31" s="15">
        <f t="shared" si="244"/>
        <v>104000000</v>
      </c>
      <c r="IQ31" s="15">
        <f t="shared" si="244"/>
        <v>104000000</v>
      </c>
      <c r="IR31" s="15">
        <f t="shared" si="244"/>
        <v>104000000</v>
      </c>
      <c r="IS31" s="15">
        <f t="shared" si="244"/>
        <v>104000000</v>
      </c>
      <c r="IT31" s="15">
        <f t="shared" si="244"/>
        <v>104000000</v>
      </c>
      <c r="IU31" s="15">
        <f t="shared" si="244"/>
        <v>104000000</v>
      </c>
      <c r="IV31" s="15">
        <f t="shared" si="244"/>
        <v>104000000</v>
      </c>
      <c r="IW31" s="15">
        <f t="shared" si="244"/>
        <v>104000000</v>
      </c>
      <c r="IX31" s="15">
        <f t="shared" si="244"/>
        <v>104000000</v>
      </c>
      <c r="IY31" s="15">
        <f t="shared" si="244"/>
        <v>0</v>
      </c>
      <c r="IZ31" s="15">
        <f t="shared" si="244"/>
        <v>0</v>
      </c>
      <c r="JA31" s="15">
        <f t="shared" si="244"/>
        <v>0</v>
      </c>
      <c r="JB31" s="15">
        <f t="shared" si="244"/>
        <v>0</v>
      </c>
      <c r="JC31" s="15">
        <f t="shared" si="245"/>
        <v>0</v>
      </c>
      <c r="JD31" s="15">
        <f t="shared" si="245"/>
        <v>0</v>
      </c>
      <c r="JE31" s="15">
        <f t="shared" si="245"/>
        <v>0</v>
      </c>
      <c r="JF31" s="15">
        <f t="shared" si="245"/>
        <v>0</v>
      </c>
      <c r="JG31" s="15">
        <f t="shared" si="245"/>
        <v>0</v>
      </c>
      <c r="JH31" s="15">
        <f t="shared" si="245"/>
        <v>0</v>
      </c>
      <c r="JI31" s="15">
        <f t="shared" si="245"/>
        <v>0</v>
      </c>
      <c r="JJ31" s="15">
        <f t="shared" si="245"/>
        <v>0</v>
      </c>
      <c r="JK31" s="15">
        <f t="shared" si="245"/>
        <v>0</v>
      </c>
      <c r="JL31" s="15">
        <f t="shared" si="245"/>
        <v>0</v>
      </c>
      <c r="JM31" s="15">
        <f t="shared" si="245"/>
        <v>0</v>
      </c>
      <c r="JN31" s="15">
        <f t="shared" si="245"/>
        <v>0</v>
      </c>
      <c r="JO31" s="15">
        <f t="shared" si="245"/>
        <v>0</v>
      </c>
      <c r="JP31" s="15">
        <f t="shared" si="245"/>
        <v>0</v>
      </c>
      <c r="JR31" s="15">
        <f t="shared" si="246"/>
        <v>104000000</v>
      </c>
      <c r="JS31" s="15">
        <f t="shared" si="246"/>
        <v>104000000</v>
      </c>
      <c r="JT31" s="15">
        <f t="shared" si="246"/>
        <v>104000000</v>
      </c>
      <c r="JU31" s="15">
        <f t="shared" si="246"/>
        <v>104000000</v>
      </c>
      <c r="JV31" s="15">
        <f t="shared" si="246"/>
        <v>104000000</v>
      </c>
      <c r="JW31" s="15">
        <f t="shared" si="246"/>
        <v>104000000</v>
      </c>
      <c r="JX31" s="15">
        <f t="shared" si="246"/>
        <v>104000000</v>
      </c>
      <c r="JY31" s="15">
        <f t="shared" si="246"/>
        <v>104000000</v>
      </c>
      <c r="JZ31" s="15">
        <f t="shared" si="246"/>
        <v>104000000</v>
      </c>
      <c r="KA31" s="15">
        <f t="shared" si="246"/>
        <v>104000000</v>
      </c>
      <c r="KB31" s="15">
        <f t="shared" si="246"/>
        <v>104000000</v>
      </c>
      <c r="KC31" s="15">
        <f t="shared" si="246"/>
        <v>104000000</v>
      </c>
      <c r="KD31" s="15">
        <f t="shared" si="246"/>
        <v>0</v>
      </c>
      <c r="KE31" s="15">
        <f t="shared" si="246"/>
        <v>0</v>
      </c>
      <c r="KF31" s="15">
        <f t="shared" si="246"/>
        <v>0</v>
      </c>
      <c r="KG31" s="15">
        <f t="shared" si="246"/>
        <v>0</v>
      </c>
      <c r="KH31" s="15">
        <f t="shared" si="247"/>
        <v>0</v>
      </c>
      <c r="KI31" s="15">
        <f t="shared" si="247"/>
        <v>0</v>
      </c>
      <c r="KJ31" s="15">
        <f t="shared" si="247"/>
        <v>0</v>
      </c>
      <c r="KK31" s="15">
        <f t="shared" si="247"/>
        <v>0</v>
      </c>
      <c r="KL31" s="15">
        <f t="shared" si="247"/>
        <v>0</v>
      </c>
      <c r="KM31" s="15">
        <f t="shared" si="247"/>
        <v>0</v>
      </c>
      <c r="KN31" s="15">
        <f t="shared" si="247"/>
        <v>0</v>
      </c>
      <c r="KO31" s="15">
        <f t="shared" si="247"/>
        <v>0</v>
      </c>
      <c r="KP31" s="15">
        <f t="shared" si="247"/>
        <v>0</v>
      </c>
      <c r="KQ31" s="15">
        <f t="shared" si="247"/>
        <v>0</v>
      </c>
      <c r="KR31" s="15">
        <f t="shared" si="247"/>
        <v>0</v>
      </c>
      <c r="KS31" s="15">
        <f t="shared" si="247"/>
        <v>0</v>
      </c>
      <c r="KT31" s="15">
        <f t="shared" si="247"/>
        <v>0</v>
      </c>
      <c r="KU31" s="15">
        <f t="shared" si="247"/>
        <v>0</v>
      </c>
      <c r="KW31" s="15">
        <f t="shared" si="248"/>
        <v>104000000</v>
      </c>
      <c r="KX31" s="15">
        <f t="shared" si="248"/>
        <v>104000000</v>
      </c>
      <c r="KY31" s="15">
        <f t="shared" si="248"/>
        <v>104000000</v>
      </c>
      <c r="KZ31" s="15">
        <f t="shared" si="248"/>
        <v>104000000</v>
      </c>
      <c r="LA31" s="15">
        <f t="shared" si="248"/>
        <v>104000000</v>
      </c>
      <c r="LB31" s="15">
        <f t="shared" si="248"/>
        <v>104000000</v>
      </c>
      <c r="LC31" s="15">
        <f t="shared" si="248"/>
        <v>104000000</v>
      </c>
      <c r="LD31" s="15">
        <f t="shared" si="248"/>
        <v>104000000</v>
      </c>
      <c r="LE31" s="15">
        <f t="shared" si="248"/>
        <v>104000000</v>
      </c>
      <c r="LF31" s="15">
        <f t="shared" si="248"/>
        <v>104000000</v>
      </c>
      <c r="LG31" s="15">
        <f t="shared" si="248"/>
        <v>104000000</v>
      </c>
      <c r="LH31" s="15">
        <f t="shared" si="248"/>
        <v>104000000</v>
      </c>
      <c r="LI31" s="15">
        <f t="shared" si="248"/>
        <v>0</v>
      </c>
      <c r="LJ31" s="15">
        <f t="shared" si="248"/>
        <v>0</v>
      </c>
      <c r="LK31" s="15">
        <f t="shared" si="248"/>
        <v>0</v>
      </c>
      <c r="LL31" s="15">
        <f t="shared" si="248"/>
        <v>0</v>
      </c>
      <c r="LM31" s="15">
        <f t="shared" si="249"/>
        <v>0</v>
      </c>
      <c r="LN31" s="15">
        <f t="shared" si="249"/>
        <v>0</v>
      </c>
      <c r="LO31" s="15">
        <f t="shared" si="249"/>
        <v>0</v>
      </c>
      <c r="LP31" s="15">
        <f t="shared" si="249"/>
        <v>0</v>
      </c>
      <c r="LQ31" s="15">
        <f t="shared" si="249"/>
        <v>0</v>
      </c>
      <c r="LR31" s="15">
        <f t="shared" si="249"/>
        <v>0</v>
      </c>
      <c r="LS31" s="15">
        <f t="shared" si="249"/>
        <v>0</v>
      </c>
      <c r="LT31" s="15">
        <f t="shared" si="249"/>
        <v>0</v>
      </c>
      <c r="LU31" s="15">
        <f t="shared" si="249"/>
        <v>0</v>
      </c>
      <c r="LV31" s="15">
        <f t="shared" si="249"/>
        <v>0</v>
      </c>
      <c r="LW31" s="15">
        <f t="shared" si="249"/>
        <v>0</v>
      </c>
      <c r="LX31" s="15">
        <f t="shared" si="249"/>
        <v>0</v>
      </c>
      <c r="LY31" s="15">
        <f t="shared" si="249"/>
        <v>0</v>
      </c>
      <c r="LZ31" s="15">
        <f t="shared" si="249"/>
        <v>0</v>
      </c>
      <c r="MB31" s="15">
        <f t="shared" si="250"/>
        <v>104000000</v>
      </c>
      <c r="MC31" s="15">
        <f t="shared" si="250"/>
        <v>104000000</v>
      </c>
      <c r="MD31" s="15">
        <f t="shared" si="250"/>
        <v>104000000</v>
      </c>
      <c r="ME31" s="15">
        <f t="shared" si="250"/>
        <v>104000000</v>
      </c>
      <c r="MF31" s="15">
        <f t="shared" si="250"/>
        <v>104000000</v>
      </c>
      <c r="MG31" s="15">
        <f t="shared" si="250"/>
        <v>104000000</v>
      </c>
      <c r="MH31" s="15">
        <f t="shared" si="250"/>
        <v>104000000</v>
      </c>
      <c r="MI31" s="15">
        <f t="shared" si="250"/>
        <v>104000000</v>
      </c>
      <c r="MJ31" s="15">
        <f t="shared" si="250"/>
        <v>104000000</v>
      </c>
      <c r="MK31" s="15">
        <f t="shared" si="250"/>
        <v>104000000</v>
      </c>
      <c r="ML31" s="15">
        <f t="shared" si="250"/>
        <v>104000000</v>
      </c>
      <c r="MM31" s="15">
        <f t="shared" si="250"/>
        <v>104000000</v>
      </c>
      <c r="MN31" s="15">
        <f t="shared" si="250"/>
        <v>0</v>
      </c>
      <c r="MO31" s="15">
        <f t="shared" si="250"/>
        <v>0</v>
      </c>
      <c r="MP31" s="15">
        <f t="shared" si="250"/>
        <v>0</v>
      </c>
      <c r="MQ31" s="15">
        <f t="shared" si="250"/>
        <v>0</v>
      </c>
      <c r="MR31" s="15">
        <f t="shared" si="251"/>
        <v>0</v>
      </c>
      <c r="MS31" s="15">
        <f t="shared" si="251"/>
        <v>0</v>
      </c>
      <c r="MT31" s="15">
        <f t="shared" si="251"/>
        <v>0</v>
      </c>
      <c r="MU31" s="15">
        <f t="shared" si="251"/>
        <v>0</v>
      </c>
      <c r="MV31" s="15">
        <f t="shared" si="251"/>
        <v>0</v>
      </c>
      <c r="MW31" s="15">
        <f t="shared" si="251"/>
        <v>0</v>
      </c>
      <c r="MX31" s="15">
        <f t="shared" si="251"/>
        <v>0</v>
      </c>
      <c r="MY31" s="15">
        <f t="shared" si="251"/>
        <v>0</v>
      </c>
      <c r="MZ31" s="15">
        <f t="shared" si="251"/>
        <v>0</v>
      </c>
      <c r="NA31" s="15">
        <f t="shared" si="251"/>
        <v>0</v>
      </c>
      <c r="NB31" s="15">
        <f t="shared" si="251"/>
        <v>0</v>
      </c>
      <c r="NC31" s="15">
        <f t="shared" si="251"/>
        <v>0</v>
      </c>
      <c r="ND31" s="15">
        <f t="shared" si="251"/>
        <v>0</v>
      </c>
      <c r="NE31" s="15">
        <f t="shared" si="251"/>
        <v>0</v>
      </c>
    </row>
    <row r="32" spans="1:369" s="142" customFormat="1" outlineLevel="1" x14ac:dyDescent="0.25">
      <c r="A32"/>
      <c r="B32" t="s">
        <v>346</v>
      </c>
      <c r="C32" s="495" t="s">
        <v>416</v>
      </c>
      <c r="D32" s="613" t="s">
        <v>207</v>
      </c>
      <c r="E32" s="467">
        <v>1</v>
      </c>
      <c r="F32" s="221"/>
      <c r="G32" s="457">
        <v>12</v>
      </c>
      <c r="H32" s="468">
        <f>(750000000/$D$6)*1.04</f>
        <v>780000000</v>
      </c>
      <c r="I32" s="457">
        <f t="shared" si="203"/>
        <v>780000000</v>
      </c>
      <c r="J32" s="457">
        <f t="shared" si="204"/>
        <v>65000000</v>
      </c>
      <c r="K32" s="221"/>
      <c r="L32" s="457">
        <v>12</v>
      </c>
      <c r="M32" s="457">
        <f t="shared" si="205"/>
        <v>780000000</v>
      </c>
      <c r="N32" s="457">
        <f t="shared" si="206"/>
        <v>780000000</v>
      </c>
      <c r="O32" s="457">
        <f t="shared" si="207"/>
        <v>65000000</v>
      </c>
      <c r="P32" s="221"/>
      <c r="Q32" s="457">
        <v>12</v>
      </c>
      <c r="R32" s="457">
        <f t="shared" si="208"/>
        <v>780000000</v>
      </c>
      <c r="S32" s="457">
        <f t="shared" si="209"/>
        <v>780000000</v>
      </c>
      <c r="T32" s="457">
        <f t="shared" si="210"/>
        <v>65000000</v>
      </c>
      <c r="U32" s="221"/>
      <c r="V32" s="457">
        <v>12</v>
      </c>
      <c r="W32" s="457">
        <f t="shared" si="211"/>
        <v>780000000</v>
      </c>
      <c r="X32" s="457">
        <f t="shared" si="212"/>
        <v>780000000</v>
      </c>
      <c r="Y32" s="457">
        <f t="shared" si="213"/>
        <v>65000000</v>
      </c>
      <c r="Z32" s="221"/>
      <c r="AA32" s="457">
        <v>12</v>
      </c>
      <c r="AB32" s="457">
        <f t="shared" si="214"/>
        <v>780000000</v>
      </c>
      <c r="AC32" s="457">
        <f t="shared" si="215"/>
        <v>780000000</v>
      </c>
      <c r="AD32" s="457">
        <f t="shared" si="216"/>
        <v>65000000</v>
      </c>
      <c r="AE32" s="221"/>
      <c r="AF32" s="457">
        <v>12</v>
      </c>
      <c r="AG32" s="457">
        <f t="shared" si="217"/>
        <v>780000000</v>
      </c>
      <c r="AH32" s="457">
        <f t="shared" si="218"/>
        <v>780000000</v>
      </c>
      <c r="AI32" s="457">
        <f t="shared" si="219"/>
        <v>65000000</v>
      </c>
      <c r="AJ32" s="221"/>
      <c r="AK32" s="457">
        <v>12</v>
      </c>
      <c r="AL32" s="457">
        <f t="shared" si="220"/>
        <v>780000000</v>
      </c>
      <c r="AM32" s="457">
        <f t="shared" si="221"/>
        <v>780000000</v>
      </c>
      <c r="AN32" s="457">
        <f t="shared" si="222"/>
        <v>65000000</v>
      </c>
      <c r="AO32" s="221"/>
      <c r="AP32" s="457">
        <v>12</v>
      </c>
      <c r="AQ32" s="457">
        <f t="shared" si="223"/>
        <v>780000000</v>
      </c>
      <c r="AR32" s="457">
        <f t="shared" si="224"/>
        <v>780000000</v>
      </c>
      <c r="AS32" s="457">
        <f t="shared" si="225"/>
        <v>65000000</v>
      </c>
      <c r="AT32" s="221"/>
      <c r="AU32" s="457">
        <v>12</v>
      </c>
      <c r="AV32" s="457">
        <f t="shared" si="226"/>
        <v>780000000</v>
      </c>
      <c r="AW32" s="457">
        <f t="shared" si="227"/>
        <v>780000000</v>
      </c>
      <c r="AX32" s="457">
        <f t="shared" si="228"/>
        <v>65000000</v>
      </c>
      <c r="AY32" s="221"/>
      <c r="AZ32" s="457">
        <v>12</v>
      </c>
      <c r="BA32" s="457">
        <f t="shared" si="229"/>
        <v>780000000</v>
      </c>
      <c r="BB32" s="457">
        <f t="shared" si="230"/>
        <v>780000000</v>
      </c>
      <c r="BC32" s="457">
        <f t="shared" si="231"/>
        <v>65000000</v>
      </c>
      <c r="BD32" s="221"/>
      <c r="BE32"/>
      <c r="BF32" t="s">
        <v>547</v>
      </c>
      <c r="BG32" t="s">
        <v>337</v>
      </c>
      <c r="BH32"/>
      <c r="BI32" s="15">
        <f t="shared" si="232"/>
        <v>65000000</v>
      </c>
      <c r="BJ32" s="15">
        <f t="shared" si="232"/>
        <v>65000000</v>
      </c>
      <c r="BK32" s="15">
        <f t="shared" si="232"/>
        <v>65000000</v>
      </c>
      <c r="BL32" s="15">
        <f t="shared" si="232"/>
        <v>65000000</v>
      </c>
      <c r="BM32" s="15">
        <f t="shared" si="232"/>
        <v>65000000</v>
      </c>
      <c r="BN32" s="15">
        <f t="shared" si="232"/>
        <v>65000000</v>
      </c>
      <c r="BO32" s="15">
        <f t="shared" si="232"/>
        <v>65000000</v>
      </c>
      <c r="BP32" s="15">
        <f t="shared" si="232"/>
        <v>65000000</v>
      </c>
      <c r="BQ32" s="15">
        <f t="shared" si="232"/>
        <v>65000000</v>
      </c>
      <c r="BR32" s="15">
        <f t="shared" si="232"/>
        <v>65000000</v>
      </c>
      <c r="BS32" s="15">
        <f t="shared" si="232"/>
        <v>65000000</v>
      </c>
      <c r="BT32" s="15">
        <f t="shared" si="232"/>
        <v>65000000</v>
      </c>
      <c r="BU32" s="15">
        <f t="shared" si="232"/>
        <v>0</v>
      </c>
      <c r="BV32" s="15">
        <f t="shared" si="232"/>
        <v>0</v>
      </c>
      <c r="BW32" s="15">
        <f t="shared" si="232"/>
        <v>0</v>
      </c>
      <c r="BX32" s="15">
        <f t="shared" si="232"/>
        <v>0</v>
      </c>
      <c r="BY32" s="15">
        <f t="shared" si="233"/>
        <v>0</v>
      </c>
      <c r="BZ32" s="15">
        <f t="shared" si="233"/>
        <v>0</v>
      </c>
      <c r="CA32" s="15">
        <f t="shared" si="233"/>
        <v>0</v>
      </c>
      <c r="CB32" s="15">
        <f t="shared" si="233"/>
        <v>0</v>
      </c>
      <c r="CC32" s="15">
        <f t="shared" si="233"/>
        <v>0</v>
      </c>
      <c r="CD32" s="15">
        <f t="shared" si="233"/>
        <v>0</v>
      </c>
      <c r="CE32" s="15">
        <f t="shared" si="233"/>
        <v>0</v>
      </c>
      <c r="CF32" s="15">
        <f t="shared" si="233"/>
        <v>0</v>
      </c>
      <c r="CG32" s="15">
        <f t="shared" si="233"/>
        <v>0</v>
      </c>
      <c r="CH32" s="15">
        <f t="shared" si="233"/>
        <v>0</v>
      </c>
      <c r="CI32" s="15">
        <f t="shared" si="233"/>
        <v>0</v>
      </c>
      <c r="CJ32" s="15">
        <f t="shared" si="233"/>
        <v>0</v>
      </c>
      <c r="CK32" s="15">
        <f t="shared" si="233"/>
        <v>0</v>
      </c>
      <c r="CL32" s="15">
        <f t="shared" si="233"/>
        <v>0</v>
      </c>
      <c r="CM32"/>
      <c r="CN32" s="15">
        <f t="shared" si="234"/>
        <v>65000000</v>
      </c>
      <c r="CO32" s="15">
        <f t="shared" si="234"/>
        <v>65000000</v>
      </c>
      <c r="CP32" s="15">
        <f t="shared" si="234"/>
        <v>65000000</v>
      </c>
      <c r="CQ32" s="15">
        <f t="shared" si="234"/>
        <v>65000000</v>
      </c>
      <c r="CR32" s="15">
        <f t="shared" si="234"/>
        <v>65000000</v>
      </c>
      <c r="CS32" s="15">
        <f t="shared" si="234"/>
        <v>65000000</v>
      </c>
      <c r="CT32" s="15">
        <f t="shared" si="234"/>
        <v>65000000</v>
      </c>
      <c r="CU32" s="15">
        <f t="shared" si="234"/>
        <v>65000000</v>
      </c>
      <c r="CV32" s="15">
        <f t="shared" si="234"/>
        <v>65000000</v>
      </c>
      <c r="CW32" s="15">
        <f t="shared" si="234"/>
        <v>65000000</v>
      </c>
      <c r="CX32" s="15">
        <f t="shared" si="234"/>
        <v>65000000</v>
      </c>
      <c r="CY32" s="15">
        <f t="shared" si="234"/>
        <v>65000000</v>
      </c>
      <c r="CZ32" s="15">
        <f t="shared" si="234"/>
        <v>0</v>
      </c>
      <c r="DA32" s="15">
        <f t="shared" si="234"/>
        <v>0</v>
      </c>
      <c r="DB32" s="15">
        <f t="shared" si="234"/>
        <v>0</v>
      </c>
      <c r="DC32" s="15">
        <f t="shared" si="234"/>
        <v>0</v>
      </c>
      <c r="DD32" s="15">
        <f t="shared" si="235"/>
        <v>0</v>
      </c>
      <c r="DE32" s="15">
        <f t="shared" si="235"/>
        <v>0</v>
      </c>
      <c r="DF32" s="15">
        <f t="shared" si="235"/>
        <v>0</v>
      </c>
      <c r="DG32" s="15">
        <f t="shared" si="235"/>
        <v>0</v>
      </c>
      <c r="DH32" s="15">
        <f t="shared" si="235"/>
        <v>0</v>
      </c>
      <c r="DI32" s="15">
        <f t="shared" si="235"/>
        <v>0</v>
      </c>
      <c r="DJ32" s="15">
        <f t="shared" si="235"/>
        <v>0</v>
      </c>
      <c r="DK32" s="15">
        <f t="shared" si="235"/>
        <v>0</v>
      </c>
      <c r="DL32" s="15">
        <f t="shared" si="235"/>
        <v>0</v>
      </c>
      <c r="DM32" s="15">
        <f t="shared" si="235"/>
        <v>0</v>
      </c>
      <c r="DN32" s="15">
        <f t="shared" si="235"/>
        <v>0</v>
      </c>
      <c r="DO32" s="15">
        <f t="shared" si="235"/>
        <v>0</v>
      </c>
      <c r="DP32" s="15">
        <f t="shared" si="235"/>
        <v>0</v>
      </c>
      <c r="DQ32" s="15">
        <f t="shared" si="235"/>
        <v>0</v>
      </c>
      <c r="DR32"/>
      <c r="DS32" s="15">
        <f t="shared" si="236"/>
        <v>65000000</v>
      </c>
      <c r="DT32" s="15">
        <f t="shared" si="236"/>
        <v>65000000</v>
      </c>
      <c r="DU32" s="15">
        <f t="shared" si="236"/>
        <v>65000000</v>
      </c>
      <c r="DV32" s="15">
        <f t="shared" si="236"/>
        <v>65000000</v>
      </c>
      <c r="DW32" s="15">
        <f t="shared" si="236"/>
        <v>65000000</v>
      </c>
      <c r="DX32" s="15">
        <f t="shared" si="236"/>
        <v>65000000</v>
      </c>
      <c r="DY32" s="15">
        <f t="shared" si="236"/>
        <v>65000000</v>
      </c>
      <c r="DZ32" s="15">
        <f t="shared" si="236"/>
        <v>65000000</v>
      </c>
      <c r="EA32" s="15">
        <f t="shared" si="236"/>
        <v>65000000</v>
      </c>
      <c r="EB32" s="15">
        <f t="shared" si="236"/>
        <v>65000000</v>
      </c>
      <c r="EC32" s="15">
        <f t="shared" si="236"/>
        <v>65000000</v>
      </c>
      <c r="ED32" s="15">
        <f t="shared" si="236"/>
        <v>65000000</v>
      </c>
      <c r="EE32" s="15">
        <f t="shared" si="236"/>
        <v>0</v>
      </c>
      <c r="EF32" s="15">
        <f t="shared" si="236"/>
        <v>0</v>
      </c>
      <c r="EG32" s="15">
        <f t="shared" si="236"/>
        <v>0</v>
      </c>
      <c r="EH32" s="15">
        <f t="shared" si="236"/>
        <v>0</v>
      </c>
      <c r="EI32" s="15">
        <f t="shared" si="237"/>
        <v>0</v>
      </c>
      <c r="EJ32" s="15">
        <f t="shared" si="237"/>
        <v>0</v>
      </c>
      <c r="EK32" s="15">
        <f t="shared" si="237"/>
        <v>0</v>
      </c>
      <c r="EL32" s="15">
        <f t="shared" si="237"/>
        <v>0</v>
      </c>
      <c r="EM32" s="15">
        <f t="shared" si="237"/>
        <v>0</v>
      </c>
      <c r="EN32" s="15">
        <f t="shared" si="237"/>
        <v>0</v>
      </c>
      <c r="EO32" s="15">
        <f t="shared" si="237"/>
        <v>0</v>
      </c>
      <c r="EP32" s="15">
        <f t="shared" si="237"/>
        <v>0</v>
      </c>
      <c r="EQ32" s="15">
        <f t="shared" si="237"/>
        <v>0</v>
      </c>
      <c r="ER32" s="15">
        <f t="shared" si="237"/>
        <v>0</v>
      </c>
      <c r="ES32" s="15">
        <f t="shared" si="237"/>
        <v>0</v>
      </c>
      <c r="ET32" s="15">
        <f t="shared" si="237"/>
        <v>0</v>
      </c>
      <c r="EU32" s="15">
        <f t="shared" si="237"/>
        <v>0</v>
      </c>
      <c r="EV32" s="15">
        <f t="shared" si="237"/>
        <v>0</v>
      </c>
      <c r="EW32"/>
      <c r="EX32" s="15">
        <f t="shared" si="238"/>
        <v>65000000</v>
      </c>
      <c r="EY32" s="15">
        <f t="shared" si="238"/>
        <v>65000000</v>
      </c>
      <c r="EZ32" s="15">
        <f t="shared" si="238"/>
        <v>65000000</v>
      </c>
      <c r="FA32" s="15">
        <f t="shared" si="238"/>
        <v>65000000</v>
      </c>
      <c r="FB32" s="15">
        <f t="shared" si="238"/>
        <v>65000000</v>
      </c>
      <c r="FC32" s="15">
        <f t="shared" si="238"/>
        <v>65000000</v>
      </c>
      <c r="FD32" s="15">
        <f t="shared" si="238"/>
        <v>65000000</v>
      </c>
      <c r="FE32" s="15">
        <f t="shared" si="238"/>
        <v>65000000</v>
      </c>
      <c r="FF32" s="15">
        <f t="shared" si="238"/>
        <v>65000000</v>
      </c>
      <c r="FG32" s="15">
        <f t="shared" si="238"/>
        <v>65000000</v>
      </c>
      <c r="FH32" s="15">
        <f t="shared" si="238"/>
        <v>65000000</v>
      </c>
      <c r="FI32" s="15">
        <f t="shared" si="238"/>
        <v>65000000</v>
      </c>
      <c r="FJ32" s="15">
        <f t="shared" si="238"/>
        <v>0</v>
      </c>
      <c r="FK32" s="15">
        <f t="shared" si="238"/>
        <v>0</v>
      </c>
      <c r="FL32" s="15">
        <f t="shared" si="238"/>
        <v>0</v>
      </c>
      <c r="FM32" s="15">
        <f t="shared" si="238"/>
        <v>0</v>
      </c>
      <c r="FN32" s="15">
        <f t="shared" si="239"/>
        <v>0</v>
      </c>
      <c r="FO32" s="15">
        <f t="shared" si="239"/>
        <v>0</v>
      </c>
      <c r="FP32" s="15">
        <f t="shared" si="239"/>
        <v>0</v>
      </c>
      <c r="FQ32" s="15">
        <f t="shared" si="239"/>
        <v>0</v>
      </c>
      <c r="FR32" s="15">
        <f t="shared" si="239"/>
        <v>0</v>
      </c>
      <c r="FS32" s="15">
        <f t="shared" si="239"/>
        <v>0</v>
      </c>
      <c r="FT32" s="15">
        <f t="shared" si="239"/>
        <v>0</v>
      </c>
      <c r="FU32" s="15">
        <f t="shared" si="239"/>
        <v>0</v>
      </c>
      <c r="FV32" s="15">
        <f t="shared" si="239"/>
        <v>0</v>
      </c>
      <c r="FW32" s="15">
        <f t="shared" si="239"/>
        <v>0</v>
      </c>
      <c r="FX32" s="15">
        <f t="shared" si="239"/>
        <v>0</v>
      </c>
      <c r="FY32" s="15">
        <f t="shared" si="239"/>
        <v>0</v>
      </c>
      <c r="FZ32" s="15">
        <f t="shared" si="239"/>
        <v>0</v>
      </c>
      <c r="GA32" s="15">
        <f t="shared" si="239"/>
        <v>0</v>
      </c>
      <c r="GB32"/>
      <c r="GC32" s="15">
        <f t="shared" si="240"/>
        <v>65000000</v>
      </c>
      <c r="GD32" s="15">
        <f t="shared" si="240"/>
        <v>65000000</v>
      </c>
      <c r="GE32" s="15">
        <f t="shared" si="240"/>
        <v>65000000</v>
      </c>
      <c r="GF32" s="15">
        <f t="shared" si="240"/>
        <v>65000000</v>
      </c>
      <c r="GG32" s="15">
        <f t="shared" si="240"/>
        <v>65000000</v>
      </c>
      <c r="GH32" s="15">
        <f t="shared" si="240"/>
        <v>65000000</v>
      </c>
      <c r="GI32" s="15">
        <f t="shared" si="240"/>
        <v>65000000</v>
      </c>
      <c r="GJ32" s="15">
        <f t="shared" si="240"/>
        <v>65000000</v>
      </c>
      <c r="GK32" s="15">
        <f t="shared" si="240"/>
        <v>65000000</v>
      </c>
      <c r="GL32" s="15">
        <f t="shared" si="240"/>
        <v>65000000</v>
      </c>
      <c r="GM32" s="15">
        <f t="shared" si="240"/>
        <v>65000000</v>
      </c>
      <c r="GN32" s="15">
        <f t="shared" si="240"/>
        <v>65000000</v>
      </c>
      <c r="GO32" s="15">
        <f t="shared" si="240"/>
        <v>0</v>
      </c>
      <c r="GP32" s="15">
        <f t="shared" si="240"/>
        <v>0</v>
      </c>
      <c r="GQ32" s="15">
        <f t="shared" si="240"/>
        <v>0</v>
      </c>
      <c r="GR32" s="15">
        <f t="shared" si="240"/>
        <v>0</v>
      </c>
      <c r="GS32" s="15">
        <f t="shared" si="241"/>
        <v>0</v>
      </c>
      <c r="GT32" s="15">
        <f t="shared" si="241"/>
        <v>0</v>
      </c>
      <c r="GU32" s="15">
        <f t="shared" si="241"/>
        <v>0</v>
      </c>
      <c r="GV32" s="15">
        <f t="shared" si="241"/>
        <v>0</v>
      </c>
      <c r="GW32" s="15">
        <f t="shared" si="241"/>
        <v>0</v>
      </c>
      <c r="GX32" s="15">
        <f t="shared" si="241"/>
        <v>0</v>
      </c>
      <c r="GY32" s="15">
        <f t="shared" si="241"/>
        <v>0</v>
      </c>
      <c r="GZ32" s="15">
        <f t="shared" si="241"/>
        <v>0</v>
      </c>
      <c r="HA32" s="15">
        <f t="shared" si="241"/>
        <v>0</v>
      </c>
      <c r="HB32" s="15">
        <f t="shared" si="241"/>
        <v>0</v>
      </c>
      <c r="HC32" s="15">
        <f t="shared" si="241"/>
        <v>0</v>
      </c>
      <c r="HD32" s="15">
        <f t="shared" si="241"/>
        <v>0</v>
      </c>
      <c r="HE32" s="15">
        <f t="shared" si="241"/>
        <v>0</v>
      </c>
      <c r="HF32" s="15">
        <f t="shared" si="241"/>
        <v>0</v>
      </c>
      <c r="HG32"/>
      <c r="HH32" s="15">
        <f t="shared" si="242"/>
        <v>65000000</v>
      </c>
      <c r="HI32" s="15">
        <f t="shared" si="242"/>
        <v>65000000</v>
      </c>
      <c r="HJ32" s="15">
        <f t="shared" si="242"/>
        <v>65000000</v>
      </c>
      <c r="HK32" s="15">
        <f t="shared" si="242"/>
        <v>65000000</v>
      </c>
      <c r="HL32" s="15">
        <f t="shared" si="242"/>
        <v>65000000</v>
      </c>
      <c r="HM32" s="15">
        <f t="shared" si="242"/>
        <v>65000000</v>
      </c>
      <c r="HN32" s="15">
        <f t="shared" si="242"/>
        <v>65000000</v>
      </c>
      <c r="HO32" s="15">
        <f t="shared" si="242"/>
        <v>65000000</v>
      </c>
      <c r="HP32" s="15">
        <f t="shared" si="242"/>
        <v>65000000</v>
      </c>
      <c r="HQ32" s="15">
        <f t="shared" si="242"/>
        <v>65000000</v>
      </c>
      <c r="HR32" s="15">
        <f t="shared" si="242"/>
        <v>65000000</v>
      </c>
      <c r="HS32" s="15">
        <f t="shared" si="242"/>
        <v>65000000</v>
      </c>
      <c r="HT32" s="15">
        <f t="shared" si="242"/>
        <v>0</v>
      </c>
      <c r="HU32" s="15">
        <f t="shared" si="242"/>
        <v>0</v>
      </c>
      <c r="HV32" s="15">
        <f t="shared" si="242"/>
        <v>0</v>
      </c>
      <c r="HW32" s="15">
        <f t="shared" si="242"/>
        <v>0</v>
      </c>
      <c r="HX32" s="15">
        <f t="shared" si="243"/>
        <v>0</v>
      </c>
      <c r="HY32" s="15">
        <f t="shared" si="243"/>
        <v>0</v>
      </c>
      <c r="HZ32" s="15">
        <f t="shared" si="243"/>
        <v>0</v>
      </c>
      <c r="IA32" s="15">
        <f t="shared" si="243"/>
        <v>0</v>
      </c>
      <c r="IB32" s="15">
        <f t="shared" si="243"/>
        <v>0</v>
      </c>
      <c r="IC32" s="15">
        <f t="shared" si="243"/>
        <v>0</v>
      </c>
      <c r="ID32" s="15">
        <f t="shared" si="243"/>
        <v>0</v>
      </c>
      <c r="IE32" s="15">
        <f t="shared" si="243"/>
        <v>0</v>
      </c>
      <c r="IF32" s="15">
        <f t="shared" si="243"/>
        <v>0</v>
      </c>
      <c r="IG32" s="15">
        <f t="shared" si="243"/>
        <v>0</v>
      </c>
      <c r="IH32" s="15">
        <f t="shared" si="243"/>
        <v>0</v>
      </c>
      <c r="II32" s="15">
        <f t="shared" si="243"/>
        <v>0</v>
      </c>
      <c r="IJ32" s="15">
        <f t="shared" si="243"/>
        <v>0</v>
      </c>
      <c r="IK32" s="15">
        <f t="shared" si="243"/>
        <v>0</v>
      </c>
      <c r="IM32" s="15">
        <f t="shared" si="244"/>
        <v>65000000</v>
      </c>
      <c r="IN32" s="15">
        <f t="shared" si="244"/>
        <v>65000000</v>
      </c>
      <c r="IO32" s="15">
        <f t="shared" si="244"/>
        <v>65000000</v>
      </c>
      <c r="IP32" s="15">
        <f t="shared" si="244"/>
        <v>65000000</v>
      </c>
      <c r="IQ32" s="15">
        <f t="shared" si="244"/>
        <v>65000000</v>
      </c>
      <c r="IR32" s="15">
        <f t="shared" si="244"/>
        <v>65000000</v>
      </c>
      <c r="IS32" s="15">
        <f t="shared" si="244"/>
        <v>65000000</v>
      </c>
      <c r="IT32" s="15">
        <f t="shared" si="244"/>
        <v>65000000</v>
      </c>
      <c r="IU32" s="15">
        <f t="shared" si="244"/>
        <v>65000000</v>
      </c>
      <c r="IV32" s="15">
        <f t="shared" si="244"/>
        <v>65000000</v>
      </c>
      <c r="IW32" s="15">
        <f t="shared" si="244"/>
        <v>65000000</v>
      </c>
      <c r="IX32" s="15">
        <f t="shared" si="244"/>
        <v>65000000</v>
      </c>
      <c r="IY32" s="15">
        <f t="shared" si="244"/>
        <v>0</v>
      </c>
      <c r="IZ32" s="15">
        <f t="shared" si="244"/>
        <v>0</v>
      </c>
      <c r="JA32" s="15">
        <f t="shared" si="244"/>
        <v>0</v>
      </c>
      <c r="JB32" s="15">
        <f t="shared" si="244"/>
        <v>0</v>
      </c>
      <c r="JC32" s="15">
        <f t="shared" si="245"/>
        <v>0</v>
      </c>
      <c r="JD32" s="15">
        <f t="shared" si="245"/>
        <v>0</v>
      </c>
      <c r="JE32" s="15">
        <f t="shared" si="245"/>
        <v>0</v>
      </c>
      <c r="JF32" s="15">
        <f t="shared" si="245"/>
        <v>0</v>
      </c>
      <c r="JG32" s="15">
        <f t="shared" si="245"/>
        <v>0</v>
      </c>
      <c r="JH32" s="15">
        <f t="shared" si="245"/>
        <v>0</v>
      </c>
      <c r="JI32" s="15">
        <f t="shared" si="245"/>
        <v>0</v>
      </c>
      <c r="JJ32" s="15">
        <f t="shared" si="245"/>
        <v>0</v>
      </c>
      <c r="JK32" s="15">
        <f t="shared" si="245"/>
        <v>0</v>
      </c>
      <c r="JL32" s="15">
        <f t="shared" si="245"/>
        <v>0</v>
      </c>
      <c r="JM32" s="15">
        <f t="shared" si="245"/>
        <v>0</v>
      </c>
      <c r="JN32" s="15">
        <f t="shared" si="245"/>
        <v>0</v>
      </c>
      <c r="JO32" s="15">
        <f t="shared" si="245"/>
        <v>0</v>
      </c>
      <c r="JP32" s="15">
        <f t="shared" si="245"/>
        <v>0</v>
      </c>
      <c r="JR32" s="15">
        <f t="shared" si="246"/>
        <v>65000000</v>
      </c>
      <c r="JS32" s="15">
        <f t="shared" si="246"/>
        <v>65000000</v>
      </c>
      <c r="JT32" s="15">
        <f t="shared" si="246"/>
        <v>65000000</v>
      </c>
      <c r="JU32" s="15">
        <f t="shared" si="246"/>
        <v>65000000</v>
      </c>
      <c r="JV32" s="15">
        <f t="shared" si="246"/>
        <v>65000000</v>
      </c>
      <c r="JW32" s="15">
        <f t="shared" si="246"/>
        <v>65000000</v>
      </c>
      <c r="JX32" s="15">
        <f t="shared" si="246"/>
        <v>65000000</v>
      </c>
      <c r="JY32" s="15">
        <f t="shared" si="246"/>
        <v>65000000</v>
      </c>
      <c r="JZ32" s="15">
        <f t="shared" si="246"/>
        <v>65000000</v>
      </c>
      <c r="KA32" s="15">
        <f t="shared" si="246"/>
        <v>65000000</v>
      </c>
      <c r="KB32" s="15">
        <f t="shared" si="246"/>
        <v>65000000</v>
      </c>
      <c r="KC32" s="15">
        <f t="shared" si="246"/>
        <v>65000000</v>
      </c>
      <c r="KD32" s="15">
        <f t="shared" si="246"/>
        <v>0</v>
      </c>
      <c r="KE32" s="15">
        <f t="shared" si="246"/>
        <v>0</v>
      </c>
      <c r="KF32" s="15">
        <f t="shared" si="246"/>
        <v>0</v>
      </c>
      <c r="KG32" s="15">
        <f t="shared" si="246"/>
        <v>0</v>
      </c>
      <c r="KH32" s="15">
        <f t="shared" si="247"/>
        <v>0</v>
      </c>
      <c r="KI32" s="15">
        <f t="shared" si="247"/>
        <v>0</v>
      </c>
      <c r="KJ32" s="15">
        <f t="shared" si="247"/>
        <v>0</v>
      </c>
      <c r="KK32" s="15">
        <f t="shared" si="247"/>
        <v>0</v>
      </c>
      <c r="KL32" s="15">
        <f t="shared" si="247"/>
        <v>0</v>
      </c>
      <c r="KM32" s="15">
        <f t="shared" si="247"/>
        <v>0</v>
      </c>
      <c r="KN32" s="15">
        <f t="shared" si="247"/>
        <v>0</v>
      </c>
      <c r="KO32" s="15">
        <f t="shared" si="247"/>
        <v>0</v>
      </c>
      <c r="KP32" s="15">
        <f t="shared" si="247"/>
        <v>0</v>
      </c>
      <c r="KQ32" s="15">
        <f t="shared" si="247"/>
        <v>0</v>
      </c>
      <c r="KR32" s="15">
        <f t="shared" si="247"/>
        <v>0</v>
      </c>
      <c r="KS32" s="15">
        <f t="shared" si="247"/>
        <v>0</v>
      </c>
      <c r="KT32" s="15">
        <f t="shared" si="247"/>
        <v>0</v>
      </c>
      <c r="KU32" s="15">
        <f t="shared" si="247"/>
        <v>0</v>
      </c>
      <c r="KW32" s="15">
        <f t="shared" si="248"/>
        <v>65000000</v>
      </c>
      <c r="KX32" s="15">
        <f t="shared" si="248"/>
        <v>65000000</v>
      </c>
      <c r="KY32" s="15">
        <f t="shared" si="248"/>
        <v>65000000</v>
      </c>
      <c r="KZ32" s="15">
        <f t="shared" si="248"/>
        <v>65000000</v>
      </c>
      <c r="LA32" s="15">
        <f t="shared" si="248"/>
        <v>65000000</v>
      </c>
      <c r="LB32" s="15">
        <f t="shared" si="248"/>
        <v>65000000</v>
      </c>
      <c r="LC32" s="15">
        <f t="shared" si="248"/>
        <v>65000000</v>
      </c>
      <c r="LD32" s="15">
        <f t="shared" si="248"/>
        <v>65000000</v>
      </c>
      <c r="LE32" s="15">
        <f t="shared" si="248"/>
        <v>65000000</v>
      </c>
      <c r="LF32" s="15">
        <f t="shared" si="248"/>
        <v>65000000</v>
      </c>
      <c r="LG32" s="15">
        <f t="shared" si="248"/>
        <v>65000000</v>
      </c>
      <c r="LH32" s="15">
        <f t="shared" si="248"/>
        <v>65000000</v>
      </c>
      <c r="LI32" s="15">
        <f t="shared" si="248"/>
        <v>0</v>
      </c>
      <c r="LJ32" s="15">
        <f t="shared" si="248"/>
        <v>0</v>
      </c>
      <c r="LK32" s="15">
        <f t="shared" si="248"/>
        <v>0</v>
      </c>
      <c r="LL32" s="15">
        <f t="shared" si="248"/>
        <v>0</v>
      </c>
      <c r="LM32" s="15">
        <f t="shared" si="249"/>
        <v>0</v>
      </c>
      <c r="LN32" s="15">
        <f t="shared" si="249"/>
        <v>0</v>
      </c>
      <c r="LO32" s="15">
        <f t="shared" si="249"/>
        <v>0</v>
      </c>
      <c r="LP32" s="15">
        <f t="shared" si="249"/>
        <v>0</v>
      </c>
      <c r="LQ32" s="15">
        <f t="shared" si="249"/>
        <v>0</v>
      </c>
      <c r="LR32" s="15">
        <f t="shared" si="249"/>
        <v>0</v>
      </c>
      <c r="LS32" s="15">
        <f t="shared" si="249"/>
        <v>0</v>
      </c>
      <c r="LT32" s="15">
        <f t="shared" si="249"/>
        <v>0</v>
      </c>
      <c r="LU32" s="15">
        <f t="shared" si="249"/>
        <v>0</v>
      </c>
      <c r="LV32" s="15">
        <f t="shared" si="249"/>
        <v>0</v>
      </c>
      <c r="LW32" s="15">
        <f t="shared" si="249"/>
        <v>0</v>
      </c>
      <c r="LX32" s="15">
        <f t="shared" si="249"/>
        <v>0</v>
      </c>
      <c r="LY32" s="15">
        <f t="shared" si="249"/>
        <v>0</v>
      </c>
      <c r="LZ32" s="15">
        <f t="shared" si="249"/>
        <v>0</v>
      </c>
      <c r="MB32" s="15">
        <f t="shared" si="250"/>
        <v>65000000</v>
      </c>
      <c r="MC32" s="15">
        <f t="shared" si="250"/>
        <v>65000000</v>
      </c>
      <c r="MD32" s="15">
        <f t="shared" si="250"/>
        <v>65000000</v>
      </c>
      <c r="ME32" s="15">
        <f t="shared" si="250"/>
        <v>65000000</v>
      </c>
      <c r="MF32" s="15">
        <f t="shared" si="250"/>
        <v>65000000</v>
      </c>
      <c r="MG32" s="15">
        <f t="shared" si="250"/>
        <v>65000000</v>
      </c>
      <c r="MH32" s="15">
        <f t="shared" si="250"/>
        <v>65000000</v>
      </c>
      <c r="MI32" s="15">
        <f t="shared" si="250"/>
        <v>65000000</v>
      </c>
      <c r="MJ32" s="15">
        <f t="shared" si="250"/>
        <v>65000000</v>
      </c>
      <c r="MK32" s="15">
        <f t="shared" si="250"/>
        <v>65000000</v>
      </c>
      <c r="ML32" s="15">
        <f t="shared" si="250"/>
        <v>65000000</v>
      </c>
      <c r="MM32" s="15">
        <f t="shared" si="250"/>
        <v>65000000</v>
      </c>
      <c r="MN32" s="15">
        <f t="shared" si="250"/>
        <v>0</v>
      </c>
      <c r="MO32" s="15">
        <f t="shared" si="250"/>
        <v>0</v>
      </c>
      <c r="MP32" s="15">
        <f t="shared" si="250"/>
        <v>0</v>
      </c>
      <c r="MQ32" s="15">
        <f t="shared" si="250"/>
        <v>0</v>
      </c>
      <c r="MR32" s="15">
        <f t="shared" si="251"/>
        <v>0</v>
      </c>
      <c r="MS32" s="15">
        <f t="shared" si="251"/>
        <v>0</v>
      </c>
      <c r="MT32" s="15">
        <f t="shared" si="251"/>
        <v>0</v>
      </c>
      <c r="MU32" s="15">
        <f t="shared" si="251"/>
        <v>0</v>
      </c>
      <c r="MV32" s="15">
        <f t="shared" si="251"/>
        <v>0</v>
      </c>
      <c r="MW32" s="15">
        <f t="shared" si="251"/>
        <v>0</v>
      </c>
      <c r="MX32" s="15">
        <f t="shared" si="251"/>
        <v>0</v>
      </c>
      <c r="MY32" s="15">
        <f t="shared" si="251"/>
        <v>0</v>
      </c>
      <c r="MZ32" s="15">
        <f t="shared" si="251"/>
        <v>0</v>
      </c>
      <c r="NA32" s="15">
        <f t="shared" si="251"/>
        <v>0</v>
      </c>
      <c r="NB32" s="15">
        <f t="shared" si="251"/>
        <v>0</v>
      </c>
      <c r="NC32" s="15">
        <f t="shared" si="251"/>
        <v>0</v>
      </c>
      <c r="ND32" s="15">
        <f t="shared" si="251"/>
        <v>0</v>
      </c>
      <c r="NE32" s="15">
        <f t="shared" si="251"/>
        <v>0</v>
      </c>
    </row>
    <row r="33" spans="1:369" s="142" customFormat="1" outlineLevel="1" x14ac:dyDescent="0.25">
      <c r="A33"/>
      <c r="B33" t="s">
        <v>346</v>
      </c>
      <c r="C33" s="495" t="s">
        <v>417</v>
      </c>
      <c r="D33" s="613" t="s">
        <v>294</v>
      </c>
      <c r="E33" s="467">
        <v>1</v>
      </c>
      <c r="F33" s="221"/>
      <c r="G33" s="457">
        <v>12</v>
      </c>
      <c r="H33" s="468">
        <f>(20000000/$D$6)*1.04</f>
        <v>20800000</v>
      </c>
      <c r="I33" s="457">
        <f t="shared" si="203"/>
        <v>20800000</v>
      </c>
      <c r="J33" s="457">
        <f t="shared" si="204"/>
        <v>1733333.3333333333</v>
      </c>
      <c r="K33" s="221"/>
      <c r="L33" s="457">
        <v>12</v>
      </c>
      <c r="M33" s="457">
        <f t="shared" si="205"/>
        <v>20800000</v>
      </c>
      <c r="N33" s="457">
        <f t="shared" si="206"/>
        <v>20800000</v>
      </c>
      <c r="O33" s="457">
        <f t="shared" si="207"/>
        <v>1733333.3333333333</v>
      </c>
      <c r="P33" s="221"/>
      <c r="Q33" s="457">
        <v>12</v>
      </c>
      <c r="R33" s="457">
        <f t="shared" si="208"/>
        <v>20800000</v>
      </c>
      <c r="S33" s="457">
        <f t="shared" si="209"/>
        <v>20800000</v>
      </c>
      <c r="T33" s="457">
        <f t="shared" si="210"/>
        <v>1733333.3333333333</v>
      </c>
      <c r="U33" s="221"/>
      <c r="V33" s="457">
        <v>12</v>
      </c>
      <c r="W33" s="457">
        <f t="shared" si="211"/>
        <v>20800000</v>
      </c>
      <c r="X33" s="457">
        <f t="shared" si="212"/>
        <v>20800000</v>
      </c>
      <c r="Y33" s="457">
        <f t="shared" si="213"/>
        <v>1733333.3333333333</v>
      </c>
      <c r="Z33" s="221"/>
      <c r="AA33" s="457">
        <v>12</v>
      </c>
      <c r="AB33" s="457">
        <f t="shared" si="214"/>
        <v>20800000</v>
      </c>
      <c r="AC33" s="457">
        <f t="shared" si="215"/>
        <v>20800000</v>
      </c>
      <c r="AD33" s="457">
        <f t="shared" si="216"/>
        <v>1733333.3333333333</v>
      </c>
      <c r="AE33" s="221"/>
      <c r="AF33" s="457">
        <v>12</v>
      </c>
      <c r="AG33" s="457">
        <f t="shared" si="217"/>
        <v>20800000</v>
      </c>
      <c r="AH33" s="457">
        <f t="shared" si="218"/>
        <v>20800000</v>
      </c>
      <c r="AI33" s="457">
        <f t="shared" si="219"/>
        <v>1733333.3333333333</v>
      </c>
      <c r="AJ33" s="221"/>
      <c r="AK33" s="457">
        <v>12</v>
      </c>
      <c r="AL33" s="457">
        <f t="shared" si="220"/>
        <v>20800000</v>
      </c>
      <c r="AM33" s="457">
        <f t="shared" si="221"/>
        <v>20800000</v>
      </c>
      <c r="AN33" s="457">
        <f t="shared" si="222"/>
        <v>1733333.3333333333</v>
      </c>
      <c r="AO33" s="221"/>
      <c r="AP33" s="457">
        <v>12</v>
      </c>
      <c r="AQ33" s="457">
        <f t="shared" si="223"/>
        <v>20800000</v>
      </c>
      <c r="AR33" s="457">
        <f t="shared" si="224"/>
        <v>20800000</v>
      </c>
      <c r="AS33" s="457">
        <f t="shared" si="225"/>
        <v>1733333.3333333333</v>
      </c>
      <c r="AT33" s="221"/>
      <c r="AU33" s="457">
        <v>12</v>
      </c>
      <c r="AV33" s="457">
        <f t="shared" si="226"/>
        <v>20800000</v>
      </c>
      <c r="AW33" s="457">
        <f t="shared" si="227"/>
        <v>20800000</v>
      </c>
      <c r="AX33" s="457">
        <f t="shared" si="228"/>
        <v>1733333.3333333333</v>
      </c>
      <c r="AY33" s="221"/>
      <c r="AZ33" s="457">
        <v>12</v>
      </c>
      <c r="BA33" s="457">
        <f t="shared" si="229"/>
        <v>20800000</v>
      </c>
      <c r="BB33" s="457">
        <f t="shared" si="230"/>
        <v>20800000</v>
      </c>
      <c r="BC33" s="457">
        <f t="shared" si="231"/>
        <v>1733333.3333333333</v>
      </c>
      <c r="BD33" s="221"/>
      <c r="BE33"/>
      <c r="BF33" t="s">
        <v>547</v>
      </c>
      <c r="BG33" t="s">
        <v>337</v>
      </c>
      <c r="BH33"/>
      <c r="BI33" s="15">
        <f t="shared" si="232"/>
        <v>1733333.3333333333</v>
      </c>
      <c r="BJ33" s="15">
        <f t="shared" si="232"/>
        <v>1733333.3333333333</v>
      </c>
      <c r="BK33" s="15">
        <f t="shared" si="232"/>
        <v>1733333.3333333333</v>
      </c>
      <c r="BL33" s="15">
        <f t="shared" si="232"/>
        <v>1733333.3333333333</v>
      </c>
      <c r="BM33" s="15">
        <f t="shared" si="232"/>
        <v>1733333.3333333333</v>
      </c>
      <c r="BN33" s="15">
        <f t="shared" si="232"/>
        <v>1733333.3333333333</v>
      </c>
      <c r="BO33" s="15">
        <f t="shared" si="232"/>
        <v>1733333.3333333333</v>
      </c>
      <c r="BP33" s="15">
        <f t="shared" si="232"/>
        <v>1733333.3333333333</v>
      </c>
      <c r="BQ33" s="15">
        <f t="shared" si="232"/>
        <v>1733333.3333333333</v>
      </c>
      <c r="BR33" s="15">
        <f t="shared" si="232"/>
        <v>1733333.3333333333</v>
      </c>
      <c r="BS33" s="15">
        <f t="shared" si="232"/>
        <v>1733333.3333333333</v>
      </c>
      <c r="BT33" s="15">
        <f t="shared" si="232"/>
        <v>1733333.3333333333</v>
      </c>
      <c r="BU33" s="15">
        <f t="shared" si="232"/>
        <v>0</v>
      </c>
      <c r="BV33" s="15">
        <f t="shared" si="232"/>
        <v>0</v>
      </c>
      <c r="BW33" s="15">
        <f t="shared" si="232"/>
        <v>0</v>
      </c>
      <c r="BX33" s="15">
        <f t="shared" si="232"/>
        <v>0</v>
      </c>
      <c r="BY33" s="15">
        <f t="shared" si="233"/>
        <v>0</v>
      </c>
      <c r="BZ33" s="15">
        <f t="shared" si="233"/>
        <v>0</v>
      </c>
      <c r="CA33" s="15">
        <f t="shared" si="233"/>
        <v>0</v>
      </c>
      <c r="CB33" s="15">
        <f t="shared" si="233"/>
        <v>0</v>
      </c>
      <c r="CC33" s="15">
        <f t="shared" si="233"/>
        <v>0</v>
      </c>
      <c r="CD33" s="15">
        <f t="shared" si="233"/>
        <v>0</v>
      </c>
      <c r="CE33" s="15">
        <f t="shared" si="233"/>
        <v>0</v>
      </c>
      <c r="CF33" s="15">
        <f t="shared" si="233"/>
        <v>0</v>
      </c>
      <c r="CG33" s="15">
        <f t="shared" si="233"/>
        <v>0</v>
      </c>
      <c r="CH33" s="15">
        <f t="shared" si="233"/>
        <v>0</v>
      </c>
      <c r="CI33" s="15">
        <f t="shared" si="233"/>
        <v>0</v>
      </c>
      <c r="CJ33" s="15">
        <f t="shared" si="233"/>
        <v>0</v>
      </c>
      <c r="CK33" s="15">
        <f t="shared" si="233"/>
        <v>0</v>
      </c>
      <c r="CL33" s="15">
        <f t="shared" si="233"/>
        <v>0</v>
      </c>
      <c r="CM33"/>
      <c r="CN33" s="15">
        <f t="shared" si="234"/>
        <v>1733333.3333333333</v>
      </c>
      <c r="CO33" s="15">
        <f t="shared" si="234"/>
        <v>1733333.3333333333</v>
      </c>
      <c r="CP33" s="15">
        <f t="shared" si="234"/>
        <v>1733333.3333333333</v>
      </c>
      <c r="CQ33" s="15">
        <f t="shared" si="234"/>
        <v>1733333.3333333333</v>
      </c>
      <c r="CR33" s="15">
        <f t="shared" si="234"/>
        <v>1733333.3333333333</v>
      </c>
      <c r="CS33" s="15">
        <f t="shared" si="234"/>
        <v>1733333.3333333333</v>
      </c>
      <c r="CT33" s="15">
        <f t="shared" si="234"/>
        <v>1733333.3333333333</v>
      </c>
      <c r="CU33" s="15">
        <f t="shared" si="234"/>
        <v>1733333.3333333333</v>
      </c>
      <c r="CV33" s="15">
        <f t="shared" si="234"/>
        <v>1733333.3333333333</v>
      </c>
      <c r="CW33" s="15">
        <f t="shared" si="234"/>
        <v>1733333.3333333333</v>
      </c>
      <c r="CX33" s="15">
        <f t="shared" si="234"/>
        <v>1733333.3333333333</v>
      </c>
      <c r="CY33" s="15">
        <f t="shared" si="234"/>
        <v>1733333.3333333333</v>
      </c>
      <c r="CZ33" s="15">
        <f t="shared" si="234"/>
        <v>0</v>
      </c>
      <c r="DA33" s="15">
        <f t="shared" si="234"/>
        <v>0</v>
      </c>
      <c r="DB33" s="15">
        <f t="shared" si="234"/>
        <v>0</v>
      </c>
      <c r="DC33" s="15">
        <f t="shared" si="234"/>
        <v>0</v>
      </c>
      <c r="DD33" s="15">
        <f t="shared" si="235"/>
        <v>0</v>
      </c>
      <c r="DE33" s="15">
        <f t="shared" si="235"/>
        <v>0</v>
      </c>
      <c r="DF33" s="15">
        <f t="shared" si="235"/>
        <v>0</v>
      </c>
      <c r="DG33" s="15">
        <f t="shared" si="235"/>
        <v>0</v>
      </c>
      <c r="DH33" s="15">
        <f t="shared" si="235"/>
        <v>0</v>
      </c>
      <c r="DI33" s="15">
        <f t="shared" si="235"/>
        <v>0</v>
      </c>
      <c r="DJ33" s="15">
        <f t="shared" si="235"/>
        <v>0</v>
      </c>
      <c r="DK33" s="15">
        <f t="shared" si="235"/>
        <v>0</v>
      </c>
      <c r="DL33" s="15">
        <f t="shared" si="235"/>
        <v>0</v>
      </c>
      <c r="DM33" s="15">
        <f t="shared" si="235"/>
        <v>0</v>
      </c>
      <c r="DN33" s="15">
        <f t="shared" si="235"/>
        <v>0</v>
      </c>
      <c r="DO33" s="15">
        <f t="shared" si="235"/>
        <v>0</v>
      </c>
      <c r="DP33" s="15">
        <f t="shared" si="235"/>
        <v>0</v>
      </c>
      <c r="DQ33" s="15">
        <f t="shared" si="235"/>
        <v>0</v>
      </c>
      <c r="DR33"/>
      <c r="DS33" s="15">
        <f t="shared" si="236"/>
        <v>1733333.3333333333</v>
      </c>
      <c r="DT33" s="15">
        <f t="shared" si="236"/>
        <v>1733333.3333333333</v>
      </c>
      <c r="DU33" s="15">
        <f t="shared" si="236"/>
        <v>1733333.3333333333</v>
      </c>
      <c r="DV33" s="15">
        <f t="shared" si="236"/>
        <v>1733333.3333333333</v>
      </c>
      <c r="DW33" s="15">
        <f t="shared" si="236"/>
        <v>1733333.3333333333</v>
      </c>
      <c r="DX33" s="15">
        <f t="shared" si="236"/>
        <v>1733333.3333333333</v>
      </c>
      <c r="DY33" s="15">
        <f t="shared" si="236"/>
        <v>1733333.3333333333</v>
      </c>
      <c r="DZ33" s="15">
        <f t="shared" si="236"/>
        <v>1733333.3333333333</v>
      </c>
      <c r="EA33" s="15">
        <f t="shared" si="236"/>
        <v>1733333.3333333333</v>
      </c>
      <c r="EB33" s="15">
        <f t="shared" si="236"/>
        <v>1733333.3333333333</v>
      </c>
      <c r="EC33" s="15">
        <f t="shared" si="236"/>
        <v>1733333.3333333333</v>
      </c>
      <c r="ED33" s="15">
        <f t="shared" si="236"/>
        <v>1733333.3333333333</v>
      </c>
      <c r="EE33" s="15">
        <f t="shared" si="236"/>
        <v>0</v>
      </c>
      <c r="EF33" s="15">
        <f t="shared" si="236"/>
        <v>0</v>
      </c>
      <c r="EG33" s="15">
        <f t="shared" si="236"/>
        <v>0</v>
      </c>
      <c r="EH33" s="15">
        <f t="shared" si="236"/>
        <v>0</v>
      </c>
      <c r="EI33" s="15">
        <f t="shared" si="237"/>
        <v>0</v>
      </c>
      <c r="EJ33" s="15">
        <f t="shared" si="237"/>
        <v>0</v>
      </c>
      <c r="EK33" s="15">
        <f t="shared" si="237"/>
        <v>0</v>
      </c>
      <c r="EL33" s="15">
        <f t="shared" si="237"/>
        <v>0</v>
      </c>
      <c r="EM33" s="15">
        <f t="shared" si="237"/>
        <v>0</v>
      </c>
      <c r="EN33" s="15">
        <f t="shared" si="237"/>
        <v>0</v>
      </c>
      <c r="EO33" s="15">
        <f t="shared" si="237"/>
        <v>0</v>
      </c>
      <c r="EP33" s="15">
        <f t="shared" si="237"/>
        <v>0</v>
      </c>
      <c r="EQ33" s="15">
        <f t="shared" si="237"/>
        <v>0</v>
      </c>
      <c r="ER33" s="15">
        <f t="shared" si="237"/>
        <v>0</v>
      </c>
      <c r="ES33" s="15">
        <f t="shared" si="237"/>
        <v>0</v>
      </c>
      <c r="ET33" s="15">
        <f t="shared" si="237"/>
        <v>0</v>
      </c>
      <c r="EU33" s="15">
        <f t="shared" si="237"/>
        <v>0</v>
      </c>
      <c r="EV33" s="15">
        <f t="shared" si="237"/>
        <v>0</v>
      </c>
      <c r="EW33"/>
      <c r="EX33" s="15">
        <f t="shared" si="238"/>
        <v>1733333.3333333333</v>
      </c>
      <c r="EY33" s="15">
        <f t="shared" si="238"/>
        <v>1733333.3333333333</v>
      </c>
      <c r="EZ33" s="15">
        <f t="shared" si="238"/>
        <v>1733333.3333333333</v>
      </c>
      <c r="FA33" s="15">
        <f t="shared" si="238"/>
        <v>1733333.3333333333</v>
      </c>
      <c r="FB33" s="15">
        <f t="shared" si="238"/>
        <v>1733333.3333333333</v>
      </c>
      <c r="FC33" s="15">
        <f t="shared" si="238"/>
        <v>1733333.3333333333</v>
      </c>
      <c r="FD33" s="15">
        <f t="shared" si="238"/>
        <v>1733333.3333333333</v>
      </c>
      <c r="FE33" s="15">
        <f t="shared" si="238"/>
        <v>1733333.3333333333</v>
      </c>
      <c r="FF33" s="15">
        <f t="shared" si="238"/>
        <v>1733333.3333333333</v>
      </c>
      <c r="FG33" s="15">
        <f t="shared" si="238"/>
        <v>1733333.3333333333</v>
      </c>
      <c r="FH33" s="15">
        <f t="shared" si="238"/>
        <v>1733333.3333333333</v>
      </c>
      <c r="FI33" s="15">
        <f t="shared" si="238"/>
        <v>1733333.3333333333</v>
      </c>
      <c r="FJ33" s="15">
        <f t="shared" si="238"/>
        <v>0</v>
      </c>
      <c r="FK33" s="15">
        <f t="shared" si="238"/>
        <v>0</v>
      </c>
      <c r="FL33" s="15">
        <f t="shared" si="238"/>
        <v>0</v>
      </c>
      <c r="FM33" s="15">
        <f t="shared" si="238"/>
        <v>0</v>
      </c>
      <c r="FN33" s="15">
        <f t="shared" si="239"/>
        <v>0</v>
      </c>
      <c r="FO33" s="15">
        <f t="shared" si="239"/>
        <v>0</v>
      </c>
      <c r="FP33" s="15">
        <f t="shared" si="239"/>
        <v>0</v>
      </c>
      <c r="FQ33" s="15">
        <f t="shared" si="239"/>
        <v>0</v>
      </c>
      <c r="FR33" s="15">
        <f t="shared" si="239"/>
        <v>0</v>
      </c>
      <c r="FS33" s="15">
        <f t="shared" si="239"/>
        <v>0</v>
      </c>
      <c r="FT33" s="15">
        <f t="shared" si="239"/>
        <v>0</v>
      </c>
      <c r="FU33" s="15">
        <f t="shared" si="239"/>
        <v>0</v>
      </c>
      <c r="FV33" s="15">
        <f t="shared" si="239"/>
        <v>0</v>
      </c>
      <c r="FW33" s="15">
        <f t="shared" si="239"/>
        <v>0</v>
      </c>
      <c r="FX33" s="15">
        <f t="shared" si="239"/>
        <v>0</v>
      </c>
      <c r="FY33" s="15">
        <f t="shared" si="239"/>
        <v>0</v>
      </c>
      <c r="FZ33" s="15">
        <f t="shared" si="239"/>
        <v>0</v>
      </c>
      <c r="GA33" s="15">
        <f t="shared" si="239"/>
        <v>0</v>
      </c>
      <c r="GB33"/>
      <c r="GC33" s="15">
        <f t="shared" si="240"/>
        <v>1733333.3333333333</v>
      </c>
      <c r="GD33" s="15">
        <f t="shared" si="240"/>
        <v>1733333.3333333333</v>
      </c>
      <c r="GE33" s="15">
        <f t="shared" si="240"/>
        <v>1733333.3333333333</v>
      </c>
      <c r="GF33" s="15">
        <f t="shared" si="240"/>
        <v>1733333.3333333333</v>
      </c>
      <c r="GG33" s="15">
        <f t="shared" si="240"/>
        <v>1733333.3333333333</v>
      </c>
      <c r="GH33" s="15">
        <f t="shared" si="240"/>
        <v>1733333.3333333333</v>
      </c>
      <c r="GI33" s="15">
        <f t="shared" si="240"/>
        <v>1733333.3333333333</v>
      </c>
      <c r="GJ33" s="15">
        <f t="shared" si="240"/>
        <v>1733333.3333333333</v>
      </c>
      <c r="GK33" s="15">
        <f t="shared" si="240"/>
        <v>1733333.3333333333</v>
      </c>
      <c r="GL33" s="15">
        <f t="shared" si="240"/>
        <v>1733333.3333333333</v>
      </c>
      <c r="GM33" s="15">
        <f t="shared" si="240"/>
        <v>1733333.3333333333</v>
      </c>
      <c r="GN33" s="15">
        <f t="shared" si="240"/>
        <v>1733333.3333333333</v>
      </c>
      <c r="GO33" s="15">
        <f t="shared" si="240"/>
        <v>0</v>
      </c>
      <c r="GP33" s="15">
        <f t="shared" si="240"/>
        <v>0</v>
      </c>
      <c r="GQ33" s="15">
        <f t="shared" si="240"/>
        <v>0</v>
      </c>
      <c r="GR33" s="15">
        <f t="shared" si="240"/>
        <v>0</v>
      </c>
      <c r="GS33" s="15">
        <f t="shared" si="241"/>
        <v>0</v>
      </c>
      <c r="GT33" s="15">
        <f t="shared" si="241"/>
        <v>0</v>
      </c>
      <c r="GU33" s="15">
        <f t="shared" si="241"/>
        <v>0</v>
      </c>
      <c r="GV33" s="15">
        <f t="shared" si="241"/>
        <v>0</v>
      </c>
      <c r="GW33" s="15">
        <f t="shared" si="241"/>
        <v>0</v>
      </c>
      <c r="GX33" s="15">
        <f t="shared" si="241"/>
        <v>0</v>
      </c>
      <c r="GY33" s="15">
        <f t="shared" si="241"/>
        <v>0</v>
      </c>
      <c r="GZ33" s="15">
        <f t="shared" si="241"/>
        <v>0</v>
      </c>
      <c r="HA33" s="15">
        <f t="shared" si="241"/>
        <v>0</v>
      </c>
      <c r="HB33" s="15">
        <f t="shared" si="241"/>
        <v>0</v>
      </c>
      <c r="HC33" s="15">
        <f t="shared" si="241"/>
        <v>0</v>
      </c>
      <c r="HD33" s="15">
        <f t="shared" si="241"/>
        <v>0</v>
      </c>
      <c r="HE33" s="15">
        <f t="shared" si="241"/>
        <v>0</v>
      </c>
      <c r="HF33" s="15">
        <f t="shared" si="241"/>
        <v>0</v>
      </c>
      <c r="HG33"/>
      <c r="HH33" s="15">
        <f t="shared" si="242"/>
        <v>1733333.3333333333</v>
      </c>
      <c r="HI33" s="15">
        <f t="shared" si="242"/>
        <v>1733333.3333333333</v>
      </c>
      <c r="HJ33" s="15">
        <f t="shared" si="242"/>
        <v>1733333.3333333333</v>
      </c>
      <c r="HK33" s="15">
        <f t="shared" si="242"/>
        <v>1733333.3333333333</v>
      </c>
      <c r="HL33" s="15">
        <f t="shared" si="242"/>
        <v>1733333.3333333333</v>
      </c>
      <c r="HM33" s="15">
        <f t="shared" si="242"/>
        <v>1733333.3333333333</v>
      </c>
      <c r="HN33" s="15">
        <f t="shared" si="242"/>
        <v>1733333.3333333333</v>
      </c>
      <c r="HO33" s="15">
        <f t="shared" si="242"/>
        <v>1733333.3333333333</v>
      </c>
      <c r="HP33" s="15">
        <f t="shared" si="242"/>
        <v>1733333.3333333333</v>
      </c>
      <c r="HQ33" s="15">
        <f t="shared" si="242"/>
        <v>1733333.3333333333</v>
      </c>
      <c r="HR33" s="15">
        <f t="shared" si="242"/>
        <v>1733333.3333333333</v>
      </c>
      <c r="HS33" s="15">
        <f t="shared" si="242"/>
        <v>1733333.3333333333</v>
      </c>
      <c r="HT33" s="15">
        <f t="shared" si="242"/>
        <v>0</v>
      </c>
      <c r="HU33" s="15">
        <f t="shared" si="242"/>
        <v>0</v>
      </c>
      <c r="HV33" s="15">
        <f t="shared" si="242"/>
        <v>0</v>
      </c>
      <c r="HW33" s="15">
        <f t="shared" si="242"/>
        <v>0</v>
      </c>
      <c r="HX33" s="15">
        <f t="shared" si="243"/>
        <v>0</v>
      </c>
      <c r="HY33" s="15">
        <f t="shared" si="243"/>
        <v>0</v>
      </c>
      <c r="HZ33" s="15">
        <f t="shared" si="243"/>
        <v>0</v>
      </c>
      <c r="IA33" s="15">
        <f t="shared" si="243"/>
        <v>0</v>
      </c>
      <c r="IB33" s="15">
        <f t="shared" si="243"/>
        <v>0</v>
      </c>
      <c r="IC33" s="15">
        <f t="shared" si="243"/>
        <v>0</v>
      </c>
      <c r="ID33" s="15">
        <f t="shared" si="243"/>
        <v>0</v>
      </c>
      <c r="IE33" s="15">
        <f t="shared" si="243"/>
        <v>0</v>
      </c>
      <c r="IF33" s="15">
        <f t="shared" si="243"/>
        <v>0</v>
      </c>
      <c r="IG33" s="15">
        <f t="shared" si="243"/>
        <v>0</v>
      </c>
      <c r="IH33" s="15">
        <f t="shared" si="243"/>
        <v>0</v>
      </c>
      <c r="II33" s="15">
        <f t="shared" si="243"/>
        <v>0</v>
      </c>
      <c r="IJ33" s="15">
        <f t="shared" si="243"/>
        <v>0</v>
      </c>
      <c r="IK33" s="15">
        <f t="shared" si="243"/>
        <v>0</v>
      </c>
      <c r="IM33" s="15">
        <f t="shared" si="244"/>
        <v>1733333.3333333333</v>
      </c>
      <c r="IN33" s="15">
        <f t="shared" si="244"/>
        <v>1733333.3333333333</v>
      </c>
      <c r="IO33" s="15">
        <f t="shared" si="244"/>
        <v>1733333.3333333333</v>
      </c>
      <c r="IP33" s="15">
        <f t="shared" si="244"/>
        <v>1733333.3333333333</v>
      </c>
      <c r="IQ33" s="15">
        <f t="shared" si="244"/>
        <v>1733333.3333333333</v>
      </c>
      <c r="IR33" s="15">
        <f t="shared" si="244"/>
        <v>1733333.3333333333</v>
      </c>
      <c r="IS33" s="15">
        <f t="shared" si="244"/>
        <v>1733333.3333333333</v>
      </c>
      <c r="IT33" s="15">
        <f t="shared" si="244"/>
        <v>1733333.3333333333</v>
      </c>
      <c r="IU33" s="15">
        <f t="shared" si="244"/>
        <v>1733333.3333333333</v>
      </c>
      <c r="IV33" s="15">
        <f t="shared" si="244"/>
        <v>1733333.3333333333</v>
      </c>
      <c r="IW33" s="15">
        <f t="shared" si="244"/>
        <v>1733333.3333333333</v>
      </c>
      <c r="IX33" s="15">
        <f t="shared" si="244"/>
        <v>1733333.3333333333</v>
      </c>
      <c r="IY33" s="15">
        <f t="shared" si="244"/>
        <v>0</v>
      </c>
      <c r="IZ33" s="15">
        <f t="shared" si="244"/>
        <v>0</v>
      </c>
      <c r="JA33" s="15">
        <f t="shared" si="244"/>
        <v>0</v>
      </c>
      <c r="JB33" s="15">
        <f t="shared" si="244"/>
        <v>0</v>
      </c>
      <c r="JC33" s="15">
        <f t="shared" si="245"/>
        <v>0</v>
      </c>
      <c r="JD33" s="15">
        <f t="shared" si="245"/>
        <v>0</v>
      </c>
      <c r="JE33" s="15">
        <f t="shared" si="245"/>
        <v>0</v>
      </c>
      <c r="JF33" s="15">
        <f t="shared" si="245"/>
        <v>0</v>
      </c>
      <c r="JG33" s="15">
        <f t="shared" si="245"/>
        <v>0</v>
      </c>
      <c r="JH33" s="15">
        <f t="shared" si="245"/>
        <v>0</v>
      </c>
      <c r="JI33" s="15">
        <f t="shared" si="245"/>
        <v>0</v>
      </c>
      <c r="JJ33" s="15">
        <f t="shared" si="245"/>
        <v>0</v>
      </c>
      <c r="JK33" s="15">
        <f t="shared" si="245"/>
        <v>0</v>
      </c>
      <c r="JL33" s="15">
        <f t="shared" si="245"/>
        <v>0</v>
      </c>
      <c r="JM33" s="15">
        <f t="shared" si="245"/>
        <v>0</v>
      </c>
      <c r="JN33" s="15">
        <f t="shared" si="245"/>
        <v>0</v>
      </c>
      <c r="JO33" s="15">
        <f t="shared" si="245"/>
        <v>0</v>
      </c>
      <c r="JP33" s="15">
        <f t="shared" si="245"/>
        <v>0</v>
      </c>
      <c r="JR33" s="15">
        <f t="shared" si="246"/>
        <v>1733333.3333333333</v>
      </c>
      <c r="JS33" s="15">
        <f t="shared" si="246"/>
        <v>1733333.3333333333</v>
      </c>
      <c r="JT33" s="15">
        <f t="shared" si="246"/>
        <v>1733333.3333333333</v>
      </c>
      <c r="JU33" s="15">
        <f t="shared" si="246"/>
        <v>1733333.3333333333</v>
      </c>
      <c r="JV33" s="15">
        <f t="shared" si="246"/>
        <v>1733333.3333333333</v>
      </c>
      <c r="JW33" s="15">
        <f t="shared" si="246"/>
        <v>1733333.3333333333</v>
      </c>
      <c r="JX33" s="15">
        <f t="shared" si="246"/>
        <v>1733333.3333333333</v>
      </c>
      <c r="JY33" s="15">
        <f t="shared" si="246"/>
        <v>1733333.3333333333</v>
      </c>
      <c r="JZ33" s="15">
        <f t="shared" si="246"/>
        <v>1733333.3333333333</v>
      </c>
      <c r="KA33" s="15">
        <f t="shared" si="246"/>
        <v>1733333.3333333333</v>
      </c>
      <c r="KB33" s="15">
        <f t="shared" si="246"/>
        <v>1733333.3333333333</v>
      </c>
      <c r="KC33" s="15">
        <f t="shared" si="246"/>
        <v>1733333.3333333333</v>
      </c>
      <c r="KD33" s="15">
        <f t="shared" si="246"/>
        <v>0</v>
      </c>
      <c r="KE33" s="15">
        <f t="shared" si="246"/>
        <v>0</v>
      </c>
      <c r="KF33" s="15">
        <f t="shared" si="246"/>
        <v>0</v>
      </c>
      <c r="KG33" s="15">
        <f t="shared" si="246"/>
        <v>0</v>
      </c>
      <c r="KH33" s="15">
        <f t="shared" si="247"/>
        <v>0</v>
      </c>
      <c r="KI33" s="15">
        <f t="shared" si="247"/>
        <v>0</v>
      </c>
      <c r="KJ33" s="15">
        <f t="shared" si="247"/>
        <v>0</v>
      </c>
      <c r="KK33" s="15">
        <f t="shared" si="247"/>
        <v>0</v>
      </c>
      <c r="KL33" s="15">
        <f t="shared" si="247"/>
        <v>0</v>
      </c>
      <c r="KM33" s="15">
        <f t="shared" si="247"/>
        <v>0</v>
      </c>
      <c r="KN33" s="15">
        <f t="shared" si="247"/>
        <v>0</v>
      </c>
      <c r="KO33" s="15">
        <f t="shared" si="247"/>
        <v>0</v>
      </c>
      <c r="KP33" s="15">
        <f t="shared" si="247"/>
        <v>0</v>
      </c>
      <c r="KQ33" s="15">
        <f t="shared" si="247"/>
        <v>0</v>
      </c>
      <c r="KR33" s="15">
        <f t="shared" si="247"/>
        <v>0</v>
      </c>
      <c r="KS33" s="15">
        <f t="shared" si="247"/>
        <v>0</v>
      </c>
      <c r="KT33" s="15">
        <f t="shared" si="247"/>
        <v>0</v>
      </c>
      <c r="KU33" s="15">
        <f t="shared" si="247"/>
        <v>0</v>
      </c>
      <c r="KW33" s="15">
        <f t="shared" si="248"/>
        <v>1733333.3333333333</v>
      </c>
      <c r="KX33" s="15">
        <f t="shared" si="248"/>
        <v>1733333.3333333333</v>
      </c>
      <c r="KY33" s="15">
        <f t="shared" si="248"/>
        <v>1733333.3333333333</v>
      </c>
      <c r="KZ33" s="15">
        <f t="shared" si="248"/>
        <v>1733333.3333333333</v>
      </c>
      <c r="LA33" s="15">
        <f t="shared" si="248"/>
        <v>1733333.3333333333</v>
      </c>
      <c r="LB33" s="15">
        <f t="shared" si="248"/>
        <v>1733333.3333333333</v>
      </c>
      <c r="LC33" s="15">
        <f t="shared" si="248"/>
        <v>1733333.3333333333</v>
      </c>
      <c r="LD33" s="15">
        <f t="shared" si="248"/>
        <v>1733333.3333333333</v>
      </c>
      <c r="LE33" s="15">
        <f t="shared" si="248"/>
        <v>1733333.3333333333</v>
      </c>
      <c r="LF33" s="15">
        <f t="shared" si="248"/>
        <v>1733333.3333333333</v>
      </c>
      <c r="LG33" s="15">
        <f t="shared" si="248"/>
        <v>1733333.3333333333</v>
      </c>
      <c r="LH33" s="15">
        <f t="shared" si="248"/>
        <v>1733333.3333333333</v>
      </c>
      <c r="LI33" s="15">
        <f t="shared" si="248"/>
        <v>0</v>
      </c>
      <c r="LJ33" s="15">
        <f t="shared" si="248"/>
        <v>0</v>
      </c>
      <c r="LK33" s="15">
        <f t="shared" si="248"/>
        <v>0</v>
      </c>
      <c r="LL33" s="15">
        <f t="shared" si="248"/>
        <v>0</v>
      </c>
      <c r="LM33" s="15">
        <f t="shared" si="249"/>
        <v>0</v>
      </c>
      <c r="LN33" s="15">
        <f t="shared" si="249"/>
        <v>0</v>
      </c>
      <c r="LO33" s="15">
        <f t="shared" si="249"/>
        <v>0</v>
      </c>
      <c r="LP33" s="15">
        <f t="shared" si="249"/>
        <v>0</v>
      </c>
      <c r="LQ33" s="15">
        <f t="shared" si="249"/>
        <v>0</v>
      </c>
      <c r="LR33" s="15">
        <f t="shared" si="249"/>
        <v>0</v>
      </c>
      <c r="LS33" s="15">
        <f t="shared" si="249"/>
        <v>0</v>
      </c>
      <c r="LT33" s="15">
        <f t="shared" si="249"/>
        <v>0</v>
      </c>
      <c r="LU33" s="15">
        <f t="shared" si="249"/>
        <v>0</v>
      </c>
      <c r="LV33" s="15">
        <f t="shared" si="249"/>
        <v>0</v>
      </c>
      <c r="LW33" s="15">
        <f t="shared" si="249"/>
        <v>0</v>
      </c>
      <c r="LX33" s="15">
        <f t="shared" si="249"/>
        <v>0</v>
      </c>
      <c r="LY33" s="15">
        <f t="shared" si="249"/>
        <v>0</v>
      </c>
      <c r="LZ33" s="15">
        <f t="shared" si="249"/>
        <v>0</v>
      </c>
      <c r="MB33" s="15">
        <f t="shared" si="250"/>
        <v>1733333.3333333333</v>
      </c>
      <c r="MC33" s="15">
        <f t="shared" si="250"/>
        <v>1733333.3333333333</v>
      </c>
      <c r="MD33" s="15">
        <f t="shared" si="250"/>
        <v>1733333.3333333333</v>
      </c>
      <c r="ME33" s="15">
        <f t="shared" si="250"/>
        <v>1733333.3333333333</v>
      </c>
      <c r="MF33" s="15">
        <f t="shared" si="250"/>
        <v>1733333.3333333333</v>
      </c>
      <c r="MG33" s="15">
        <f t="shared" si="250"/>
        <v>1733333.3333333333</v>
      </c>
      <c r="MH33" s="15">
        <f t="shared" si="250"/>
        <v>1733333.3333333333</v>
      </c>
      <c r="MI33" s="15">
        <f t="shared" si="250"/>
        <v>1733333.3333333333</v>
      </c>
      <c r="MJ33" s="15">
        <f t="shared" si="250"/>
        <v>1733333.3333333333</v>
      </c>
      <c r="MK33" s="15">
        <f t="shared" si="250"/>
        <v>1733333.3333333333</v>
      </c>
      <c r="ML33" s="15">
        <f t="shared" si="250"/>
        <v>1733333.3333333333</v>
      </c>
      <c r="MM33" s="15">
        <f t="shared" si="250"/>
        <v>1733333.3333333333</v>
      </c>
      <c r="MN33" s="15">
        <f t="shared" si="250"/>
        <v>0</v>
      </c>
      <c r="MO33" s="15">
        <f t="shared" si="250"/>
        <v>0</v>
      </c>
      <c r="MP33" s="15">
        <f t="shared" si="250"/>
        <v>0</v>
      </c>
      <c r="MQ33" s="15">
        <f t="shared" si="250"/>
        <v>0</v>
      </c>
      <c r="MR33" s="15">
        <f t="shared" si="251"/>
        <v>0</v>
      </c>
      <c r="MS33" s="15">
        <f t="shared" si="251"/>
        <v>0</v>
      </c>
      <c r="MT33" s="15">
        <f t="shared" si="251"/>
        <v>0</v>
      </c>
      <c r="MU33" s="15">
        <f t="shared" si="251"/>
        <v>0</v>
      </c>
      <c r="MV33" s="15">
        <f t="shared" si="251"/>
        <v>0</v>
      </c>
      <c r="MW33" s="15">
        <f t="shared" si="251"/>
        <v>0</v>
      </c>
      <c r="MX33" s="15">
        <f t="shared" si="251"/>
        <v>0</v>
      </c>
      <c r="MY33" s="15">
        <f t="shared" si="251"/>
        <v>0</v>
      </c>
      <c r="MZ33" s="15">
        <f t="shared" si="251"/>
        <v>0</v>
      </c>
      <c r="NA33" s="15">
        <f t="shared" si="251"/>
        <v>0</v>
      </c>
      <c r="NB33" s="15">
        <f t="shared" si="251"/>
        <v>0</v>
      </c>
      <c r="NC33" s="15">
        <f t="shared" si="251"/>
        <v>0</v>
      </c>
      <c r="ND33" s="15">
        <f t="shared" si="251"/>
        <v>0</v>
      </c>
      <c r="NE33" s="15">
        <f t="shared" si="251"/>
        <v>0</v>
      </c>
    </row>
    <row r="34" spans="1:369" x14ac:dyDescent="0.25">
      <c r="F34" s="221"/>
      <c r="G34" s="15"/>
      <c r="H34" s="15"/>
      <c r="I34" s="15"/>
      <c r="J34" s="15"/>
      <c r="K34" s="221"/>
      <c r="L34" s="15"/>
      <c r="M34" s="15"/>
      <c r="N34" s="15"/>
      <c r="O34" s="15"/>
      <c r="P34" s="221"/>
      <c r="Q34" s="15"/>
      <c r="R34" s="15"/>
      <c r="S34" s="15"/>
      <c r="T34" s="15"/>
      <c r="U34" s="221"/>
      <c r="V34" s="15"/>
      <c r="W34" s="15"/>
      <c r="X34" s="15"/>
      <c r="Y34" s="15"/>
      <c r="Z34" s="221"/>
      <c r="AA34" s="15"/>
      <c r="AB34" s="15"/>
      <c r="AC34" s="15"/>
      <c r="AD34" s="15"/>
      <c r="AE34" s="221"/>
      <c r="AF34" s="15"/>
      <c r="AG34" s="15"/>
      <c r="AH34" s="15"/>
      <c r="AI34" s="15"/>
      <c r="AJ34" s="221"/>
      <c r="AK34" s="15"/>
      <c r="AL34" s="15"/>
      <c r="AM34" s="15"/>
      <c r="AN34" s="15"/>
      <c r="AO34" s="221"/>
      <c r="AP34" s="15"/>
      <c r="AQ34" s="15"/>
      <c r="AR34" s="15"/>
      <c r="AS34" s="15"/>
      <c r="AT34" s="221"/>
      <c r="AU34" s="15"/>
      <c r="AV34" s="15"/>
      <c r="AW34" s="15"/>
      <c r="AX34" s="15"/>
      <c r="AY34" s="221"/>
      <c r="AZ34" s="15"/>
      <c r="BA34" s="15"/>
      <c r="BB34" s="15"/>
      <c r="BC34" s="15"/>
      <c r="BD34" s="221"/>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H34" s="15"/>
      <c r="HI34" s="15"/>
      <c r="HJ34" s="15"/>
      <c r="HK34" s="15"/>
      <c r="HL34" s="15"/>
      <c r="HM34" s="15"/>
      <c r="HN34" s="15"/>
      <c r="HO34" s="15"/>
      <c r="HP34" s="15"/>
      <c r="HQ34" s="15"/>
      <c r="HR34" s="15"/>
      <c r="HS34" s="15"/>
      <c r="HT34" s="15"/>
      <c r="HU34" s="15"/>
      <c r="HV34" s="15"/>
      <c r="HW34" s="15"/>
      <c r="HX34" s="15"/>
      <c r="HY34" s="15"/>
      <c r="HZ34" s="15"/>
      <c r="IA34" s="15"/>
      <c r="IB34" s="15"/>
      <c r="IC34" s="15"/>
      <c r="ID34" s="15"/>
      <c r="IE34" s="15"/>
      <c r="IF34" s="15"/>
      <c r="IG34" s="15"/>
      <c r="IH34" s="15"/>
      <c r="II34" s="15"/>
      <c r="IJ34" s="15"/>
      <c r="IK34" s="15"/>
      <c r="IM34" s="15"/>
      <c r="IN34" s="15"/>
      <c r="IO34" s="15"/>
      <c r="IP34" s="15"/>
      <c r="IQ34" s="15"/>
      <c r="IR34" s="15"/>
      <c r="IS34" s="15"/>
      <c r="IT34" s="15"/>
      <c r="IU34" s="15"/>
      <c r="IV34" s="15"/>
      <c r="IW34" s="15"/>
      <c r="IX34" s="15"/>
      <c r="IY34" s="15"/>
      <c r="IZ34" s="15"/>
      <c r="JA34" s="15"/>
      <c r="JB34" s="15"/>
      <c r="JC34" s="15"/>
      <c r="JD34" s="15"/>
      <c r="JE34" s="15"/>
      <c r="JF34" s="15"/>
      <c r="JG34" s="15"/>
      <c r="JH34" s="15"/>
      <c r="JI34" s="15"/>
      <c r="JJ34" s="15"/>
      <c r="JK34" s="15"/>
      <c r="JL34" s="15"/>
      <c r="JM34" s="15"/>
      <c r="JN34" s="15"/>
      <c r="JO34" s="15"/>
      <c r="JP34" s="15"/>
      <c r="JR34" s="15"/>
      <c r="JS34" s="15"/>
      <c r="JT34" s="15"/>
      <c r="JU34" s="15"/>
      <c r="JV34" s="15"/>
      <c r="JW34" s="15"/>
      <c r="JX34" s="15"/>
      <c r="JY34" s="15"/>
      <c r="JZ34" s="15"/>
      <c r="KA34" s="15"/>
      <c r="KB34" s="15"/>
      <c r="KC34" s="15"/>
      <c r="KD34" s="15"/>
      <c r="KE34" s="15"/>
      <c r="KF34" s="15"/>
      <c r="KG34" s="15"/>
      <c r="KH34" s="15"/>
      <c r="KI34" s="15"/>
      <c r="KJ34" s="15"/>
      <c r="KK34" s="15"/>
      <c r="KL34" s="15"/>
      <c r="KM34" s="15"/>
      <c r="KN34" s="15"/>
      <c r="KO34" s="15"/>
      <c r="KP34" s="15"/>
      <c r="KQ34" s="15"/>
      <c r="KR34" s="15"/>
      <c r="KS34" s="15"/>
      <c r="KT34" s="15"/>
      <c r="KU34" s="15"/>
      <c r="KW34" s="15"/>
      <c r="KX34" s="15"/>
      <c r="KY34" s="15"/>
      <c r="KZ34" s="15"/>
      <c r="LA34" s="15"/>
      <c r="LB34" s="15"/>
      <c r="LC34" s="15"/>
      <c r="LD34" s="15"/>
      <c r="LE34" s="15"/>
      <c r="LF34" s="15"/>
      <c r="LG34" s="15"/>
      <c r="LH34" s="15"/>
      <c r="LI34" s="15"/>
      <c r="LJ34" s="15"/>
      <c r="LK34" s="15"/>
      <c r="LL34" s="15"/>
      <c r="LM34" s="15"/>
      <c r="LN34" s="15"/>
      <c r="LO34" s="15"/>
      <c r="LP34" s="15"/>
      <c r="LQ34" s="15"/>
      <c r="LR34" s="15"/>
      <c r="LS34" s="15"/>
      <c r="LT34" s="15"/>
      <c r="LU34" s="15"/>
      <c r="LV34" s="15"/>
      <c r="LW34" s="15"/>
      <c r="LX34" s="15"/>
      <c r="LY34" s="15"/>
      <c r="LZ34" s="15"/>
      <c r="MB34" s="15"/>
      <c r="MC34" s="15"/>
      <c r="MD34" s="15"/>
      <c r="ME34" s="15"/>
      <c r="MF34" s="15"/>
      <c r="MG34" s="15"/>
      <c r="MH34" s="15"/>
      <c r="MI34" s="15"/>
      <c r="MJ34" s="15"/>
      <c r="MK34" s="15"/>
      <c r="ML34" s="15"/>
      <c r="MM34" s="15"/>
      <c r="MN34" s="15"/>
      <c r="MO34" s="15"/>
      <c r="MP34" s="15"/>
      <c r="MQ34" s="15"/>
      <c r="MR34" s="15"/>
      <c r="MS34" s="15"/>
      <c r="MT34" s="15"/>
      <c r="MU34" s="15"/>
      <c r="MV34" s="15"/>
      <c r="MW34" s="15"/>
      <c r="MX34" s="15"/>
      <c r="MY34" s="15"/>
      <c r="MZ34" s="15"/>
      <c r="NA34" s="15"/>
      <c r="NB34" s="15"/>
      <c r="NC34" s="15"/>
      <c r="ND34" s="15"/>
      <c r="NE34" s="15"/>
    </row>
    <row r="35" spans="1:369" s="22" customFormat="1" ht="17.25" x14ac:dyDescent="0.3">
      <c r="A35" t="s">
        <v>482</v>
      </c>
      <c r="B35"/>
      <c r="C35" s="38" t="s">
        <v>42</v>
      </c>
      <c r="D35" s="22" t="s">
        <v>322</v>
      </c>
      <c r="E35" s="44">
        <f>SUM(E36:E37)</f>
        <v>2000</v>
      </c>
      <c r="F35" s="219"/>
      <c r="G35" s="139"/>
      <c r="H35" s="28"/>
      <c r="I35" s="28">
        <f>SUM(I36:I37)</f>
        <v>0</v>
      </c>
      <c r="J35" s="28">
        <f>SUM(J36:J37)</f>
        <v>0</v>
      </c>
      <c r="K35" s="219"/>
      <c r="L35" s="139"/>
      <c r="M35" s="139"/>
      <c r="N35" s="28">
        <f>SUM(N36:N37)</f>
        <v>150000000000</v>
      </c>
      <c r="O35" s="28">
        <f>SUM(O36:O37)</f>
        <v>6000000000</v>
      </c>
      <c r="P35" s="219"/>
      <c r="Q35" s="139"/>
      <c r="R35" s="139"/>
      <c r="S35" s="28">
        <f>SUM(S36:S37)</f>
        <v>0</v>
      </c>
      <c r="T35" s="28">
        <f>SUM(T36:T37)</f>
        <v>0</v>
      </c>
      <c r="U35" s="219"/>
      <c r="V35" s="139"/>
      <c r="W35" s="139"/>
      <c r="X35" s="28">
        <f>SUM(X36:X37)</f>
        <v>150000000000</v>
      </c>
      <c r="Y35" s="28">
        <f>SUM(Y36:Y37)</f>
        <v>6000000000</v>
      </c>
      <c r="Z35" s="219"/>
      <c r="AA35" s="139"/>
      <c r="AB35" s="139"/>
      <c r="AC35" s="28">
        <f>SUM(AC36:AC37)</f>
        <v>0</v>
      </c>
      <c r="AD35" s="28">
        <f>SUM(AD36:AD37)</f>
        <v>0</v>
      </c>
      <c r="AE35" s="219"/>
      <c r="AF35" s="139"/>
      <c r="AG35" s="139"/>
      <c r="AH35" s="28">
        <f>SUM(AH36:AH37)</f>
        <v>150000000000</v>
      </c>
      <c r="AI35" s="28">
        <f>SUM(AI36:AI37)</f>
        <v>6000000000</v>
      </c>
      <c r="AJ35" s="219"/>
      <c r="AK35" s="139"/>
      <c r="AL35" s="139"/>
      <c r="AM35" s="28">
        <f>SUM(AM36:AM37)</f>
        <v>0</v>
      </c>
      <c r="AN35" s="28">
        <f>SUM(AN36:AN37)</f>
        <v>0</v>
      </c>
      <c r="AO35" s="219"/>
      <c r="AP35" s="139"/>
      <c r="AQ35" s="139"/>
      <c r="AR35" s="28">
        <f>SUM(AR36:AR37)</f>
        <v>150000000000</v>
      </c>
      <c r="AS35" s="28">
        <f>SUM(AS36:AS37)</f>
        <v>6000000000</v>
      </c>
      <c r="AT35" s="219"/>
      <c r="AU35" s="139"/>
      <c r="AV35" s="139"/>
      <c r="AW35" s="28">
        <f>SUM(AW36:AW37)</f>
        <v>0</v>
      </c>
      <c r="AX35" s="28">
        <f>SUM(AX36:AX37)</f>
        <v>0</v>
      </c>
      <c r="AY35" s="219"/>
      <c r="AZ35" s="139"/>
      <c r="BA35" s="139"/>
      <c r="BB35" s="28">
        <f>SUM(BB36:BB37)</f>
        <v>150000000000</v>
      </c>
      <c r="BC35" s="28">
        <f>SUM(BC36:BC37)</f>
        <v>6000000000</v>
      </c>
      <c r="BD35" s="219"/>
      <c r="BI35" s="28">
        <f t="shared" ref="BI35:CL35" si="252">SUM(BI36:BI37)</f>
        <v>0</v>
      </c>
      <c r="BJ35" s="28">
        <f t="shared" si="252"/>
        <v>0</v>
      </c>
      <c r="BK35" s="28">
        <f t="shared" si="252"/>
        <v>0</v>
      </c>
      <c r="BL35" s="28">
        <f t="shared" si="252"/>
        <v>0</v>
      </c>
      <c r="BM35" s="28">
        <f t="shared" si="252"/>
        <v>0</v>
      </c>
      <c r="BN35" s="28">
        <f t="shared" si="252"/>
        <v>0</v>
      </c>
      <c r="BO35" s="28">
        <f t="shared" si="252"/>
        <v>0</v>
      </c>
      <c r="BP35" s="28">
        <f t="shared" si="252"/>
        <v>0</v>
      </c>
      <c r="BQ35" s="28">
        <f t="shared" si="252"/>
        <v>0</v>
      </c>
      <c r="BR35" s="28">
        <f t="shared" si="252"/>
        <v>0</v>
      </c>
      <c r="BS35" s="28">
        <f t="shared" si="252"/>
        <v>0</v>
      </c>
      <c r="BT35" s="28">
        <f t="shared" si="252"/>
        <v>0</v>
      </c>
      <c r="BU35" s="28">
        <f t="shared" si="252"/>
        <v>0</v>
      </c>
      <c r="BV35" s="28">
        <f t="shared" si="252"/>
        <v>0</v>
      </c>
      <c r="BW35" s="28">
        <f t="shared" si="252"/>
        <v>0</v>
      </c>
      <c r="BX35" s="28">
        <f t="shared" si="252"/>
        <v>0</v>
      </c>
      <c r="BY35" s="28">
        <f t="shared" si="252"/>
        <v>0</v>
      </c>
      <c r="BZ35" s="28">
        <f t="shared" si="252"/>
        <v>0</v>
      </c>
      <c r="CA35" s="28">
        <f t="shared" si="252"/>
        <v>0</v>
      </c>
      <c r="CB35" s="28">
        <f t="shared" si="252"/>
        <v>0</v>
      </c>
      <c r="CC35" s="28">
        <f t="shared" si="252"/>
        <v>0</v>
      </c>
      <c r="CD35" s="28">
        <f t="shared" si="252"/>
        <v>0</v>
      </c>
      <c r="CE35" s="28">
        <f t="shared" si="252"/>
        <v>0</v>
      </c>
      <c r="CF35" s="28">
        <f t="shared" si="252"/>
        <v>0</v>
      </c>
      <c r="CG35" s="28">
        <f t="shared" si="252"/>
        <v>0</v>
      </c>
      <c r="CH35" s="28">
        <f t="shared" si="252"/>
        <v>0</v>
      </c>
      <c r="CI35" s="28">
        <f t="shared" si="252"/>
        <v>0</v>
      </c>
      <c r="CJ35" s="28">
        <f t="shared" si="252"/>
        <v>0</v>
      </c>
      <c r="CK35" s="28">
        <f t="shared" si="252"/>
        <v>0</v>
      </c>
      <c r="CL35" s="28">
        <f t="shared" si="252"/>
        <v>0</v>
      </c>
      <c r="CN35" s="28">
        <f t="shared" ref="CN35" si="253">SUM(CN36:CN37)</f>
        <v>6000000000</v>
      </c>
      <c r="CO35" s="28">
        <f t="shared" ref="CO35" si="254">SUM(CO36:CO37)</f>
        <v>6000000000</v>
      </c>
      <c r="CP35" s="28">
        <f t="shared" ref="CP35" si="255">SUM(CP36:CP37)</f>
        <v>6000000000</v>
      </c>
      <c r="CQ35" s="28">
        <f t="shared" ref="CQ35" si="256">SUM(CQ36:CQ37)</f>
        <v>6000000000</v>
      </c>
      <c r="CR35" s="28">
        <f t="shared" ref="CR35" si="257">SUM(CR36:CR37)</f>
        <v>6000000000</v>
      </c>
      <c r="CS35" s="28">
        <f t="shared" ref="CS35" si="258">SUM(CS36:CS37)</f>
        <v>6000000000</v>
      </c>
      <c r="CT35" s="28">
        <f t="shared" ref="CT35" si="259">SUM(CT36:CT37)</f>
        <v>6000000000</v>
      </c>
      <c r="CU35" s="28">
        <f t="shared" ref="CU35" si="260">SUM(CU36:CU37)</f>
        <v>6000000000</v>
      </c>
      <c r="CV35" s="28">
        <f t="shared" ref="CV35" si="261">SUM(CV36:CV37)</f>
        <v>6000000000</v>
      </c>
      <c r="CW35" s="28">
        <f t="shared" ref="CW35" si="262">SUM(CW36:CW37)</f>
        <v>6000000000</v>
      </c>
      <c r="CX35" s="28">
        <f t="shared" ref="CX35" si="263">SUM(CX36:CX37)</f>
        <v>6000000000</v>
      </c>
      <c r="CY35" s="28">
        <f t="shared" ref="CY35" si="264">SUM(CY36:CY37)</f>
        <v>6000000000</v>
      </c>
      <c r="CZ35" s="28">
        <f t="shared" ref="CZ35" si="265">SUM(CZ36:CZ37)</f>
        <v>6000000000</v>
      </c>
      <c r="DA35" s="28">
        <f t="shared" ref="DA35" si="266">SUM(DA36:DA37)</f>
        <v>6000000000</v>
      </c>
      <c r="DB35" s="28">
        <f t="shared" ref="DB35" si="267">SUM(DB36:DB37)</f>
        <v>6000000000</v>
      </c>
      <c r="DC35" s="28">
        <f t="shared" ref="DC35" si="268">SUM(DC36:DC37)</f>
        <v>6000000000</v>
      </c>
      <c r="DD35" s="28">
        <f t="shared" ref="DD35" si="269">SUM(DD36:DD37)</f>
        <v>6000000000</v>
      </c>
      <c r="DE35" s="28">
        <f t="shared" ref="DE35" si="270">SUM(DE36:DE37)</f>
        <v>6000000000</v>
      </c>
      <c r="DF35" s="28">
        <f t="shared" ref="DF35" si="271">SUM(DF36:DF37)</f>
        <v>6000000000</v>
      </c>
      <c r="DG35" s="28">
        <f t="shared" ref="DG35" si="272">SUM(DG36:DG37)</f>
        <v>6000000000</v>
      </c>
      <c r="DH35" s="28">
        <f t="shared" ref="DH35" si="273">SUM(DH36:DH37)</f>
        <v>6000000000</v>
      </c>
      <c r="DI35" s="28">
        <f t="shared" ref="DI35" si="274">SUM(DI36:DI37)</f>
        <v>6000000000</v>
      </c>
      <c r="DJ35" s="28">
        <f t="shared" ref="DJ35" si="275">SUM(DJ36:DJ37)</f>
        <v>6000000000</v>
      </c>
      <c r="DK35" s="28">
        <f t="shared" ref="DK35" si="276">SUM(DK36:DK37)</f>
        <v>6000000000</v>
      </c>
      <c r="DL35" s="28">
        <f t="shared" ref="DL35" si="277">SUM(DL36:DL37)</f>
        <v>6000000000</v>
      </c>
      <c r="DM35" s="28">
        <f t="shared" ref="DM35" si="278">SUM(DM36:DM37)</f>
        <v>0</v>
      </c>
      <c r="DN35" s="28">
        <f t="shared" ref="DN35" si="279">SUM(DN36:DN37)</f>
        <v>0</v>
      </c>
      <c r="DO35" s="28">
        <f t="shared" ref="DO35" si="280">SUM(DO36:DO37)</f>
        <v>0</v>
      </c>
      <c r="DP35" s="28">
        <f t="shared" ref="DP35" si="281">SUM(DP36:DP37)</f>
        <v>0</v>
      </c>
      <c r="DQ35" s="28">
        <f t="shared" ref="DQ35" si="282">SUM(DQ36:DQ37)</f>
        <v>0</v>
      </c>
      <c r="DS35" s="28">
        <f t="shared" ref="DS35:EV35" si="283">SUM(DS36:DS37)</f>
        <v>0</v>
      </c>
      <c r="DT35" s="28">
        <f t="shared" si="283"/>
        <v>0</v>
      </c>
      <c r="DU35" s="28">
        <f t="shared" si="283"/>
        <v>0</v>
      </c>
      <c r="DV35" s="28">
        <f t="shared" si="283"/>
        <v>0</v>
      </c>
      <c r="DW35" s="28">
        <f t="shared" si="283"/>
        <v>0</v>
      </c>
      <c r="DX35" s="28">
        <f t="shared" si="283"/>
        <v>0</v>
      </c>
      <c r="DY35" s="28">
        <f t="shared" si="283"/>
        <v>0</v>
      </c>
      <c r="DZ35" s="28">
        <f t="shared" si="283"/>
        <v>0</v>
      </c>
      <c r="EA35" s="28">
        <f t="shared" si="283"/>
        <v>0</v>
      </c>
      <c r="EB35" s="28">
        <f t="shared" si="283"/>
        <v>0</v>
      </c>
      <c r="EC35" s="28">
        <f t="shared" si="283"/>
        <v>0</v>
      </c>
      <c r="ED35" s="28">
        <f t="shared" si="283"/>
        <v>0</v>
      </c>
      <c r="EE35" s="28">
        <f t="shared" si="283"/>
        <v>0</v>
      </c>
      <c r="EF35" s="28">
        <f t="shared" si="283"/>
        <v>0</v>
      </c>
      <c r="EG35" s="28">
        <f t="shared" si="283"/>
        <v>0</v>
      </c>
      <c r="EH35" s="28">
        <f t="shared" si="283"/>
        <v>0</v>
      </c>
      <c r="EI35" s="28">
        <f t="shared" si="283"/>
        <v>0</v>
      </c>
      <c r="EJ35" s="28">
        <f t="shared" si="283"/>
        <v>0</v>
      </c>
      <c r="EK35" s="28">
        <f t="shared" si="283"/>
        <v>0</v>
      </c>
      <c r="EL35" s="28">
        <f t="shared" si="283"/>
        <v>0</v>
      </c>
      <c r="EM35" s="28">
        <f t="shared" si="283"/>
        <v>0</v>
      </c>
      <c r="EN35" s="28">
        <f t="shared" si="283"/>
        <v>0</v>
      </c>
      <c r="EO35" s="28">
        <f t="shared" si="283"/>
        <v>0</v>
      </c>
      <c r="EP35" s="28">
        <f t="shared" si="283"/>
        <v>0</v>
      </c>
      <c r="EQ35" s="28">
        <f t="shared" si="283"/>
        <v>0</v>
      </c>
      <c r="ER35" s="28">
        <f t="shared" si="283"/>
        <v>0</v>
      </c>
      <c r="ES35" s="28">
        <f t="shared" si="283"/>
        <v>0</v>
      </c>
      <c r="ET35" s="28">
        <f t="shared" si="283"/>
        <v>0</v>
      </c>
      <c r="EU35" s="28">
        <f t="shared" si="283"/>
        <v>0</v>
      </c>
      <c r="EV35" s="28">
        <f t="shared" si="283"/>
        <v>0</v>
      </c>
      <c r="EX35" s="28">
        <f t="shared" ref="EX35:GA35" si="284">SUM(EX36:EX37)</f>
        <v>6000000000</v>
      </c>
      <c r="EY35" s="28">
        <f t="shared" si="284"/>
        <v>6000000000</v>
      </c>
      <c r="EZ35" s="28">
        <f t="shared" si="284"/>
        <v>6000000000</v>
      </c>
      <c r="FA35" s="28">
        <f t="shared" si="284"/>
        <v>6000000000</v>
      </c>
      <c r="FB35" s="28">
        <f t="shared" si="284"/>
        <v>6000000000</v>
      </c>
      <c r="FC35" s="28">
        <f t="shared" si="284"/>
        <v>6000000000</v>
      </c>
      <c r="FD35" s="28">
        <f t="shared" si="284"/>
        <v>6000000000</v>
      </c>
      <c r="FE35" s="28">
        <f t="shared" si="284"/>
        <v>6000000000</v>
      </c>
      <c r="FF35" s="28">
        <f t="shared" si="284"/>
        <v>6000000000</v>
      </c>
      <c r="FG35" s="28">
        <f t="shared" si="284"/>
        <v>6000000000</v>
      </c>
      <c r="FH35" s="28">
        <f t="shared" si="284"/>
        <v>6000000000</v>
      </c>
      <c r="FI35" s="28">
        <f t="shared" si="284"/>
        <v>6000000000</v>
      </c>
      <c r="FJ35" s="28">
        <f t="shared" si="284"/>
        <v>6000000000</v>
      </c>
      <c r="FK35" s="28">
        <f t="shared" si="284"/>
        <v>6000000000</v>
      </c>
      <c r="FL35" s="28">
        <f t="shared" si="284"/>
        <v>6000000000</v>
      </c>
      <c r="FM35" s="28">
        <f t="shared" si="284"/>
        <v>6000000000</v>
      </c>
      <c r="FN35" s="28">
        <f t="shared" si="284"/>
        <v>6000000000</v>
      </c>
      <c r="FO35" s="28">
        <f t="shared" si="284"/>
        <v>6000000000</v>
      </c>
      <c r="FP35" s="28">
        <f t="shared" si="284"/>
        <v>6000000000</v>
      </c>
      <c r="FQ35" s="28">
        <f t="shared" si="284"/>
        <v>6000000000</v>
      </c>
      <c r="FR35" s="28">
        <f t="shared" si="284"/>
        <v>6000000000</v>
      </c>
      <c r="FS35" s="28">
        <f t="shared" si="284"/>
        <v>6000000000</v>
      </c>
      <c r="FT35" s="28">
        <f t="shared" si="284"/>
        <v>6000000000</v>
      </c>
      <c r="FU35" s="28">
        <f t="shared" si="284"/>
        <v>6000000000</v>
      </c>
      <c r="FV35" s="28">
        <f t="shared" si="284"/>
        <v>6000000000</v>
      </c>
      <c r="FW35" s="28">
        <f t="shared" si="284"/>
        <v>0</v>
      </c>
      <c r="FX35" s="28">
        <f t="shared" si="284"/>
        <v>0</v>
      </c>
      <c r="FY35" s="28">
        <f t="shared" si="284"/>
        <v>0</v>
      </c>
      <c r="FZ35" s="28">
        <f t="shared" si="284"/>
        <v>0</v>
      </c>
      <c r="GA35" s="28">
        <f t="shared" si="284"/>
        <v>0</v>
      </c>
      <c r="GC35" s="28">
        <f t="shared" ref="GC35:HF35" si="285">SUM(GC36:GC37)</f>
        <v>0</v>
      </c>
      <c r="GD35" s="28">
        <f t="shared" si="285"/>
        <v>0</v>
      </c>
      <c r="GE35" s="28">
        <f t="shared" si="285"/>
        <v>0</v>
      </c>
      <c r="GF35" s="28">
        <f t="shared" si="285"/>
        <v>0</v>
      </c>
      <c r="GG35" s="28">
        <f t="shared" si="285"/>
        <v>0</v>
      </c>
      <c r="GH35" s="28">
        <f t="shared" si="285"/>
        <v>0</v>
      </c>
      <c r="GI35" s="28">
        <f t="shared" si="285"/>
        <v>0</v>
      </c>
      <c r="GJ35" s="28">
        <f t="shared" si="285"/>
        <v>0</v>
      </c>
      <c r="GK35" s="28">
        <f t="shared" si="285"/>
        <v>0</v>
      </c>
      <c r="GL35" s="28">
        <f t="shared" si="285"/>
        <v>0</v>
      </c>
      <c r="GM35" s="28">
        <f t="shared" si="285"/>
        <v>0</v>
      </c>
      <c r="GN35" s="28">
        <f t="shared" si="285"/>
        <v>0</v>
      </c>
      <c r="GO35" s="28">
        <f t="shared" si="285"/>
        <v>0</v>
      </c>
      <c r="GP35" s="28">
        <f t="shared" si="285"/>
        <v>0</v>
      </c>
      <c r="GQ35" s="28">
        <f t="shared" si="285"/>
        <v>0</v>
      </c>
      <c r="GR35" s="28">
        <f t="shared" si="285"/>
        <v>0</v>
      </c>
      <c r="GS35" s="28">
        <f t="shared" si="285"/>
        <v>0</v>
      </c>
      <c r="GT35" s="28">
        <f t="shared" si="285"/>
        <v>0</v>
      </c>
      <c r="GU35" s="28">
        <f t="shared" si="285"/>
        <v>0</v>
      </c>
      <c r="GV35" s="28">
        <f t="shared" si="285"/>
        <v>0</v>
      </c>
      <c r="GW35" s="28">
        <f t="shared" si="285"/>
        <v>0</v>
      </c>
      <c r="GX35" s="28">
        <f t="shared" si="285"/>
        <v>0</v>
      </c>
      <c r="GY35" s="28">
        <f t="shared" si="285"/>
        <v>0</v>
      </c>
      <c r="GZ35" s="28">
        <f t="shared" si="285"/>
        <v>0</v>
      </c>
      <c r="HA35" s="28">
        <f t="shared" si="285"/>
        <v>0</v>
      </c>
      <c r="HB35" s="28">
        <f t="shared" si="285"/>
        <v>0</v>
      </c>
      <c r="HC35" s="28">
        <f t="shared" si="285"/>
        <v>0</v>
      </c>
      <c r="HD35" s="28">
        <f t="shared" si="285"/>
        <v>0</v>
      </c>
      <c r="HE35" s="28">
        <f t="shared" si="285"/>
        <v>0</v>
      </c>
      <c r="HF35" s="28">
        <f t="shared" si="285"/>
        <v>0</v>
      </c>
      <c r="HH35" s="28">
        <f t="shared" ref="HH35" si="286">SUM(HH36:HH37)</f>
        <v>6000000000</v>
      </c>
      <c r="HI35" s="28">
        <f t="shared" ref="HI35" si="287">SUM(HI36:HI37)</f>
        <v>6000000000</v>
      </c>
      <c r="HJ35" s="28">
        <f t="shared" ref="HJ35" si="288">SUM(HJ36:HJ37)</f>
        <v>6000000000</v>
      </c>
      <c r="HK35" s="28">
        <f t="shared" ref="HK35" si="289">SUM(HK36:HK37)</f>
        <v>6000000000</v>
      </c>
      <c r="HL35" s="28">
        <f t="shared" ref="HL35" si="290">SUM(HL36:HL37)</f>
        <v>6000000000</v>
      </c>
      <c r="HM35" s="28">
        <f t="shared" ref="HM35" si="291">SUM(HM36:HM37)</f>
        <v>6000000000</v>
      </c>
      <c r="HN35" s="28">
        <f t="shared" ref="HN35" si="292">SUM(HN36:HN37)</f>
        <v>6000000000</v>
      </c>
      <c r="HO35" s="28">
        <f t="shared" ref="HO35" si="293">SUM(HO36:HO37)</f>
        <v>6000000000</v>
      </c>
      <c r="HP35" s="28">
        <f t="shared" ref="HP35" si="294">SUM(HP36:HP37)</f>
        <v>6000000000</v>
      </c>
      <c r="HQ35" s="28">
        <f t="shared" ref="HQ35" si="295">SUM(HQ36:HQ37)</f>
        <v>6000000000</v>
      </c>
      <c r="HR35" s="28">
        <f t="shared" ref="HR35" si="296">SUM(HR36:HR37)</f>
        <v>6000000000</v>
      </c>
      <c r="HS35" s="28">
        <f t="shared" ref="HS35" si="297">SUM(HS36:HS37)</f>
        <v>6000000000</v>
      </c>
      <c r="HT35" s="28">
        <f t="shared" ref="HT35" si="298">SUM(HT36:HT37)</f>
        <v>6000000000</v>
      </c>
      <c r="HU35" s="28">
        <f t="shared" ref="HU35" si="299">SUM(HU36:HU37)</f>
        <v>6000000000</v>
      </c>
      <c r="HV35" s="28">
        <f t="shared" ref="HV35" si="300">SUM(HV36:HV37)</f>
        <v>6000000000</v>
      </c>
      <c r="HW35" s="28">
        <f t="shared" ref="HW35" si="301">SUM(HW36:HW37)</f>
        <v>6000000000</v>
      </c>
      <c r="HX35" s="28">
        <f t="shared" ref="HX35" si="302">SUM(HX36:HX37)</f>
        <v>6000000000</v>
      </c>
      <c r="HY35" s="28">
        <f t="shared" ref="HY35" si="303">SUM(HY36:HY37)</f>
        <v>6000000000</v>
      </c>
      <c r="HZ35" s="28">
        <f t="shared" ref="HZ35" si="304">SUM(HZ36:HZ37)</f>
        <v>6000000000</v>
      </c>
      <c r="IA35" s="28">
        <f t="shared" ref="IA35" si="305">SUM(IA36:IA37)</f>
        <v>6000000000</v>
      </c>
      <c r="IB35" s="28">
        <f t="shared" ref="IB35" si="306">SUM(IB36:IB37)</f>
        <v>6000000000</v>
      </c>
      <c r="IC35" s="28">
        <f t="shared" ref="IC35" si="307">SUM(IC36:IC37)</f>
        <v>6000000000</v>
      </c>
      <c r="ID35" s="28">
        <f t="shared" ref="ID35" si="308">SUM(ID36:ID37)</f>
        <v>6000000000</v>
      </c>
      <c r="IE35" s="28">
        <f t="shared" ref="IE35" si="309">SUM(IE36:IE37)</f>
        <v>6000000000</v>
      </c>
      <c r="IF35" s="28">
        <f t="shared" ref="IF35" si="310">SUM(IF36:IF37)</f>
        <v>6000000000</v>
      </c>
      <c r="IG35" s="28">
        <f t="shared" ref="IG35" si="311">SUM(IG36:IG37)</f>
        <v>0</v>
      </c>
      <c r="IH35" s="28">
        <f t="shared" ref="IH35" si="312">SUM(IH36:IH37)</f>
        <v>0</v>
      </c>
      <c r="II35" s="28">
        <f t="shared" ref="II35" si="313">SUM(II36:II37)</f>
        <v>0</v>
      </c>
      <c r="IJ35" s="28">
        <f t="shared" ref="IJ35" si="314">SUM(IJ36:IJ37)</f>
        <v>0</v>
      </c>
      <c r="IK35" s="28">
        <f t="shared" ref="IK35" si="315">SUM(IK36:IK37)</f>
        <v>0</v>
      </c>
      <c r="IM35" s="28">
        <f t="shared" ref="IM35:JP35" si="316">SUM(IM36:IM37)</f>
        <v>0</v>
      </c>
      <c r="IN35" s="28">
        <f t="shared" si="316"/>
        <v>0</v>
      </c>
      <c r="IO35" s="28">
        <f t="shared" si="316"/>
        <v>0</v>
      </c>
      <c r="IP35" s="28">
        <f t="shared" si="316"/>
        <v>0</v>
      </c>
      <c r="IQ35" s="28">
        <f t="shared" si="316"/>
        <v>0</v>
      </c>
      <c r="IR35" s="28">
        <f t="shared" si="316"/>
        <v>0</v>
      </c>
      <c r="IS35" s="28">
        <f t="shared" si="316"/>
        <v>0</v>
      </c>
      <c r="IT35" s="28">
        <f t="shared" si="316"/>
        <v>0</v>
      </c>
      <c r="IU35" s="28">
        <f t="shared" si="316"/>
        <v>0</v>
      </c>
      <c r="IV35" s="28">
        <f t="shared" si="316"/>
        <v>0</v>
      </c>
      <c r="IW35" s="28">
        <f t="shared" si="316"/>
        <v>0</v>
      </c>
      <c r="IX35" s="28">
        <f t="shared" si="316"/>
        <v>0</v>
      </c>
      <c r="IY35" s="28">
        <f t="shared" si="316"/>
        <v>0</v>
      </c>
      <c r="IZ35" s="28">
        <f t="shared" si="316"/>
        <v>0</v>
      </c>
      <c r="JA35" s="28">
        <f t="shared" si="316"/>
        <v>0</v>
      </c>
      <c r="JB35" s="28">
        <f t="shared" si="316"/>
        <v>0</v>
      </c>
      <c r="JC35" s="28">
        <f t="shared" si="316"/>
        <v>0</v>
      </c>
      <c r="JD35" s="28">
        <f t="shared" si="316"/>
        <v>0</v>
      </c>
      <c r="JE35" s="28">
        <f t="shared" si="316"/>
        <v>0</v>
      </c>
      <c r="JF35" s="28">
        <f t="shared" si="316"/>
        <v>0</v>
      </c>
      <c r="JG35" s="28">
        <f t="shared" si="316"/>
        <v>0</v>
      </c>
      <c r="JH35" s="28">
        <f t="shared" si="316"/>
        <v>0</v>
      </c>
      <c r="JI35" s="28">
        <f t="shared" si="316"/>
        <v>0</v>
      </c>
      <c r="JJ35" s="28">
        <f t="shared" si="316"/>
        <v>0</v>
      </c>
      <c r="JK35" s="28">
        <f t="shared" si="316"/>
        <v>0</v>
      </c>
      <c r="JL35" s="28">
        <f t="shared" si="316"/>
        <v>0</v>
      </c>
      <c r="JM35" s="28">
        <f t="shared" si="316"/>
        <v>0</v>
      </c>
      <c r="JN35" s="28">
        <f t="shared" si="316"/>
        <v>0</v>
      </c>
      <c r="JO35" s="28">
        <f t="shared" si="316"/>
        <v>0</v>
      </c>
      <c r="JP35" s="28">
        <f t="shared" si="316"/>
        <v>0</v>
      </c>
      <c r="JR35" s="28">
        <f t="shared" ref="JR35:KU35" si="317">SUM(JR36:JR37)</f>
        <v>6000000000</v>
      </c>
      <c r="JS35" s="28">
        <f t="shared" si="317"/>
        <v>6000000000</v>
      </c>
      <c r="JT35" s="28">
        <f t="shared" si="317"/>
        <v>6000000000</v>
      </c>
      <c r="JU35" s="28">
        <f t="shared" si="317"/>
        <v>6000000000</v>
      </c>
      <c r="JV35" s="28">
        <f t="shared" si="317"/>
        <v>6000000000</v>
      </c>
      <c r="JW35" s="28">
        <f t="shared" si="317"/>
        <v>6000000000</v>
      </c>
      <c r="JX35" s="28">
        <f t="shared" si="317"/>
        <v>6000000000</v>
      </c>
      <c r="JY35" s="28">
        <f t="shared" si="317"/>
        <v>6000000000</v>
      </c>
      <c r="JZ35" s="28">
        <f t="shared" si="317"/>
        <v>6000000000</v>
      </c>
      <c r="KA35" s="28">
        <f t="shared" si="317"/>
        <v>6000000000</v>
      </c>
      <c r="KB35" s="28">
        <f t="shared" si="317"/>
        <v>6000000000</v>
      </c>
      <c r="KC35" s="28">
        <f t="shared" si="317"/>
        <v>6000000000</v>
      </c>
      <c r="KD35" s="28">
        <f t="shared" si="317"/>
        <v>6000000000</v>
      </c>
      <c r="KE35" s="28">
        <f t="shared" si="317"/>
        <v>6000000000</v>
      </c>
      <c r="KF35" s="28">
        <f t="shared" si="317"/>
        <v>6000000000</v>
      </c>
      <c r="KG35" s="28">
        <f t="shared" si="317"/>
        <v>6000000000</v>
      </c>
      <c r="KH35" s="28">
        <f t="shared" si="317"/>
        <v>6000000000</v>
      </c>
      <c r="KI35" s="28">
        <f t="shared" si="317"/>
        <v>6000000000</v>
      </c>
      <c r="KJ35" s="28">
        <f t="shared" si="317"/>
        <v>6000000000</v>
      </c>
      <c r="KK35" s="28">
        <f t="shared" si="317"/>
        <v>6000000000</v>
      </c>
      <c r="KL35" s="28">
        <f t="shared" si="317"/>
        <v>6000000000</v>
      </c>
      <c r="KM35" s="28">
        <f t="shared" si="317"/>
        <v>6000000000</v>
      </c>
      <c r="KN35" s="28">
        <f t="shared" si="317"/>
        <v>6000000000</v>
      </c>
      <c r="KO35" s="28">
        <f t="shared" si="317"/>
        <v>6000000000</v>
      </c>
      <c r="KP35" s="28">
        <f t="shared" si="317"/>
        <v>6000000000</v>
      </c>
      <c r="KQ35" s="28">
        <f t="shared" si="317"/>
        <v>0</v>
      </c>
      <c r="KR35" s="28">
        <f t="shared" si="317"/>
        <v>0</v>
      </c>
      <c r="KS35" s="28">
        <f t="shared" si="317"/>
        <v>0</v>
      </c>
      <c r="KT35" s="28">
        <f t="shared" si="317"/>
        <v>0</v>
      </c>
      <c r="KU35" s="28">
        <f t="shared" si="317"/>
        <v>0</v>
      </c>
      <c r="KW35" s="28">
        <f t="shared" ref="KW35:LZ35" si="318">SUM(KW36:KW37)</f>
        <v>0</v>
      </c>
      <c r="KX35" s="28">
        <f t="shared" si="318"/>
        <v>0</v>
      </c>
      <c r="KY35" s="28">
        <f t="shared" si="318"/>
        <v>0</v>
      </c>
      <c r="KZ35" s="28">
        <f t="shared" si="318"/>
        <v>0</v>
      </c>
      <c r="LA35" s="28">
        <f t="shared" si="318"/>
        <v>0</v>
      </c>
      <c r="LB35" s="28">
        <f t="shared" si="318"/>
        <v>0</v>
      </c>
      <c r="LC35" s="28">
        <f t="shared" si="318"/>
        <v>0</v>
      </c>
      <c r="LD35" s="28">
        <f t="shared" si="318"/>
        <v>0</v>
      </c>
      <c r="LE35" s="28">
        <f t="shared" si="318"/>
        <v>0</v>
      </c>
      <c r="LF35" s="28">
        <f t="shared" si="318"/>
        <v>0</v>
      </c>
      <c r="LG35" s="28">
        <f t="shared" si="318"/>
        <v>0</v>
      </c>
      <c r="LH35" s="28">
        <f t="shared" si="318"/>
        <v>0</v>
      </c>
      <c r="LI35" s="28">
        <f t="shared" si="318"/>
        <v>0</v>
      </c>
      <c r="LJ35" s="28">
        <f t="shared" si="318"/>
        <v>0</v>
      </c>
      <c r="LK35" s="28">
        <f t="shared" si="318"/>
        <v>0</v>
      </c>
      <c r="LL35" s="28">
        <f t="shared" si="318"/>
        <v>0</v>
      </c>
      <c r="LM35" s="28">
        <f t="shared" si="318"/>
        <v>0</v>
      </c>
      <c r="LN35" s="28">
        <f t="shared" si="318"/>
        <v>0</v>
      </c>
      <c r="LO35" s="28">
        <f t="shared" si="318"/>
        <v>0</v>
      </c>
      <c r="LP35" s="28">
        <f t="shared" si="318"/>
        <v>0</v>
      </c>
      <c r="LQ35" s="28">
        <f t="shared" si="318"/>
        <v>0</v>
      </c>
      <c r="LR35" s="28">
        <f t="shared" si="318"/>
        <v>0</v>
      </c>
      <c r="LS35" s="28">
        <f t="shared" si="318"/>
        <v>0</v>
      </c>
      <c r="LT35" s="28">
        <f t="shared" si="318"/>
        <v>0</v>
      </c>
      <c r="LU35" s="28">
        <f t="shared" si="318"/>
        <v>0</v>
      </c>
      <c r="LV35" s="28">
        <f t="shared" si="318"/>
        <v>0</v>
      </c>
      <c r="LW35" s="28">
        <f t="shared" si="318"/>
        <v>0</v>
      </c>
      <c r="LX35" s="28">
        <f t="shared" si="318"/>
        <v>0</v>
      </c>
      <c r="LY35" s="28">
        <f t="shared" si="318"/>
        <v>0</v>
      </c>
      <c r="LZ35" s="28">
        <f t="shared" si="318"/>
        <v>0</v>
      </c>
      <c r="MB35" s="28">
        <f t="shared" ref="MB35:NE35" si="319">SUM(MB36:MB37)</f>
        <v>6000000000</v>
      </c>
      <c r="MC35" s="28">
        <f t="shared" si="319"/>
        <v>6000000000</v>
      </c>
      <c r="MD35" s="28">
        <f t="shared" si="319"/>
        <v>6000000000</v>
      </c>
      <c r="ME35" s="28">
        <f t="shared" si="319"/>
        <v>6000000000</v>
      </c>
      <c r="MF35" s="28">
        <f t="shared" si="319"/>
        <v>6000000000</v>
      </c>
      <c r="MG35" s="28">
        <f t="shared" si="319"/>
        <v>6000000000</v>
      </c>
      <c r="MH35" s="28">
        <f t="shared" si="319"/>
        <v>6000000000</v>
      </c>
      <c r="MI35" s="28">
        <f t="shared" si="319"/>
        <v>6000000000</v>
      </c>
      <c r="MJ35" s="28">
        <f t="shared" si="319"/>
        <v>6000000000</v>
      </c>
      <c r="MK35" s="28">
        <f t="shared" si="319"/>
        <v>6000000000</v>
      </c>
      <c r="ML35" s="28">
        <f t="shared" si="319"/>
        <v>6000000000</v>
      </c>
      <c r="MM35" s="28">
        <f t="shared" si="319"/>
        <v>6000000000</v>
      </c>
      <c r="MN35" s="28">
        <f t="shared" si="319"/>
        <v>6000000000</v>
      </c>
      <c r="MO35" s="28">
        <f t="shared" si="319"/>
        <v>6000000000</v>
      </c>
      <c r="MP35" s="28">
        <f t="shared" si="319"/>
        <v>6000000000</v>
      </c>
      <c r="MQ35" s="28">
        <f t="shared" si="319"/>
        <v>6000000000</v>
      </c>
      <c r="MR35" s="28">
        <f t="shared" si="319"/>
        <v>6000000000</v>
      </c>
      <c r="MS35" s="28">
        <f t="shared" si="319"/>
        <v>6000000000</v>
      </c>
      <c r="MT35" s="28">
        <f t="shared" si="319"/>
        <v>6000000000</v>
      </c>
      <c r="MU35" s="28">
        <f t="shared" si="319"/>
        <v>6000000000</v>
      </c>
      <c r="MV35" s="28">
        <f t="shared" si="319"/>
        <v>6000000000</v>
      </c>
      <c r="MW35" s="28">
        <f t="shared" si="319"/>
        <v>6000000000</v>
      </c>
      <c r="MX35" s="28">
        <f t="shared" si="319"/>
        <v>6000000000</v>
      </c>
      <c r="MY35" s="28">
        <f t="shared" si="319"/>
        <v>6000000000</v>
      </c>
      <c r="MZ35" s="28">
        <f t="shared" si="319"/>
        <v>6000000000</v>
      </c>
      <c r="NA35" s="28">
        <f t="shared" si="319"/>
        <v>0</v>
      </c>
      <c r="NB35" s="28">
        <f t="shared" si="319"/>
        <v>0</v>
      </c>
      <c r="NC35" s="28">
        <f t="shared" si="319"/>
        <v>0</v>
      </c>
      <c r="ND35" s="28">
        <f t="shared" si="319"/>
        <v>0</v>
      </c>
      <c r="NE35" s="28">
        <f t="shared" si="319"/>
        <v>0</v>
      </c>
    </row>
    <row r="36" spans="1:369" outlineLevel="1" x14ac:dyDescent="0.25">
      <c r="B36" t="s">
        <v>133</v>
      </c>
      <c r="C36" s="622" t="s">
        <v>241</v>
      </c>
      <c r="D36" s="610" t="s">
        <v>67</v>
      </c>
      <c r="E36" s="614">
        <v>1900</v>
      </c>
      <c r="F36" s="221"/>
      <c r="G36" s="612">
        <v>25</v>
      </c>
      <c r="H36" s="614">
        <f>(75000000/$D$6)</f>
        <v>75000000</v>
      </c>
      <c r="I36" s="612">
        <f>$E36*$H36*0</f>
        <v>0</v>
      </c>
      <c r="J36" s="612">
        <f t="shared" ref="J36:J37" si="320">I36/G36</f>
        <v>0</v>
      </c>
      <c r="K36" s="221"/>
      <c r="L36" s="612">
        <v>25</v>
      </c>
      <c r="M36" s="612">
        <f>75000000/$D$6</f>
        <v>75000000</v>
      </c>
      <c r="N36" s="624">
        <f t="shared" ref="N36:N37" si="321">$E36*M36</f>
        <v>142500000000</v>
      </c>
      <c r="O36" s="612">
        <f t="shared" ref="O36:O37" si="322">N36/L36</f>
        <v>5700000000</v>
      </c>
      <c r="P36" s="221"/>
      <c r="Q36" s="612">
        <v>25</v>
      </c>
      <c r="R36" s="612">
        <f>75000000/$D$6</f>
        <v>75000000</v>
      </c>
      <c r="S36" s="624">
        <f>$E36*R36*0</f>
        <v>0</v>
      </c>
      <c r="T36" s="612">
        <f t="shared" ref="T36:T37" si="323">S36/Q36</f>
        <v>0</v>
      </c>
      <c r="U36" s="221"/>
      <c r="V36" s="612">
        <v>25</v>
      </c>
      <c r="W36" s="612">
        <f>75000000/$D$6</f>
        <v>75000000</v>
      </c>
      <c r="X36" s="624">
        <f>$E36*W36</f>
        <v>142500000000</v>
      </c>
      <c r="Y36" s="612">
        <f t="shared" ref="Y36:Y37" si="324">X36/V36</f>
        <v>5700000000</v>
      </c>
      <c r="Z36" s="221"/>
      <c r="AA36" s="612">
        <v>25</v>
      </c>
      <c r="AB36" s="612">
        <f>75000000/$D$6</f>
        <v>75000000</v>
      </c>
      <c r="AC36" s="624">
        <f>$E36*AB36*0</f>
        <v>0</v>
      </c>
      <c r="AD36" s="612">
        <f t="shared" ref="AD36:AD37" si="325">AC36/AA36</f>
        <v>0</v>
      </c>
      <c r="AE36" s="221"/>
      <c r="AF36" s="612">
        <v>25</v>
      </c>
      <c r="AG36" s="612">
        <f>75000000/$D$6</f>
        <v>75000000</v>
      </c>
      <c r="AH36" s="624">
        <f>$E36*AG36</f>
        <v>142500000000</v>
      </c>
      <c r="AI36" s="612">
        <f t="shared" ref="AI36:AI37" si="326">AH36/AF36</f>
        <v>5700000000</v>
      </c>
      <c r="AJ36" s="221"/>
      <c r="AK36" s="612">
        <v>25</v>
      </c>
      <c r="AL36" s="612">
        <f>75000000/$D$6</f>
        <v>75000000</v>
      </c>
      <c r="AM36" s="624">
        <f>$E36*AL36*0</f>
        <v>0</v>
      </c>
      <c r="AN36" s="612">
        <f t="shared" ref="AN36:AN37" si="327">AM36/AK36</f>
        <v>0</v>
      </c>
      <c r="AO36" s="221"/>
      <c r="AP36" s="612">
        <v>25</v>
      </c>
      <c r="AQ36" s="612">
        <f>75000000/$D$6</f>
        <v>75000000</v>
      </c>
      <c r="AR36" s="624">
        <f>$E36*AQ36</f>
        <v>142500000000</v>
      </c>
      <c r="AS36" s="612">
        <f t="shared" ref="AS36:AS37" si="328">AR36/AP36</f>
        <v>5700000000</v>
      </c>
      <c r="AT36" s="221"/>
      <c r="AU36" s="612">
        <v>25</v>
      </c>
      <c r="AV36" s="612">
        <f>75000000/$D$6</f>
        <v>75000000</v>
      </c>
      <c r="AW36" s="624">
        <f>$E36*AV36*0</f>
        <v>0</v>
      </c>
      <c r="AX36" s="612">
        <f t="shared" ref="AX36:AX37" si="329">AW36/AU36</f>
        <v>0</v>
      </c>
      <c r="AY36" s="221"/>
      <c r="AZ36" s="612">
        <v>25</v>
      </c>
      <c r="BA36" s="612">
        <f>75000000/$D$6</f>
        <v>75000000</v>
      </c>
      <c r="BB36" s="624">
        <f>$E36*BA36</f>
        <v>142500000000</v>
      </c>
      <c r="BC36" s="612">
        <f t="shared" ref="BC36:BC37" si="330">BB36/AZ36</f>
        <v>5700000000</v>
      </c>
      <c r="BD36" s="221"/>
      <c r="BG36" t="s">
        <v>337</v>
      </c>
      <c r="BI36" s="15">
        <f t="shared" ref="BI36:BX37" si="331">IF($G36&gt;=BI$8,$J36,0)</f>
        <v>0</v>
      </c>
      <c r="BJ36" s="15">
        <f t="shared" si="331"/>
        <v>0</v>
      </c>
      <c r="BK36" s="15">
        <f t="shared" si="331"/>
        <v>0</v>
      </c>
      <c r="BL36" s="15">
        <f t="shared" si="331"/>
        <v>0</v>
      </c>
      <c r="BM36" s="15">
        <f t="shared" si="331"/>
        <v>0</v>
      </c>
      <c r="BN36" s="15">
        <f t="shared" si="331"/>
        <v>0</v>
      </c>
      <c r="BO36" s="15">
        <f t="shared" si="331"/>
        <v>0</v>
      </c>
      <c r="BP36" s="15">
        <f t="shared" si="331"/>
        <v>0</v>
      </c>
      <c r="BQ36" s="15">
        <f t="shared" si="331"/>
        <v>0</v>
      </c>
      <c r="BR36" s="15">
        <f t="shared" si="331"/>
        <v>0</v>
      </c>
      <c r="BS36" s="15">
        <f t="shared" si="331"/>
        <v>0</v>
      </c>
      <c r="BT36" s="15">
        <f t="shared" si="331"/>
        <v>0</v>
      </c>
      <c r="BU36" s="15">
        <f t="shared" si="331"/>
        <v>0</v>
      </c>
      <c r="BV36" s="15">
        <f t="shared" si="331"/>
        <v>0</v>
      </c>
      <c r="BW36" s="15">
        <f t="shared" si="331"/>
        <v>0</v>
      </c>
      <c r="BX36" s="15">
        <f t="shared" si="331"/>
        <v>0</v>
      </c>
      <c r="BY36" s="15">
        <f t="shared" ref="BY36:CL37" si="332">IF($G36&gt;=BY$8,$J36,0)</f>
        <v>0</v>
      </c>
      <c r="BZ36" s="15">
        <f t="shared" si="332"/>
        <v>0</v>
      </c>
      <c r="CA36" s="15">
        <f t="shared" si="332"/>
        <v>0</v>
      </c>
      <c r="CB36" s="15">
        <f t="shared" si="332"/>
        <v>0</v>
      </c>
      <c r="CC36" s="15">
        <f t="shared" si="332"/>
        <v>0</v>
      </c>
      <c r="CD36" s="15">
        <f t="shared" si="332"/>
        <v>0</v>
      </c>
      <c r="CE36" s="15">
        <f t="shared" si="332"/>
        <v>0</v>
      </c>
      <c r="CF36" s="15">
        <f t="shared" si="332"/>
        <v>0</v>
      </c>
      <c r="CG36" s="15">
        <f t="shared" si="332"/>
        <v>0</v>
      </c>
      <c r="CH36" s="15">
        <f t="shared" si="332"/>
        <v>0</v>
      </c>
      <c r="CI36" s="15">
        <f t="shared" si="332"/>
        <v>0</v>
      </c>
      <c r="CJ36" s="15">
        <f t="shared" si="332"/>
        <v>0</v>
      </c>
      <c r="CK36" s="15">
        <f t="shared" si="332"/>
        <v>0</v>
      </c>
      <c r="CL36" s="15">
        <f t="shared" si="332"/>
        <v>0</v>
      </c>
      <c r="CN36" s="15">
        <f t="shared" ref="CN36:DC37" si="333">IF($L36&gt;=CN$8,$O36,0)</f>
        <v>5700000000</v>
      </c>
      <c r="CO36" s="15">
        <f t="shared" si="333"/>
        <v>5700000000</v>
      </c>
      <c r="CP36" s="15">
        <f t="shared" si="333"/>
        <v>5700000000</v>
      </c>
      <c r="CQ36" s="15">
        <f t="shared" si="333"/>
        <v>5700000000</v>
      </c>
      <c r="CR36" s="15">
        <f t="shared" si="333"/>
        <v>5700000000</v>
      </c>
      <c r="CS36" s="15">
        <f t="shared" si="333"/>
        <v>5700000000</v>
      </c>
      <c r="CT36" s="15">
        <f t="shared" si="333"/>
        <v>5700000000</v>
      </c>
      <c r="CU36" s="15">
        <f t="shared" si="333"/>
        <v>5700000000</v>
      </c>
      <c r="CV36" s="15">
        <f t="shared" si="333"/>
        <v>5700000000</v>
      </c>
      <c r="CW36" s="15">
        <f t="shared" si="333"/>
        <v>5700000000</v>
      </c>
      <c r="CX36" s="15">
        <f t="shared" si="333"/>
        <v>5700000000</v>
      </c>
      <c r="CY36" s="15">
        <f t="shared" si="333"/>
        <v>5700000000</v>
      </c>
      <c r="CZ36" s="15">
        <f t="shared" si="333"/>
        <v>5700000000</v>
      </c>
      <c r="DA36" s="15">
        <f t="shared" si="333"/>
        <v>5700000000</v>
      </c>
      <c r="DB36" s="15">
        <f t="shared" si="333"/>
        <v>5700000000</v>
      </c>
      <c r="DC36" s="15">
        <f t="shared" si="333"/>
        <v>5700000000</v>
      </c>
      <c r="DD36" s="15">
        <f t="shared" ref="DD36:DQ37" si="334">IF($L36&gt;=DD$8,$O36,0)</f>
        <v>5700000000</v>
      </c>
      <c r="DE36" s="15">
        <f t="shared" si="334"/>
        <v>5700000000</v>
      </c>
      <c r="DF36" s="15">
        <f t="shared" si="334"/>
        <v>5700000000</v>
      </c>
      <c r="DG36" s="15">
        <f t="shared" si="334"/>
        <v>5700000000</v>
      </c>
      <c r="DH36" s="15">
        <f t="shared" si="334"/>
        <v>5700000000</v>
      </c>
      <c r="DI36" s="15">
        <f t="shared" si="334"/>
        <v>5700000000</v>
      </c>
      <c r="DJ36" s="15">
        <f t="shared" si="334"/>
        <v>5700000000</v>
      </c>
      <c r="DK36" s="15">
        <f t="shared" si="334"/>
        <v>5700000000</v>
      </c>
      <c r="DL36" s="15">
        <f t="shared" si="334"/>
        <v>5700000000</v>
      </c>
      <c r="DM36" s="15">
        <f t="shared" si="334"/>
        <v>0</v>
      </c>
      <c r="DN36" s="15">
        <f t="shared" si="334"/>
        <v>0</v>
      </c>
      <c r="DO36" s="15">
        <f t="shared" si="334"/>
        <v>0</v>
      </c>
      <c r="DP36" s="15">
        <f t="shared" si="334"/>
        <v>0</v>
      </c>
      <c r="DQ36" s="15">
        <f t="shared" si="334"/>
        <v>0</v>
      </c>
      <c r="DS36" s="15">
        <f t="shared" ref="DS36:EH37" si="335">IF($Q36&gt;=DS$8,$T36,0)</f>
        <v>0</v>
      </c>
      <c r="DT36" s="15">
        <f t="shared" si="335"/>
        <v>0</v>
      </c>
      <c r="DU36" s="15">
        <f t="shared" si="335"/>
        <v>0</v>
      </c>
      <c r="DV36" s="15">
        <f t="shared" si="335"/>
        <v>0</v>
      </c>
      <c r="DW36" s="15">
        <f t="shared" si="335"/>
        <v>0</v>
      </c>
      <c r="DX36" s="15">
        <f t="shared" si="335"/>
        <v>0</v>
      </c>
      <c r="DY36" s="15">
        <f t="shared" si="335"/>
        <v>0</v>
      </c>
      <c r="DZ36" s="15">
        <f t="shared" si="335"/>
        <v>0</v>
      </c>
      <c r="EA36" s="15">
        <f t="shared" si="335"/>
        <v>0</v>
      </c>
      <c r="EB36" s="15">
        <f t="shared" si="335"/>
        <v>0</v>
      </c>
      <c r="EC36" s="15">
        <f t="shared" si="335"/>
        <v>0</v>
      </c>
      <c r="ED36" s="15">
        <f t="shared" si="335"/>
        <v>0</v>
      </c>
      <c r="EE36" s="15">
        <f t="shared" si="335"/>
        <v>0</v>
      </c>
      <c r="EF36" s="15">
        <f t="shared" si="335"/>
        <v>0</v>
      </c>
      <c r="EG36" s="15">
        <f t="shared" si="335"/>
        <v>0</v>
      </c>
      <c r="EH36" s="15">
        <f t="shared" si="335"/>
        <v>0</v>
      </c>
      <c r="EI36" s="15">
        <f t="shared" ref="EI36:EV37" si="336">IF($Q36&gt;=EI$8,$T36,0)</f>
        <v>0</v>
      </c>
      <c r="EJ36" s="15">
        <f t="shared" si="336"/>
        <v>0</v>
      </c>
      <c r="EK36" s="15">
        <f t="shared" si="336"/>
        <v>0</v>
      </c>
      <c r="EL36" s="15">
        <f t="shared" si="336"/>
        <v>0</v>
      </c>
      <c r="EM36" s="15">
        <f t="shared" si="336"/>
        <v>0</v>
      </c>
      <c r="EN36" s="15">
        <f t="shared" si="336"/>
        <v>0</v>
      </c>
      <c r="EO36" s="15">
        <f t="shared" si="336"/>
        <v>0</v>
      </c>
      <c r="EP36" s="15">
        <f t="shared" si="336"/>
        <v>0</v>
      </c>
      <c r="EQ36" s="15">
        <f t="shared" si="336"/>
        <v>0</v>
      </c>
      <c r="ER36" s="15">
        <f t="shared" si="336"/>
        <v>0</v>
      </c>
      <c r="ES36" s="15">
        <f t="shared" si="336"/>
        <v>0</v>
      </c>
      <c r="ET36" s="15">
        <f t="shared" si="336"/>
        <v>0</v>
      </c>
      <c r="EU36" s="15">
        <f t="shared" si="336"/>
        <v>0</v>
      </c>
      <c r="EV36" s="15">
        <f t="shared" si="336"/>
        <v>0</v>
      </c>
      <c r="EX36" s="15">
        <f t="shared" ref="EX36:FM37" si="337">IF($V36&gt;=EX$8,$Y36,0)</f>
        <v>5700000000</v>
      </c>
      <c r="EY36" s="15">
        <f t="shared" si="337"/>
        <v>5700000000</v>
      </c>
      <c r="EZ36" s="15">
        <f t="shared" si="337"/>
        <v>5700000000</v>
      </c>
      <c r="FA36" s="15">
        <f t="shared" si="337"/>
        <v>5700000000</v>
      </c>
      <c r="FB36" s="15">
        <f t="shared" si="337"/>
        <v>5700000000</v>
      </c>
      <c r="FC36" s="15">
        <f t="shared" si="337"/>
        <v>5700000000</v>
      </c>
      <c r="FD36" s="15">
        <f t="shared" si="337"/>
        <v>5700000000</v>
      </c>
      <c r="FE36" s="15">
        <f t="shared" si="337"/>
        <v>5700000000</v>
      </c>
      <c r="FF36" s="15">
        <f t="shared" si="337"/>
        <v>5700000000</v>
      </c>
      <c r="FG36" s="15">
        <f t="shared" si="337"/>
        <v>5700000000</v>
      </c>
      <c r="FH36" s="15">
        <f t="shared" si="337"/>
        <v>5700000000</v>
      </c>
      <c r="FI36" s="15">
        <f t="shared" si="337"/>
        <v>5700000000</v>
      </c>
      <c r="FJ36" s="15">
        <f t="shared" si="337"/>
        <v>5700000000</v>
      </c>
      <c r="FK36" s="15">
        <f t="shared" si="337"/>
        <v>5700000000</v>
      </c>
      <c r="FL36" s="15">
        <f t="shared" si="337"/>
        <v>5700000000</v>
      </c>
      <c r="FM36" s="15">
        <f t="shared" si="337"/>
        <v>5700000000</v>
      </c>
      <c r="FN36" s="15">
        <f t="shared" ref="FN36:GA37" si="338">IF($V36&gt;=FN$8,$Y36,0)</f>
        <v>5700000000</v>
      </c>
      <c r="FO36" s="15">
        <f t="shared" si="338"/>
        <v>5700000000</v>
      </c>
      <c r="FP36" s="15">
        <f t="shared" si="338"/>
        <v>5700000000</v>
      </c>
      <c r="FQ36" s="15">
        <f t="shared" si="338"/>
        <v>5700000000</v>
      </c>
      <c r="FR36" s="15">
        <f t="shared" si="338"/>
        <v>5700000000</v>
      </c>
      <c r="FS36" s="15">
        <f t="shared" si="338"/>
        <v>5700000000</v>
      </c>
      <c r="FT36" s="15">
        <f t="shared" si="338"/>
        <v>5700000000</v>
      </c>
      <c r="FU36" s="15">
        <f t="shared" si="338"/>
        <v>5700000000</v>
      </c>
      <c r="FV36" s="15">
        <f t="shared" si="338"/>
        <v>5700000000</v>
      </c>
      <c r="FW36" s="15">
        <f t="shared" si="338"/>
        <v>0</v>
      </c>
      <c r="FX36" s="15">
        <f t="shared" si="338"/>
        <v>0</v>
      </c>
      <c r="FY36" s="15">
        <f t="shared" si="338"/>
        <v>0</v>
      </c>
      <c r="FZ36" s="15">
        <f t="shared" si="338"/>
        <v>0</v>
      </c>
      <c r="GA36" s="15">
        <f t="shared" si="338"/>
        <v>0</v>
      </c>
      <c r="GC36" s="15">
        <f t="shared" ref="GC36:GR37" si="339">IF($AA36&gt;=GC$8,$AD36,0)</f>
        <v>0</v>
      </c>
      <c r="GD36" s="15">
        <f t="shared" si="339"/>
        <v>0</v>
      </c>
      <c r="GE36" s="15">
        <f t="shared" si="339"/>
        <v>0</v>
      </c>
      <c r="GF36" s="15">
        <f t="shared" si="339"/>
        <v>0</v>
      </c>
      <c r="GG36" s="15">
        <f t="shared" si="339"/>
        <v>0</v>
      </c>
      <c r="GH36" s="15">
        <f t="shared" si="339"/>
        <v>0</v>
      </c>
      <c r="GI36" s="15">
        <f t="shared" si="339"/>
        <v>0</v>
      </c>
      <c r="GJ36" s="15">
        <f t="shared" si="339"/>
        <v>0</v>
      </c>
      <c r="GK36" s="15">
        <f t="shared" si="339"/>
        <v>0</v>
      </c>
      <c r="GL36" s="15">
        <f t="shared" si="339"/>
        <v>0</v>
      </c>
      <c r="GM36" s="15">
        <f t="shared" si="339"/>
        <v>0</v>
      </c>
      <c r="GN36" s="15">
        <f t="shared" si="339"/>
        <v>0</v>
      </c>
      <c r="GO36" s="15">
        <f t="shared" si="339"/>
        <v>0</v>
      </c>
      <c r="GP36" s="15">
        <f t="shared" si="339"/>
        <v>0</v>
      </c>
      <c r="GQ36" s="15">
        <f t="shared" si="339"/>
        <v>0</v>
      </c>
      <c r="GR36" s="15">
        <f t="shared" si="339"/>
        <v>0</v>
      </c>
      <c r="GS36" s="15">
        <f t="shared" ref="GS36:HF37" si="340">IF($AA36&gt;=GS$8,$AD36,0)</f>
        <v>0</v>
      </c>
      <c r="GT36" s="15">
        <f t="shared" si="340"/>
        <v>0</v>
      </c>
      <c r="GU36" s="15">
        <f t="shared" si="340"/>
        <v>0</v>
      </c>
      <c r="GV36" s="15">
        <f t="shared" si="340"/>
        <v>0</v>
      </c>
      <c r="GW36" s="15">
        <f t="shared" si="340"/>
        <v>0</v>
      </c>
      <c r="GX36" s="15">
        <f t="shared" si="340"/>
        <v>0</v>
      </c>
      <c r="GY36" s="15">
        <f t="shared" si="340"/>
        <v>0</v>
      </c>
      <c r="GZ36" s="15">
        <f t="shared" si="340"/>
        <v>0</v>
      </c>
      <c r="HA36" s="15">
        <f t="shared" si="340"/>
        <v>0</v>
      </c>
      <c r="HB36" s="15">
        <f t="shared" si="340"/>
        <v>0</v>
      </c>
      <c r="HC36" s="15">
        <f t="shared" si="340"/>
        <v>0</v>
      </c>
      <c r="HD36" s="15">
        <f t="shared" si="340"/>
        <v>0</v>
      </c>
      <c r="HE36" s="15">
        <f t="shared" si="340"/>
        <v>0</v>
      </c>
      <c r="HF36" s="15">
        <f t="shared" si="340"/>
        <v>0</v>
      </c>
      <c r="HH36" s="15">
        <f t="shared" ref="HH36:HW37" si="341">IF($AF36&gt;=HH$8,$AI36,0)</f>
        <v>5700000000</v>
      </c>
      <c r="HI36" s="15">
        <f t="shared" si="341"/>
        <v>5700000000</v>
      </c>
      <c r="HJ36" s="15">
        <f t="shared" si="341"/>
        <v>5700000000</v>
      </c>
      <c r="HK36" s="15">
        <f t="shared" si="341"/>
        <v>5700000000</v>
      </c>
      <c r="HL36" s="15">
        <f t="shared" si="341"/>
        <v>5700000000</v>
      </c>
      <c r="HM36" s="15">
        <f t="shared" si="341"/>
        <v>5700000000</v>
      </c>
      <c r="HN36" s="15">
        <f t="shared" si="341"/>
        <v>5700000000</v>
      </c>
      <c r="HO36" s="15">
        <f t="shared" si="341"/>
        <v>5700000000</v>
      </c>
      <c r="HP36" s="15">
        <f t="shared" si="341"/>
        <v>5700000000</v>
      </c>
      <c r="HQ36" s="15">
        <f t="shared" si="341"/>
        <v>5700000000</v>
      </c>
      <c r="HR36" s="15">
        <f t="shared" si="341"/>
        <v>5700000000</v>
      </c>
      <c r="HS36" s="15">
        <f t="shared" si="341"/>
        <v>5700000000</v>
      </c>
      <c r="HT36" s="15">
        <f t="shared" si="341"/>
        <v>5700000000</v>
      </c>
      <c r="HU36" s="15">
        <f t="shared" si="341"/>
        <v>5700000000</v>
      </c>
      <c r="HV36" s="15">
        <f t="shared" si="341"/>
        <v>5700000000</v>
      </c>
      <c r="HW36" s="15">
        <f t="shared" si="341"/>
        <v>5700000000</v>
      </c>
      <c r="HX36" s="15">
        <f t="shared" ref="HX36:IK37" si="342">IF($AF36&gt;=HX$8,$AI36,0)</f>
        <v>5700000000</v>
      </c>
      <c r="HY36" s="15">
        <f t="shared" si="342"/>
        <v>5700000000</v>
      </c>
      <c r="HZ36" s="15">
        <f t="shared" si="342"/>
        <v>5700000000</v>
      </c>
      <c r="IA36" s="15">
        <f t="shared" si="342"/>
        <v>5700000000</v>
      </c>
      <c r="IB36" s="15">
        <f t="shared" si="342"/>
        <v>5700000000</v>
      </c>
      <c r="IC36" s="15">
        <f t="shared" si="342"/>
        <v>5700000000</v>
      </c>
      <c r="ID36" s="15">
        <f t="shared" si="342"/>
        <v>5700000000</v>
      </c>
      <c r="IE36" s="15">
        <f t="shared" si="342"/>
        <v>5700000000</v>
      </c>
      <c r="IF36" s="15">
        <f t="shared" si="342"/>
        <v>5700000000</v>
      </c>
      <c r="IG36" s="15">
        <f t="shared" si="342"/>
        <v>0</v>
      </c>
      <c r="IH36" s="15">
        <f t="shared" si="342"/>
        <v>0</v>
      </c>
      <c r="II36" s="15">
        <f t="shared" si="342"/>
        <v>0</v>
      </c>
      <c r="IJ36" s="15">
        <f t="shared" si="342"/>
        <v>0</v>
      </c>
      <c r="IK36" s="15">
        <f t="shared" si="342"/>
        <v>0</v>
      </c>
      <c r="IM36" s="15">
        <f t="shared" ref="IM36:JB37" si="343">IF($AK36&gt;=IM$8,$AN36,0)</f>
        <v>0</v>
      </c>
      <c r="IN36" s="15">
        <f t="shared" si="343"/>
        <v>0</v>
      </c>
      <c r="IO36" s="15">
        <f t="shared" si="343"/>
        <v>0</v>
      </c>
      <c r="IP36" s="15">
        <f t="shared" si="343"/>
        <v>0</v>
      </c>
      <c r="IQ36" s="15">
        <f t="shared" si="343"/>
        <v>0</v>
      </c>
      <c r="IR36" s="15">
        <f t="shared" si="343"/>
        <v>0</v>
      </c>
      <c r="IS36" s="15">
        <f t="shared" si="343"/>
        <v>0</v>
      </c>
      <c r="IT36" s="15">
        <f t="shared" si="343"/>
        <v>0</v>
      </c>
      <c r="IU36" s="15">
        <f t="shared" si="343"/>
        <v>0</v>
      </c>
      <c r="IV36" s="15">
        <f t="shared" si="343"/>
        <v>0</v>
      </c>
      <c r="IW36" s="15">
        <f t="shared" si="343"/>
        <v>0</v>
      </c>
      <c r="IX36" s="15">
        <f t="shared" si="343"/>
        <v>0</v>
      </c>
      <c r="IY36" s="15">
        <f t="shared" si="343"/>
        <v>0</v>
      </c>
      <c r="IZ36" s="15">
        <f t="shared" si="343"/>
        <v>0</v>
      </c>
      <c r="JA36" s="15">
        <f t="shared" si="343"/>
        <v>0</v>
      </c>
      <c r="JB36" s="15">
        <f t="shared" si="343"/>
        <v>0</v>
      </c>
      <c r="JC36" s="15">
        <f t="shared" ref="JC36:JP37" si="344">IF($AK36&gt;=JC$8,$AN36,0)</f>
        <v>0</v>
      </c>
      <c r="JD36" s="15">
        <f t="shared" si="344"/>
        <v>0</v>
      </c>
      <c r="JE36" s="15">
        <f t="shared" si="344"/>
        <v>0</v>
      </c>
      <c r="JF36" s="15">
        <f t="shared" si="344"/>
        <v>0</v>
      </c>
      <c r="JG36" s="15">
        <f t="shared" si="344"/>
        <v>0</v>
      </c>
      <c r="JH36" s="15">
        <f t="shared" si="344"/>
        <v>0</v>
      </c>
      <c r="JI36" s="15">
        <f t="shared" si="344"/>
        <v>0</v>
      </c>
      <c r="JJ36" s="15">
        <f t="shared" si="344"/>
        <v>0</v>
      </c>
      <c r="JK36" s="15">
        <f t="shared" si="344"/>
        <v>0</v>
      </c>
      <c r="JL36" s="15">
        <f t="shared" si="344"/>
        <v>0</v>
      </c>
      <c r="JM36" s="15">
        <f t="shared" si="344"/>
        <v>0</v>
      </c>
      <c r="JN36" s="15">
        <f t="shared" si="344"/>
        <v>0</v>
      </c>
      <c r="JO36" s="15">
        <f t="shared" si="344"/>
        <v>0</v>
      </c>
      <c r="JP36" s="15">
        <f t="shared" si="344"/>
        <v>0</v>
      </c>
      <c r="JR36" s="15">
        <f t="shared" ref="JR36:KG37" si="345">IF($AP36&gt;=JR$8,$AS36,0)</f>
        <v>5700000000</v>
      </c>
      <c r="JS36" s="15">
        <f t="shared" si="345"/>
        <v>5700000000</v>
      </c>
      <c r="JT36" s="15">
        <f t="shared" si="345"/>
        <v>5700000000</v>
      </c>
      <c r="JU36" s="15">
        <f t="shared" si="345"/>
        <v>5700000000</v>
      </c>
      <c r="JV36" s="15">
        <f t="shared" si="345"/>
        <v>5700000000</v>
      </c>
      <c r="JW36" s="15">
        <f t="shared" si="345"/>
        <v>5700000000</v>
      </c>
      <c r="JX36" s="15">
        <f t="shared" si="345"/>
        <v>5700000000</v>
      </c>
      <c r="JY36" s="15">
        <f t="shared" si="345"/>
        <v>5700000000</v>
      </c>
      <c r="JZ36" s="15">
        <f t="shared" si="345"/>
        <v>5700000000</v>
      </c>
      <c r="KA36" s="15">
        <f t="shared" si="345"/>
        <v>5700000000</v>
      </c>
      <c r="KB36" s="15">
        <f t="shared" si="345"/>
        <v>5700000000</v>
      </c>
      <c r="KC36" s="15">
        <f t="shared" si="345"/>
        <v>5700000000</v>
      </c>
      <c r="KD36" s="15">
        <f t="shared" si="345"/>
        <v>5700000000</v>
      </c>
      <c r="KE36" s="15">
        <f t="shared" si="345"/>
        <v>5700000000</v>
      </c>
      <c r="KF36" s="15">
        <f t="shared" si="345"/>
        <v>5700000000</v>
      </c>
      <c r="KG36" s="15">
        <f t="shared" si="345"/>
        <v>5700000000</v>
      </c>
      <c r="KH36" s="15">
        <f t="shared" ref="KH36:KU37" si="346">IF($AP36&gt;=KH$8,$AS36,0)</f>
        <v>5700000000</v>
      </c>
      <c r="KI36" s="15">
        <f t="shared" si="346"/>
        <v>5700000000</v>
      </c>
      <c r="KJ36" s="15">
        <f t="shared" si="346"/>
        <v>5700000000</v>
      </c>
      <c r="KK36" s="15">
        <f t="shared" si="346"/>
        <v>5700000000</v>
      </c>
      <c r="KL36" s="15">
        <f t="shared" si="346"/>
        <v>5700000000</v>
      </c>
      <c r="KM36" s="15">
        <f t="shared" si="346"/>
        <v>5700000000</v>
      </c>
      <c r="KN36" s="15">
        <f t="shared" si="346"/>
        <v>5700000000</v>
      </c>
      <c r="KO36" s="15">
        <f t="shared" si="346"/>
        <v>5700000000</v>
      </c>
      <c r="KP36" s="15">
        <f t="shared" si="346"/>
        <v>5700000000</v>
      </c>
      <c r="KQ36" s="15">
        <f t="shared" si="346"/>
        <v>0</v>
      </c>
      <c r="KR36" s="15">
        <f t="shared" si="346"/>
        <v>0</v>
      </c>
      <c r="KS36" s="15">
        <f t="shared" si="346"/>
        <v>0</v>
      </c>
      <c r="KT36" s="15">
        <f t="shared" si="346"/>
        <v>0</v>
      </c>
      <c r="KU36" s="15">
        <f t="shared" si="346"/>
        <v>0</v>
      </c>
      <c r="KW36" s="15">
        <f t="shared" ref="KW36:LL37" si="347">IF($AU36&gt;=KW$8,$AX36,0)</f>
        <v>0</v>
      </c>
      <c r="KX36" s="15">
        <f t="shared" si="347"/>
        <v>0</v>
      </c>
      <c r="KY36" s="15">
        <f t="shared" si="347"/>
        <v>0</v>
      </c>
      <c r="KZ36" s="15">
        <f t="shared" si="347"/>
        <v>0</v>
      </c>
      <c r="LA36" s="15">
        <f t="shared" si="347"/>
        <v>0</v>
      </c>
      <c r="LB36" s="15">
        <f t="shared" si="347"/>
        <v>0</v>
      </c>
      <c r="LC36" s="15">
        <f t="shared" si="347"/>
        <v>0</v>
      </c>
      <c r="LD36" s="15">
        <f t="shared" si="347"/>
        <v>0</v>
      </c>
      <c r="LE36" s="15">
        <f t="shared" si="347"/>
        <v>0</v>
      </c>
      <c r="LF36" s="15">
        <f t="shared" si="347"/>
        <v>0</v>
      </c>
      <c r="LG36" s="15">
        <f t="shared" si="347"/>
        <v>0</v>
      </c>
      <c r="LH36" s="15">
        <f t="shared" si="347"/>
        <v>0</v>
      </c>
      <c r="LI36" s="15">
        <f t="shared" si="347"/>
        <v>0</v>
      </c>
      <c r="LJ36" s="15">
        <f t="shared" si="347"/>
        <v>0</v>
      </c>
      <c r="LK36" s="15">
        <f t="shared" si="347"/>
        <v>0</v>
      </c>
      <c r="LL36" s="15">
        <f t="shared" si="347"/>
        <v>0</v>
      </c>
      <c r="LM36" s="15">
        <f t="shared" ref="LM36:LZ37" si="348">IF($AU36&gt;=LM$8,$AX36,0)</f>
        <v>0</v>
      </c>
      <c r="LN36" s="15">
        <f t="shared" si="348"/>
        <v>0</v>
      </c>
      <c r="LO36" s="15">
        <f t="shared" si="348"/>
        <v>0</v>
      </c>
      <c r="LP36" s="15">
        <f t="shared" si="348"/>
        <v>0</v>
      </c>
      <c r="LQ36" s="15">
        <f t="shared" si="348"/>
        <v>0</v>
      </c>
      <c r="LR36" s="15">
        <f t="shared" si="348"/>
        <v>0</v>
      </c>
      <c r="LS36" s="15">
        <f t="shared" si="348"/>
        <v>0</v>
      </c>
      <c r="LT36" s="15">
        <f t="shared" si="348"/>
        <v>0</v>
      </c>
      <c r="LU36" s="15">
        <f t="shared" si="348"/>
        <v>0</v>
      </c>
      <c r="LV36" s="15">
        <f t="shared" si="348"/>
        <v>0</v>
      </c>
      <c r="LW36" s="15">
        <f t="shared" si="348"/>
        <v>0</v>
      </c>
      <c r="LX36" s="15">
        <f t="shared" si="348"/>
        <v>0</v>
      </c>
      <c r="LY36" s="15">
        <f t="shared" si="348"/>
        <v>0</v>
      </c>
      <c r="LZ36" s="15">
        <f t="shared" si="348"/>
        <v>0</v>
      </c>
      <c r="MB36" s="15">
        <f t="shared" ref="MB36:MQ37" si="349">IF($AZ36&gt;=MB$8,$BC36,0)</f>
        <v>5700000000</v>
      </c>
      <c r="MC36" s="15">
        <f t="shared" si="349"/>
        <v>5700000000</v>
      </c>
      <c r="MD36" s="15">
        <f t="shared" si="349"/>
        <v>5700000000</v>
      </c>
      <c r="ME36" s="15">
        <f t="shared" si="349"/>
        <v>5700000000</v>
      </c>
      <c r="MF36" s="15">
        <f t="shared" si="349"/>
        <v>5700000000</v>
      </c>
      <c r="MG36" s="15">
        <f t="shared" si="349"/>
        <v>5700000000</v>
      </c>
      <c r="MH36" s="15">
        <f t="shared" si="349"/>
        <v>5700000000</v>
      </c>
      <c r="MI36" s="15">
        <f t="shared" si="349"/>
        <v>5700000000</v>
      </c>
      <c r="MJ36" s="15">
        <f t="shared" si="349"/>
        <v>5700000000</v>
      </c>
      <c r="MK36" s="15">
        <f t="shared" si="349"/>
        <v>5700000000</v>
      </c>
      <c r="ML36" s="15">
        <f t="shared" si="349"/>
        <v>5700000000</v>
      </c>
      <c r="MM36" s="15">
        <f t="shared" si="349"/>
        <v>5700000000</v>
      </c>
      <c r="MN36" s="15">
        <f t="shared" si="349"/>
        <v>5700000000</v>
      </c>
      <c r="MO36" s="15">
        <f t="shared" si="349"/>
        <v>5700000000</v>
      </c>
      <c r="MP36" s="15">
        <f t="shared" si="349"/>
        <v>5700000000</v>
      </c>
      <c r="MQ36" s="15">
        <f t="shared" si="349"/>
        <v>5700000000</v>
      </c>
      <c r="MR36" s="15">
        <f t="shared" ref="MR36:NE37" si="350">IF($AZ36&gt;=MR$8,$BC36,0)</f>
        <v>5700000000</v>
      </c>
      <c r="MS36" s="15">
        <f t="shared" si="350"/>
        <v>5700000000</v>
      </c>
      <c r="MT36" s="15">
        <f t="shared" si="350"/>
        <v>5700000000</v>
      </c>
      <c r="MU36" s="15">
        <f t="shared" si="350"/>
        <v>5700000000</v>
      </c>
      <c r="MV36" s="15">
        <f t="shared" si="350"/>
        <v>5700000000</v>
      </c>
      <c r="MW36" s="15">
        <f t="shared" si="350"/>
        <v>5700000000</v>
      </c>
      <c r="MX36" s="15">
        <f t="shared" si="350"/>
        <v>5700000000</v>
      </c>
      <c r="MY36" s="15">
        <f t="shared" si="350"/>
        <v>5700000000</v>
      </c>
      <c r="MZ36" s="15">
        <f t="shared" si="350"/>
        <v>5700000000</v>
      </c>
      <c r="NA36" s="15">
        <f t="shared" si="350"/>
        <v>0</v>
      </c>
      <c r="NB36" s="15">
        <f t="shared" si="350"/>
        <v>0</v>
      </c>
      <c r="NC36" s="15">
        <f t="shared" si="350"/>
        <v>0</v>
      </c>
      <c r="ND36" s="15">
        <f t="shared" si="350"/>
        <v>0</v>
      </c>
      <c r="NE36" s="15">
        <f t="shared" si="350"/>
        <v>0</v>
      </c>
    </row>
    <row r="37" spans="1:369" outlineLevel="1" x14ac:dyDescent="0.25">
      <c r="B37" t="s">
        <v>133</v>
      </c>
      <c r="C37" s="623" t="s">
        <v>242</v>
      </c>
      <c r="D37" s="613" t="s">
        <v>68</v>
      </c>
      <c r="E37" s="468">
        <v>100</v>
      </c>
      <c r="F37" s="221"/>
      <c r="G37" s="457">
        <v>25</v>
      </c>
      <c r="H37" s="468">
        <f>(75000000/$D$6)</f>
        <v>75000000</v>
      </c>
      <c r="I37" s="457">
        <f>$E37*$H37*0</f>
        <v>0</v>
      </c>
      <c r="J37" s="457">
        <f t="shared" si="320"/>
        <v>0</v>
      </c>
      <c r="K37" s="221"/>
      <c r="L37" s="457">
        <v>25</v>
      </c>
      <c r="M37" s="457">
        <f>75000000/$D$6</f>
        <v>75000000</v>
      </c>
      <c r="N37" s="617">
        <f t="shared" si="321"/>
        <v>7500000000</v>
      </c>
      <c r="O37" s="457">
        <f t="shared" si="322"/>
        <v>300000000</v>
      </c>
      <c r="P37" s="221"/>
      <c r="Q37" s="457">
        <v>25</v>
      </c>
      <c r="R37" s="457">
        <f>75000000/$D$6</f>
        <v>75000000</v>
      </c>
      <c r="S37" s="617">
        <f>$E37*R37*0</f>
        <v>0</v>
      </c>
      <c r="T37" s="457">
        <f t="shared" si="323"/>
        <v>0</v>
      </c>
      <c r="U37" s="221"/>
      <c r="V37" s="457">
        <v>25</v>
      </c>
      <c r="W37" s="457">
        <f>75000000/$D$6</f>
        <v>75000000</v>
      </c>
      <c r="X37" s="617">
        <f>$E37*W37</f>
        <v>7500000000</v>
      </c>
      <c r="Y37" s="457">
        <f t="shared" si="324"/>
        <v>300000000</v>
      </c>
      <c r="Z37" s="221"/>
      <c r="AA37" s="457">
        <v>25</v>
      </c>
      <c r="AB37" s="457">
        <f>75000000/$D$6</f>
        <v>75000000</v>
      </c>
      <c r="AC37" s="617">
        <f>$E37*AB37*0</f>
        <v>0</v>
      </c>
      <c r="AD37" s="457">
        <f t="shared" si="325"/>
        <v>0</v>
      </c>
      <c r="AE37" s="221"/>
      <c r="AF37" s="457">
        <v>25</v>
      </c>
      <c r="AG37" s="457">
        <f>75000000/$D$6</f>
        <v>75000000</v>
      </c>
      <c r="AH37" s="617">
        <f>$E37*AG37</f>
        <v>7500000000</v>
      </c>
      <c r="AI37" s="457">
        <f t="shared" si="326"/>
        <v>300000000</v>
      </c>
      <c r="AJ37" s="221"/>
      <c r="AK37" s="457">
        <v>25</v>
      </c>
      <c r="AL37" s="457">
        <f>75000000/$D$6</f>
        <v>75000000</v>
      </c>
      <c r="AM37" s="617">
        <f>$E37*AL37*0</f>
        <v>0</v>
      </c>
      <c r="AN37" s="457">
        <f t="shared" si="327"/>
        <v>0</v>
      </c>
      <c r="AO37" s="221"/>
      <c r="AP37" s="457">
        <v>25</v>
      </c>
      <c r="AQ37" s="457">
        <f>75000000/$D$6</f>
        <v>75000000</v>
      </c>
      <c r="AR37" s="617">
        <f>$E37*AQ37</f>
        <v>7500000000</v>
      </c>
      <c r="AS37" s="457">
        <f t="shared" si="328"/>
        <v>300000000</v>
      </c>
      <c r="AT37" s="221"/>
      <c r="AU37" s="457">
        <v>25</v>
      </c>
      <c r="AV37" s="457">
        <f>75000000/$D$6</f>
        <v>75000000</v>
      </c>
      <c r="AW37" s="617">
        <f>$E37*AV37*0</f>
        <v>0</v>
      </c>
      <c r="AX37" s="457">
        <f t="shared" si="329"/>
        <v>0</v>
      </c>
      <c r="AY37" s="221"/>
      <c r="AZ37" s="457">
        <v>25</v>
      </c>
      <c r="BA37" s="457">
        <f>75000000/$D$6</f>
        <v>75000000</v>
      </c>
      <c r="BB37" s="617">
        <f>$E37*BA37</f>
        <v>7500000000</v>
      </c>
      <c r="BC37" s="457">
        <f t="shared" si="330"/>
        <v>300000000</v>
      </c>
      <c r="BD37" s="221"/>
      <c r="BG37" t="s">
        <v>337</v>
      </c>
      <c r="BI37" s="15">
        <f t="shared" si="331"/>
        <v>0</v>
      </c>
      <c r="BJ37" s="15">
        <f t="shared" si="331"/>
        <v>0</v>
      </c>
      <c r="BK37" s="15">
        <f t="shared" si="331"/>
        <v>0</v>
      </c>
      <c r="BL37" s="15">
        <f t="shared" si="331"/>
        <v>0</v>
      </c>
      <c r="BM37" s="15">
        <f t="shared" si="331"/>
        <v>0</v>
      </c>
      <c r="BN37" s="15">
        <f t="shared" si="331"/>
        <v>0</v>
      </c>
      <c r="BO37" s="15">
        <f t="shared" si="331"/>
        <v>0</v>
      </c>
      <c r="BP37" s="15">
        <f t="shared" si="331"/>
        <v>0</v>
      </c>
      <c r="BQ37" s="15">
        <f t="shared" si="331"/>
        <v>0</v>
      </c>
      <c r="BR37" s="15">
        <f t="shared" si="331"/>
        <v>0</v>
      </c>
      <c r="BS37" s="15">
        <f t="shared" si="331"/>
        <v>0</v>
      </c>
      <c r="BT37" s="15">
        <f t="shared" si="331"/>
        <v>0</v>
      </c>
      <c r="BU37" s="15">
        <f t="shared" si="331"/>
        <v>0</v>
      </c>
      <c r="BV37" s="15">
        <f t="shared" si="331"/>
        <v>0</v>
      </c>
      <c r="BW37" s="15">
        <f t="shared" si="331"/>
        <v>0</v>
      </c>
      <c r="BX37" s="15">
        <f t="shared" si="331"/>
        <v>0</v>
      </c>
      <c r="BY37" s="15">
        <f t="shared" si="332"/>
        <v>0</v>
      </c>
      <c r="BZ37" s="15">
        <f t="shared" si="332"/>
        <v>0</v>
      </c>
      <c r="CA37" s="15">
        <f t="shared" si="332"/>
        <v>0</v>
      </c>
      <c r="CB37" s="15">
        <f t="shared" si="332"/>
        <v>0</v>
      </c>
      <c r="CC37" s="15">
        <f t="shared" si="332"/>
        <v>0</v>
      </c>
      <c r="CD37" s="15">
        <f t="shared" si="332"/>
        <v>0</v>
      </c>
      <c r="CE37" s="15">
        <f t="shared" si="332"/>
        <v>0</v>
      </c>
      <c r="CF37" s="15">
        <f t="shared" si="332"/>
        <v>0</v>
      </c>
      <c r="CG37" s="15">
        <f t="shared" si="332"/>
        <v>0</v>
      </c>
      <c r="CH37" s="15">
        <f t="shared" si="332"/>
        <v>0</v>
      </c>
      <c r="CI37" s="15">
        <f t="shared" si="332"/>
        <v>0</v>
      </c>
      <c r="CJ37" s="15">
        <f t="shared" si="332"/>
        <v>0</v>
      </c>
      <c r="CK37" s="15">
        <f t="shared" si="332"/>
        <v>0</v>
      </c>
      <c r="CL37" s="15">
        <f t="shared" si="332"/>
        <v>0</v>
      </c>
      <c r="CN37" s="15">
        <f t="shared" si="333"/>
        <v>300000000</v>
      </c>
      <c r="CO37" s="15">
        <f t="shared" si="333"/>
        <v>300000000</v>
      </c>
      <c r="CP37" s="15">
        <f t="shared" si="333"/>
        <v>300000000</v>
      </c>
      <c r="CQ37" s="15">
        <f t="shared" si="333"/>
        <v>300000000</v>
      </c>
      <c r="CR37" s="15">
        <f t="shared" si="333"/>
        <v>300000000</v>
      </c>
      <c r="CS37" s="15">
        <f t="shared" si="333"/>
        <v>300000000</v>
      </c>
      <c r="CT37" s="15">
        <f t="shared" si="333"/>
        <v>300000000</v>
      </c>
      <c r="CU37" s="15">
        <f t="shared" si="333"/>
        <v>300000000</v>
      </c>
      <c r="CV37" s="15">
        <f t="shared" si="333"/>
        <v>300000000</v>
      </c>
      <c r="CW37" s="15">
        <f t="shared" si="333"/>
        <v>300000000</v>
      </c>
      <c r="CX37" s="15">
        <f t="shared" si="333"/>
        <v>300000000</v>
      </c>
      <c r="CY37" s="15">
        <f t="shared" si="333"/>
        <v>300000000</v>
      </c>
      <c r="CZ37" s="15">
        <f t="shared" si="333"/>
        <v>300000000</v>
      </c>
      <c r="DA37" s="15">
        <f t="shared" si="333"/>
        <v>300000000</v>
      </c>
      <c r="DB37" s="15">
        <f t="shared" si="333"/>
        <v>300000000</v>
      </c>
      <c r="DC37" s="15">
        <f t="shared" si="333"/>
        <v>300000000</v>
      </c>
      <c r="DD37" s="15">
        <f t="shared" si="334"/>
        <v>300000000</v>
      </c>
      <c r="DE37" s="15">
        <f t="shared" si="334"/>
        <v>300000000</v>
      </c>
      <c r="DF37" s="15">
        <f t="shared" si="334"/>
        <v>300000000</v>
      </c>
      <c r="DG37" s="15">
        <f t="shared" si="334"/>
        <v>300000000</v>
      </c>
      <c r="DH37" s="15">
        <f t="shared" si="334"/>
        <v>300000000</v>
      </c>
      <c r="DI37" s="15">
        <f t="shared" si="334"/>
        <v>300000000</v>
      </c>
      <c r="DJ37" s="15">
        <f t="shared" si="334"/>
        <v>300000000</v>
      </c>
      <c r="DK37" s="15">
        <f t="shared" si="334"/>
        <v>300000000</v>
      </c>
      <c r="DL37" s="15">
        <f t="shared" si="334"/>
        <v>300000000</v>
      </c>
      <c r="DM37" s="15">
        <f t="shared" si="334"/>
        <v>0</v>
      </c>
      <c r="DN37" s="15">
        <f t="shared" si="334"/>
        <v>0</v>
      </c>
      <c r="DO37" s="15">
        <f t="shared" si="334"/>
        <v>0</v>
      </c>
      <c r="DP37" s="15">
        <f t="shared" si="334"/>
        <v>0</v>
      </c>
      <c r="DQ37" s="15">
        <f t="shared" si="334"/>
        <v>0</v>
      </c>
      <c r="DS37" s="15">
        <f t="shared" si="335"/>
        <v>0</v>
      </c>
      <c r="DT37" s="15">
        <f t="shared" si="335"/>
        <v>0</v>
      </c>
      <c r="DU37" s="15">
        <f t="shared" si="335"/>
        <v>0</v>
      </c>
      <c r="DV37" s="15">
        <f t="shared" si="335"/>
        <v>0</v>
      </c>
      <c r="DW37" s="15">
        <f t="shared" si="335"/>
        <v>0</v>
      </c>
      <c r="DX37" s="15">
        <f t="shared" si="335"/>
        <v>0</v>
      </c>
      <c r="DY37" s="15">
        <f t="shared" si="335"/>
        <v>0</v>
      </c>
      <c r="DZ37" s="15">
        <f t="shared" si="335"/>
        <v>0</v>
      </c>
      <c r="EA37" s="15">
        <f t="shared" si="335"/>
        <v>0</v>
      </c>
      <c r="EB37" s="15">
        <f t="shared" si="335"/>
        <v>0</v>
      </c>
      <c r="EC37" s="15">
        <f t="shared" si="335"/>
        <v>0</v>
      </c>
      <c r="ED37" s="15">
        <f t="shared" si="335"/>
        <v>0</v>
      </c>
      <c r="EE37" s="15">
        <f t="shared" si="335"/>
        <v>0</v>
      </c>
      <c r="EF37" s="15">
        <f t="shared" si="335"/>
        <v>0</v>
      </c>
      <c r="EG37" s="15">
        <f t="shared" si="335"/>
        <v>0</v>
      </c>
      <c r="EH37" s="15">
        <f t="shared" si="335"/>
        <v>0</v>
      </c>
      <c r="EI37" s="15">
        <f t="shared" si="336"/>
        <v>0</v>
      </c>
      <c r="EJ37" s="15">
        <f t="shared" si="336"/>
        <v>0</v>
      </c>
      <c r="EK37" s="15">
        <f t="shared" si="336"/>
        <v>0</v>
      </c>
      <c r="EL37" s="15">
        <f t="shared" si="336"/>
        <v>0</v>
      </c>
      <c r="EM37" s="15">
        <f t="shared" si="336"/>
        <v>0</v>
      </c>
      <c r="EN37" s="15">
        <f t="shared" si="336"/>
        <v>0</v>
      </c>
      <c r="EO37" s="15">
        <f t="shared" si="336"/>
        <v>0</v>
      </c>
      <c r="EP37" s="15">
        <f t="shared" si="336"/>
        <v>0</v>
      </c>
      <c r="EQ37" s="15">
        <f t="shared" si="336"/>
        <v>0</v>
      </c>
      <c r="ER37" s="15">
        <f t="shared" si="336"/>
        <v>0</v>
      </c>
      <c r="ES37" s="15">
        <f t="shared" si="336"/>
        <v>0</v>
      </c>
      <c r="ET37" s="15">
        <f t="shared" si="336"/>
        <v>0</v>
      </c>
      <c r="EU37" s="15">
        <f t="shared" si="336"/>
        <v>0</v>
      </c>
      <c r="EV37" s="15">
        <f t="shared" si="336"/>
        <v>0</v>
      </c>
      <c r="EX37" s="15">
        <f t="shared" si="337"/>
        <v>300000000</v>
      </c>
      <c r="EY37" s="15">
        <f t="shared" si="337"/>
        <v>300000000</v>
      </c>
      <c r="EZ37" s="15">
        <f t="shared" si="337"/>
        <v>300000000</v>
      </c>
      <c r="FA37" s="15">
        <f t="shared" si="337"/>
        <v>300000000</v>
      </c>
      <c r="FB37" s="15">
        <f t="shared" si="337"/>
        <v>300000000</v>
      </c>
      <c r="FC37" s="15">
        <f t="shared" si="337"/>
        <v>300000000</v>
      </c>
      <c r="FD37" s="15">
        <f t="shared" si="337"/>
        <v>300000000</v>
      </c>
      <c r="FE37" s="15">
        <f t="shared" si="337"/>
        <v>300000000</v>
      </c>
      <c r="FF37" s="15">
        <f t="shared" si="337"/>
        <v>300000000</v>
      </c>
      <c r="FG37" s="15">
        <f t="shared" si="337"/>
        <v>300000000</v>
      </c>
      <c r="FH37" s="15">
        <f t="shared" si="337"/>
        <v>300000000</v>
      </c>
      <c r="FI37" s="15">
        <f t="shared" si="337"/>
        <v>300000000</v>
      </c>
      <c r="FJ37" s="15">
        <f t="shared" si="337"/>
        <v>300000000</v>
      </c>
      <c r="FK37" s="15">
        <f t="shared" si="337"/>
        <v>300000000</v>
      </c>
      <c r="FL37" s="15">
        <f t="shared" si="337"/>
        <v>300000000</v>
      </c>
      <c r="FM37" s="15">
        <f t="shared" si="337"/>
        <v>300000000</v>
      </c>
      <c r="FN37" s="15">
        <f t="shared" si="338"/>
        <v>300000000</v>
      </c>
      <c r="FO37" s="15">
        <f t="shared" si="338"/>
        <v>300000000</v>
      </c>
      <c r="FP37" s="15">
        <f t="shared" si="338"/>
        <v>300000000</v>
      </c>
      <c r="FQ37" s="15">
        <f t="shared" si="338"/>
        <v>300000000</v>
      </c>
      <c r="FR37" s="15">
        <f t="shared" si="338"/>
        <v>300000000</v>
      </c>
      <c r="FS37" s="15">
        <f t="shared" si="338"/>
        <v>300000000</v>
      </c>
      <c r="FT37" s="15">
        <f t="shared" si="338"/>
        <v>300000000</v>
      </c>
      <c r="FU37" s="15">
        <f t="shared" si="338"/>
        <v>300000000</v>
      </c>
      <c r="FV37" s="15">
        <f t="shared" si="338"/>
        <v>300000000</v>
      </c>
      <c r="FW37" s="15">
        <f t="shared" si="338"/>
        <v>0</v>
      </c>
      <c r="FX37" s="15">
        <f t="shared" si="338"/>
        <v>0</v>
      </c>
      <c r="FY37" s="15">
        <f t="shared" si="338"/>
        <v>0</v>
      </c>
      <c r="FZ37" s="15">
        <f t="shared" si="338"/>
        <v>0</v>
      </c>
      <c r="GA37" s="15">
        <f t="shared" si="338"/>
        <v>0</v>
      </c>
      <c r="GC37" s="15">
        <f t="shared" si="339"/>
        <v>0</v>
      </c>
      <c r="GD37" s="15">
        <f t="shared" si="339"/>
        <v>0</v>
      </c>
      <c r="GE37" s="15">
        <f t="shared" si="339"/>
        <v>0</v>
      </c>
      <c r="GF37" s="15">
        <f t="shared" si="339"/>
        <v>0</v>
      </c>
      <c r="GG37" s="15">
        <f t="shared" si="339"/>
        <v>0</v>
      </c>
      <c r="GH37" s="15">
        <f t="shared" si="339"/>
        <v>0</v>
      </c>
      <c r="GI37" s="15">
        <f t="shared" si="339"/>
        <v>0</v>
      </c>
      <c r="GJ37" s="15">
        <f t="shared" si="339"/>
        <v>0</v>
      </c>
      <c r="GK37" s="15">
        <f t="shared" si="339"/>
        <v>0</v>
      </c>
      <c r="GL37" s="15">
        <f t="shared" si="339"/>
        <v>0</v>
      </c>
      <c r="GM37" s="15">
        <f t="shared" si="339"/>
        <v>0</v>
      </c>
      <c r="GN37" s="15">
        <f t="shared" si="339"/>
        <v>0</v>
      </c>
      <c r="GO37" s="15">
        <f t="shared" si="339"/>
        <v>0</v>
      </c>
      <c r="GP37" s="15">
        <f t="shared" si="339"/>
        <v>0</v>
      </c>
      <c r="GQ37" s="15">
        <f t="shared" si="339"/>
        <v>0</v>
      </c>
      <c r="GR37" s="15">
        <f t="shared" si="339"/>
        <v>0</v>
      </c>
      <c r="GS37" s="15">
        <f t="shared" si="340"/>
        <v>0</v>
      </c>
      <c r="GT37" s="15">
        <f t="shared" si="340"/>
        <v>0</v>
      </c>
      <c r="GU37" s="15">
        <f t="shared" si="340"/>
        <v>0</v>
      </c>
      <c r="GV37" s="15">
        <f t="shared" si="340"/>
        <v>0</v>
      </c>
      <c r="GW37" s="15">
        <f t="shared" si="340"/>
        <v>0</v>
      </c>
      <c r="GX37" s="15">
        <f t="shared" si="340"/>
        <v>0</v>
      </c>
      <c r="GY37" s="15">
        <f t="shared" si="340"/>
        <v>0</v>
      </c>
      <c r="GZ37" s="15">
        <f t="shared" si="340"/>
        <v>0</v>
      </c>
      <c r="HA37" s="15">
        <f t="shared" si="340"/>
        <v>0</v>
      </c>
      <c r="HB37" s="15">
        <f t="shared" si="340"/>
        <v>0</v>
      </c>
      <c r="HC37" s="15">
        <f t="shared" si="340"/>
        <v>0</v>
      </c>
      <c r="HD37" s="15">
        <f t="shared" si="340"/>
        <v>0</v>
      </c>
      <c r="HE37" s="15">
        <f t="shared" si="340"/>
        <v>0</v>
      </c>
      <c r="HF37" s="15">
        <f t="shared" si="340"/>
        <v>0</v>
      </c>
      <c r="HH37" s="15">
        <f t="shared" si="341"/>
        <v>300000000</v>
      </c>
      <c r="HI37" s="15">
        <f t="shared" si="341"/>
        <v>300000000</v>
      </c>
      <c r="HJ37" s="15">
        <f t="shared" si="341"/>
        <v>300000000</v>
      </c>
      <c r="HK37" s="15">
        <f t="shared" si="341"/>
        <v>300000000</v>
      </c>
      <c r="HL37" s="15">
        <f t="shared" si="341"/>
        <v>300000000</v>
      </c>
      <c r="HM37" s="15">
        <f t="shared" si="341"/>
        <v>300000000</v>
      </c>
      <c r="HN37" s="15">
        <f t="shared" si="341"/>
        <v>300000000</v>
      </c>
      <c r="HO37" s="15">
        <f t="shared" si="341"/>
        <v>300000000</v>
      </c>
      <c r="HP37" s="15">
        <f t="shared" si="341"/>
        <v>300000000</v>
      </c>
      <c r="HQ37" s="15">
        <f t="shared" si="341"/>
        <v>300000000</v>
      </c>
      <c r="HR37" s="15">
        <f t="shared" si="341"/>
        <v>300000000</v>
      </c>
      <c r="HS37" s="15">
        <f t="shared" si="341"/>
        <v>300000000</v>
      </c>
      <c r="HT37" s="15">
        <f t="shared" si="341"/>
        <v>300000000</v>
      </c>
      <c r="HU37" s="15">
        <f t="shared" si="341"/>
        <v>300000000</v>
      </c>
      <c r="HV37" s="15">
        <f t="shared" si="341"/>
        <v>300000000</v>
      </c>
      <c r="HW37" s="15">
        <f t="shared" si="341"/>
        <v>300000000</v>
      </c>
      <c r="HX37" s="15">
        <f t="shared" si="342"/>
        <v>300000000</v>
      </c>
      <c r="HY37" s="15">
        <f t="shared" si="342"/>
        <v>300000000</v>
      </c>
      <c r="HZ37" s="15">
        <f t="shared" si="342"/>
        <v>300000000</v>
      </c>
      <c r="IA37" s="15">
        <f t="shared" si="342"/>
        <v>300000000</v>
      </c>
      <c r="IB37" s="15">
        <f t="shared" si="342"/>
        <v>300000000</v>
      </c>
      <c r="IC37" s="15">
        <f t="shared" si="342"/>
        <v>300000000</v>
      </c>
      <c r="ID37" s="15">
        <f t="shared" si="342"/>
        <v>300000000</v>
      </c>
      <c r="IE37" s="15">
        <f t="shared" si="342"/>
        <v>300000000</v>
      </c>
      <c r="IF37" s="15">
        <f t="shared" si="342"/>
        <v>300000000</v>
      </c>
      <c r="IG37" s="15">
        <f t="shared" si="342"/>
        <v>0</v>
      </c>
      <c r="IH37" s="15">
        <f t="shared" si="342"/>
        <v>0</v>
      </c>
      <c r="II37" s="15">
        <f t="shared" si="342"/>
        <v>0</v>
      </c>
      <c r="IJ37" s="15">
        <f t="shared" si="342"/>
        <v>0</v>
      </c>
      <c r="IK37" s="15">
        <f t="shared" si="342"/>
        <v>0</v>
      </c>
      <c r="IM37" s="15">
        <f t="shared" si="343"/>
        <v>0</v>
      </c>
      <c r="IN37" s="15">
        <f t="shared" si="343"/>
        <v>0</v>
      </c>
      <c r="IO37" s="15">
        <f t="shared" si="343"/>
        <v>0</v>
      </c>
      <c r="IP37" s="15">
        <f t="shared" si="343"/>
        <v>0</v>
      </c>
      <c r="IQ37" s="15">
        <f t="shared" si="343"/>
        <v>0</v>
      </c>
      <c r="IR37" s="15">
        <f t="shared" si="343"/>
        <v>0</v>
      </c>
      <c r="IS37" s="15">
        <f t="shared" si="343"/>
        <v>0</v>
      </c>
      <c r="IT37" s="15">
        <f t="shared" si="343"/>
        <v>0</v>
      </c>
      <c r="IU37" s="15">
        <f t="shared" si="343"/>
        <v>0</v>
      </c>
      <c r="IV37" s="15">
        <f t="shared" si="343"/>
        <v>0</v>
      </c>
      <c r="IW37" s="15">
        <f t="shared" si="343"/>
        <v>0</v>
      </c>
      <c r="IX37" s="15">
        <f t="shared" si="343"/>
        <v>0</v>
      </c>
      <c r="IY37" s="15">
        <f t="shared" si="343"/>
        <v>0</v>
      </c>
      <c r="IZ37" s="15">
        <f t="shared" si="343"/>
        <v>0</v>
      </c>
      <c r="JA37" s="15">
        <f t="shared" si="343"/>
        <v>0</v>
      </c>
      <c r="JB37" s="15">
        <f t="shared" si="343"/>
        <v>0</v>
      </c>
      <c r="JC37" s="15">
        <f t="shared" si="344"/>
        <v>0</v>
      </c>
      <c r="JD37" s="15">
        <f t="shared" si="344"/>
        <v>0</v>
      </c>
      <c r="JE37" s="15">
        <f t="shared" si="344"/>
        <v>0</v>
      </c>
      <c r="JF37" s="15">
        <f t="shared" si="344"/>
        <v>0</v>
      </c>
      <c r="JG37" s="15">
        <f t="shared" si="344"/>
        <v>0</v>
      </c>
      <c r="JH37" s="15">
        <f t="shared" si="344"/>
        <v>0</v>
      </c>
      <c r="JI37" s="15">
        <f t="shared" si="344"/>
        <v>0</v>
      </c>
      <c r="JJ37" s="15">
        <f t="shared" si="344"/>
        <v>0</v>
      </c>
      <c r="JK37" s="15">
        <f t="shared" si="344"/>
        <v>0</v>
      </c>
      <c r="JL37" s="15">
        <f t="shared" si="344"/>
        <v>0</v>
      </c>
      <c r="JM37" s="15">
        <f t="shared" si="344"/>
        <v>0</v>
      </c>
      <c r="JN37" s="15">
        <f t="shared" si="344"/>
        <v>0</v>
      </c>
      <c r="JO37" s="15">
        <f t="shared" si="344"/>
        <v>0</v>
      </c>
      <c r="JP37" s="15">
        <f t="shared" si="344"/>
        <v>0</v>
      </c>
      <c r="JR37" s="15">
        <f t="shared" si="345"/>
        <v>300000000</v>
      </c>
      <c r="JS37" s="15">
        <f t="shared" si="345"/>
        <v>300000000</v>
      </c>
      <c r="JT37" s="15">
        <f t="shared" si="345"/>
        <v>300000000</v>
      </c>
      <c r="JU37" s="15">
        <f t="shared" si="345"/>
        <v>300000000</v>
      </c>
      <c r="JV37" s="15">
        <f t="shared" si="345"/>
        <v>300000000</v>
      </c>
      <c r="JW37" s="15">
        <f t="shared" si="345"/>
        <v>300000000</v>
      </c>
      <c r="JX37" s="15">
        <f t="shared" si="345"/>
        <v>300000000</v>
      </c>
      <c r="JY37" s="15">
        <f t="shared" si="345"/>
        <v>300000000</v>
      </c>
      <c r="JZ37" s="15">
        <f t="shared" si="345"/>
        <v>300000000</v>
      </c>
      <c r="KA37" s="15">
        <f t="shared" si="345"/>
        <v>300000000</v>
      </c>
      <c r="KB37" s="15">
        <f t="shared" si="345"/>
        <v>300000000</v>
      </c>
      <c r="KC37" s="15">
        <f t="shared" si="345"/>
        <v>300000000</v>
      </c>
      <c r="KD37" s="15">
        <f t="shared" si="345"/>
        <v>300000000</v>
      </c>
      <c r="KE37" s="15">
        <f t="shared" si="345"/>
        <v>300000000</v>
      </c>
      <c r="KF37" s="15">
        <f t="shared" si="345"/>
        <v>300000000</v>
      </c>
      <c r="KG37" s="15">
        <f t="shared" si="345"/>
        <v>300000000</v>
      </c>
      <c r="KH37" s="15">
        <f t="shared" si="346"/>
        <v>300000000</v>
      </c>
      <c r="KI37" s="15">
        <f t="shared" si="346"/>
        <v>300000000</v>
      </c>
      <c r="KJ37" s="15">
        <f t="shared" si="346"/>
        <v>300000000</v>
      </c>
      <c r="KK37" s="15">
        <f t="shared" si="346"/>
        <v>300000000</v>
      </c>
      <c r="KL37" s="15">
        <f t="shared" si="346"/>
        <v>300000000</v>
      </c>
      <c r="KM37" s="15">
        <f t="shared" si="346"/>
        <v>300000000</v>
      </c>
      <c r="KN37" s="15">
        <f t="shared" si="346"/>
        <v>300000000</v>
      </c>
      <c r="KO37" s="15">
        <f t="shared" si="346"/>
        <v>300000000</v>
      </c>
      <c r="KP37" s="15">
        <f t="shared" si="346"/>
        <v>300000000</v>
      </c>
      <c r="KQ37" s="15">
        <f t="shared" si="346"/>
        <v>0</v>
      </c>
      <c r="KR37" s="15">
        <f t="shared" si="346"/>
        <v>0</v>
      </c>
      <c r="KS37" s="15">
        <f t="shared" si="346"/>
        <v>0</v>
      </c>
      <c r="KT37" s="15">
        <f t="shared" si="346"/>
        <v>0</v>
      </c>
      <c r="KU37" s="15">
        <f t="shared" si="346"/>
        <v>0</v>
      </c>
      <c r="KW37" s="15">
        <f t="shared" si="347"/>
        <v>0</v>
      </c>
      <c r="KX37" s="15">
        <f t="shared" si="347"/>
        <v>0</v>
      </c>
      <c r="KY37" s="15">
        <f t="shared" si="347"/>
        <v>0</v>
      </c>
      <c r="KZ37" s="15">
        <f t="shared" si="347"/>
        <v>0</v>
      </c>
      <c r="LA37" s="15">
        <f t="shared" si="347"/>
        <v>0</v>
      </c>
      <c r="LB37" s="15">
        <f t="shared" si="347"/>
        <v>0</v>
      </c>
      <c r="LC37" s="15">
        <f t="shared" si="347"/>
        <v>0</v>
      </c>
      <c r="LD37" s="15">
        <f t="shared" si="347"/>
        <v>0</v>
      </c>
      <c r="LE37" s="15">
        <f t="shared" si="347"/>
        <v>0</v>
      </c>
      <c r="LF37" s="15">
        <f t="shared" si="347"/>
        <v>0</v>
      </c>
      <c r="LG37" s="15">
        <f t="shared" si="347"/>
        <v>0</v>
      </c>
      <c r="LH37" s="15">
        <f t="shared" si="347"/>
        <v>0</v>
      </c>
      <c r="LI37" s="15">
        <f t="shared" si="347"/>
        <v>0</v>
      </c>
      <c r="LJ37" s="15">
        <f t="shared" si="347"/>
        <v>0</v>
      </c>
      <c r="LK37" s="15">
        <f t="shared" si="347"/>
        <v>0</v>
      </c>
      <c r="LL37" s="15">
        <f t="shared" si="347"/>
        <v>0</v>
      </c>
      <c r="LM37" s="15">
        <f t="shared" si="348"/>
        <v>0</v>
      </c>
      <c r="LN37" s="15">
        <f t="shared" si="348"/>
        <v>0</v>
      </c>
      <c r="LO37" s="15">
        <f t="shared" si="348"/>
        <v>0</v>
      </c>
      <c r="LP37" s="15">
        <f t="shared" si="348"/>
        <v>0</v>
      </c>
      <c r="LQ37" s="15">
        <f t="shared" si="348"/>
        <v>0</v>
      </c>
      <c r="LR37" s="15">
        <f t="shared" si="348"/>
        <v>0</v>
      </c>
      <c r="LS37" s="15">
        <f t="shared" si="348"/>
        <v>0</v>
      </c>
      <c r="LT37" s="15">
        <f t="shared" si="348"/>
        <v>0</v>
      </c>
      <c r="LU37" s="15">
        <f t="shared" si="348"/>
        <v>0</v>
      </c>
      <c r="LV37" s="15">
        <f t="shared" si="348"/>
        <v>0</v>
      </c>
      <c r="LW37" s="15">
        <f t="shared" si="348"/>
        <v>0</v>
      </c>
      <c r="LX37" s="15">
        <f t="shared" si="348"/>
        <v>0</v>
      </c>
      <c r="LY37" s="15">
        <f t="shared" si="348"/>
        <v>0</v>
      </c>
      <c r="LZ37" s="15">
        <f t="shared" si="348"/>
        <v>0</v>
      </c>
      <c r="MB37" s="15">
        <f t="shared" si="349"/>
        <v>300000000</v>
      </c>
      <c r="MC37" s="15">
        <f t="shared" si="349"/>
        <v>300000000</v>
      </c>
      <c r="MD37" s="15">
        <f t="shared" si="349"/>
        <v>300000000</v>
      </c>
      <c r="ME37" s="15">
        <f t="shared" si="349"/>
        <v>300000000</v>
      </c>
      <c r="MF37" s="15">
        <f t="shared" si="349"/>
        <v>300000000</v>
      </c>
      <c r="MG37" s="15">
        <f t="shared" si="349"/>
        <v>300000000</v>
      </c>
      <c r="MH37" s="15">
        <f t="shared" si="349"/>
        <v>300000000</v>
      </c>
      <c r="MI37" s="15">
        <f t="shared" si="349"/>
        <v>300000000</v>
      </c>
      <c r="MJ37" s="15">
        <f t="shared" si="349"/>
        <v>300000000</v>
      </c>
      <c r="MK37" s="15">
        <f t="shared" si="349"/>
        <v>300000000</v>
      </c>
      <c r="ML37" s="15">
        <f t="shared" si="349"/>
        <v>300000000</v>
      </c>
      <c r="MM37" s="15">
        <f t="shared" si="349"/>
        <v>300000000</v>
      </c>
      <c r="MN37" s="15">
        <f t="shared" si="349"/>
        <v>300000000</v>
      </c>
      <c r="MO37" s="15">
        <f t="shared" si="349"/>
        <v>300000000</v>
      </c>
      <c r="MP37" s="15">
        <f t="shared" si="349"/>
        <v>300000000</v>
      </c>
      <c r="MQ37" s="15">
        <f t="shared" si="349"/>
        <v>300000000</v>
      </c>
      <c r="MR37" s="15">
        <f t="shared" si="350"/>
        <v>300000000</v>
      </c>
      <c r="MS37" s="15">
        <f t="shared" si="350"/>
        <v>300000000</v>
      </c>
      <c r="MT37" s="15">
        <f t="shared" si="350"/>
        <v>300000000</v>
      </c>
      <c r="MU37" s="15">
        <f t="shared" si="350"/>
        <v>300000000</v>
      </c>
      <c r="MV37" s="15">
        <f t="shared" si="350"/>
        <v>300000000</v>
      </c>
      <c r="MW37" s="15">
        <f t="shared" si="350"/>
        <v>300000000</v>
      </c>
      <c r="MX37" s="15">
        <f t="shared" si="350"/>
        <v>300000000</v>
      </c>
      <c r="MY37" s="15">
        <f t="shared" si="350"/>
        <v>300000000</v>
      </c>
      <c r="MZ37" s="15">
        <f t="shared" si="350"/>
        <v>300000000</v>
      </c>
      <c r="NA37" s="15">
        <f t="shared" si="350"/>
        <v>0</v>
      </c>
      <c r="NB37" s="15">
        <f t="shared" si="350"/>
        <v>0</v>
      </c>
      <c r="NC37" s="15">
        <f t="shared" si="350"/>
        <v>0</v>
      </c>
      <c r="ND37" s="15">
        <f t="shared" si="350"/>
        <v>0</v>
      </c>
      <c r="NE37" s="15">
        <f t="shared" si="350"/>
        <v>0</v>
      </c>
    </row>
    <row r="38" spans="1:369" x14ac:dyDescent="0.25">
      <c r="F38" s="221"/>
      <c r="J38" s="15"/>
      <c r="K38" s="221"/>
      <c r="O38" s="15"/>
      <c r="P38" s="221"/>
      <c r="T38" s="15"/>
      <c r="U38" s="221"/>
      <c r="Y38" s="15"/>
      <c r="Z38" s="221"/>
      <c r="AD38" s="15"/>
      <c r="AE38" s="221"/>
      <c r="AI38" s="15"/>
      <c r="AJ38" s="221"/>
      <c r="AN38" s="15"/>
      <c r="AO38" s="221"/>
      <c r="AS38" s="15"/>
      <c r="AT38" s="221"/>
      <c r="AX38" s="15"/>
      <c r="AY38" s="221"/>
      <c r="BC38" s="15"/>
      <c r="BD38" s="221"/>
    </row>
    <row r="39" spans="1:369" s="22" customFormat="1" ht="17.25" x14ac:dyDescent="0.3">
      <c r="A39" t="s">
        <v>483</v>
      </c>
      <c r="B39"/>
      <c r="C39" s="38" t="s">
        <v>47</v>
      </c>
      <c r="D39" s="22" t="s">
        <v>767</v>
      </c>
      <c r="E39" s="28"/>
      <c r="F39" s="219"/>
      <c r="G39" s="139"/>
      <c r="H39" s="28"/>
      <c r="I39" s="28">
        <f>SUM(I40:I58)</f>
        <v>16250000000</v>
      </c>
      <c r="J39" s="28">
        <f>SUM(J40:J58)</f>
        <v>1354166666.666666</v>
      </c>
      <c r="K39" s="219"/>
      <c r="L39" s="139"/>
      <c r="M39" s="139"/>
      <c r="N39" s="28">
        <f>SUM(N40:N58)</f>
        <v>16250000000</v>
      </c>
      <c r="O39" s="28">
        <f>SUM(O40:O58)</f>
        <v>1354166666.666666</v>
      </c>
      <c r="P39" s="219"/>
      <c r="Q39" s="139"/>
      <c r="R39" s="139"/>
      <c r="S39" s="28">
        <f>SUM(S40:S58)</f>
        <v>16250000000</v>
      </c>
      <c r="T39" s="28">
        <f>SUM(T40:T58)</f>
        <v>1354166666.666666</v>
      </c>
      <c r="U39" s="219"/>
      <c r="V39" s="139"/>
      <c r="W39" s="139"/>
      <c r="X39" s="28">
        <f>SUM(X40:X58)</f>
        <v>16250000000</v>
      </c>
      <c r="Y39" s="28">
        <f>SUM(Y40:Y58)</f>
        <v>1354166666.666666</v>
      </c>
      <c r="Z39" s="219"/>
      <c r="AA39" s="139"/>
      <c r="AB39" s="139"/>
      <c r="AC39" s="28">
        <f>SUM(AC40:AC58)</f>
        <v>16250000000</v>
      </c>
      <c r="AD39" s="28">
        <f>SUM(AD40:AD58)</f>
        <v>1354166666.666666</v>
      </c>
      <c r="AE39" s="219"/>
      <c r="AF39" s="139"/>
      <c r="AG39" s="139"/>
      <c r="AH39" s="28">
        <f>SUM(AH40:AH58)</f>
        <v>16250000000</v>
      </c>
      <c r="AI39" s="28">
        <f>SUM(AI40:AI58)</f>
        <v>1354166666.666666</v>
      </c>
      <c r="AJ39" s="219"/>
      <c r="AK39" s="139"/>
      <c r="AL39" s="139"/>
      <c r="AM39" s="28">
        <f>SUM(AM40:AM58)</f>
        <v>16250000000</v>
      </c>
      <c r="AN39" s="28">
        <f>SUM(AN40:AN58)</f>
        <v>1354166666.666666</v>
      </c>
      <c r="AO39" s="219"/>
      <c r="AP39" s="139"/>
      <c r="AQ39" s="139"/>
      <c r="AR39" s="28">
        <f>SUM(AR40:AR58)</f>
        <v>16250000000</v>
      </c>
      <c r="AS39" s="28">
        <f>SUM(AS40:AS58)</f>
        <v>1354166666.666666</v>
      </c>
      <c r="AT39" s="219"/>
      <c r="AU39" s="139"/>
      <c r="AV39" s="139"/>
      <c r="AW39" s="28">
        <f>SUM(AW40:AW58)</f>
        <v>16250000000</v>
      </c>
      <c r="AX39" s="28">
        <f>SUM(AX40:AX58)</f>
        <v>1354166666.666666</v>
      </c>
      <c r="AY39" s="219"/>
      <c r="AZ39" s="139"/>
      <c r="BA39" s="139"/>
      <c r="BB39" s="28">
        <f>SUM(BB40:BB58)</f>
        <v>16250000000</v>
      </c>
      <c r="BC39" s="28">
        <f>SUM(BC40:BC58)</f>
        <v>1354166666.666666</v>
      </c>
      <c r="BD39" s="219"/>
      <c r="BI39" s="28">
        <f t="shared" ref="BI39:CL39" si="351">SUM(BI40:BI58)</f>
        <v>1354166666.666666</v>
      </c>
      <c r="BJ39" s="28">
        <f t="shared" si="351"/>
        <v>1354166666.666666</v>
      </c>
      <c r="BK39" s="28">
        <f t="shared" si="351"/>
        <v>1354166666.666666</v>
      </c>
      <c r="BL39" s="28">
        <f t="shared" si="351"/>
        <v>1354166666.666666</v>
      </c>
      <c r="BM39" s="28">
        <f t="shared" si="351"/>
        <v>1354166666.666666</v>
      </c>
      <c r="BN39" s="28">
        <f t="shared" si="351"/>
        <v>1354166666.666666</v>
      </c>
      <c r="BO39" s="28">
        <f t="shared" si="351"/>
        <v>1354166666.666666</v>
      </c>
      <c r="BP39" s="28">
        <f t="shared" si="351"/>
        <v>1354166666.666666</v>
      </c>
      <c r="BQ39" s="28">
        <f t="shared" si="351"/>
        <v>1354166666.666666</v>
      </c>
      <c r="BR39" s="28">
        <f t="shared" si="351"/>
        <v>1354166666.666666</v>
      </c>
      <c r="BS39" s="28">
        <f t="shared" si="351"/>
        <v>1354166666.666666</v>
      </c>
      <c r="BT39" s="28">
        <f t="shared" si="351"/>
        <v>1354166666.666666</v>
      </c>
      <c r="BU39" s="28">
        <f t="shared" si="351"/>
        <v>0</v>
      </c>
      <c r="BV39" s="28">
        <f t="shared" si="351"/>
        <v>0</v>
      </c>
      <c r="BW39" s="28">
        <f t="shared" si="351"/>
        <v>0</v>
      </c>
      <c r="BX39" s="28">
        <f t="shared" si="351"/>
        <v>0</v>
      </c>
      <c r="BY39" s="28">
        <f t="shared" si="351"/>
        <v>0</v>
      </c>
      <c r="BZ39" s="28">
        <f t="shared" si="351"/>
        <v>0</v>
      </c>
      <c r="CA39" s="28">
        <f t="shared" si="351"/>
        <v>0</v>
      </c>
      <c r="CB39" s="28">
        <f t="shared" si="351"/>
        <v>0</v>
      </c>
      <c r="CC39" s="28">
        <f t="shared" si="351"/>
        <v>0</v>
      </c>
      <c r="CD39" s="28">
        <f t="shared" si="351"/>
        <v>0</v>
      </c>
      <c r="CE39" s="28">
        <f t="shared" si="351"/>
        <v>0</v>
      </c>
      <c r="CF39" s="28">
        <f t="shared" si="351"/>
        <v>0</v>
      </c>
      <c r="CG39" s="28">
        <f t="shared" si="351"/>
        <v>0</v>
      </c>
      <c r="CH39" s="28">
        <f t="shared" si="351"/>
        <v>0</v>
      </c>
      <c r="CI39" s="28">
        <f t="shared" si="351"/>
        <v>0</v>
      </c>
      <c r="CJ39" s="28">
        <f t="shared" si="351"/>
        <v>0</v>
      </c>
      <c r="CK39" s="28">
        <f t="shared" si="351"/>
        <v>0</v>
      </c>
      <c r="CL39" s="28">
        <f t="shared" si="351"/>
        <v>0</v>
      </c>
      <c r="CN39" s="28">
        <f t="shared" ref="CN39" si="352">SUM(CN40:CN58)</f>
        <v>1354166666.666666</v>
      </c>
      <c r="CO39" s="28">
        <f t="shared" ref="CO39" si="353">SUM(CO40:CO58)</f>
        <v>1354166666.666666</v>
      </c>
      <c r="CP39" s="28">
        <f t="shared" ref="CP39" si="354">SUM(CP40:CP58)</f>
        <v>1354166666.666666</v>
      </c>
      <c r="CQ39" s="28">
        <f t="shared" ref="CQ39" si="355">SUM(CQ40:CQ58)</f>
        <v>1354166666.666666</v>
      </c>
      <c r="CR39" s="28">
        <f t="shared" ref="CR39" si="356">SUM(CR40:CR58)</f>
        <v>1354166666.666666</v>
      </c>
      <c r="CS39" s="28">
        <f t="shared" ref="CS39" si="357">SUM(CS40:CS58)</f>
        <v>1354166666.666666</v>
      </c>
      <c r="CT39" s="28">
        <f t="shared" ref="CT39" si="358">SUM(CT40:CT58)</f>
        <v>1354166666.666666</v>
      </c>
      <c r="CU39" s="28">
        <f t="shared" ref="CU39" si="359">SUM(CU40:CU58)</f>
        <v>1354166666.666666</v>
      </c>
      <c r="CV39" s="28">
        <f t="shared" ref="CV39" si="360">SUM(CV40:CV58)</f>
        <v>1354166666.666666</v>
      </c>
      <c r="CW39" s="28">
        <f t="shared" ref="CW39" si="361">SUM(CW40:CW58)</f>
        <v>1354166666.666666</v>
      </c>
      <c r="CX39" s="28">
        <f t="shared" ref="CX39" si="362">SUM(CX40:CX58)</f>
        <v>1354166666.666666</v>
      </c>
      <c r="CY39" s="28">
        <f t="shared" ref="CY39" si="363">SUM(CY40:CY58)</f>
        <v>1354166666.666666</v>
      </c>
      <c r="CZ39" s="28">
        <f t="shared" ref="CZ39" si="364">SUM(CZ40:CZ58)</f>
        <v>0</v>
      </c>
      <c r="DA39" s="28">
        <f t="shared" ref="DA39" si="365">SUM(DA40:DA58)</f>
        <v>0</v>
      </c>
      <c r="DB39" s="28">
        <f t="shared" ref="DB39" si="366">SUM(DB40:DB58)</f>
        <v>0</v>
      </c>
      <c r="DC39" s="28">
        <f t="shared" ref="DC39" si="367">SUM(DC40:DC58)</f>
        <v>0</v>
      </c>
      <c r="DD39" s="28">
        <f t="shared" ref="DD39" si="368">SUM(DD40:DD58)</f>
        <v>0</v>
      </c>
      <c r="DE39" s="28">
        <f t="shared" ref="DE39" si="369">SUM(DE40:DE58)</f>
        <v>0</v>
      </c>
      <c r="DF39" s="28">
        <f t="shared" ref="DF39" si="370">SUM(DF40:DF58)</f>
        <v>0</v>
      </c>
      <c r="DG39" s="28">
        <f t="shared" ref="DG39" si="371">SUM(DG40:DG58)</f>
        <v>0</v>
      </c>
      <c r="DH39" s="28">
        <f t="shared" ref="DH39" si="372">SUM(DH40:DH58)</f>
        <v>0</v>
      </c>
      <c r="DI39" s="28">
        <f t="shared" ref="DI39" si="373">SUM(DI40:DI58)</f>
        <v>0</v>
      </c>
      <c r="DJ39" s="28">
        <f t="shared" ref="DJ39" si="374">SUM(DJ40:DJ58)</f>
        <v>0</v>
      </c>
      <c r="DK39" s="28">
        <f t="shared" ref="DK39" si="375">SUM(DK40:DK58)</f>
        <v>0</v>
      </c>
      <c r="DL39" s="28">
        <f t="shared" ref="DL39" si="376">SUM(DL40:DL58)</f>
        <v>0</v>
      </c>
      <c r="DM39" s="28">
        <f t="shared" ref="DM39" si="377">SUM(DM40:DM58)</f>
        <v>0</v>
      </c>
      <c r="DN39" s="28">
        <f t="shared" ref="DN39" si="378">SUM(DN40:DN58)</f>
        <v>0</v>
      </c>
      <c r="DO39" s="28">
        <f t="shared" ref="DO39" si="379">SUM(DO40:DO58)</f>
        <v>0</v>
      </c>
      <c r="DP39" s="28">
        <f t="shared" ref="DP39" si="380">SUM(DP40:DP58)</f>
        <v>0</v>
      </c>
      <c r="DQ39" s="28">
        <f t="shared" ref="DQ39" si="381">SUM(DQ40:DQ58)</f>
        <v>0</v>
      </c>
      <c r="DS39" s="28">
        <f t="shared" ref="DS39:EV39" si="382">SUM(DS40:DS58)</f>
        <v>1354166666.666666</v>
      </c>
      <c r="DT39" s="28">
        <f t="shared" si="382"/>
        <v>1354166666.666666</v>
      </c>
      <c r="DU39" s="28">
        <f t="shared" si="382"/>
        <v>1354166666.666666</v>
      </c>
      <c r="DV39" s="28">
        <f t="shared" si="382"/>
        <v>1354166666.666666</v>
      </c>
      <c r="DW39" s="28">
        <f t="shared" si="382"/>
        <v>1354166666.666666</v>
      </c>
      <c r="DX39" s="28">
        <f t="shared" si="382"/>
        <v>1354166666.666666</v>
      </c>
      <c r="DY39" s="28">
        <f t="shared" si="382"/>
        <v>1354166666.666666</v>
      </c>
      <c r="DZ39" s="28">
        <f t="shared" si="382"/>
        <v>1354166666.666666</v>
      </c>
      <c r="EA39" s="28">
        <f t="shared" si="382"/>
        <v>1354166666.666666</v>
      </c>
      <c r="EB39" s="28">
        <f t="shared" si="382"/>
        <v>1354166666.666666</v>
      </c>
      <c r="EC39" s="28">
        <f t="shared" si="382"/>
        <v>1354166666.666666</v>
      </c>
      <c r="ED39" s="28">
        <f t="shared" si="382"/>
        <v>1354166666.666666</v>
      </c>
      <c r="EE39" s="28">
        <f t="shared" si="382"/>
        <v>0</v>
      </c>
      <c r="EF39" s="28">
        <f t="shared" si="382"/>
        <v>0</v>
      </c>
      <c r="EG39" s="28">
        <f t="shared" si="382"/>
        <v>0</v>
      </c>
      <c r="EH39" s="28">
        <f t="shared" si="382"/>
        <v>0</v>
      </c>
      <c r="EI39" s="28">
        <f t="shared" si="382"/>
        <v>0</v>
      </c>
      <c r="EJ39" s="28">
        <f t="shared" si="382"/>
        <v>0</v>
      </c>
      <c r="EK39" s="28">
        <f t="shared" si="382"/>
        <v>0</v>
      </c>
      <c r="EL39" s="28">
        <f t="shared" si="382"/>
        <v>0</v>
      </c>
      <c r="EM39" s="28">
        <f t="shared" si="382"/>
        <v>0</v>
      </c>
      <c r="EN39" s="28">
        <f t="shared" si="382"/>
        <v>0</v>
      </c>
      <c r="EO39" s="28">
        <f t="shared" si="382"/>
        <v>0</v>
      </c>
      <c r="EP39" s="28">
        <f t="shared" si="382"/>
        <v>0</v>
      </c>
      <c r="EQ39" s="28">
        <f t="shared" si="382"/>
        <v>0</v>
      </c>
      <c r="ER39" s="28">
        <f t="shared" si="382"/>
        <v>0</v>
      </c>
      <c r="ES39" s="28">
        <f t="shared" si="382"/>
        <v>0</v>
      </c>
      <c r="ET39" s="28">
        <f t="shared" si="382"/>
        <v>0</v>
      </c>
      <c r="EU39" s="28">
        <f t="shared" si="382"/>
        <v>0</v>
      </c>
      <c r="EV39" s="28">
        <f t="shared" si="382"/>
        <v>0</v>
      </c>
      <c r="EX39" s="28">
        <f t="shared" ref="EX39:GA39" si="383">SUM(EX40:EX58)</f>
        <v>1354166666.666666</v>
      </c>
      <c r="EY39" s="28">
        <f t="shared" si="383"/>
        <v>1354166666.666666</v>
      </c>
      <c r="EZ39" s="28">
        <f t="shared" si="383"/>
        <v>1354166666.666666</v>
      </c>
      <c r="FA39" s="28">
        <f t="shared" si="383"/>
        <v>1354166666.666666</v>
      </c>
      <c r="FB39" s="28">
        <f t="shared" si="383"/>
        <v>1354166666.666666</v>
      </c>
      <c r="FC39" s="28">
        <f t="shared" si="383"/>
        <v>1354166666.666666</v>
      </c>
      <c r="FD39" s="28">
        <f t="shared" si="383"/>
        <v>1354166666.666666</v>
      </c>
      <c r="FE39" s="28">
        <f t="shared" si="383"/>
        <v>1354166666.666666</v>
      </c>
      <c r="FF39" s="28">
        <f t="shared" si="383"/>
        <v>1354166666.666666</v>
      </c>
      <c r="FG39" s="28">
        <f t="shared" si="383"/>
        <v>1354166666.666666</v>
      </c>
      <c r="FH39" s="28">
        <f t="shared" si="383"/>
        <v>1354166666.666666</v>
      </c>
      <c r="FI39" s="28">
        <f t="shared" si="383"/>
        <v>1354166666.666666</v>
      </c>
      <c r="FJ39" s="28">
        <f t="shared" si="383"/>
        <v>0</v>
      </c>
      <c r="FK39" s="28">
        <f t="shared" si="383"/>
        <v>0</v>
      </c>
      <c r="FL39" s="28">
        <f t="shared" si="383"/>
        <v>0</v>
      </c>
      <c r="FM39" s="28">
        <f t="shared" si="383"/>
        <v>0</v>
      </c>
      <c r="FN39" s="28">
        <f t="shared" si="383"/>
        <v>0</v>
      </c>
      <c r="FO39" s="28">
        <f t="shared" si="383"/>
        <v>0</v>
      </c>
      <c r="FP39" s="28">
        <f t="shared" si="383"/>
        <v>0</v>
      </c>
      <c r="FQ39" s="28">
        <f t="shared" si="383"/>
        <v>0</v>
      </c>
      <c r="FR39" s="28">
        <f t="shared" si="383"/>
        <v>0</v>
      </c>
      <c r="FS39" s="28">
        <f t="shared" si="383"/>
        <v>0</v>
      </c>
      <c r="FT39" s="28">
        <f t="shared" si="383"/>
        <v>0</v>
      </c>
      <c r="FU39" s="28">
        <f t="shared" si="383"/>
        <v>0</v>
      </c>
      <c r="FV39" s="28">
        <f t="shared" si="383"/>
        <v>0</v>
      </c>
      <c r="FW39" s="28">
        <f t="shared" si="383"/>
        <v>0</v>
      </c>
      <c r="FX39" s="28">
        <f t="shared" si="383"/>
        <v>0</v>
      </c>
      <c r="FY39" s="28">
        <f t="shared" si="383"/>
        <v>0</v>
      </c>
      <c r="FZ39" s="28">
        <f t="shared" si="383"/>
        <v>0</v>
      </c>
      <c r="GA39" s="28">
        <f t="shared" si="383"/>
        <v>0</v>
      </c>
      <c r="GC39" s="28">
        <f t="shared" ref="GC39:HF39" si="384">SUM(GC40:GC58)</f>
        <v>1354166666.666666</v>
      </c>
      <c r="GD39" s="28">
        <f t="shared" si="384"/>
        <v>1354166666.666666</v>
      </c>
      <c r="GE39" s="28">
        <f t="shared" si="384"/>
        <v>1354166666.666666</v>
      </c>
      <c r="GF39" s="28">
        <f t="shared" si="384"/>
        <v>1354166666.666666</v>
      </c>
      <c r="GG39" s="28">
        <f t="shared" si="384"/>
        <v>1354166666.666666</v>
      </c>
      <c r="GH39" s="28">
        <f t="shared" si="384"/>
        <v>1354166666.666666</v>
      </c>
      <c r="GI39" s="28">
        <f t="shared" si="384"/>
        <v>1354166666.666666</v>
      </c>
      <c r="GJ39" s="28">
        <f t="shared" si="384"/>
        <v>1354166666.666666</v>
      </c>
      <c r="GK39" s="28">
        <f t="shared" si="384"/>
        <v>1354166666.666666</v>
      </c>
      <c r="GL39" s="28">
        <f t="shared" si="384"/>
        <v>1354166666.666666</v>
      </c>
      <c r="GM39" s="28">
        <f t="shared" si="384"/>
        <v>1354166666.666666</v>
      </c>
      <c r="GN39" s="28">
        <f t="shared" si="384"/>
        <v>1354166666.666666</v>
      </c>
      <c r="GO39" s="28">
        <f t="shared" si="384"/>
        <v>0</v>
      </c>
      <c r="GP39" s="28">
        <f t="shared" si="384"/>
        <v>0</v>
      </c>
      <c r="GQ39" s="28">
        <f t="shared" si="384"/>
        <v>0</v>
      </c>
      <c r="GR39" s="28">
        <f t="shared" si="384"/>
        <v>0</v>
      </c>
      <c r="GS39" s="28">
        <f t="shared" si="384"/>
        <v>0</v>
      </c>
      <c r="GT39" s="28">
        <f t="shared" si="384"/>
        <v>0</v>
      </c>
      <c r="GU39" s="28">
        <f t="shared" si="384"/>
        <v>0</v>
      </c>
      <c r="GV39" s="28">
        <f t="shared" si="384"/>
        <v>0</v>
      </c>
      <c r="GW39" s="28">
        <f t="shared" si="384"/>
        <v>0</v>
      </c>
      <c r="GX39" s="28">
        <f t="shared" si="384"/>
        <v>0</v>
      </c>
      <c r="GY39" s="28">
        <f t="shared" si="384"/>
        <v>0</v>
      </c>
      <c r="GZ39" s="28">
        <f t="shared" si="384"/>
        <v>0</v>
      </c>
      <c r="HA39" s="28">
        <f t="shared" si="384"/>
        <v>0</v>
      </c>
      <c r="HB39" s="28">
        <f t="shared" si="384"/>
        <v>0</v>
      </c>
      <c r="HC39" s="28">
        <f t="shared" si="384"/>
        <v>0</v>
      </c>
      <c r="HD39" s="28">
        <f t="shared" si="384"/>
        <v>0</v>
      </c>
      <c r="HE39" s="28">
        <f t="shared" si="384"/>
        <v>0</v>
      </c>
      <c r="HF39" s="28">
        <f t="shared" si="384"/>
        <v>0</v>
      </c>
      <c r="HH39" s="28">
        <f t="shared" ref="HH39" si="385">SUM(HH40:HH58)</f>
        <v>1354166666.666666</v>
      </c>
      <c r="HI39" s="28">
        <f t="shared" ref="HI39" si="386">SUM(HI40:HI58)</f>
        <v>1354166666.666666</v>
      </c>
      <c r="HJ39" s="28">
        <f t="shared" ref="HJ39" si="387">SUM(HJ40:HJ58)</f>
        <v>1354166666.666666</v>
      </c>
      <c r="HK39" s="28">
        <f t="shared" ref="HK39" si="388">SUM(HK40:HK58)</f>
        <v>1354166666.666666</v>
      </c>
      <c r="HL39" s="28">
        <f t="shared" ref="HL39" si="389">SUM(HL40:HL58)</f>
        <v>1354166666.666666</v>
      </c>
      <c r="HM39" s="28">
        <f t="shared" ref="HM39" si="390">SUM(HM40:HM58)</f>
        <v>1354166666.666666</v>
      </c>
      <c r="HN39" s="28">
        <f t="shared" ref="HN39" si="391">SUM(HN40:HN58)</f>
        <v>1354166666.666666</v>
      </c>
      <c r="HO39" s="28">
        <f t="shared" ref="HO39" si="392">SUM(HO40:HO58)</f>
        <v>1354166666.666666</v>
      </c>
      <c r="HP39" s="28">
        <f t="shared" ref="HP39" si="393">SUM(HP40:HP58)</f>
        <v>1354166666.666666</v>
      </c>
      <c r="HQ39" s="28">
        <f t="shared" ref="HQ39" si="394">SUM(HQ40:HQ58)</f>
        <v>1354166666.666666</v>
      </c>
      <c r="HR39" s="28">
        <f t="shared" ref="HR39" si="395">SUM(HR40:HR58)</f>
        <v>1354166666.666666</v>
      </c>
      <c r="HS39" s="28">
        <f t="shared" ref="HS39" si="396">SUM(HS40:HS58)</f>
        <v>1354166666.666666</v>
      </c>
      <c r="HT39" s="28">
        <f t="shared" ref="HT39" si="397">SUM(HT40:HT58)</f>
        <v>0</v>
      </c>
      <c r="HU39" s="28">
        <f t="shared" ref="HU39" si="398">SUM(HU40:HU58)</f>
        <v>0</v>
      </c>
      <c r="HV39" s="28">
        <f t="shared" ref="HV39" si="399">SUM(HV40:HV58)</f>
        <v>0</v>
      </c>
      <c r="HW39" s="28">
        <f t="shared" ref="HW39" si="400">SUM(HW40:HW58)</f>
        <v>0</v>
      </c>
      <c r="HX39" s="28">
        <f t="shared" ref="HX39" si="401">SUM(HX40:HX58)</f>
        <v>0</v>
      </c>
      <c r="HY39" s="28">
        <f t="shared" ref="HY39" si="402">SUM(HY40:HY58)</f>
        <v>0</v>
      </c>
      <c r="HZ39" s="28">
        <f t="shared" ref="HZ39" si="403">SUM(HZ40:HZ58)</f>
        <v>0</v>
      </c>
      <c r="IA39" s="28">
        <f t="shared" ref="IA39" si="404">SUM(IA40:IA58)</f>
        <v>0</v>
      </c>
      <c r="IB39" s="28">
        <f t="shared" ref="IB39" si="405">SUM(IB40:IB58)</f>
        <v>0</v>
      </c>
      <c r="IC39" s="28">
        <f t="shared" ref="IC39" si="406">SUM(IC40:IC58)</f>
        <v>0</v>
      </c>
      <c r="ID39" s="28">
        <f t="shared" ref="ID39" si="407">SUM(ID40:ID58)</f>
        <v>0</v>
      </c>
      <c r="IE39" s="28">
        <f t="shared" ref="IE39" si="408">SUM(IE40:IE58)</f>
        <v>0</v>
      </c>
      <c r="IF39" s="28">
        <f t="shared" ref="IF39" si="409">SUM(IF40:IF58)</f>
        <v>0</v>
      </c>
      <c r="IG39" s="28">
        <f t="shared" ref="IG39" si="410">SUM(IG40:IG58)</f>
        <v>0</v>
      </c>
      <c r="IH39" s="28">
        <f t="shared" ref="IH39" si="411">SUM(IH40:IH58)</f>
        <v>0</v>
      </c>
      <c r="II39" s="28">
        <f t="shared" ref="II39" si="412">SUM(II40:II58)</f>
        <v>0</v>
      </c>
      <c r="IJ39" s="28">
        <f t="shared" ref="IJ39" si="413">SUM(IJ40:IJ58)</f>
        <v>0</v>
      </c>
      <c r="IK39" s="28">
        <f t="shared" ref="IK39" si="414">SUM(IK40:IK58)</f>
        <v>0</v>
      </c>
      <c r="IM39" s="28">
        <f t="shared" ref="IM39:JP39" si="415">SUM(IM40:IM58)</f>
        <v>1354166666.666666</v>
      </c>
      <c r="IN39" s="28">
        <f t="shared" si="415"/>
        <v>1354166666.666666</v>
      </c>
      <c r="IO39" s="28">
        <f t="shared" si="415"/>
        <v>1354166666.666666</v>
      </c>
      <c r="IP39" s="28">
        <f t="shared" si="415"/>
        <v>1354166666.666666</v>
      </c>
      <c r="IQ39" s="28">
        <f t="shared" si="415"/>
        <v>1354166666.666666</v>
      </c>
      <c r="IR39" s="28">
        <f t="shared" si="415"/>
        <v>1354166666.666666</v>
      </c>
      <c r="IS39" s="28">
        <f t="shared" si="415"/>
        <v>1354166666.666666</v>
      </c>
      <c r="IT39" s="28">
        <f t="shared" si="415"/>
        <v>1354166666.666666</v>
      </c>
      <c r="IU39" s="28">
        <f t="shared" si="415"/>
        <v>1354166666.666666</v>
      </c>
      <c r="IV39" s="28">
        <f t="shared" si="415"/>
        <v>1354166666.666666</v>
      </c>
      <c r="IW39" s="28">
        <f t="shared" si="415"/>
        <v>1354166666.666666</v>
      </c>
      <c r="IX39" s="28">
        <f t="shared" si="415"/>
        <v>1354166666.666666</v>
      </c>
      <c r="IY39" s="28">
        <f t="shared" si="415"/>
        <v>0</v>
      </c>
      <c r="IZ39" s="28">
        <f t="shared" si="415"/>
        <v>0</v>
      </c>
      <c r="JA39" s="28">
        <f t="shared" si="415"/>
        <v>0</v>
      </c>
      <c r="JB39" s="28">
        <f t="shared" si="415"/>
        <v>0</v>
      </c>
      <c r="JC39" s="28">
        <f t="shared" si="415"/>
        <v>0</v>
      </c>
      <c r="JD39" s="28">
        <f t="shared" si="415"/>
        <v>0</v>
      </c>
      <c r="JE39" s="28">
        <f t="shared" si="415"/>
        <v>0</v>
      </c>
      <c r="JF39" s="28">
        <f t="shared" si="415"/>
        <v>0</v>
      </c>
      <c r="JG39" s="28">
        <f t="shared" si="415"/>
        <v>0</v>
      </c>
      <c r="JH39" s="28">
        <f t="shared" si="415"/>
        <v>0</v>
      </c>
      <c r="JI39" s="28">
        <f t="shared" si="415"/>
        <v>0</v>
      </c>
      <c r="JJ39" s="28">
        <f t="shared" si="415"/>
        <v>0</v>
      </c>
      <c r="JK39" s="28">
        <f t="shared" si="415"/>
        <v>0</v>
      </c>
      <c r="JL39" s="28">
        <f t="shared" si="415"/>
        <v>0</v>
      </c>
      <c r="JM39" s="28">
        <f t="shared" si="415"/>
        <v>0</v>
      </c>
      <c r="JN39" s="28">
        <f t="shared" si="415"/>
        <v>0</v>
      </c>
      <c r="JO39" s="28">
        <f t="shared" si="415"/>
        <v>0</v>
      </c>
      <c r="JP39" s="28">
        <f t="shared" si="415"/>
        <v>0</v>
      </c>
      <c r="JR39" s="28">
        <f t="shared" ref="JR39:KU39" si="416">SUM(JR40:JR58)</f>
        <v>1354166666.666666</v>
      </c>
      <c r="JS39" s="28">
        <f t="shared" si="416"/>
        <v>1354166666.666666</v>
      </c>
      <c r="JT39" s="28">
        <f t="shared" si="416"/>
        <v>1354166666.666666</v>
      </c>
      <c r="JU39" s="28">
        <f t="shared" si="416"/>
        <v>1354166666.666666</v>
      </c>
      <c r="JV39" s="28">
        <f t="shared" si="416"/>
        <v>1354166666.666666</v>
      </c>
      <c r="JW39" s="28">
        <f t="shared" si="416"/>
        <v>1354166666.666666</v>
      </c>
      <c r="JX39" s="28">
        <f t="shared" si="416"/>
        <v>1354166666.666666</v>
      </c>
      <c r="JY39" s="28">
        <f t="shared" si="416"/>
        <v>1354166666.666666</v>
      </c>
      <c r="JZ39" s="28">
        <f t="shared" si="416"/>
        <v>1354166666.666666</v>
      </c>
      <c r="KA39" s="28">
        <f t="shared" si="416"/>
        <v>1354166666.666666</v>
      </c>
      <c r="KB39" s="28">
        <f t="shared" si="416"/>
        <v>1354166666.666666</v>
      </c>
      <c r="KC39" s="28">
        <f t="shared" si="416"/>
        <v>1354166666.666666</v>
      </c>
      <c r="KD39" s="28">
        <f t="shared" si="416"/>
        <v>0</v>
      </c>
      <c r="KE39" s="28">
        <f t="shared" si="416"/>
        <v>0</v>
      </c>
      <c r="KF39" s="28">
        <f t="shared" si="416"/>
        <v>0</v>
      </c>
      <c r="KG39" s="28">
        <f t="shared" si="416"/>
        <v>0</v>
      </c>
      <c r="KH39" s="28">
        <f t="shared" si="416"/>
        <v>0</v>
      </c>
      <c r="KI39" s="28">
        <f t="shared" si="416"/>
        <v>0</v>
      </c>
      <c r="KJ39" s="28">
        <f t="shared" si="416"/>
        <v>0</v>
      </c>
      <c r="KK39" s="28">
        <f t="shared" si="416"/>
        <v>0</v>
      </c>
      <c r="KL39" s="28">
        <f t="shared" si="416"/>
        <v>0</v>
      </c>
      <c r="KM39" s="28">
        <f t="shared" si="416"/>
        <v>0</v>
      </c>
      <c r="KN39" s="28">
        <f t="shared" si="416"/>
        <v>0</v>
      </c>
      <c r="KO39" s="28">
        <f t="shared" si="416"/>
        <v>0</v>
      </c>
      <c r="KP39" s="28">
        <f t="shared" si="416"/>
        <v>0</v>
      </c>
      <c r="KQ39" s="28">
        <f t="shared" si="416"/>
        <v>0</v>
      </c>
      <c r="KR39" s="28">
        <f t="shared" si="416"/>
        <v>0</v>
      </c>
      <c r="KS39" s="28">
        <f t="shared" si="416"/>
        <v>0</v>
      </c>
      <c r="KT39" s="28">
        <f t="shared" si="416"/>
        <v>0</v>
      </c>
      <c r="KU39" s="28">
        <f t="shared" si="416"/>
        <v>0</v>
      </c>
      <c r="KW39" s="28">
        <f t="shared" ref="KW39:LZ39" si="417">SUM(KW40:KW58)</f>
        <v>1354166666.666666</v>
      </c>
      <c r="KX39" s="28">
        <f t="shared" si="417"/>
        <v>1354166666.666666</v>
      </c>
      <c r="KY39" s="28">
        <f t="shared" si="417"/>
        <v>1354166666.666666</v>
      </c>
      <c r="KZ39" s="28">
        <f t="shared" si="417"/>
        <v>1354166666.666666</v>
      </c>
      <c r="LA39" s="28">
        <f t="shared" si="417"/>
        <v>1354166666.666666</v>
      </c>
      <c r="LB39" s="28">
        <f t="shared" si="417"/>
        <v>1354166666.666666</v>
      </c>
      <c r="LC39" s="28">
        <f t="shared" si="417"/>
        <v>1354166666.666666</v>
      </c>
      <c r="LD39" s="28">
        <f t="shared" si="417"/>
        <v>1354166666.666666</v>
      </c>
      <c r="LE39" s="28">
        <f t="shared" si="417"/>
        <v>1354166666.666666</v>
      </c>
      <c r="LF39" s="28">
        <f t="shared" si="417"/>
        <v>1354166666.666666</v>
      </c>
      <c r="LG39" s="28">
        <f t="shared" si="417"/>
        <v>1354166666.666666</v>
      </c>
      <c r="LH39" s="28">
        <f t="shared" si="417"/>
        <v>1354166666.666666</v>
      </c>
      <c r="LI39" s="28">
        <f t="shared" si="417"/>
        <v>0</v>
      </c>
      <c r="LJ39" s="28">
        <f t="shared" si="417"/>
        <v>0</v>
      </c>
      <c r="LK39" s="28">
        <f t="shared" si="417"/>
        <v>0</v>
      </c>
      <c r="LL39" s="28">
        <f t="shared" si="417"/>
        <v>0</v>
      </c>
      <c r="LM39" s="28">
        <f t="shared" si="417"/>
        <v>0</v>
      </c>
      <c r="LN39" s="28">
        <f t="shared" si="417"/>
        <v>0</v>
      </c>
      <c r="LO39" s="28">
        <f t="shared" si="417"/>
        <v>0</v>
      </c>
      <c r="LP39" s="28">
        <f t="shared" si="417"/>
        <v>0</v>
      </c>
      <c r="LQ39" s="28">
        <f t="shared" si="417"/>
        <v>0</v>
      </c>
      <c r="LR39" s="28">
        <f t="shared" si="417"/>
        <v>0</v>
      </c>
      <c r="LS39" s="28">
        <f t="shared" si="417"/>
        <v>0</v>
      </c>
      <c r="LT39" s="28">
        <f t="shared" si="417"/>
        <v>0</v>
      </c>
      <c r="LU39" s="28">
        <f t="shared" si="417"/>
        <v>0</v>
      </c>
      <c r="LV39" s="28">
        <f t="shared" si="417"/>
        <v>0</v>
      </c>
      <c r="LW39" s="28">
        <f t="shared" si="417"/>
        <v>0</v>
      </c>
      <c r="LX39" s="28">
        <f t="shared" si="417"/>
        <v>0</v>
      </c>
      <c r="LY39" s="28">
        <f t="shared" si="417"/>
        <v>0</v>
      </c>
      <c r="LZ39" s="28">
        <f t="shared" si="417"/>
        <v>0</v>
      </c>
      <c r="MB39" s="28">
        <f t="shared" ref="MB39:NE39" si="418">SUM(MB40:MB58)</f>
        <v>1354166666.666666</v>
      </c>
      <c r="MC39" s="28">
        <f t="shared" si="418"/>
        <v>1354166666.666666</v>
      </c>
      <c r="MD39" s="28">
        <f t="shared" si="418"/>
        <v>1354166666.666666</v>
      </c>
      <c r="ME39" s="28">
        <f t="shared" si="418"/>
        <v>1354166666.666666</v>
      </c>
      <c r="MF39" s="28">
        <f t="shared" si="418"/>
        <v>1354166666.666666</v>
      </c>
      <c r="MG39" s="28">
        <f t="shared" si="418"/>
        <v>1354166666.666666</v>
      </c>
      <c r="MH39" s="28">
        <f t="shared" si="418"/>
        <v>1354166666.666666</v>
      </c>
      <c r="MI39" s="28">
        <f t="shared" si="418"/>
        <v>1354166666.666666</v>
      </c>
      <c r="MJ39" s="28">
        <f t="shared" si="418"/>
        <v>1354166666.666666</v>
      </c>
      <c r="MK39" s="28">
        <f t="shared" si="418"/>
        <v>1354166666.666666</v>
      </c>
      <c r="ML39" s="28">
        <f t="shared" si="418"/>
        <v>1354166666.666666</v>
      </c>
      <c r="MM39" s="28">
        <f t="shared" si="418"/>
        <v>1354166666.666666</v>
      </c>
      <c r="MN39" s="28">
        <f t="shared" si="418"/>
        <v>0</v>
      </c>
      <c r="MO39" s="28">
        <f t="shared" si="418"/>
        <v>0</v>
      </c>
      <c r="MP39" s="28">
        <f t="shared" si="418"/>
        <v>0</v>
      </c>
      <c r="MQ39" s="28">
        <f t="shared" si="418"/>
        <v>0</v>
      </c>
      <c r="MR39" s="28">
        <f t="shared" si="418"/>
        <v>0</v>
      </c>
      <c r="MS39" s="28">
        <f t="shared" si="418"/>
        <v>0</v>
      </c>
      <c r="MT39" s="28">
        <f t="shared" si="418"/>
        <v>0</v>
      </c>
      <c r="MU39" s="28">
        <f t="shared" si="418"/>
        <v>0</v>
      </c>
      <c r="MV39" s="28">
        <f t="shared" si="418"/>
        <v>0</v>
      </c>
      <c r="MW39" s="28">
        <f t="shared" si="418"/>
        <v>0</v>
      </c>
      <c r="MX39" s="28">
        <f t="shared" si="418"/>
        <v>0</v>
      </c>
      <c r="MY39" s="28">
        <f t="shared" si="418"/>
        <v>0</v>
      </c>
      <c r="MZ39" s="28">
        <f t="shared" si="418"/>
        <v>0</v>
      </c>
      <c r="NA39" s="28">
        <f t="shared" si="418"/>
        <v>0</v>
      </c>
      <c r="NB39" s="28">
        <f t="shared" si="418"/>
        <v>0</v>
      </c>
      <c r="NC39" s="28">
        <f t="shared" si="418"/>
        <v>0</v>
      </c>
      <c r="ND39" s="28">
        <f t="shared" si="418"/>
        <v>0</v>
      </c>
      <c r="NE39" s="28">
        <f t="shared" si="418"/>
        <v>0</v>
      </c>
    </row>
    <row r="40" spans="1:369" outlineLevel="1" x14ac:dyDescent="0.25">
      <c r="B40" t="s">
        <v>345</v>
      </c>
      <c r="C40" s="622" t="s">
        <v>243</v>
      </c>
      <c r="D40" s="610" t="s">
        <v>295</v>
      </c>
      <c r="E40" s="614">
        <v>1</v>
      </c>
      <c r="F40" s="221"/>
      <c r="G40" s="612">
        <v>12</v>
      </c>
      <c r="H40" s="614">
        <f>(5000000000/$D$6)*1.04</f>
        <v>5200000000</v>
      </c>
      <c r="I40" s="612">
        <f t="shared" ref="I40:I58" si="419">$E40*$H40</f>
        <v>5200000000</v>
      </c>
      <c r="J40" s="612">
        <f t="shared" ref="J40:J58" si="420">I40/G40</f>
        <v>433333333.33333331</v>
      </c>
      <c r="K40" s="221"/>
      <c r="L40" s="612">
        <v>12</v>
      </c>
      <c r="M40" s="612">
        <f t="shared" ref="M40:M58" si="421">$H40*(1+O$6)</f>
        <v>5200000000</v>
      </c>
      <c r="N40" s="612">
        <f t="shared" ref="N40:N58" si="422">$E40*M40</f>
        <v>5200000000</v>
      </c>
      <c r="O40" s="612">
        <f t="shared" ref="O40:O58" si="423">N40/L40</f>
        <v>433333333.33333331</v>
      </c>
      <c r="P40" s="221"/>
      <c r="Q40" s="612">
        <v>12</v>
      </c>
      <c r="R40" s="612">
        <f t="shared" ref="R40:R58" si="424">$H40*(1+T$6)</f>
        <v>5200000000</v>
      </c>
      <c r="S40" s="612">
        <f t="shared" ref="S40:S58" si="425">$E40*R40</f>
        <v>5200000000</v>
      </c>
      <c r="T40" s="612">
        <f t="shared" ref="T40:T58" si="426">S40/Q40</f>
        <v>433333333.33333331</v>
      </c>
      <c r="U40" s="221"/>
      <c r="V40" s="612">
        <v>12</v>
      </c>
      <c r="W40" s="612">
        <f t="shared" ref="W40:W58" si="427">$H40*(1+Y$6)</f>
        <v>5200000000</v>
      </c>
      <c r="X40" s="612">
        <f t="shared" ref="X40:X58" si="428">$E40*W40</f>
        <v>5200000000</v>
      </c>
      <c r="Y40" s="612">
        <f t="shared" ref="Y40:Y58" si="429">X40/V40</f>
        <v>433333333.33333331</v>
      </c>
      <c r="Z40" s="221"/>
      <c r="AA40" s="612">
        <v>12</v>
      </c>
      <c r="AB40" s="612">
        <f t="shared" ref="AB40:AB58" si="430">$H40*(1+AD$6)</f>
        <v>5200000000</v>
      </c>
      <c r="AC40" s="612">
        <f t="shared" ref="AC40:AC58" si="431">$E40*AB40</f>
        <v>5200000000</v>
      </c>
      <c r="AD40" s="612">
        <f t="shared" ref="AD40:AD58" si="432">AC40/AA40</f>
        <v>433333333.33333331</v>
      </c>
      <c r="AE40" s="221"/>
      <c r="AF40" s="612">
        <v>12</v>
      </c>
      <c r="AG40" s="612">
        <f t="shared" ref="AG40:AG58" si="433">$H40*(1+AI$6)</f>
        <v>5200000000</v>
      </c>
      <c r="AH40" s="612">
        <f t="shared" ref="AH40:AH58" si="434">$E40*AG40</f>
        <v>5200000000</v>
      </c>
      <c r="AI40" s="612">
        <f t="shared" ref="AI40:AI58" si="435">AH40/AF40</f>
        <v>433333333.33333331</v>
      </c>
      <c r="AJ40" s="221"/>
      <c r="AK40" s="612">
        <v>12</v>
      </c>
      <c r="AL40" s="612">
        <f t="shared" ref="AL40:AL58" si="436">$H40*(1+AN$6)</f>
        <v>5200000000</v>
      </c>
      <c r="AM40" s="612">
        <f t="shared" ref="AM40:AM58" si="437">$E40*AL40</f>
        <v>5200000000</v>
      </c>
      <c r="AN40" s="612">
        <f t="shared" ref="AN40:AN58" si="438">AM40/AK40</f>
        <v>433333333.33333331</v>
      </c>
      <c r="AO40" s="221"/>
      <c r="AP40" s="612">
        <v>12</v>
      </c>
      <c r="AQ40" s="612">
        <f t="shared" ref="AQ40:AQ58" si="439">$H40*(1+AS$6)</f>
        <v>5200000000</v>
      </c>
      <c r="AR40" s="612">
        <f t="shared" ref="AR40:AR58" si="440">$E40*AQ40</f>
        <v>5200000000</v>
      </c>
      <c r="AS40" s="612">
        <f t="shared" ref="AS40:AS58" si="441">AR40/AP40</f>
        <v>433333333.33333331</v>
      </c>
      <c r="AT40" s="221"/>
      <c r="AU40" s="612">
        <v>12</v>
      </c>
      <c r="AV40" s="612">
        <f t="shared" ref="AV40:AV58" si="442">$H40*(1+AX$6)</f>
        <v>5200000000</v>
      </c>
      <c r="AW40" s="612">
        <f t="shared" ref="AW40:AW58" si="443">$E40*AV40</f>
        <v>5200000000</v>
      </c>
      <c r="AX40" s="612">
        <f t="shared" ref="AX40:AX58" si="444">AW40/AU40</f>
        <v>433333333.33333331</v>
      </c>
      <c r="AY40" s="221"/>
      <c r="AZ40" s="612">
        <v>12</v>
      </c>
      <c r="BA40" s="612">
        <f t="shared" ref="BA40:BA58" si="445">$H40*(1+BC$6)</f>
        <v>5200000000</v>
      </c>
      <c r="BB40" s="612">
        <f t="shared" ref="BB40:BB58" si="446">$E40*BA40</f>
        <v>5200000000</v>
      </c>
      <c r="BC40" s="612">
        <f t="shared" ref="BC40:BC58" si="447">BB40/AZ40</f>
        <v>433333333.33333331</v>
      </c>
      <c r="BD40" s="221"/>
      <c r="BG40" t="s">
        <v>337</v>
      </c>
      <c r="BI40" s="15">
        <f t="shared" ref="BI40:BX55" si="448">IF($G40&gt;=BI$8,$J40,0)</f>
        <v>433333333.33333331</v>
      </c>
      <c r="BJ40" s="15">
        <f t="shared" si="448"/>
        <v>433333333.33333331</v>
      </c>
      <c r="BK40" s="15">
        <f t="shared" si="448"/>
        <v>433333333.33333331</v>
      </c>
      <c r="BL40" s="15">
        <f t="shared" si="448"/>
        <v>433333333.33333331</v>
      </c>
      <c r="BM40" s="15">
        <f t="shared" si="448"/>
        <v>433333333.33333331</v>
      </c>
      <c r="BN40" s="15">
        <f t="shared" si="448"/>
        <v>433333333.33333331</v>
      </c>
      <c r="BO40" s="15">
        <f t="shared" si="448"/>
        <v>433333333.33333331</v>
      </c>
      <c r="BP40" s="15">
        <f t="shared" si="448"/>
        <v>433333333.33333331</v>
      </c>
      <c r="BQ40" s="15">
        <f t="shared" si="448"/>
        <v>433333333.33333331</v>
      </c>
      <c r="BR40" s="15">
        <f t="shared" si="448"/>
        <v>433333333.33333331</v>
      </c>
      <c r="BS40" s="15">
        <f t="shared" si="448"/>
        <v>433333333.33333331</v>
      </c>
      <c r="BT40" s="15">
        <f t="shared" si="448"/>
        <v>433333333.33333331</v>
      </c>
      <c r="BU40" s="15">
        <f t="shared" si="448"/>
        <v>0</v>
      </c>
      <c r="BV40" s="15">
        <f t="shared" si="448"/>
        <v>0</v>
      </c>
      <c r="BW40" s="15">
        <f t="shared" si="448"/>
        <v>0</v>
      </c>
      <c r="BX40" s="15">
        <f t="shared" si="448"/>
        <v>0</v>
      </c>
      <c r="BY40" s="15">
        <f t="shared" ref="BY40:CL54" si="449">IF($G40&gt;=BY$8,$J40,0)</f>
        <v>0</v>
      </c>
      <c r="BZ40" s="15">
        <f t="shared" si="449"/>
        <v>0</v>
      </c>
      <c r="CA40" s="15">
        <f t="shared" si="449"/>
        <v>0</v>
      </c>
      <c r="CB40" s="15">
        <f t="shared" si="449"/>
        <v>0</v>
      </c>
      <c r="CC40" s="15">
        <f t="shared" si="449"/>
        <v>0</v>
      </c>
      <c r="CD40" s="15">
        <f t="shared" si="449"/>
        <v>0</v>
      </c>
      <c r="CE40" s="15">
        <f t="shared" si="449"/>
        <v>0</v>
      </c>
      <c r="CF40" s="15">
        <f t="shared" si="449"/>
        <v>0</v>
      </c>
      <c r="CG40" s="15">
        <f t="shared" si="449"/>
        <v>0</v>
      </c>
      <c r="CH40" s="15">
        <f t="shared" si="449"/>
        <v>0</v>
      </c>
      <c r="CI40" s="15">
        <f t="shared" si="449"/>
        <v>0</v>
      </c>
      <c r="CJ40" s="15">
        <f t="shared" si="449"/>
        <v>0</v>
      </c>
      <c r="CK40" s="15">
        <f t="shared" si="449"/>
        <v>0</v>
      </c>
      <c r="CL40" s="15">
        <f t="shared" si="449"/>
        <v>0</v>
      </c>
      <c r="CN40" s="15">
        <f t="shared" ref="CN40:DC55" si="450">IF($L40&gt;=CN$8,$O40,0)</f>
        <v>433333333.33333331</v>
      </c>
      <c r="CO40" s="15">
        <f t="shared" si="450"/>
        <v>433333333.33333331</v>
      </c>
      <c r="CP40" s="15">
        <f t="shared" si="450"/>
        <v>433333333.33333331</v>
      </c>
      <c r="CQ40" s="15">
        <f t="shared" si="450"/>
        <v>433333333.33333331</v>
      </c>
      <c r="CR40" s="15">
        <f t="shared" si="450"/>
        <v>433333333.33333331</v>
      </c>
      <c r="CS40" s="15">
        <f t="shared" si="450"/>
        <v>433333333.33333331</v>
      </c>
      <c r="CT40" s="15">
        <f t="shared" si="450"/>
        <v>433333333.33333331</v>
      </c>
      <c r="CU40" s="15">
        <f t="shared" si="450"/>
        <v>433333333.33333331</v>
      </c>
      <c r="CV40" s="15">
        <f t="shared" si="450"/>
        <v>433333333.33333331</v>
      </c>
      <c r="CW40" s="15">
        <f t="shared" si="450"/>
        <v>433333333.33333331</v>
      </c>
      <c r="CX40" s="15">
        <f t="shared" si="450"/>
        <v>433333333.33333331</v>
      </c>
      <c r="CY40" s="15">
        <f t="shared" si="450"/>
        <v>433333333.33333331</v>
      </c>
      <c r="CZ40" s="15">
        <f t="shared" si="450"/>
        <v>0</v>
      </c>
      <c r="DA40" s="15">
        <f t="shared" si="450"/>
        <v>0</v>
      </c>
      <c r="DB40" s="15">
        <f t="shared" si="450"/>
        <v>0</v>
      </c>
      <c r="DC40" s="15">
        <f t="shared" si="450"/>
        <v>0</v>
      </c>
      <c r="DD40" s="15">
        <f t="shared" ref="DD40:DQ54" si="451">IF($L40&gt;=DD$8,$O40,0)</f>
        <v>0</v>
      </c>
      <c r="DE40" s="15">
        <f t="shared" si="451"/>
        <v>0</v>
      </c>
      <c r="DF40" s="15">
        <f t="shared" si="451"/>
        <v>0</v>
      </c>
      <c r="DG40" s="15">
        <f t="shared" si="451"/>
        <v>0</v>
      </c>
      <c r="DH40" s="15">
        <f t="shared" si="451"/>
        <v>0</v>
      </c>
      <c r="DI40" s="15">
        <f t="shared" si="451"/>
        <v>0</v>
      </c>
      <c r="DJ40" s="15">
        <f t="shared" si="451"/>
        <v>0</v>
      </c>
      <c r="DK40" s="15">
        <f t="shared" si="451"/>
        <v>0</v>
      </c>
      <c r="DL40" s="15">
        <f t="shared" si="451"/>
        <v>0</v>
      </c>
      <c r="DM40" s="15">
        <f t="shared" si="451"/>
        <v>0</v>
      </c>
      <c r="DN40" s="15">
        <f t="shared" si="451"/>
        <v>0</v>
      </c>
      <c r="DO40" s="15">
        <f t="shared" si="451"/>
        <v>0</v>
      </c>
      <c r="DP40" s="15">
        <f t="shared" si="451"/>
        <v>0</v>
      </c>
      <c r="DQ40" s="15">
        <f t="shared" si="451"/>
        <v>0</v>
      </c>
      <c r="DS40" s="15">
        <f t="shared" ref="DS40:EH55" si="452">IF($Q40&gt;=DS$8,$T40,0)</f>
        <v>433333333.33333331</v>
      </c>
      <c r="DT40" s="15">
        <f t="shared" si="452"/>
        <v>433333333.33333331</v>
      </c>
      <c r="DU40" s="15">
        <f t="shared" si="452"/>
        <v>433333333.33333331</v>
      </c>
      <c r="DV40" s="15">
        <f t="shared" si="452"/>
        <v>433333333.33333331</v>
      </c>
      <c r="DW40" s="15">
        <f t="shared" si="452"/>
        <v>433333333.33333331</v>
      </c>
      <c r="DX40" s="15">
        <f t="shared" si="452"/>
        <v>433333333.33333331</v>
      </c>
      <c r="DY40" s="15">
        <f t="shared" si="452"/>
        <v>433333333.33333331</v>
      </c>
      <c r="DZ40" s="15">
        <f t="shared" si="452"/>
        <v>433333333.33333331</v>
      </c>
      <c r="EA40" s="15">
        <f t="shared" si="452"/>
        <v>433333333.33333331</v>
      </c>
      <c r="EB40" s="15">
        <f t="shared" si="452"/>
        <v>433333333.33333331</v>
      </c>
      <c r="EC40" s="15">
        <f t="shared" si="452"/>
        <v>433333333.33333331</v>
      </c>
      <c r="ED40" s="15">
        <f t="shared" si="452"/>
        <v>433333333.33333331</v>
      </c>
      <c r="EE40" s="15">
        <f t="shared" si="452"/>
        <v>0</v>
      </c>
      <c r="EF40" s="15">
        <f t="shared" si="452"/>
        <v>0</v>
      </c>
      <c r="EG40" s="15">
        <f t="shared" si="452"/>
        <v>0</v>
      </c>
      <c r="EH40" s="15">
        <f t="shared" si="452"/>
        <v>0</v>
      </c>
      <c r="EI40" s="15">
        <f t="shared" ref="EI40:EV58" si="453">IF($Q40&gt;=EI$8,$T40,0)</f>
        <v>0</v>
      </c>
      <c r="EJ40" s="15">
        <f t="shared" si="453"/>
        <v>0</v>
      </c>
      <c r="EK40" s="15">
        <f t="shared" si="453"/>
        <v>0</v>
      </c>
      <c r="EL40" s="15">
        <f t="shared" si="453"/>
        <v>0</v>
      </c>
      <c r="EM40" s="15">
        <f t="shared" si="453"/>
        <v>0</v>
      </c>
      <c r="EN40" s="15">
        <f t="shared" si="453"/>
        <v>0</v>
      </c>
      <c r="EO40" s="15">
        <f t="shared" si="453"/>
        <v>0</v>
      </c>
      <c r="EP40" s="15">
        <f t="shared" si="453"/>
        <v>0</v>
      </c>
      <c r="EQ40" s="15">
        <f t="shared" si="453"/>
        <v>0</v>
      </c>
      <c r="ER40" s="15">
        <f t="shared" si="453"/>
        <v>0</v>
      </c>
      <c r="ES40" s="15">
        <f t="shared" si="453"/>
        <v>0</v>
      </c>
      <c r="ET40" s="15">
        <f t="shared" si="453"/>
        <v>0</v>
      </c>
      <c r="EU40" s="15">
        <f t="shared" si="453"/>
        <v>0</v>
      </c>
      <c r="EV40" s="15">
        <f t="shared" si="453"/>
        <v>0</v>
      </c>
      <c r="EX40" s="15">
        <f t="shared" ref="EX40:FM55" si="454">IF($V40&gt;=EX$8,$Y40,0)</f>
        <v>433333333.33333331</v>
      </c>
      <c r="EY40" s="15">
        <f t="shared" si="454"/>
        <v>433333333.33333331</v>
      </c>
      <c r="EZ40" s="15">
        <f t="shared" si="454"/>
        <v>433333333.33333331</v>
      </c>
      <c r="FA40" s="15">
        <f t="shared" si="454"/>
        <v>433333333.33333331</v>
      </c>
      <c r="FB40" s="15">
        <f t="shared" si="454"/>
        <v>433333333.33333331</v>
      </c>
      <c r="FC40" s="15">
        <f t="shared" si="454"/>
        <v>433333333.33333331</v>
      </c>
      <c r="FD40" s="15">
        <f t="shared" si="454"/>
        <v>433333333.33333331</v>
      </c>
      <c r="FE40" s="15">
        <f t="shared" si="454"/>
        <v>433333333.33333331</v>
      </c>
      <c r="FF40" s="15">
        <f t="shared" si="454"/>
        <v>433333333.33333331</v>
      </c>
      <c r="FG40" s="15">
        <f t="shared" si="454"/>
        <v>433333333.33333331</v>
      </c>
      <c r="FH40" s="15">
        <f t="shared" si="454"/>
        <v>433333333.33333331</v>
      </c>
      <c r="FI40" s="15">
        <f t="shared" si="454"/>
        <v>433333333.33333331</v>
      </c>
      <c r="FJ40" s="15">
        <f t="shared" si="454"/>
        <v>0</v>
      </c>
      <c r="FK40" s="15">
        <f t="shared" si="454"/>
        <v>0</v>
      </c>
      <c r="FL40" s="15">
        <f t="shared" si="454"/>
        <v>0</v>
      </c>
      <c r="FM40" s="15">
        <f t="shared" si="454"/>
        <v>0</v>
      </c>
      <c r="FN40" s="15">
        <f t="shared" ref="FN40:GA54" si="455">IF($V40&gt;=FN$8,$Y40,0)</f>
        <v>0</v>
      </c>
      <c r="FO40" s="15">
        <f t="shared" si="455"/>
        <v>0</v>
      </c>
      <c r="FP40" s="15">
        <f t="shared" si="455"/>
        <v>0</v>
      </c>
      <c r="FQ40" s="15">
        <f t="shared" si="455"/>
        <v>0</v>
      </c>
      <c r="FR40" s="15">
        <f t="shared" si="455"/>
        <v>0</v>
      </c>
      <c r="FS40" s="15">
        <f t="shared" si="455"/>
        <v>0</v>
      </c>
      <c r="FT40" s="15">
        <f t="shared" si="455"/>
        <v>0</v>
      </c>
      <c r="FU40" s="15">
        <f t="shared" si="455"/>
        <v>0</v>
      </c>
      <c r="FV40" s="15">
        <f t="shared" si="455"/>
        <v>0</v>
      </c>
      <c r="FW40" s="15">
        <f t="shared" si="455"/>
        <v>0</v>
      </c>
      <c r="FX40" s="15">
        <f t="shared" si="455"/>
        <v>0</v>
      </c>
      <c r="FY40" s="15">
        <f t="shared" si="455"/>
        <v>0</v>
      </c>
      <c r="FZ40" s="15">
        <f t="shared" si="455"/>
        <v>0</v>
      </c>
      <c r="GA40" s="15">
        <f t="shared" si="455"/>
        <v>0</v>
      </c>
      <c r="GC40" s="15">
        <f t="shared" ref="GC40:GR55" si="456">IF($AA40&gt;=GC$8,$AD40,0)</f>
        <v>433333333.33333331</v>
      </c>
      <c r="GD40" s="15">
        <f t="shared" si="456"/>
        <v>433333333.33333331</v>
      </c>
      <c r="GE40" s="15">
        <f t="shared" si="456"/>
        <v>433333333.33333331</v>
      </c>
      <c r="GF40" s="15">
        <f t="shared" si="456"/>
        <v>433333333.33333331</v>
      </c>
      <c r="GG40" s="15">
        <f t="shared" si="456"/>
        <v>433333333.33333331</v>
      </c>
      <c r="GH40" s="15">
        <f t="shared" si="456"/>
        <v>433333333.33333331</v>
      </c>
      <c r="GI40" s="15">
        <f t="shared" si="456"/>
        <v>433333333.33333331</v>
      </c>
      <c r="GJ40" s="15">
        <f t="shared" si="456"/>
        <v>433333333.33333331</v>
      </c>
      <c r="GK40" s="15">
        <f t="shared" si="456"/>
        <v>433333333.33333331</v>
      </c>
      <c r="GL40" s="15">
        <f t="shared" si="456"/>
        <v>433333333.33333331</v>
      </c>
      <c r="GM40" s="15">
        <f t="shared" si="456"/>
        <v>433333333.33333331</v>
      </c>
      <c r="GN40" s="15">
        <f t="shared" si="456"/>
        <v>433333333.33333331</v>
      </c>
      <c r="GO40" s="15">
        <f t="shared" si="456"/>
        <v>0</v>
      </c>
      <c r="GP40" s="15">
        <f t="shared" si="456"/>
        <v>0</v>
      </c>
      <c r="GQ40" s="15">
        <f t="shared" si="456"/>
        <v>0</v>
      </c>
      <c r="GR40" s="15">
        <f t="shared" si="456"/>
        <v>0</v>
      </c>
      <c r="GS40" s="15">
        <f t="shared" ref="GS40:HF54" si="457">IF($AA40&gt;=GS$8,$AD40,0)</f>
        <v>0</v>
      </c>
      <c r="GT40" s="15">
        <f t="shared" si="457"/>
        <v>0</v>
      </c>
      <c r="GU40" s="15">
        <f t="shared" si="457"/>
        <v>0</v>
      </c>
      <c r="GV40" s="15">
        <f t="shared" si="457"/>
        <v>0</v>
      </c>
      <c r="GW40" s="15">
        <f t="shared" si="457"/>
        <v>0</v>
      </c>
      <c r="GX40" s="15">
        <f t="shared" si="457"/>
        <v>0</v>
      </c>
      <c r="GY40" s="15">
        <f t="shared" si="457"/>
        <v>0</v>
      </c>
      <c r="GZ40" s="15">
        <f t="shared" si="457"/>
        <v>0</v>
      </c>
      <c r="HA40" s="15">
        <f t="shared" si="457"/>
        <v>0</v>
      </c>
      <c r="HB40" s="15">
        <f t="shared" si="457"/>
        <v>0</v>
      </c>
      <c r="HC40" s="15">
        <f t="shared" si="457"/>
        <v>0</v>
      </c>
      <c r="HD40" s="15">
        <f t="shared" si="457"/>
        <v>0</v>
      </c>
      <c r="HE40" s="15">
        <f t="shared" si="457"/>
        <v>0</v>
      </c>
      <c r="HF40" s="15">
        <f t="shared" si="457"/>
        <v>0</v>
      </c>
      <c r="HH40" s="15">
        <f t="shared" ref="HH40:HW55" si="458">IF($AF40&gt;=HH$8,$AI40,0)</f>
        <v>433333333.33333331</v>
      </c>
      <c r="HI40" s="15">
        <f t="shared" si="458"/>
        <v>433333333.33333331</v>
      </c>
      <c r="HJ40" s="15">
        <f t="shared" si="458"/>
        <v>433333333.33333331</v>
      </c>
      <c r="HK40" s="15">
        <f t="shared" si="458"/>
        <v>433333333.33333331</v>
      </c>
      <c r="HL40" s="15">
        <f t="shared" si="458"/>
        <v>433333333.33333331</v>
      </c>
      <c r="HM40" s="15">
        <f t="shared" si="458"/>
        <v>433333333.33333331</v>
      </c>
      <c r="HN40" s="15">
        <f t="shared" si="458"/>
        <v>433333333.33333331</v>
      </c>
      <c r="HO40" s="15">
        <f t="shared" si="458"/>
        <v>433333333.33333331</v>
      </c>
      <c r="HP40" s="15">
        <f t="shared" si="458"/>
        <v>433333333.33333331</v>
      </c>
      <c r="HQ40" s="15">
        <f t="shared" si="458"/>
        <v>433333333.33333331</v>
      </c>
      <c r="HR40" s="15">
        <f t="shared" si="458"/>
        <v>433333333.33333331</v>
      </c>
      <c r="HS40" s="15">
        <f t="shared" si="458"/>
        <v>433333333.33333331</v>
      </c>
      <c r="HT40" s="15">
        <f t="shared" si="458"/>
        <v>0</v>
      </c>
      <c r="HU40" s="15">
        <f t="shared" si="458"/>
        <v>0</v>
      </c>
      <c r="HV40" s="15">
        <f t="shared" si="458"/>
        <v>0</v>
      </c>
      <c r="HW40" s="15">
        <f t="shared" si="458"/>
        <v>0</v>
      </c>
      <c r="HX40" s="15">
        <f t="shared" ref="HX40:IK54" si="459">IF($AF40&gt;=HX$8,$AI40,0)</f>
        <v>0</v>
      </c>
      <c r="HY40" s="15">
        <f t="shared" si="459"/>
        <v>0</v>
      </c>
      <c r="HZ40" s="15">
        <f t="shared" si="459"/>
        <v>0</v>
      </c>
      <c r="IA40" s="15">
        <f t="shared" si="459"/>
        <v>0</v>
      </c>
      <c r="IB40" s="15">
        <f t="shared" si="459"/>
        <v>0</v>
      </c>
      <c r="IC40" s="15">
        <f t="shared" si="459"/>
        <v>0</v>
      </c>
      <c r="ID40" s="15">
        <f t="shared" si="459"/>
        <v>0</v>
      </c>
      <c r="IE40" s="15">
        <f t="shared" si="459"/>
        <v>0</v>
      </c>
      <c r="IF40" s="15">
        <f t="shared" si="459"/>
        <v>0</v>
      </c>
      <c r="IG40" s="15">
        <f t="shared" si="459"/>
        <v>0</v>
      </c>
      <c r="IH40" s="15">
        <f t="shared" si="459"/>
        <v>0</v>
      </c>
      <c r="II40" s="15">
        <f t="shared" si="459"/>
        <v>0</v>
      </c>
      <c r="IJ40" s="15">
        <f t="shared" si="459"/>
        <v>0</v>
      </c>
      <c r="IK40" s="15">
        <f t="shared" si="459"/>
        <v>0</v>
      </c>
      <c r="IM40" s="15">
        <f t="shared" ref="IM40:JB55" si="460">IF($AK40&gt;=IM$8,$AN40,0)</f>
        <v>433333333.33333331</v>
      </c>
      <c r="IN40" s="15">
        <f t="shared" si="460"/>
        <v>433333333.33333331</v>
      </c>
      <c r="IO40" s="15">
        <f t="shared" si="460"/>
        <v>433333333.33333331</v>
      </c>
      <c r="IP40" s="15">
        <f t="shared" si="460"/>
        <v>433333333.33333331</v>
      </c>
      <c r="IQ40" s="15">
        <f t="shared" si="460"/>
        <v>433333333.33333331</v>
      </c>
      <c r="IR40" s="15">
        <f t="shared" si="460"/>
        <v>433333333.33333331</v>
      </c>
      <c r="IS40" s="15">
        <f t="shared" si="460"/>
        <v>433333333.33333331</v>
      </c>
      <c r="IT40" s="15">
        <f t="shared" si="460"/>
        <v>433333333.33333331</v>
      </c>
      <c r="IU40" s="15">
        <f t="shared" si="460"/>
        <v>433333333.33333331</v>
      </c>
      <c r="IV40" s="15">
        <f t="shared" si="460"/>
        <v>433333333.33333331</v>
      </c>
      <c r="IW40" s="15">
        <f t="shared" si="460"/>
        <v>433333333.33333331</v>
      </c>
      <c r="IX40" s="15">
        <f t="shared" si="460"/>
        <v>433333333.33333331</v>
      </c>
      <c r="IY40" s="15">
        <f t="shared" si="460"/>
        <v>0</v>
      </c>
      <c r="IZ40" s="15">
        <f t="shared" si="460"/>
        <v>0</v>
      </c>
      <c r="JA40" s="15">
        <f t="shared" si="460"/>
        <v>0</v>
      </c>
      <c r="JB40" s="15">
        <f t="shared" si="460"/>
        <v>0</v>
      </c>
      <c r="JC40" s="15">
        <f t="shared" ref="JC40:JP58" si="461">IF($AK40&gt;=JC$8,$AN40,0)</f>
        <v>0</v>
      </c>
      <c r="JD40" s="15">
        <f t="shared" si="461"/>
        <v>0</v>
      </c>
      <c r="JE40" s="15">
        <f t="shared" si="461"/>
        <v>0</v>
      </c>
      <c r="JF40" s="15">
        <f t="shared" si="461"/>
        <v>0</v>
      </c>
      <c r="JG40" s="15">
        <f t="shared" si="461"/>
        <v>0</v>
      </c>
      <c r="JH40" s="15">
        <f t="shared" si="461"/>
        <v>0</v>
      </c>
      <c r="JI40" s="15">
        <f t="shared" si="461"/>
        <v>0</v>
      </c>
      <c r="JJ40" s="15">
        <f t="shared" si="461"/>
        <v>0</v>
      </c>
      <c r="JK40" s="15">
        <f t="shared" si="461"/>
        <v>0</v>
      </c>
      <c r="JL40" s="15">
        <f t="shared" si="461"/>
        <v>0</v>
      </c>
      <c r="JM40" s="15">
        <f t="shared" si="461"/>
        <v>0</v>
      </c>
      <c r="JN40" s="15">
        <f t="shared" si="461"/>
        <v>0</v>
      </c>
      <c r="JO40" s="15">
        <f t="shared" si="461"/>
        <v>0</v>
      </c>
      <c r="JP40" s="15">
        <f t="shared" si="461"/>
        <v>0</v>
      </c>
      <c r="JR40" s="15">
        <f t="shared" ref="JR40:KG55" si="462">IF($AP40&gt;=JR$8,$AS40,0)</f>
        <v>433333333.33333331</v>
      </c>
      <c r="JS40" s="15">
        <f t="shared" si="462"/>
        <v>433333333.33333331</v>
      </c>
      <c r="JT40" s="15">
        <f t="shared" si="462"/>
        <v>433333333.33333331</v>
      </c>
      <c r="JU40" s="15">
        <f t="shared" si="462"/>
        <v>433333333.33333331</v>
      </c>
      <c r="JV40" s="15">
        <f t="shared" si="462"/>
        <v>433333333.33333331</v>
      </c>
      <c r="JW40" s="15">
        <f t="shared" si="462"/>
        <v>433333333.33333331</v>
      </c>
      <c r="JX40" s="15">
        <f t="shared" si="462"/>
        <v>433333333.33333331</v>
      </c>
      <c r="JY40" s="15">
        <f t="shared" si="462"/>
        <v>433333333.33333331</v>
      </c>
      <c r="JZ40" s="15">
        <f t="shared" si="462"/>
        <v>433333333.33333331</v>
      </c>
      <c r="KA40" s="15">
        <f t="shared" si="462"/>
        <v>433333333.33333331</v>
      </c>
      <c r="KB40" s="15">
        <f t="shared" si="462"/>
        <v>433333333.33333331</v>
      </c>
      <c r="KC40" s="15">
        <f t="shared" si="462"/>
        <v>433333333.33333331</v>
      </c>
      <c r="KD40" s="15">
        <f t="shared" si="462"/>
        <v>0</v>
      </c>
      <c r="KE40" s="15">
        <f t="shared" si="462"/>
        <v>0</v>
      </c>
      <c r="KF40" s="15">
        <f t="shared" si="462"/>
        <v>0</v>
      </c>
      <c r="KG40" s="15">
        <f t="shared" si="462"/>
        <v>0</v>
      </c>
      <c r="KH40" s="15">
        <f t="shared" ref="KH40:KU54" si="463">IF($AP40&gt;=KH$8,$AS40,0)</f>
        <v>0</v>
      </c>
      <c r="KI40" s="15">
        <f t="shared" si="463"/>
        <v>0</v>
      </c>
      <c r="KJ40" s="15">
        <f t="shared" si="463"/>
        <v>0</v>
      </c>
      <c r="KK40" s="15">
        <f t="shared" si="463"/>
        <v>0</v>
      </c>
      <c r="KL40" s="15">
        <f t="shared" si="463"/>
        <v>0</v>
      </c>
      <c r="KM40" s="15">
        <f t="shared" si="463"/>
        <v>0</v>
      </c>
      <c r="KN40" s="15">
        <f t="shared" si="463"/>
        <v>0</v>
      </c>
      <c r="KO40" s="15">
        <f t="shared" si="463"/>
        <v>0</v>
      </c>
      <c r="KP40" s="15">
        <f t="shared" si="463"/>
        <v>0</v>
      </c>
      <c r="KQ40" s="15">
        <f t="shared" si="463"/>
        <v>0</v>
      </c>
      <c r="KR40" s="15">
        <f t="shared" si="463"/>
        <v>0</v>
      </c>
      <c r="KS40" s="15">
        <f t="shared" si="463"/>
        <v>0</v>
      </c>
      <c r="KT40" s="15">
        <f t="shared" si="463"/>
        <v>0</v>
      </c>
      <c r="KU40" s="15">
        <f t="shared" si="463"/>
        <v>0</v>
      </c>
      <c r="KW40" s="15">
        <f t="shared" ref="KW40:LL55" si="464">IF($AU40&gt;=KW$8,$AX40,0)</f>
        <v>433333333.33333331</v>
      </c>
      <c r="KX40" s="15">
        <f t="shared" si="464"/>
        <v>433333333.33333331</v>
      </c>
      <c r="KY40" s="15">
        <f t="shared" si="464"/>
        <v>433333333.33333331</v>
      </c>
      <c r="KZ40" s="15">
        <f t="shared" si="464"/>
        <v>433333333.33333331</v>
      </c>
      <c r="LA40" s="15">
        <f t="shared" si="464"/>
        <v>433333333.33333331</v>
      </c>
      <c r="LB40" s="15">
        <f t="shared" si="464"/>
        <v>433333333.33333331</v>
      </c>
      <c r="LC40" s="15">
        <f t="shared" si="464"/>
        <v>433333333.33333331</v>
      </c>
      <c r="LD40" s="15">
        <f t="shared" si="464"/>
        <v>433333333.33333331</v>
      </c>
      <c r="LE40" s="15">
        <f t="shared" si="464"/>
        <v>433333333.33333331</v>
      </c>
      <c r="LF40" s="15">
        <f t="shared" si="464"/>
        <v>433333333.33333331</v>
      </c>
      <c r="LG40" s="15">
        <f t="shared" si="464"/>
        <v>433333333.33333331</v>
      </c>
      <c r="LH40" s="15">
        <f t="shared" si="464"/>
        <v>433333333.33333331</v>
      </c>
      <c r="LI40" s="15">
        <f t="shared" si="464"/>
        <v>0</v>
      </c>
      <c r="LJ40" s="15">
        <f t="shared" si="464"/>
        <v>0</v>
      </c>
      <c r="LK40" s="15">
        <f t="shared" si="464"/>
        <v>0</v>
      </c>
      <c r="LL40" s="15">
        <f t="shared" si="464"/>
        <v>0</v>
      </c>
      <c r="LM40" s="15">
        <f t="shared" ref="LM40:LZ58" si="465">IF($AU40&gt;=LM$8,$AX40,0)</f>
        <v>0</v>
      </c>
      <c r="LN40" s="15">
        <f t="shared" si="465"/>
        <v>0</v>
      </c>
      <c r="LO40" s="15">
        <f t="shared" si="465"/>
        <v>0</v>
      </c>
      <c r="LP40" s="15">
        <f t="shared" si="465"/>
        <v>0</v>
      </c>
      <c r="LQ40" s="15">
        <f t="shared" si="465"/>
        <v>0</v>
      </c>
      <c r="LR40" s="15">
        <f t="shared" si="465"/>
        <v>0</v>
      </c>
      <c r="LS40" s="15">
        <f t="shared" si="465"/>
        <v>0</v>
      </c>
      <c r="LT40" s="15">
        <f t="shared" si="465"/>
        <v>0</v>
      </c>
      <c r="LU40" s="15">
        <f t="shared" si="465"/>
        <v>0</v>
      </c>
      <c r="LV40" s="15">
        <f t="shared" si="465"/>
        <v>0</v>
      </c>
      <c r="LW40" s="15">
        <f t="shared" si="465"/>
        <v>0</v>
      </c>
      <c r="LX40" s="15">
        <f t="shared" si="465"/>
        <v>0</v>
      </c>
      <c r="LY40" s="15">
        <f t="shared" si="465"/>
        <v>0</v>
      </c>
      <c r="LZ40" s="15">
        <f t="shared" si="465"/>
        <v>0</v>
      </c>
      <c r="MB40" s="15">
        <f t="shared" ref="MB40:MQ55" si="466">IF($AZ40&gt;=MB$8,$BC40,0)</f>
        <v>433333333.33333331</v>
      </c>
      <c r="MC40" s="15">
        <f t="shared" si="466"/>
        <v>433333333.33333331</v>
      </c>
      <c r="MD40" s="15">
        <f t="shared" si="466"/>
        <v>433333333.33333331</v>
      </c>
      <c r="ME40" s="15">
        <f t="shared" si="466"/>
        <v>433333333.33333331</v>
      </c>
      <c r="MF40" s="15">
        <f t="shared" si="466"/>
        <v>433333333.33333331</v>
      </c>
      <c r="MG40" s="15">
        <f t="shared" si="466"/>
        <v>433333333.33333331</v>
      </c>
      <c r="MH40" s="15">
        <f t="shared" si="466"/>
        <v>433333333.33333331</v>
      </c>
      <c r="MI40" s="15">
        <f t="shared" si="466"/>
        <v>433333333.33333331</v>
      </c>
      <c r="MJ40" s="15">
        <f t="shared" si="466"/>
        <v>433333333.33333331</v>
      </c>
      <c r="MK40" s="15">
        <f t="shared" si="466"/>
        <v>433333333.33333331</v>
      </c>
      <c r="ML40" s="15">
        <f t="shared" si="466"/>
        <v>433333333.33333331</v>
      </c>
      <c r="MM40" s="15">
        <f t="shared" si="466"/>
        <v>433333333.33333331</v>
      </c>
      <c r="MN40" s="15">
        <f t="shared" si="466"/>
        <v>0</v>
      </c>
      <c r="MO40" s="15">
        <f t="shared" si="466"/>
        <v>0</v>
      </c>
      <c r="MP40" s="15">
        <f t="shared" si="466"/>
        <v>0</v>
      </c>
      <c r="MQ40" s="15">
        <f t="shared" si="466"/>
        <v>0</v>
      </c>
      <c r="MR40" s="15">
        <f t="shared" ref="MR40:NE58" si="467">IF($AZ40&gt;=MR$8,$BC40,0)</f>
        <v>0</v>
      </c>
      <c r="MS40" s="15">
        <f t="shared" si="467"/>
        <v>0</v>
      </c>
      <c r="MT40" s="15">
        <f t="shared" si="467"/>
        <v>0</v>
      </c>
      <c r="MU40" s="15">
        <f t="shared" si="467"/>
        <v>0</v>
      </c>
      <c r="MV40" s="15">
        <f t="shared" si="467"/>
        <v>0</v>
      </c>
      <c r="MW40" s="15">
        <f t="shared" si="467"/>
        <v>0</v>
      </c>
      <c r="MX40" s="15">
        <f t="shared" si="467"/>
        <v>0</v>
      </c>
      <c r="MY40" s="15">
        <f t="shared" si="467"/>
        <v>0</v>
      </c>
      <c r="MZ40" s="15">
        <f t="shared" si="467"/>
        <v>0</v>
      </c>
      <c r="NA40" s="15">
        <f t="shared" si="467"/>
        <v>0</v>
      </c>
      <c r="NB40" s="15">
        <f t="shared" si="467"/>
        <v>0</v>
      </c>
      <c r="NC40" s="15">
        <f t="shared" si="467"/>
        <v>0</v>
      </c>
      <c r="ND40" s="15">
        <f t="shared" si="467"/>
        <v>0</v>
      </c>
      <c r="NE40" s="15">
        <f t="shared" si="467"/>
        <v>0</v>
      </c>
    </row>
    <row r="41" spans="1:369" outlineLevel="1" x14ac:dyDescent="0.25">
      <c r="B41" t="s">
        <v>345</v>
      </c>
      <c r="C41" s="623" t="s">
        <v>244</v>
      </c>
      <c r="D41" s="613" t="s">
        <v>224</v>
      </c>
      <c r="E41" s="468">
        <v>1</v>
      </c>
      <c r="F41" s="221"/>
      <c r="G41" s="457">
        <v>12</v>
      </c>
      <c r="H41" s="468">
        <f>(5000000000/$D$6)*1.04</f>
        <v>5200000000</v>
      </c>
      <c r="I41" s="457">
        <f t="shared" si="419"/>
        <v>5200000000</v>
      </c>
      <c r="J41" s="457">
        <f t="shared" si="420"/>
        <v>433333333.33333331</v>
      </c>
      <c r="K41" s="221"/>
      <c r="L41" s="457">
        <v>12</v>
      </c>
      <c r="M41" s="457">
        <f t="shared" si="421"/>
        <v>5200000000</v>
      </c>
      <c r="N41" s="457">
        <f t="shared" si="422"/>
        <v>5200000000</v>
      </c>
      <c r="O41" s="457">
        <f t="shared" si="423"/>
        <v>433333333.33333331</v>
      </c>
      <c r="P41" s="221"/>
      <c r="Q41" s="457">
        <v>12</v>
      </c>
      <c r="R41" s="457">
        <f t="shared" si="424"/>
        <v>5200000000</v>
      </c>
      <c r="S41" s="457">
        <f t="shared" si="425"/>
        <v>5200000000</v>
      </c>
      <c r="T41" s="457">
        <f t="shared" si="426"/>
        <v>433333333.33333331</v>
      </c>
      <c r="U41" s="221"/>
      <c r="V41" s="457">
        <v>12</v>
      </c>
      <c r="W41" s="457">
        <f t="shared" si="427"/>
        <v>5200000000</v>
      </c>
      <c r="X41" s="457">
        <f t="shared" si="428"/>
        <v>5200000000</v>
      </c>
      <c r="Y41" s="457">
        <f t="shared" si="429"/>
        <v>433333333.33333331</v>
      </c>
      <c r="Z41" s="221"/>
      <c r="AA41" s="457">
        <v>12</v>
      </c>
      <c r="AB41" s="457">
        <f t="shared" si="430"/>
        <v>5200000000</v>
      </c>
      <c r="AC41" s="457">
        <f t="shared" si="431"/>
        <v>5200000000</v>
      </c>
      <c r="AD41" s="457">
        <f t="shared" si="432"/>
        <v>433333333.33333331</v>
      </c>
      <c r="AE41" s="221"/>
      <c r="AF41" s="457">
        <v>12</v>
      </c>
      <c r="AG41" s="457">
        <f t="shared" si="433"/>
        <v>5200000000</v>
      </c>
      <c r="AH41" s="457">
        <f t="shared" si="434"/>
        <v>5200000000</v>
      </c>
      <c r="AI41" s="457">
        <f t="shared" si="435"/>
        <v>433333333.33333331</v>
      </c>
      <c r="AJ41" s="221"/>
      <c r="AK41" s="457">
        <v>12</v>
      </c>
      <c r="AL41" s="457">
        <f t="shared" si="436"/>
        <v>5200000000</v>
      </c>
      <c r="AM41" s="457">
        <f t="shared" si="437"/>
        <v>5200000000</v>
      </c>
      <c r="AN41" s="457">
        <f t="shared" si="438"/>
        <v>433333333.33333331</v>
      </c>
      <c r="AO41" s="221"/>
      <c r="AP41" s="457">
        <v>12</v>
      </c>
      <c r="AQ41" s="457">
        <f t="shared" si="439"/>
        <v>5200000000</v>
      </c>
      <c r="AR41" s="457">
        <f t="shared" si="440"/>
        <v>5200000000</v>
      </c>
      <c r="AS41" s="457">
        <f t="shared" si="441"/>
        <v>433333333.33333331</v>
      </c>
      <c r="AT41" s="221"/>
      <c r="AU41" s="457">
        <v>12</v>
      </c>
      <c r="AV41" s="457">
        <f t="shared" si="442"/>
        <v>5200000000</v>
      </c>
      <c r="AW41" s="457">
        <f t="shared" si="443"/>
        <v>5200000000</v>
      </c>
      <c r="AX41" s="457">
        <f t="shared" si="444"/>
        <v>433333333.33333331</v>
      </c>
      <c r="AY41" s="221"/>
      <c r="AZ41" s="457">
        <v>12</v>
      </c>
      <c r="BA41" s="457">
        <f t="shared" si="445"/>
        <v>5200000000</v>
      </c>
      <c r="BB41" s="457">
        <f t="shared" si="446"/>
        <v>5200000000</v>
      </c>
      <c r="BC41" s="457">
        <f t="shared" si="447"/>
        <v>433333333.33333331</v>
      </c>
      <c r="BD41" s="221"/>
      <c r="BG41" t="s">
        <v>337</v>
      </c>
      <c r="BI41" s="15">
        <f t="shared" si="448"/>
        <v>433333333.33333331</v>
      </c>
      <c r="BJ41" s="15">
        <f t="shared" si="448"/>
        <v>433333333.33333331</v>
      </c>
      <c r="BK41" s="15">
        <f t="shared" si="448"/>
        <v>433333333.33333331</v>
      </c>
      <c r="BL41" s="15">
        <f t="shared" si="448"/>
        <v>433333333.33333331</v>
      </c>
      <c r="BM41" s="15">
        <f t="shared" si="448"/>
        <v>433333333.33333331</v>
      </c>
      <c r="BN41" s="15">
        <f t="shared" si="448"/>
        <v>433333333.33333331</v>
      </c>
      <c r="BO41" s="15">
        <f t="shared" si="448"/>
        <v>433333333.33333331</v>
      </c>
      <c r="BP41" s="15">
        <f t="shared" si="448"/>
        <v>433333333.33333331</v>
      </c>
      <c r="BQ41" s="15">
        <f t="shared" si="448"/>
        <v>433333333.33333331</v>
      </c>
      <c r="BR41" s="15">
        <f t="shared" si="448"/>
        <v>433333333.33333331</v>
      </c>
      <c r="BS41" s="15">
        <f t="shared" si="448"/>
        <v>433333333.33333331</v>
      </c>
      <c r="BT41" s="15">
        <f t="shared" si="448"/>
        <v>433333333.33333331</v>
      </c>
      <c r="BU41" s="15">
        <f t="shared" si="448"/>
        <v>0</v>
      </c>
      <c r="BV41" s="15">
        <f t="shared" si="448"/>
        <v>0</v>
      </c>
      <c r="BW41" s="15">
        <f t="shared" si="448"/>
        <v>0</v>
      </c>
      <c r="BX41" s="15">
        <f t="shared" si="448"/>
        <v>0</v>
      </c>
      <c r="BY41" s="15">
        <f t="shared" si="449"/>
        <v>0</v>
      </c>
      <c r="BZ41" s="15">
        <f t="shared" si="449"/>
        <v>0</v>
      </c>
      <c r="CA41" s="15">
        <f t="shared" si="449"/>
        <v>0</v>
      </c>
      <c r="CB41" s="15">
        <f t="shared" si="449"/>
        <v>0</v>
      </c>
      <c r="CC41" s="15">
        <f t="shared" si="449"/>
        <v>0</v>
      </c>
      <c r="CD41" s="15">
        <f t="shared" si="449"/>
        <v>0</v>
      </c>
      <c r="CE41" s="15">
        <f t="shared" si="449"/>
        <v>0</v>
      </c>
      <c r="CF41" s="15">
        <f t="shared" si="449"/>
        <v>0</v>
      </c>
      <c r="CG41" s="15">
        <f t="shared" si="449"/>
        <v>0</v>
      </c>
      <c r="CH41" s="15">
        <f t="shared" si="449"/>
        <v>0</v>
      </c>
      <c r="CI41" s="15">
        <f t="shared" si="449"/>
        <v>0</v>
      </c>
      <c r="CJ41" s="15">
        <f t="shared" si="449"/>
        <v>0</v>
      </c>
      <c r="CK41" s="15">
        <f t="shared" si="449"/>
        <v>0</v>
      </c>
      <c r="CL41" s="15">
        <f t="shared" si="449"/>
        <v>0</v>
      </c>
      <c r="CN41" s="15">
        <f t="shared" si="450"/>
        <v>433333333.33333331</v>
      </c>
      <c r="CO41" s="15">
        <f t="shared" si="450"/>
        <v>433333333.33333331</v>
      </c>
      <c r="CP41" s="15">
        <f t="shared" si="450"/>
        <v>433333333.33333331</v>
      </c>
      <c r="CQ41" s="15">
        <f t="shared" si="450"/>
        <v>433333333.33333331</v>
      </c>
      <c r="CR41" s="15">
        <f t="shared" si="450"/>
        <v>433333333.33333331</v>
      </c>
      <c r="CS41" s="15">
        <f t="shared" si="450"/>
        <v>433333333.33333331</v>
      </c>
      <c r="CT41" s="15">
        <f t="shared" si="450"/>
        <v>433333333.33333331</v>
      </c>
      <c r="CU41" s="15">
        <f t="shared" si="450"/>
        <v>433333333.33333331</v>
      </c>
      <c r="CV41" s="15">
        <f t="shared" si="450"/>
        <v>433333333.33333331</v>
      </c>
      <c r="CW41" s="15">
        <f t="shared" si="450"/>
        <v>433333333.33333331</v>
      </c>
      <c r="CX41" s="15">
        <f t="shared" si="450"/>
        <v>433333333.33333331</v>
      </c>
      <c r="CY41" s="15">
        <f t="shared" si="450"/>
        <v>433333333.33333331</v>
      </c>
      <c r="CZ41" s="15">
        <f t="shared" si="450"/>
        <v>0</v>
      </c>
      <c r="DA41" s="15">
        <f t="shared" si="450"/>
        <v>0</v>
      </c>
      <c r="DB41" s="15">
        <f t="shared" si="450"/>
        <v>0</v>
      </c>
      <c r="DC41" s="15">
        <f t="shared" si="450"/>
        <v>0</v>
      </c>
      <c r="DD41" s="15">
        <f t="shared" si="451"/>
        <v>0</v>
      </c>
      <c r="DE41" s="15">
        <f t="shared" si="451"/>
        <v>0</v>
      </c>
      <c r="DF41" s="15">
        <f t="shared" si="451"/>
        <v>0</v>
      </c>
      <c r="DG41" s="15">
        <f t="shared" si="451"/>
        <v>0</v>
      </c>
      <c r="DH41" s="15">
        <f t="shared" si="451"/>
        <v>0</v>
      </c>
      <c r="DI41" s="15">
        <f t="shared" si="451"/>
        <v>0</v>
      </c>
      <c r="DJ41" s="15">
        <f t="shared" si="451"/>
        <v>0</v>
      </c>
      <c r="DK41" s="15">
        <f t="shared" si="451"/>
        <v>0</v>
      </c>
      <c r="DL41" s="15">
        <f t="shared" si="451"/>
        <v>0</v>
      </c>
      <c r="DM41" s="15">
        <f t="shared" si="451"/>
        <v>0</v>
      </c>
      <c r="DN41" s="15">
        <f t="shared" si="451"/>
        <v>0</v>
      </c>
      <c r="DO41" s="15">
        <f t="shared" si="451"/>
        <v>0</v>
      </c>
      <c r="DP41" s="15">
        <f t="shared" si="451"/>
        <v>0</v>
      </c>
      <c r="DQ41" s="15">
        <f t="shared" si="451"/>
        <v>0</v>
      </c>
      <c r="DS41" s="15">
        <f t="shared" si="452"/>
        <v>433333333.33333331</v>
      </c>
      <c r="DT41" s="15">
        <f t="shared" si="452"/>
        <v>433333333.33333331</v>
      </c>
      <c r="DU41" s="15">
        <f t="shared" si="452"/>
        <v>433333333.33333331</v>
      </c>
      <c r="DV41" s="15">
        <f t="shared" si="452"/>
        <v>433333333.33333331</v>
      </c>
      <c r="DW41" s="15">
        <f t="shared" si="452"/>
        <v>433333333.33333331</v>
      </c>
      <c r="DX41" s="15">
        <f t="shared" si="452"/>
        <v>433333333.33333331</v>
      </c>
      <c r="DY41" s="15">
        <f t="shared" si="452"/>
        <v>433333333.33333331</v>
      </c>
      <c r="DZ41" s="15">
        <f t="shared" si="452"/>
        <v>433333333.33333331</v>
      </c>
      <c r="EA41" s="15">
        <f t="shared" si="452"/>
        <v>433333333.33333331</v>
      </c>
      <c r="EB41" s="15">
        <f t="shared" si="452"/>
        <v>433333333.33333331</v>
      </c>
      <c r="EC41" s="15">
        <f t="shared" si="452"/>
        <v>433333333.33333331</v>
      </c>
      <c r="ED41" s="15">
        <f t="shared" si="452"/>
        <v>433333333.33333331</v>
      </c>
      <c r="EE41" s="15">
        <f t="shared" si="452"/>
        <v>0</v>
      </c>
      <c r="EF41" s="15">
        <f t="shared" si="452"/>
        <v>0</v>
      </c>
      <c r="EG41" s="15">
        <f t="shared" si="452"/>
        <v>0</v>
      </c>
      <c r="EH41" s="15">
        <f t="shared" si="452"/>
        <v>0</v>
      </c>
      <c r="EI41" s="15">
        <f t="shared" si="453"/>
        <v>0</v>
      </c>
      <c r="EJ41" s="15">
        <f t="shared" si="453"/>
        <v>0</v>
      </c>
      <c r="EK41" s="15">
        <f t="shared" si="453"/>
        <v>0</v>
      </c>
      <c r="EL41" s="15">
        <f t="shared" si="453"/>
        <v>0</v>
      </c>
      <c r="EM41" s="15">
        <f t="shared" si="453"/>
        <v>0</v>
      </c>
      <c r="EN41" s="15">
        <f t="shared" si="453"/>
        <v>0</v>
      </c>
      <c r="EO41" s="15">
        <f t="shared" si="453"/>
        <v>0</v>
      </c>
      <c r="EP41" s="15">
        <f t="shared" si="453"/>
        <v>0</v>
      </c>
      <c r="EQ41" s="15">
        <f t="shared" si="453"/>
        <v>0</v>
      </c>
      <c r="ER41" s="15">
        <f t="shared" si="453"/>
        <v>0</v>
      </c>
      <c r="ES41" s="15">
        <f t="shared" si="453"/>
        <v>0</v>
      </c>
      <c r="ET41" s="15">
        <f t="shared" si="453"/>
        <v>0</v>
      </c>
      <c r="EU41" s="15">
        <f t="shared" si="453"/>
        <v>0</v>
      </c>
      <c r="EV41" s="15">
        <f t="shared" si="453"/>
        <v>0</v>
      </c>
      <c r="EX41" s="15">
        <f t="shared" si="454"/>
        <v>433333333.33333331</v>
      </c>
      <c r="EY41" s="15">
        <f t="shared" si="454"/>
        <v>433333333.33333331</v>
      </c>
      <c r="EZ41" s="15">
        <f t="shared" si="454"/>
        <v>433333333.33333331</v>
      </c>
      <c r="FA41" s="15">
        <f t="shared" si="454"/>
        <v>433333333.33333331</v>
      </c>
      <c r="FB41" s="15">
        <f t="shared" si="454"/>
        <v>433333333.33333331</v>
      </c>
      <c r="FC41" s="15">
        <f t="shared" si="454"/>
        <v>433333333.33333331</v>
      </c>
      <c r="FD41" s="15">
        <f t="shared" si="454"/>
        <v>433333333.33333331</v>
      </c>
      <c r="FE41" s="15">
        <f t="shared" si="454"/>
        <v>433333333.33333331</v>
      </c>
      <c r="FF41" s="15">
        <f t="shared" si="454"/>
        <v>433333333.33333331</v>
      </c>
      <c r="FG41" s="15">
        <f t="shared" si="454"/>
        <v>433333333.33333331</v>
      </c>
      <c r="FH41" s="15">
        <f t="shared" si="454"/>
        <v>433333333.33333331</v>
      </c>
      <c r="FI41" s="15">
        <f t="shared" si="454"/>
        <v>433333333.33333331</v>
      </c>
      <c r="FJ41" s="15">
        <f t="shared" si="454"/>
        <v>0</v>
      </c>
      <c r="FK41" s="15">
        <f t="shared" si="454"/>
        <v>0</v>
      </c>
      <c r="FL41" s="15">
        <f t="shared" si="454"/>
        <v>0</v>
      </c>
      <c r="FM41" s="15">
        <f t="shared" si="454"/>
        <v>0</v>
      </c>
      <c r="FN41" s="15">
        <f t="shared" si="455"/>
        <v>0</v>
      </c>
      <c r="FO41" s="15">
        <f t="shared" si="455"/>
        <v>0</v>
      </c>
      <c r="FP41" s="15">
        <f t="shared" si="455"/>
        <v>0</v>
      </c>
      <c r="FQ41" s="15">
        <f t="shared" si="455"/>
        <v>0</v>
      </c>
      <c r="FR41" s="15">
        <f t="shared" si="455"/>
        <v>0</v>
      </c>
      <c r="FS41" s="15">
        <f t="shared" si="455"/>
        <v>0</v>
      </c>
      <c r="FT41" s="15">
        <f t="shared" si="455"/>
        <v>0</v>
      </c>
      <c r="FU41" s="15">
        <f t="shared" si="455"/>
        <v>0</v>
      </c>
      <c r="FV41" s="15">
        <f t="shared" si="455"/>
        <v>0</v>
      </c>
      <c r="FW41" s="15">
        <f t="shared" si="455"/>
        <v>0</v>
      </c>
      <c r="FX41" s="15">
        <f t="shared" si="455"/>
        <v>0</v>
      </c>
      <c r="FY41" s="15">
        <f t="shared" si="455"/>
        <v>0</v>
      </c>
      <c r="FZ41" s="15">
        <f t="shared" si="455"/>
        <v>0</v>
      </c>
      <c r="GA41" s="15">
        <f t="shared" si="455"/>
        <v>0</v>
      </c>
      <c r="GC41" s="15">
        <f t="shared" si="456"/>
        <v>433333333.33333331</v>
      </c>
      <c r="GD41" s="15">
        <f t="shared" si="456"/>
        <v>433333333.33333331</v>
      </c>
      <c r="GE41" s="15">
        <f t="shared" si="456"/>
        <v>433333333.33333331</v>
      </c>
      <c r="GF41" s="15">
        <f t="shared" si="456"/>
        <v>433333333.33333331</v>
      </c>
      <c r="GG41" s="15">
        <f t="shared" si="456"/>
        <v>433333333.33333331</v>
      </c>
      <c r="GH41" s="15">
        <f t="shared" si="456"/>
        <v>433333333.33333331</v>
      </c>
      <c r="GI41" s="15">
        <f t="shared" si="456"/>
        <v>433333333.33333331</v>
      </c>
      <c r="GJ41" s="15">
        <f t="shared" si="456"/>
        <v>433333333.33333331</v>
      </c>
      <c r="GK41" s="15">
        <f t="shared" si="456"/>
        <v>433333333.33333331</v>
      </c>
      <c r="GL41" s="15">
        <f t="shared" si="456"/>
        <v>433333333.33333331</v>
      </c>
      <c r="GM41" s="15">
        <f t="shared" si="456"/>
        <v>433333333.33333331</v>
      </c>
      <c r="GN41" s="15">
        <f t="shared" si="456"/>
        <v>433333333.33333331</v>
      </c>
      <c r="GO41" s="15">
        <f t="shared" si="456"/>
        <v>0</v>
      </c>
      <c r="GP41" s="15">
        <f t="shared" si="456"/>
        <v>0</v>
      </c>
      <c r="GQ41" s="15">
        <f t="shared" si="456"/>
        <v>0</v>
      </c>
      <c r="GR41" s="15">
        <f t="shared" si="456"/>
        <v>0</v>
      </c>
      <c r="GS41" s="15">
        <f t="shared" si="457"/>
        <v>0</v>
      </c>
      <c r="GT41" s="15">
        <f t="shared" si="457"/>
        <v>0</v>
      </c>
      <c r="GU41" s="15">
        <f t="shared" si="457"/>
        <v>0</v>
      </c>
      <c r="GV41" s="15">
        <f t="shared" si="457"/>
        <v>0</v>
      </c>
      <c r="GW41" s="15">
        <f t="shared" si="457"/>
        <v>0</v>
      </c>
      <c r="GX41" s="15">
        <f t="shared" si="457"/>
        <v>0</v>
      </c>
      <c r="GY41" s="15">
        <f t="shared" si="457"/>
        <v>0</v>
      </c>
      <c r="GZ41" s="15">
        <f t="shared" si="457"/>
        <v>0</v>
      </c>
      <c r="HA41" s="15">
        <f t="shared" si="457"/>
        <v>0</v>
      </c>
      <c r="HB41" s="15">
        <f t="shared" si="457"/>
        <v>0</v>
      </c>
      <c r="HC41" s="15">
        <f t="shared" si="457"/>
        <v>0</v>
      </c>
      <c r="HD41" s="15">
        <f t="shared" si="457"/>
        <v>0</v>
      </c>
      <c r="HE41" s="15">
        <f t="shared" si="457"/>
        <v>0</v>
      </c>
      <c r="HF41" s="15">
        <f t="shared" si="457"/>
        <v>0</v>
      </c>
      <c r="HH41" s="15">
        <f t="shared" si="458"/>
        <v>433333333.33333331</v>
      </c>
      <c r="HI41" s="15">
        <f t="shared" si="458"/>
        <v>433333333.33333331</v>
      </c>
      <c r="HJ41" s="15">
        <f t="shared" si="458"/>
        <v>433333333.33333331</v>
      </c>
      <c r="HK41" s="15">
        <f t="shared" si="458"/>
        <v>433333333.33333331</v>
      </c>
      <c r="HL41" s="15">
        <f t="shared" si="458"/>
        <v>433333333.33333331</v>
      </c>
      <c r="HM41" s="15">
        <f t="shared" si="458"/>
        <v>433333333.33333331</v>
      </c>
      <c r="HN41" s="15">
        <f t="shared" si="458"/>
        <v>433333333.33333331</v>
      </c>
      <c r="HO41" s="15">
        <f t="shared" si="458"/>
        <v>433333333.33333331</v>
      </c>
      <c r="HP41" s="15">
        <f t="shared" si="458"/>
        <v>433333333.33333331</v>
      </c>
      <c r="HQ41" s="15">
        <f t="shared" si="458"/>
        <v>433333333.33333331</v>
      </c>
      <c r="HR41" s="15">
        <f t="shared" si="458"/>
        <v>433333333.33333331</v>
      </c>
      <c r="HS41" s="15">
        <f t="shared" si="458"/>
        <v>433333333.33333331</v>
      </c>
      <c r="HT41" s="15">
        <f t="shared" si="458"/>
        <v>0</v>
      </c>
      <c r="HU41" s="15">
        <f t="shared" si="458"/>
        <v>0</v>
      </c>
      <c r="HV41" s="15">
        <f t="shared" si="458"/>
        <v>0</v>
      </c>
      <c r="HW41" s="15">
        <f t="shared" si="458"/>
        <v>0</v>
      </c>
      <c r="HX41" s="15">
        <f t="shared" si="459"/>
        <v>0</v>
      </c>
      <c r="HY41" s="15">
        <f t="shared" si="459"/>
        <v>0</v>
      </c>
      <c r="HZ41" s="15">
        <f t="shared" si="459"/>
        <v>0</v>
      </c>
      <c r="IA41" s="15">
        <f t="shared" si="459"/>
        <v>0</v>
      </c>
      <c r="IB41" s="15">
        <f t="shared" si="459"/>
        <v>0</v>
      </c>
      <c r="IC41" s="15">
        <f t="shared" si="459"/>
        <v>0</v>
      </c>
      <c r="ID41" s="15">
        <f t="shared" si="459"/>
        <v>0</v>
      </c>
      <c r="IE41" s="15">
        <f t="shared" si="459"/>
        <v>0</v>
      </c>
      <c r="IF41" s="15">
        <f t="shared" si="459"/>
        <v>0</v>
      </c>
      <c r="IG41" s="15">
        <f t="shared" si="459"/>
        <v>0</v>
      </c>
      <c r="IH41" s="15">
        <f t="shared" si="459"/>
        <v>0</v>
      </c>
      <c r="II41" s="15">
        <f t="shared" si="459"/>
        <v>0</v>
      </c>
      <c r="IJ41" s="15">
        <f t="shared" si="459"/>
        <v>0</v>
      </c>
      <c r="IK41" s="15">
        <f t="shared" si="459"/>
        <v>0</v>
      </c>
      <c r="IM41" s="15">
        <f t="shared" si="460"/>
        <v>433333333.33333331</v>
      </c>
      <c r="IN41" s="15">
        <f t="shared" si="460"/>
        <v>433333333.33333331</v>
      </c>
      <c r="IO41" s="15">
        <f t="shared" si="460"/>
        <v>433333333.33333331</v>
      </c>
      <c r="IP41" s="15">
        <f t="shared" si="460"/>
        <v>433333333.33333331</v>
      </c>
      <c r="IQ41" s="15">
        <f t="shared" si="460"/>
        <v>433333333.33333331</v>
      </c>
      <c r="IR41" s="15">
        <f t="shared" si="460"/>
        <v>433333333.33333331</v>
      </c>
      <c r="IS41" s="15">
        <f t="shared" si="460"/>
        <v>433333333.33333331</v>
      </c>
      <c r="IT41" s="15">
        <f t="shared" si="460"/>
        <v>433333333.33333331</v>
      </c>
      <c r="IU41" s="15">
        <f t="shared" si="460"/>
        <v>433333333.33333331</v>
      </c>
      <c r="IV41" s="15">
        <f t="shared" si="460"/>
        <v>433333333.33333331</v>
      </c>
      <c r="IW41" s="15">
        <f t="shared" si="460"/>
        <v>433333333.33333331</v>
      </c>
      <c r="IX41" s="15">
        <f t="shared" si="460"/>
        <v>433333333.33333331</v>
      </c>
      <c r="IY41" s="15">
        <f t="shared" si="460"/>
        <v>0</v>
      </c>
      <c r="IZ41" s="15">
        <f t="shared" si="460"/>
        <v>0</v>
      </c>
      <c r="JA41" s="15">
        <f t="shared" si="460"/>
        <v>0</v>
      </c>
      <c r="JB41" s="15">
        <f t="shared" si="460"/>
        <v>0</v>
      </c>
      <c r="JC41" s="15">
        <f t="shared" si="461"/>
        <v>0</v>
      </c>
      <c r="JD41" s="15">
        <f t="shared" si="461"/>
        <v>0</v>
      </c>
      <c r="JE41" s="15">
        <f t="shared" si="461"/>
        <v>0</v>
      </c>
      <c r="JF41" s="15">
        <f t="shared" si="461"/>
        <v>0</v>
      </c>
      <c r="JG41" s="15">
        <f t="shared" si="461"/>
        <v>0</v>
      </c>
      <c r="JH41" s="15">
        <f t="shared" si="461"/>
        <v>0</v>
      </c>
      <c r="JI41" s="15">
        <f t="shared" si="461"/>
        <v>0</v>
      </c>
      <c r="JJ41" s="15">
        <f t="shared" si="461"/>
        <v>0</v>
      </c>
      <c r="JK41" s="15">
        <f t="shared" si="461"/>
        <v>0</v>
      </c>
      <c r="JL41" s="15">
        <f t="shared" si="461"/>
        <v>0</v>
      </c>
      <c r="JM41" s="15">
        <f t="shared" si="461"/>
        <v>0</v>
      </c>
      <c r="JN41" s="15">
        <f t="shared" si="461"/>
        <v>0</v>
      </c>
      <c r="JO41" s="15">
        <f t="shared" si="461"/>
        <v>0</v>
      </c>
      <c r="JP41" s="15">
        <f t="shared" si="461"/>
        <v>0</v>
      </c>
      <c r="JR41" s="15">
        <f t="shared" si="462"/>
        <v>433333333.33333331</v>
      </c>
      <c r="JS41" s="15">
        <f t="shared" si="462"/>
        <v>433333333.33333331</v>
      </c>
      <c r="JT41" s="15">
        <f t="shared" si="462"/>
        <v>433333333.33333331</v>
      </c>
      <c r="JU41" s="15">
        <f t="shared" si="462"/>
        <v>433333333.33333331</v>
      </c>
      <c r="JV41" s="15">
        <f t="shared" si="462"/>
        <v>433333333.33333331</v>
      </c>
      <c r="JW41" s="15">
        <f t="shared" si="462"/>
        <v>433333333.33333331</v>
      </c>
      <c r="JX41" s="15">
        <f t="shared" si="462"/>
        <v>433333333.33333331</v>
      </c>
      <c r="JY41" s="15">
        <f t="shared" si="462"/>
        <v>433333333.33333331</v>
      </c>
      <c r="JZ41" s="15">
        <f t="shared" si="462"/>
        <v>433333333.33333331</v>
      </c>
      <c r="KA41" s="15">
        <f t="shared" si="462"/>
        <v>433333333.33333331</v>
      </c>
      <c r="KB41" s="15">
        <f t="shared" si="462"/>
        <v>433333333.33333331</v>
      </c>
      <c r="KC41" s="15">
        <f t="shared" si="462"/>
        <v>433333333.33333331</v>
      </c>
      <c r="KD41" s="15">
        <f t="shared" si="462"/>
        <v>0</v>
      </c>
      <c r="KE41" s="15">
        <f t="shared" si="462"/>
        <v>0</v>
      </c>
      <c r="KF41" s="15">
        <f t="shared" si="462"/>
        <v>0</v>
      </c>
      <c r="KG41" s="15">
        <f t="shared" si="462"/>
        <v>0</v>
      </c>
      <c r="KH41" s="15">
        <f t="shared" si="463"/>
        <v>0</v>
      </c>
      <c r="KI41" s="15">
        <f t="shared" si="463"/>
        <v>0</v>
      </c>
      <c r="KJ41" s="15">
        <f t="shared" si="463"/>
        <v>0</v>
      </c>
      <c r="KK41" s="15">
        <f t="shared" si="463"/>
        <v>0</v>
      </c>
      <c r="KL41" s="15">
        <f t="shared" si="463"/>
        <v>0</v>
      </c>
      <c r="KM41" s="15">
        <f t="shared" si="463"/>
        <v>0</v>
      </c>
      <c r="KN41" s="15">
        <f t="shared" si="463"/>
        <v>0</v>
      </c>
      <c r="KO41" s="15">
        <f t="shared" si="463"/>
        <v>0</v>
      </c>
      <c r="KP41" s="15">
        <f t="shared" si="463"/>
        <v>0</v>
      </c>
      <c r="KQ41" s="15">
        <f t="shared" si="463"/>
        <v>0</v>
      </c>
      <c r="KR41" s="15">
        <f t="shared" si="463"/>
        <v>0</v>
      </c>
      <c r="KS41" s="15">
        <f t="shared" si="463"/>
        <v>0</v>
      </c>
      <c r="KT41" s="15">
        <f t="shared" si="463"/>
        <v>0</v>
      </c>
      <c r="KU41" s="15">
        <f t="shared" si="463"/>
        <v>0</v>
      </c>
      <c r="KW41" s="15">
        <f t="shared" si="464"/>
        <v>433333333.33333331</v>
      </c>
      <c r="KX41" s="15">
        <f t="shared" si="464"/>
        <v>433333333.33333331</v>
      </c>
      <c r="KY41" s="15">
        <f t="shared" si="464"/>
        <v>433333333.33333331</v>
      </c>
      <c r="KZ41" s="15">
        <f t="shared" si="464"/>
        <v>433333333.33333331</v>
      </c>
      <c r="LA41" s="15">
        <f t="shared" si="464"/>
        <v>433333333.33333331</v>
      </c>
      <c r="LB41" s="15">
        <f t="shared" si="464"/>
        <v>433333333.33333331</v>
      </c>
      <c r="LC41" s="15">
        <f t="shared" si="464"/>
        <v>433333333.33333331</v>
      </c>
      <c r="LD41" s="15">
        <f t="shared" si="464"/>
        <v>433333333.33333331</v>
      </c>
      <c r="LE41" s="15">
        <f t="shared" si="464"/>
        <v>433333333.33333331</v>
      </c>
      <c r="LF41" s="15">
        <f t="shared" si="464"/>
        <v>433333333.33333331</v>
      </c>
      <c r="LG41" s="15">
        <f t="shared" si="464"/>
        <v>433333333.33333331</v>
      </c>
      <c r="LH41" s="15">
        <f t="shared" si="464"/>
        <v>433333333.33333331</v>
      </c>
      <c r="LI41" s="15">
        <f t="shared" si="464"/>
        <v>0</v>
      </c>
      <c r="LJ41" s="15">
        <f t="shared" si="464"/>
        <v>0</v>
      </c>
      <c r="LK41" s="15">
        <f t="shared" si="464"/>
        <v>0</v>
      </c>
      <c r="LL41" s="15">
        <f t="shared" si="464"/>
        <v>0</v>
      </c>
      <c r="LM41" s="15">
        <f t="shared" si="465"/>
        <v>0</v>
      </c>
      <c r="LN41" s="15">
        <f t="shared" si="465"/>
        <v>0</v>
      </c>
      <c r="LO41" s="15">
        <f t="shared" si="465"/>
        <v>0</v>
      </c>
      <c r="LP41" s="15">
        <f t="shared" si="465"/>
        <v>0</v>
      </c>
      <c r="LQ41" s="15">
        <f t="shared" si="465"/>
        <v>0</v>
      </c>
      <c r="LR41" s="15">
        <f t="shared" si="465"/>
        <v>0</v>
      </c>
      <c r="LS41" s="15">
        <f t="shared" si="465"/>
        <v>0</v>
      </c>
      <c r="LT41" s="15">
        <f t="shared" si="465"/>
        <v>0</v>
      </c>
      <c r="LU41" s="15">
        <f t="shared" si="465"/>
        <v>0</v>
      </c>
      <c r="LV41" s="15">
        <f t="shared" si="465"/>
        <v>0</v>
      </c>
      <c r="LW41" s="15">
        <f t="shared" si="465"/>
        <v>0</v>
      </c>
      <c r="LX41" s="15">
        <f t="shared" si="465"/>
        <v>0</v>
      </c>
      <c r="LY41" s="15">
        <f t="shared" si="465"/>
        <v>0</v>
      </c>
      <c r="LZ41" s="15">
        <f t="shared" si="465"/>
        <v>0</v>
      </c>
      <c r="MB41" s="15">
        <f t="shared" si="466"/>
        <v>433333333.33333331</v>
      </c>
      <c r="MC41" s="15">
        <f t="shared" si="466"/>
        <v>433333333.33333331</v>
      </c>
      <c r="MD41" s="15">
        <f t="shared" si="466"/>
        <v>433333333.33333331</v>
      </c>
      <c r="ME41" s="15">
        <f t="shared" si="466"/>
        <v>433333333.33333331</v>
      </c>
      <c r="MF41" s="15">
        <f t="shared" si="466"/>
        <v>433333333.33333331</v>
      </c>
      <c r="MG41" s="15">
        <f t="shared" si="466"/>
        <v>433333333.33333331</v>
      </c>
      <c r="MH41" s="15">
        <f t="shared" si="466"/>
        <v>433333333.33333331</v>
      </c>
      <c r="MI41" s="15">
        <f t="shared" si="466"/>
        <v>433333333.33333331</v>
      </c>
      <c r="MJ41" s="15">
        <f t="shared" si="466"/>
        <v>433333333.33333331</v>
      </c>
      <c r="MK41" s="15">
        <f t="shared" si="466"/>
        <v>433333333.33333331</v>
      </c>
      <c r="ML41" s="15">
        <f t="shared" si="466"/>
        <v>433333333.33333331</v>
      </c>
      <c r="MM41" s="15">
        <f t="shared" si="466"/>
        <v>433333333.33333331</v>
      </c>
      <c r="MN41" s="15">
        <f t="shared" si="466"/>
        <v>0</v>
      </c>
      <c r="MO41" s="15">
        <f t="shared" si="466"/>
        <v>0</v>
      </c>
      <c r="MP41" s="15">
        <f t="shared" si="466"/>
        <v>0</v>
      </c>
      <c r="MQ41" s="15">
        <f t="shared" si="466"/>
        <v>0</v>
      </c>
      <c r="MR41" s="15">
        <f t="shared" si="467"/>
        <v>0</v>
      </c>
      <c r="MS41" s="15">
        <f t="shared" si="467"/>
        <v>0</v>
      </c>
      <c r="MT41" s="15">
        <f t="shared" si="467"/>
        <v>0</v>
      </c>
      <c r="MU41" s="15">
        <f t="shared" si="467"/>
        <v>0</v>
      </c>
      <c r="MV41" s="15">
        <f t="shared" si="467"/>
        <v>0</v>
      </c>
      <c r="MW41" s="15">
        <f t="shared" si="467"/>
        <v>0</v>
      </c>
      <c r="MX41" s="15">
        <f t="shared" si="467"/>
        <v>0</v>
      </c>
      <c r="MY41" s="15">
        <f t="shared" si="467"/>
        <v>0</v>
      </c>
      <c r="MZ41" s="15">
        <f t="shared" si="467"/>
        <v>0</v>
      </c>
      <c r="NA41" s="15">
        <f t="shared" si="467"/>
        <v>0</v>
      </c>
      <c r="NB41" s="15">
        <f t="shared" si="467"/>
        <v>0</v>
      </c>
      <c r="NC41" s="15">
        <f t="shared" si="467"/>
        <v>0</v>
      </c>
      <c r="ND41" s="15">
        <f t="shared" si="467"/>
        <v>0</v>
      </c>
      <c r="NE41" s="15">
        <f t="shared" si="467"/>
        <v>0</v>
      </c>
    </row>
    <row r="42" spans="1:369" outlineLevel="1" x14ac:dyDescent="0.25">
      <c r="B42" t="s">
        <v>345</v>
      </c>
      <c r="C42" s="623" t="s">
        <v>245</v>
      </c>
      <c r="D42" s="613" t="s">
        <v>225</v>
      </c>
      <c r="E42" s="468">
        <v>1</v>
      </c>
      <c r="F42" s="221"/>
      <c r="G42" s="457">
        <v>12</v>
      </c>
      <c r="H42" s="468">
        <f>(2925000000/$D$6)*1.04</f>
        <v>3042000000</v>
      </c>
      <c r="I42" s="457">
        <f t="shared" si="419"/>
        <v>3042000000</v>
      </c>
      <c r="J42" s="457">
        <f t="shared" si="420"/>
        <v>253500000</v>
      </c>
      <c r="K42" s="221"/>
      <c r="L42" s="457">
        <v>12</v>
      </c>
      <c r="M42" s="457">
        <f t="shared" si="421"/>
        <v>3042000000</v>
      </c>
      <c r="N42" s="457">
        <f t="shared" si="422"/>
        <v>3042000000</v>
      </c>
      <c r="O42" s="457">
        <f t="shared" si="423"/>
        <v>253500000</v>
      </c>
      <c r="P42" s="221"/>
      <c r="Q42" s="457">
        <v>12</v>
      </c>
      <c r="R42" s="457">
        <f t="shared" si="424"/>
        <v>3042000000</v>
      </c>
      <c r="S42" s="457">
        <f t="shared" si="425"/>
        <v>3042000000</v>
      </c>
      <c r="T42" s="457">
        <f t="shared" si="426"/>
        <v>253500000</v>
      </c>
      <c r="U42" s="221"/>
      <c r="V42" s="457">
        <v>12</v>
      </c>
      <c r="W42" s="457">
        <f t="shared" si="427"/>
        <v>3042000000</v>
      </c>
      <c r="X42" s="457">
        <f t="shared" si="428"/>
        <v>3042000000</v>
      </c>
      <c r="Y42" s="457">
        <f t="shared" si="429"/>
        <v>253500000</v>
      </c>
      <c r="Z42" s="221"/>
      <c r="AA42" s="457">
        <v>12</v>
      </c>
      <c r="AB42" s="457">
        <f t="shared" si="430"/>
        <v>3042000000</v>
      </c>
      <c r="AC42" s="457">
        <f t="shared" si="431"/>
        <v>3042000000</v>
      </c>
      <c r="AD42" s="457">
        <f t="shared" si="432"/>
        <v>253500000</v>
      </c>
      <c r="AE42" s="221"/>
      <c r="AF42" s="457">
        <v>12</v>
      </c>
      <c r="AG42" s="457">
        <f t="shared" si="433"/>
        <v>3042000000</v>
      </c>
      <c r="AH42" s="457">
        <f t="shared" si="434"/>
        <v>3042000000</v>
      </c>
      <c r="AI42" s="457">
        <f t="shared" si="435"/>
        <v>253500000</v>
      </c>
      <c r="AJ42" s="221"/>
      <c r="AK42" s="457">
        <v>12</v>
      </c>
      <c r="AL42" s="457">
        <f t="shared" si="436"/>
        <v>3042000000</v>
      </c>
      <c r="AM42" s="457">
        <f t="shared" si="437"/>
        <v>3042000000</v>
      </c>
      <c r="AN42" s="457">
        <f t="shared" si="438"/>
        <v>253500000</v>
      </c>
      <c r="AO42" s="221"/>
      <c r="AP42" s="457">
        <v>12</v>
      </c>
      <c r="AQ42" s="457">
        <f t="shared" si="439"/>
        <v>3042000000</v>
      </c>
      <c r="AR42" s="457">
        <f t="shared" si="440"/>
        <v>3042000000</v>
      </c>
      <c r="AS42" s="457">
        <f t="shared" si="441"/>
        <v>253500000</v>
      </c>
      <c r="AT42" s="221"/>
      <c r="AU42" s="457">
        <v>12</v>
      </c>
      <c r="AV42" s="457">
        <f t="shared" si="442"/>
        <v>3042000000</v>
      </c>
      <c r="AW42" s="457">
        <f t="shared" si="443"/>
        <v>3042000000</v>
      </c>
      <c r="AX42" s="457">
        <f t="shared" si="444"/>
        <v>253500000</v>
      </c>
      <c r="AY42" s="221"/>
      <c r="AZ42" s="457">
        <v>12</v>
      </c>
      <c r="BA42" s="457">
        <f t="shared" si="445"/>
        <v>3042000000</v>
      </c>
      <c r="BB42" s="457">
        <f t="shared" si="446"/>
        <v>3042000000</v>
      </c>
      <c r="BC42" s="457">
        <f t="shared" si="447"/>
        <v>253500000</v>
      </c>
      <c r="BD42" s="221"/>
      <c r="BG42" t="s">
        <v>337</v>
      </c>
      <c r="BI42" s="15">
        <f t="shared" si="448"/>
        <v>253500000</v>
      </c>
      <c r="BJ42" s="15">
        <f t="shared" si="448"/>
        <v>253500000</v>
      </c>
      <c r="BK42" s="15">
        <f t="shared" si="448"/>
        <v>253500000</v>
      </c>
      <c r="BL42" s="15">
        <f t="shared" si="448"/>
        <v>253500000</v>
      </c>
      <c r="BM42" s="15">
        <f t="shared" si="448"/>
        <v>253500000</v>
      </c>
      <c r="BN42" s="15">
        <f t="shared" si="448"/>
        <v>253500000</v>
      </c>
      <c r="BO42" s="15">
        <f t="shared" si="448"/>
        <v>253500000</v>
      </c>
      <c r="BP42" s="15">
        <f t="shared" si="448"/>
        <v>253500000</v>
      </c>
      <c r="BQ42" s="15">
        <f t="shared" si="448"/>
        <v>253500000</v>
      </c>
      <c r="BR42" s="15">
        <f t="shared" si="448"/>
        <v>253500000</v>
      </c>
      <c r="BS42" s="15">
        <f t="shared" si="448"/>
        <v>253500000</v>
      </c>
      <c r="BT42" s="15">
        <f t="shared" si="448"/>
        <v>253500000</v>
      </c>
      <c r="BU42" s="15">
        <f t="shared" si="448"/>
        <v>0</v>
      </c>
      <c r="BV42" s="15">
        <f t="shared" si="448"/>
        <v>0</v>
      </c>
      <c r="BW42" s="15">
        <f t="shared" si="448"/>
        <v>0</v>
      </c>
      <c r="BX42" s="15">
        <f t="shared" si="448"/>
        <v>0</v>
      </c>
      <c r="BY42" s="15">
        <f t="shared" si="449"/>
        <v>0</v>
      </c>
      <c r="BZ42" s="15">
        <f t="shared" si="449"/>
        <v>0</v>
      </c>
      <c r="CA42" s="15">
        <f t="shared" si="449"/>
        <v>0</v>
      </c>
      <c r="CB42" s="15">
        <f t="shared" si="449"/>
        <v>0</v>
      </c>
      <c r="CC42" s="15">
        <f t="shared" si="449"/>
        <v>0</v>
      </c>
      <c r="CD42" s="15">
        <f t="shared" si="449"/>
        <v>0</v>
      </c>
      <c r="CE42" s="15">
        <f t="shared" si="449"/>
        <v>0</v>
      </c>
      <c r="CF42" s="15">
        <f t="shared" si="449"/>
        <v>0</v>
      </c>
      <c r="CG42" s="15">
        <f t="shared" si="449"/>
        <v>0</v>
      </c>
      <c r="CH42" s="15">
        <f t="shared" si="449"/>
        <v>0</v>
      </c>
      <c r="CI42" s="15">
        <f t="shared" si="449"/>
        <v>0</v>
      </c>
      <c r="CJ42" s="15">
        <f t="shared" si="449"/>
        <v>0</v>
      </c>
      <c r="CK42" s="15">
        <f t="shared" si="449"/>
        <v>0</v>
      </c>
      <c r="CL42" s="15">
        <f t="shared" si="449"/>
        <v>0</v>
      </c>
      <c r="CN42" s="15">
        <f t="shared" si="450"/>
        <v>253500000</v>
      </c>
      <c r="CO42" s="15">
        <f t="shared" si="450"/>
        <v>253500000</v>
      </c>
      <c r="CP42" s="15">
        <f t="shared" si="450"/>
        <v>253500000</v>
      </c>
      <c r="CQ42" s="15">
        <f t="shared" si="450"/>
        <v>253500000</v>
      </c>
      <c r="CR42" s="15">
        <f t="shared" si="450"/>
        <v>253500000</v>
      </c>
      <c r="CS42" s="15">
        <f t="shared" si="450"/>
        <v>253500000</v>
      </c>
      <c r="CT42" s="15">
        <f t="shared" si="450"/>
        <v>253500000</v>
      </c>
      <c r="CU42" s="15">
        <f t="shared" si="450"/>
        <v>253500000</v>
      </c>
      <c r="CV42" s="15">
        <f t="shared" si="450"/>
        <v>253500000</v>
      </c>
      <c r="CW42" s="15">
        <f t="shared" si="450"/>
        <v>253500000</v>
      </c>
      <c r="CX42" s="15">
        <f t="shared" si="450"/>
        <v>253500000</v>
      </c>
      <c r="CY42" s="15">
        <f t="shared" si="450"/>
        <v>253500000</v>
      </c>
      <c r="CZ42" s="15">
        <f t="shared" si="450"/>
        <v>0</v>
      </c>
      <c r="DA42" s="15">
        <f t="shared" si="450"/>
        <v>0</v>
      </c>
      <c r="DB42" s="15">
        <f t="shared" si="450"/>
        <v>0</v>
      </c>
      <c r="DC42" s="15">
        <f t="shared" si="450"/>
        <v>0</v>
      </c>
      <c r="DD42" s="15">
        <f t="shared" si="451"/>
        <v>0</v>
      </c>
      <c r="DE42" s="15">
        <f t="shared" si="451"/>
        <v>0</v>
      </c>
      <c r="DF42" s="15">
        <f t="shared" si="451"/>
        <v>0</v>
      </c>
      <c r="DG42" s="15">
        <f t="shared" si="451"/>
        <v>0</v>
      </c>
      <c r="DH42" s="15">
        <f t="shared" si="451"/>
        <v>0</v>
      </c>
      <c r="DI42" s="15">
        <f t="shared" si="451"/>
        <v>0</v>
      </c>
      <c r="DJ42" s="15">
        <f t="shared" si="451"/>
        <v>0</v>
      </c>
      <c r="DK42" s="15">
        <f t="shared" si="451"/>
        <v>0</v>
      </c>
      <c r="DL42" s="15">
        <f t="shared" si="451"/>
        <v>0</v>
      </c>
      <c r="DM42" s="15">
        <f t="shared" si="451"/>
        <v>0</v>
      </c>
      <c r="DN42" s="15">
        <f t="shared" si="451"/>
        <v>0</v>
      </c>
      <c r="DO42" s="15">
        <f t="shared" si="451"/>
        <v>0</v>
      </c>
      <c r="DP42" s="15">
        <f t="shared" si="451"/>
        <v>0</v>
      </c>
      <c r="DQ42" s="15">
        <f t="shared" si="451"/>
        <v>0</v>
      </c>
      <c r="DS42" s="15">
        <f t="shared" si="452"/>
        <v>253500000</v>
      </c>
      <c r="DT42" s="15">
        <f t="shared" si="452"/>
        <v>253500000</v>
      </c>
      <c r="DU42" s="15">
        <f t="shared" si="452"/>
        <v>253500000</v>
      </c>
      <c r="DV42" s="15">
        <f t="shared" si="452"/>
        <v>253500000</v>
      </c>
      <c r="DW42" s="15">
        <f t="shared" si="452"/>
        <v>253500000</v>
      </c>
      <c r="DX42" s="15">
        <f t="shared" si="452"/>
        <v>253500000</v>
      </c>
      <c r="DY42" s="15">
        <f t="shared" si="452"/>
        <v>253500000</v>
      </c>
      <c r="DZ42" s="15">
        <f t="shared" si="452"/>
        <v>253500000</v>
      </c>
      <c r="EA42" s="15">
        <f t="shared" si="452"/>
        <v>253500000</v>
      </c>
      <c r="EB42" s="15">
        <f t="shared" si="452"/>
        <v>253500000</v>
      </c>
      <c r="EC42" s="15">
        <f t="shared" si="452"/>
        <v>253500000</v>
      </c>
      <c r="ED42" s="15">
        <f t="shared" si="452"/>
        <v>253500000</v>
      </c>
      <c r="EE42" s="15">
        <f t="shared" si="452"/>
        <v>0</v>
      </c>
      <c r="EF42" s="15">
        <f t="shared" si="452"/>
        <v>0</v>
      </c>
      <c r="EG42" s="15">
        <f t="shared" si="452"/>
        <v>0</v>
      </c>
      <c r="EH42" s="15">
        <f t="shared" si="452"/>
        <v>0</v>
      </c>
      <c r="EI42" s="15">
        <f t="shared" si="453"/>
        <v>0</v>
      </c>
      <c r="EJ42" s="15">
        <f t="shared" si="453"/>
        <v>0</v>
      </c>
      <c r="EK42" s="15">
        <f t="shared" si="453"/>
        <v>0</v>
      </c>
      <c r="EL42" s="15">
        <f t="shared" si="453"/>
        <v>0</v>
      </c>
      <c r="EM42" s="15">
        <f t="shared" si="453"/>
        <v>0</v>
      </c>
      <c r="EN42" s="15">
        <f t="shared" si="453"/>
        <v>0</v>
      </c>
      <c r="EO42" s="15">
        <f t="shared" si="453"/>
        <v>0</v>
      </c>
      <c r="EP42" s="15">
        <f t="shared" si="453"/>
        <v>0</v>
      </c>
      <c r="EQ42" s="15">
        <f t="shared" si="453"/>
        <v>0</v>
      </c>
      <c r="ER42" s="15">
        <f t="shared" si="453"/>
        <v>0</v>
      </c>
      <c r="ES42" s="15">
        <f t="shared" si="453"/>
        <v>0</v>
      </c>
      <c r="ET42" s="15">
        <f t="shared" si="453"/>
        <v>0</v>
      </c>
      <c r="EU42" s="15">
        <f t="shared" si="453"/>
        <v>0</v>
      </c>
      <c r="EV42" s="15">
        <f t="shared" si="453"/>
        <v>0</v>
      </c>
      <c r="EX42" s="15">
        <f t="shared" si="454"/>
        <v>253500000</v>
      </c>
      <c r="EY42" s="15">
        <f t="shared" si="454"/>
        <v>253500000</v>
      </c>
      <c r="EZ42" s="15">
        <f t="shared" si="454"/>
        <v>253500000</v>
      </c>
      <c r="FA42" s="15">
        <f t="shared" si="454"/>
        <v>253500000</v>
      </c>
      <c r="FB42" s="15">
        <f t="shared" si="454"/>
        <v>253500000</v>
      </c>
      <c r="FC42" s="15">
        <f t="shared" si="454"/>
        <v>253500000</v>
      </c>
      <c r="FD42" s="15">
        <f t="shared" si="454"/>
        <v>253500000</v>
      </c>
      <c r="FE42" s="15">
        <f t="shared" si="454"/>
        <v>253500000</v>
      </c>
      <c r="FF42" s="15">
        <f t="shared" si="454"/>
        <v>253500000</v>
      </c>
      <c r="FG42" s="15">
        <f t="shared" si="454"/>
        <v>253500000</v>
      </c>
      <c r="FH42" s="15">
        <f t="shared" si="454"/>
        <v>253500000</v>
      </c>
      <c r="FI42" s="15">
        <f t="shared" si="454"/>
        <v>253500000</v>
      </c>
      <c r="FJ42" s="15">
        <f t="shared" si="454"/>
        <v>0</v>
      </c>
      <c r="FK42" s="15">
        <f t="shared" si="454"/>
        <v>0</v>
      </c>
      <c r="FL42" s="15">
        <f t="shared" si="454"/>
        <v>0</v>
      </c>
      <c r="FM42" s="15">
        <f t="shared" si="454"/>
        <v>0</v>
      </c>
      <c r="FN42" s="15">
        <f t="shared" si="455"/>
        <v>0</v>
      </c>
      <c r="FO42" s="15">
        <f t="shared" si="455"/>
        <v>0</v>
      </c>
      <c r="FP42" s="15">
        <f t="shared" si="455"/>
        <v>0</v>
      </c>
      <c r="FQ42" s="15">
        <f t="shared" si="455"/>
        <v>0</v>
      </c>
      <c r="FR42" s="15">
        <f t="shared" si="455"/>
        <v>0</v>
      </c>
      <c r="FS42" s="15">
        <f t="shared" si="455"/>
        <v>0</v>
      </c>
      <c r="FT42" s="15">
        <f t="shared" si="455"/>
        <v>0</v>
      </c>
      <c r="FU42" s="15">
        <f t="shared" si="455"/>
        <v>0</v>
      </c>
      <c r="FV42" s="15">
        <f t="shared" si="455"/>
        <v>0</v>
      </c>
      <c r="FW42" s="15">
        <f t="shared" si="455"/>
        <v>0</v>
      </c>
      <c r="FX42" s="15">
        <f t="shared" si="455"/>
        <v>0</v>
      </c>
      <c r="FY42" s="15">
        <f t="shared" si="455"/>
        <v>0</v>
      </c>
      <c r="FZ42" s="15">
        <f t="shared" si="455"/>
        <v>0</v>
      </c>
      <c r="GA42" s="15">
        <f t="shared" si="455"/>
        <v>0</v>
      </c>
      <c r="GC42" s="15">
        <f t="shared" si="456"/>
        <v>253500000</v>
      </c>
      <c r="GD42" s="15">
        <f t="shared" si="456"/>
        <v>253500000</v>
      </c>
      <c r="GE42" s="15">
        <f t="shared" si="456"/>
        <v>253500000</v>
      </c>
      <c r="GF42" s="15">
        <f t="shared" si="456"/>
        <v>253500000</v>
      </c>
      <c r="GG42" s="15">
        <f t="shared" si="456"/>
        <v>253500000</v>
      </c>
      <c r="GH42" s="15">
        <f t="shared" si="456"/>
        <v>253500000</v>
      </c>
      <c r="GI42" s="15">
        <f t="shared" si="456"/>
        <v>253500000</v>
      </c>
      <c r="GJ42" s="15">
        <f t="shared" si="456"/>
        <v>253500000</v>
      </c>
      <c r="GK42" s="15">
        <f t="shared" si="456"/>
        <v>253500000</v>
      </c>
      <c r="GL42" s="15">
        <f t="shared" si="456"/>
        <v>253500000</v>
      </c>
      <c r="GM42" s="15">
        <f t="shared" si="456"/>
        <v>253500000</v>
      </c>
      <c r="GN42" s="15">
        <f t="shared" si="456"/>
        <v>253500000</v>
      </c>
      <c r="GO42" s="15">
        <f t="shared" si="456"/>
        <v>0</v>
      </c>
      <c r="GP42" s="15">
        <f t="shared" si="456"/>
        <v>0</v>
      </c>
      <c r="GQ42" s="15">
        <f t="shared" si="456"/>
        <v>0</v>
      </c>
      <c r="GR42" s="15">
        <f t="shared" si="456"/>
        <v>0</v>
      </c>
      <c r="GS42" s="15">
        <f t="shared" si="457"/>
        <v>0</v>
      </c>
      <c r="GT42" s="15">
        <f t="shared" si="457"/>
        <v>0</v>
      </c>
      <c r="GU42" s="15">
        <f t="shared" si="457"/>
        <v>0</v>
      </c>
      <c r="GV42" s="15">
        <f t="shared" si="457"/>
        <v>0</v>
      </c>
      <c r="GW42" s="15">
        <f t="shared" si="457"/>
        <v>0</v>
      </c>
      <c r="GX42" s="15">
        <f t="shared" si="457"/>
        <v>0</v>
      </c>
      <c r="GY42" s="15">
        <f t="shared" si="457"/>
        <v>0</v>
      </c>
      <c r="GZ42" s="15">
        <f t="shared" si="457"/>
        <v>0</v>
      </c>
      <c r="HA42" s="15">
        <f t="shared" si="457"/>
        <v>0</v>
      </c>
      <c r="HB42" s="15">
        <f t="shared" si="457"/>
        <v>0</v>
      </c>
      <c r="HC42" s="15">
        <f t="shared" si="457"/>
        <v>0</v>
      </c>
      <c r="HD42" s="15">
        <f t="shared" si="457"/>
        <v>0</v>
      </c>
      <c r="HE42" s="15">
        <f t="shared" si="457"/>
        <v>0</v>
      </c>
      <c r="HF42" s="15">
        <f t="shared" si="457"/>
        <v>0</v>
      </c>
      <c r="HH42" s="15">
        <f t="shared" si="458"/>
        <v>253500000</v>
      </c>
      <c r="HI42" s="15">
        <f t="shared" si="458"/>
        <v>253500000</v>
      </c>
      <c r="HJ42" s="15">
        <f t="shared" si="458"/>
        <v>253500000</v>
      </c>
      <c r="HK42" s="15">
        <f t="shared" si="458"/>
        <v>253500000</v>
      </c>
      <c r="HL42" s="15">
        <f t="shared" si="458"/>
        <v>253500000</v>
      </c>
      <c r="HM42" s="15">
        <f t="shared" si="458"/>
        <v>253500000</v>
      </c>
      <c r="HN42" s="15">
        <f t="shared" si="458"/>
        <v>253500000</v>
      </c>
      <c r="HO42" s="15">
        <f t="shared" si="458"/>
        <v>253500000</v>
      </c>
      <c r="HP42" s="15">
        <f t="shared" si="458"/>
        <v>253500000</v>
      </c>
      <c r="HQ42" s="15">
        <f t="shared" si="458"/>
        <v>253500000</v>
      </c>
      <c r="HR42" s="15">
        <f t="shared" si="458"/>
        <v>253500000</v>
      </c>
      <c r="HS42" s="15">
        <f t="shared" si="458"/>
        <v>253500000</v>
      </c>
      <c r="HT42" s="15">
        <f t="shared" si="458"/>
        <v>0</v>
      </c>
      <c r="HU42" s="15">
        <f t="shared" si="458"/>
        <v>0</v>
      </c>
      <c r="HV42" s="15">
        <f t="shared" si="458"/>
        <v>0</v>
      </c>
      <c r="HW42" s="15">
        <f t="shared" si="458"/>
        <v>0</v>
      </c>
      <c r="HX42" s="15">
        <f t="shared" si="459"/>
        <v>0</v>
      </c>
      <c r="HY42" s="15">
        <f t="shared" si="459"/>
        <v>0</v>
      </c>
      <c r="HZ42" s="15">
        <f t="shared" si="459"/>
        <v>0</v>
      </c>
      <c r="IA42" s="15">
        <f t="shared" si="459"/>
        <v>0</v>
      </c>
      <c r="IB42" s="15">
        <f t="shared" si="459"/>
        <v>0</v>
      </c>
      <c r="IC42" s="15">
        <f t="shared" si="459"/>
        <v>0</v>
      </c>
      <c r="ID42" s="15">
        <f t="shared" si="459"/>
        <v>0</v>
      </c>
      <c r="IE42" s="15">
        <f t="shared" si="459"/>
        <v>0</v>
      </c>
      <c r="IF42" s="15">
        <f t="shared" si="459"/>
        <v>0</v>
      </c>
      <c r="IG42" s="15">
        <f t="shared" si="459"/>
        <v>0</v>
      </c>
      <c r="IH42" s="15">
        <f t="shared" si="459"/>
        <v>0</v>
      </c>
      <c r="II42" s="15">
        <f t="shared" si="459"/>
        <v>0</v>
      </c>
      <c r="IJ42" s="15">
        <f t="shared" si="459"/>
        <v>0</v>
      </c>
      <c r="IK42" s="15">
        <f t="shared" si="459"/>
        <v>0</v>
      </c>
      <c r="IM42" s="15">
        <f t="shared" si="460"/>
        <v>253500000</v>
      </c>
      <c r="IN42" s="15">
        <f t="shared" si="460"/>
        <v>253500000</v>
      </c>
      <c r="IO42" s="15">
        <f t="shared" si="460"/>
        <v>253500000</v>
      </c>
      <c r="IP42" s="15">
        <f t="shared" si="460"/>
        <v>253500000</v>
      </c>
      <c r="IQ42" s="15">
        <f t="shared" si="460"/>
        <v>253500000</v>
      </c>
      <c r="IR42" s="15">
        <f t="shared" si="460"/>
        <v>253500000</v>
      </c>
      <c r="IS42" s="15">
        <f t="shared" si="460"/>
        <v>253500000</v>
      </c>
      <c r="IT42" s="15">
        <f t="shared" si="460"/>
        <v>253500000</v>
      </c>
      <c r="IU42" s="15">
        <f t="shared" si="460"/>
        <v>253500000</v>
      </c>
      <c r="IV42" s="15">
        <f t="shared" si="460"/>
        <v>253500000</v>
      </c>
      <c r="IW42" s="15">
        <f t="shared" si="460"/>
        <v>253500000</v>
      </c>
      <c r="IX42" s="15">
        <f t="shared" si="460"/>
        <v>253500000</v>
      </c>
      <c r="IY42" s="15">
        <f t="shared" si="460"/>
        <v>0</v>
      </c>
      <c r="IZ42" s="15">
        <f t="shared" si="460"/>
        <v>0</v>
      </c>
      <c r="JA42" s="15">
        <f t="shared" si="460"/>
        <v>0</v>
      </c>
      <c r="JB42" s="15">
        <f t="shared" si="460"/>
        <v>0</v>
      </c>
      <c r="JC42" s="15">
        <f t="shared" si="461"/>
        <v>0</v>
      </c>
      <c r="JD42" s="15">
        <f t="shared" si="461"/>
        <v>0</v>
      </c>
      <c r="JE42" s="15">
        <f t="shared" si="461"/>
        <v>0</v>
      </c>
      <c r="JF42" s="15">
        <f t="shared" si="461"/>
        <v>0</v>
      </c>
      <c r="JG42" s="15">
        <f t="shared" si="461"/>
        <v>0</v>
      </c>
      <c r="JH42" s="15">
        <f t="shared" si="461"/>
        <v>0</v>
      </c>
      <c r="JI42" s="15">
        <f t="shared" si="461"/>
        <v>0</v>
      </c>
      <c r="JJ42" s="15">
        <f t="shared" si="461"/>
        <v>0</v>
      </c>
      <c r="JK42" s="15">
        <f t="shared" si="461"/>
        <v>0</v>
      </c>
      <c r="JL42" s="15">
        <f t="shared" si="461"/>
        <v>0</v>
      </c>
      <c r="JM42" s="15">
        <f t="shared" si="461"/>
        <v>0</v>
      </c>
      <c r="JN42" s="15">
        <f t="shared" si="461"/>
        <v>0</v>
      </c>
      <c r="JO42" s="15">
        <f t="shared" si="461"/>
        <v>0</v>
      </c>
      <c r="JP42" s="15">
        <f t="shared" si="461"/>
        <v>0</v>
      </c>
      <c r="JR42" s="15">
        <f t="shared" si="462"/>
        <v>253500000</v>
      </c>
      <c r="JS42" s="15">
        <f t="shared" si="462"/>
        <v>253500000</v>
      </c>
      <c r="JT42" s="15">
        <f t="shared" si="462"/>
        <v>253500000</v>
      </c>
      <c r="JU42" s="15">
        <f t="shared" si="462"/>
        <v>253500000</v>
      </c>
      <c r="JV42" s="15">
        <f t="shared" si="462"/>
        <v>253500000</v>
      </c>
      <c r="JW42" s="15">
        <f t="shared" si="462"/>
        <v>253500000</v>
      </c>
      <c r="JX42" s="15">
        <f t="shared" si="462"/>
        <v>253500000</v>
      </c>
      <c r="JY42" s="15">
        <f t="shared" si="462"/>
        <v>253500000</v>
      </c>
      <c r="JZ42" s="15">
        <f t="shared" si="462"/>
        <v>253500000</v>
      </c>
      <c r="KA42" s="15">
        <f t="shared" si="462"/>
        <v>253500000</v>
      </c>
      <c r="KB42" s="15">
        <f t="shared" si="462"/>
        <v>253500000</v>
      </c>
      <c r="KC42" s="15">
        <f t="shared" si="462"/>
        <v>253500000</v>
      </c>
      <c r="KD42" s="15">
        <f t="shared" si="462"/>
        <v>0</v>
      </c>
      <c r="KE42" s="15">
        <f t="shared" si="462"/>
        <v>0</v>
      </c>
      <c r="KF42" s="15">
        <f t="shared" si="462"/>
        <v>0</v>
      </c>
      <c r="KG42" s="15">
        <f t="shared" si="462"/>
        <v>0</v>
      </c>
      <c r="KH42" s="15">
        <f t="shared" si="463"/>
        <v>0</v>
      </c>
      <c r="KI42" s="15">
        <f t="shared" si="463"/>
        <v>0</v>
      </c>
      <c r="KJ42" s="15">
        <f t="shared" si="463"/>
        <v>0</v>
      </c>
      <c r="KK42" s="15">
        <f t="shared" si="463"/>
        <v>0</v>
      </c>
      <c r="KL42" s="15">
        <f t="shared" si="463"/>
        <v>0</v>
      </c>
      <c r="KM42" s="15">
        <f t="shared" si="463"/>
        <v>0</v>
      </c>
      <c r="KN42" s="15">
        <f t="shared" si="463"/>
        <v>0</v>
      </c>
      <c r="KO42" s="15">
        <f t="shared" si="463"/>
        <v>0</v>
      </c>
      <c r="KP42" s="15">
        <f t="shared" si="463"/>
        <v>0</v>
      </c>
      <c r="KQ42" s="15">
        <f t="shared" si="463"/>
        <v>0</v>
      </c>
      <c r="KR42" s="15">
        <f t="shared" si="463"/>
        <v>0</v>
      </c>
      <c r="KS42" s="15">
        <f t="shared" si="463"/>
        <v>0</v>
      </c>
      <c r="KT42" s="15">
        <f t="shared" si="463"/>
        <v>0</v>
      </c>
      <c r="KU42" s="15">
        <f t="shared" si="463"/>
        <v>0</v>
      </c>
      <c r="KW42" s="15">
        <f t="shared" si="464"/>
        <v>253500000</v>
      </c>
      <c r="KX42" s="15">
        <f t="shared" si="464"/>
        <v>253500000</v>
      </c>
      <c r="KY42" s="15">
        <f t="shared" si="464"/>
        <v>253500000</v>
      </c>
      <c r="KZ42" s="15">
        <f t="shared" si="464"/>
        <v>253500000</v>
      </c>
      <c r="LA42" s="15">
        <f t="shared" si="464"/>
        <v>253500000</v>
      </c>
      <c r="LB42" s="15">
        <f t="shared" si="464"/>
        <v>253500000</v>
      </c>
      <c r="LC42" s="15">
        <f t="shared" si="464"/>
        <v>253500000</v>
      </c>
      <c r="LD42" s="15">
        <f t="shared" si="464"/>
        <v>253500000</v>
      </c>
      <c r="LE42" s="15">
        <f t="shared" si="464"/>
        <v>253500000</v>
      </c>
      <c r="LF42" s="15">
        <f t="shared" si="464"/>
        <v>253500000</v>
      </c>
      <c r="LG42" s="15">
        <f t="shared" si="464"/>
        <v>253500000</v>
      </c>
      <c r="LH42" s="15">
        <f t="shared" si="464"/>
        <v>253500000</v>
      </c>
      <c r="LI42" s="15">
        <f t="shared" si="464"/>
        <v>0</v>
      </c>
      <c r="LJ42" s="15">
        <f t="shared" si="464"/>
        <v>0</v>
      </c>
      <c r="LK42" s="15">
        <f t="shared" si="464"/>
        <v>0</v>
      </c>
      <c r="LL42" s="15">
        <f t="shared" si="464"/>
        <v>0</v>
      </c>
      <c r="LM42" s="15">
        <f t="shared" si="465"/>
        <v>0</v>
      </c>
      <c r="LN42" s="15">
        <f t="shared" si="465"/>
        <v>0</v>
      </c>
      <c r="LO42" s="15">
        <f t="shared" si="465"/>
        <v>0</v>
      </c>
      <c r="LP42" s="15">
        <f t="shared" si="465"/>
        <v>0</v>
      </c>
      <c r="LQ42" s="15">
        <f t="shared" si="465"/>
        <v>0</v>
      </c>
      <c r="LR42" s="15">
        <f t="shared" si="465"/>
        <v>0</v>
      </c>
      <c r="LS42" s="15">
        <f t="shared" si="465"/>
        <v>0</v>
      </c>
      <c r="LT42" s="15">
        <f t="shared" si="465"/>
        <v>0</v>
      </c>
      <c r="LU42" s="15">
        <f t="shared" si="465"/>
        <v>0</v>
      </c>
      <c r="LV42" s="15">
        <f t="shared" si="465"/>
        <v>0</v>
      </c>
      <c r="LW42" s="15">
        <f t="shared" si="465"/>
        <v>0</v>
      </c>
      <c r="LX42" s="15">
        <f t="shared" si="465"/>
        <v>0</v>
      </c>
      <c r="LY42" s="15">
        <f t="shared" si="465"/>
        <v>0</v>
      </c>
      <c r="LZ42" s="15">
        <f t="shared" si="465"/>
        <v>0</v>
      </c>
      <c r="MB42" s="15">
        <f t="shared" si="466"/>
        <v>253500000</v>
      </c>
      <c r="MC42" s="15">
        <f t="shared" si="466"/>
        <v>253500000</v>
      </c>
      <c r="MD42" s="15">
        <f t="shared" si="466"/>
        <v>253500000</v>
      </c>
      <c r="ME42" s="15">
        <f t="shared" si="466"/>
        <v>253500000</v>
      </c>
      <c r="MF42" s="15">
        <f t="shared" si="466"/>
        <v>253500000</v>
      </c>
      <c r="MG42" s="15">
        <f t="shared" si="466"/>
        <v>253500000</v>
      </c>
      <c r="MH42" s="15">
        <f t="shared" si="466"/>
        <v>253500000</v>
      </c>
      <c r="MI42" s="15">
        <f t="shared" si="466"/>
        <v>253500000</v>
      </c>
      <c r="MJ42" s="15">
        <f t="shared" si="466"/>
        <v>253500000</v>
      </c>
      <c r="MK42" s="15">
        <f t="shared" si="466"/>
        <v>253500000</v>
      </c>
      <c r="ML42" s="15">
        <f t="shared" si="466"/>
        <v>253500000</v>
      </c>
      <c r="MM42" s="15">
        <f t="shared" si="466"/>
        <v>253500000</v>
      </c>
      <c r="MN42" s="15">
        <f t="shared" si="466"/>
        <v>0</v>
      </c>
      <c r="MO42" s="15">
        <f t="shared" si="466"/>
        <v>0</v>
      </c>
      <c r="MP42" s="15">
        <f t="shared" si="466"/>
        <v>0</v>
      </c>
      <c r="MQ42" s="15">
        <f t="shared" si="466"/>
        <v>0</v>
      </c>
      <c r="MR42" s="15">
        <f t="shared" si="467"/>
        <v>0</v>
      </c>
      <c r="MS42" s="15">
        <f t="shared" si="467"/>
        <v>0</v>
      </c>
      <c r="MT42" s="15">
        <f t="shared" si="467"/>
        <v>0</v>
      </c>
      <c r="MU42" s="15">
        <f t="shared" si="467"/>
        <v>0</v>
      </c>
      <c r="MV42" s="15">
        <f t="shared" si="467"/>
        <v>0</v>
      </c>
      <c r="MW42" s="15">
        <f t="shared" si="467"/>
        <v>0</v>
      </c>
      <c r="MX42" s="15">
        <f t="shared" si="467"/>
        <v>0</v>
      </c>
      <c r="MY42" s="15">
        <f t="shared" si="467"/>
        <v>0</v>
      </c>
      <c r="MZ42" s="15">
        <f t="shared" si="467"/>
        <v>0</v>
      </c>
      <c r="NA42" s="15">
        <f t="shared" si="467"/>
        <v>0</v>
      </c>
      <c r="NB42" s="15">
        <f t="shared" si="467"/>
        <v>0</v>
      </c>
      <c r="NC42" s="15">
        <f t="shared" si="467"/>
        <v>0</v>
      </c>
      <c r="ND42" s="15">
        <f t="shared" si="467"/>
        <v>0</v>
      </c>
      <c r="NE42" s="15">
        <f t="shared" si="467"/>
        <v>0</v>
      </c>
    </row>
    <row r="43" spans="1:369" outlineLevel="1" x14ac:dyDescent="0.25">
      <c r="B43" t="s">
        <v>345</v>
      </c>
      <c r="C43" s="623" t="s">
        <v>246</v>
      </c>
      <c r="D43" s="613" t="s">
        <v>230</v>
      </c>
      <c r="E43" s="468">
        <v>1</v>
      </c>
      <c r="F43" s="221"/>
      <c r="G43" s="457">
        <v>12</v>
      </c>
      <c r="H43" s="468">
        <f>(625000000/$D$6)*1.04</f>
        <v>650000000</v>
      </c>
      <c r="I43" s="457">
        <f t="shared" si="419"/>
        <v>650000000</v>
      </c>
      <c r="J43" s="457">
        <f t="shared" si="420"/>
        <v>54166666.666666664</v>
      </c>
      <c r="K43" s="221"/>
      <c r="L43" s="457">
        <v>12</v>
      </c>
      <c r="M43" s="457">
        <f t="shared" si="421"/>
        <v>650000000</v>
      </c>
      <c r="N43" s="457">
        <f t="shared" si="422"/>
        <v>650000000</v>
      </c>
      <c r="O43" s="457">
        <f t="shared" si="423"/>
        <v>54166666.666666664</v>
      </c>
      <c r="P43" s="221"/>
      <c r="Q43" s="457">
        <v>12</v>
      </c>
      <c r="R43" s="457">
        <f t="shared" si="424"/>
        <v>650000000</v>
      </c>
      <c r="S43" s="457">
        <f t="shared" si="425"/>
        <v>650000000</v>
      </c>
      <c r="T43" s="457">
        <f t="shared" si="426"/>
        <v>54166666.666666664</v>
      </c>
      <c r="U43" s="221"/>
      <c r="V43" s="457">
        <v>12</v>
      </c>
      <c r="W43" s="457">
        <f t="shared" si="427"/>
        <v>650000000</v>
      </c>
      <c r="X43" s="457">
        <f t="shared" si="428"/>
        <v>650000000</v>
      </c>
      <c r="Y43" s="457">
        <f t="shared" si="429"/>
        <v>54166666.666666664</v>
      </c>
      <c r="Z43" s="221"/>
      <c r="AA43" s="457">
        <v>12</v>
      </c>
      <c r="AB43" s="457">
        <f t="shared" si="430"/>
        <v>650000000</v>
      </c>
      <c r="AC43" s="457">
        <f t="shared" si="431"/>
        <v>650000000</v>
      </c>
      <c r="AD43" s="457">
        <f t="shared" si="432"/>
        <v>54166666.666666664</v>
      </c>
      <c r="AE43" s="221"/>
      <c r="AF43" s="457">
        <v>12</v>
      </c>
      <c r="AG43" s="457">
        <f t="shared" si="433"/>
        <v>650000000</v>
      </c>
      <c r="AH43" s="457">
        <f t="shared" si="434"/>
        <v>650000000</v>
      </c>
      <c r="AI43" s="457">
        <f t="shared" si="435"/>
        <v>54166666.666666664</v>
      </c>
      <c r="AJ43" s="221"/>
      <c r="AK43" s="457">
        <v>12</v>
      </c>
      <c r="AL43" s="457">
        <f t="shared" si="436"/>
        <v>650000000</v>
      </c>
      <c r="AM43" s="457">
        <f t="shared" si="437"/>
        <v>650000000</v>
      </c>
      <c r="AN43" s="457">
        <f t="shared" si="438"/>
        <v>54166666.666666664</v>
      </c>
      <c r="AO43" s="221"/>
      <c r="AP43" s="457">
        <v>12</v>
      </c>
      <c r="AQ43" s="457">
        <f t="shared" si="439"/>
        <v>650000000</v>
      </c>
      <c r="AR43" s="457">
        <f t="shared" si="440"/>
        <v>650000000</v>
      </c>
      <c r="AS43" s="457">
        <f t="shared" si="441"/>
        <v>54166666.666666664</v>
      </c>
      <c r="AT43" s="221"/>
      <c r="AU43" s="457">
        <v>12</v>
      </c>
      <c r="AV43" s="457">
        <f t="shared" si="442"/>
        <v>650000000</v>
      </c>
      <c r="AW43" s="457">
        <f t="shared" si="443"/>
        <v>650000000</v>
      </c>
      <c r="AX43" s="457">
        <f t="shared" si="444"/>
        <v>54166666.666666664</v>
      </c>
      <c r="AY43" s="221"/>
      <c r="AZ43" s="457">
        <v>12</v>
      </c>
      <c r="BA43" s="457">
        <f t="shared" si="445"/>
        <v>650000000</v>
      </c>
      <c r="BB43" s="457">
        <f t="shared" si="446"/>
        <v>650000000</v>
      </c>
      <c r="BC43" s="457">
        <f t="shared" si="447"/>
        <v>54166666.666666664</v>
      </c>
      <c r="BD43" s="221"/>
      <c r="BG43" t="s">
        <v>337</v>
      </c>
      <c r="BI43" s="15">
        <f t="shared" si="448"/>
        <v>54166666.666666664</v>
      </c>
      <c r="BJ43" s="15">
        <f t="shared" si="448"/>
        <v>54166666.666666664</v>
      </c>
      <c r="BK43" s="15">
        <f t="shared" si="448"/>
        <v>54166666.666666664</v>
      </c>
      <c r="BL43" s="15">
        <f t="shared" si="448"/>
        <v>54166666.666666664</v>
      </c>
      <c r="BM43" s="15">
        <f t="shared" si="448"/>
        <v>54166666.666666664</v>
      </c>
      <c r="BN43" s="15">
        <f t="shared" si="448"/>
        <v>54166666.666666664</v>
      </c>
      <c r="BO43" s="15">
        <f t="shared" si="448"/>
        <v>54166666.666666664</v>
      </c>
      <c r="BP43" s="15">
        <f t="shared" si="448"/>
        <v>54166666.666666664</v>
      </c>
      <c r="BQ43" s="15">
        <f t="shared" si="448"/>
        <v>54166666.666666664</v>
      </c>
      <c r="BR43" s="15">
        <f t="shared" si="448"/>
        <v>54166666.666666664</v>
      </c>
      <c r="BS43" s="15">
        <f t="shared" si="448"/>
        <v>54166666.666666664</v>
      </c>
      <c r="BT43" s="15">
        <f t="shared" si="448"/>
        <v>54166666.666666664</v>
      </c>
      <c r="BU43" s="15">
        <f t="shared" si="448"/>
        <v>0</v>
      </c>
      <c r="BV43" s="15">
        <f t="shared" si="448"/>
        <v>0</v>
      </c>
      <c r="BW43" s="15">
        <f t="shared" si="448"/>
        <v>0</v>
      </c>
      <c r="BX43" s="15">
        <f t="shared" si="448"/>
        <v>0</v>
      </c>
      <c r="BY43" s="15">
        <f t="shared" si="449"/>
        <v>0</v>
      </c>
      <c r="BZ43" s="15">
        <f t="shared" si="449"/>
        <v>0</v>
      </c>
      <c r="CA43" s="15">
        <f t="shared" si="449"/>
        <v>0</v>
      </c>
      <c r="CB43" s="15">
        <f t="shared" si="449"/>
        <v>0</v>
      </c>
      <c r="CC43" s="15">
        <f t="shared" si="449"/>
        <v>0</v>
      </c>
      <c r="CD43" s="15">
        <f t="shared" si="449"/>
        <v>0</v>
      </c>
      <c r="CE43" s="15">
        <f t="shared" si="449"/>
        <v>0</v>
      </c>
      <c r="CF43" s="15">
        <f t="shared" si="449"/>
        <v>0</v>
      </c>
      <c r="CG43" s="15">
        <f t="shared" si="449"/>
        <v>0</v>
      </c>
      <c r="CH43" s="15">
        <f t="shared" si="449"/>
        <v>0</v>
      </c>
      <c r="CI43" s="15">
        <f t="shared" si="449"/>
        <v>0</v>
      </c>
      <c r="CJ43" s="15">
        <f t="shared" si="449"/>
        <v>0</v>
      </c>
      <c r="CK43" s="15">
        <f t="shared" si="449"/>
        <v>0</v>
      </c>
      <c r="CL43" s="15">
        <f t="shared" si="449"/>
        <v>0</v>
      </c>
      <c r="CN43" s="15">
        <f t="shared" si="450"/>
        <v>54166666.666666664</v>
      </c>
      <c r="CO43" s="15">
        <f t="shared" si="450"/>
        <v>54166666.666666664</v>
      </c>
      <c r="CP43" s="15">
        <f t="shared" si="450"/>
        <v>54166666.666666664</v>
      </c>
      <c r="CQ43" s="15">
        <f t="shared" si="450"/>
        <v>54166666.666666664</v>
      </c>
      <c r="CR43" s="15">
        <f t="shared" si="450"/>
        <v>54166666.666666664</v>
      </c>
      <c r="CS43" s="15">
        <f t="shared" si="450"/>
        <v>54166666.666666664</v>
      </c>
      <c r="CT43" s="15">
        <f t="shared" si="450"/>
        <v>54166666.666666664</v>
      </c>
      <c r="CU43" s="15">
        <f t="shared" si="450"/>
        <v>54166666.666666664</v>
      </c>
      <c r="CV43" s="15">
        <f t="shared" si="450"/>
        <v>54166666.666666664</v>
      </c>
      <c r="CW43" s="15">
        <f t="shared" si="450"/>
        <v>54166666.666666664</v>
      </c>
      <c r="CX43" s="15">
        <f t="shared" si="450"/>
        <v>54166666.666666664</v>
      </c>
      <c r="CY43" s="15">
        <f t="shared" si="450"/>
        <v>54166666.666666664</v>
      </c>
      <c r="CZ43" s="15">
        <f t="shared" si="450"/>
        <v>0</v>
      </c>
      <c r="DA43" s="15">
        <f t="shared" si="450"/>
        <v>0</v>
      </c>
      <c r="DB43" s="15">
        <f t="shared" si="450"/>
        <v>0</v>
      </c>
      <c r="DC43" s="15">
        <f t="shared" si="450"/>
        <v>0</v>
      </c>
      <c r="DD43" s="15">
        <f t="shared" si="451"/>
        <v>0</v>
      </c>
      <c r="DE43" s="15">
        <f t="shared" si="451"/>
        <v>0</v>
      </c>
      <c r="DF43" s="15">
        <f t="shared" si="451"/>
        <v>0</v>
      </c>
      <c r="DG43" s="15">
        <f t="shared" si="451"/>
        <v>0</v>
      </c>
      <c r="DH43" s="15">
        <f t="shared" si="451"/>
        <v>0</v>
      </c>
      <c r="DI43" s="15">
        <f t="shared" si="451"/>
        <v>0</v>
      </c>
      <c r="DJ43" s="15">
        <f t="shared" si="451"/>
        <v>0</v>
      </c>
      <c r="DK43" s="15">
        <f t="shared" si="451"/>
        <v>0</v>
      </c>
      <c r="DL43" s="15">
        <f t="shared" si="451"/>
        <v>0</v>
      </c>
      <c r="DM43" s="15">
        <f t="shared" si="451"/>
        <v>0</v>
      </c>
      <c r="DN43" s="15">
        <f t="shared" si="451"/>
        <v>0</v>
      </c>
      <c r="DO43" s="15">
        <f t="shared" si="451"/>
        <v>0</v>
      </c>
      <c r="DP43" s="15">
        <f t="shared" si="451"/>
        <v>0</v>
      </c>
      <c r="DQ43" s="15">
        <f t="shared" si="451"/>
        <v>0</v>
      </c>
      <c r="DS43" s="15">
        <f t="shared" si="452"/>
        <v>54166666.666666664</v>
      </c>
      <c r="DT43" s="15">
        <f t="shared" si="452"/>
        <v>54166666.666666664</v>
      </c>
      <c r="DU43" s="15">
        <f t="shared" si="452"/>
        <v>54166666.666666664</v>
      </c>
      <c r="DV43" s="15">
        <f t="shared" si="452"/>
        <v>54166666.666666664</v>
      </c>
      <c r="DW43" s="15">
        <f t="shared" si="452"/>
        <v>54166666.666666664</v>
      </c>
      <c r="DX43" s="15">
        <f t="shared" si="452"/>
        <v>54166666.666666664</v>
      </c>
      <c r="DY43" s="15">
        <f t="shared" si="452"/>
        <v>54166666.666666664</v>
      </c>
      <c r="DZ43" s="15">
        <f t="shared" si="452"/>
        <v>54166666.666666664</v>
      </c>
      <c r="EA43" s="15">
        <f t="shared" si="452"/>
        <v>54166666.666666664</v>
      </c>
      <c r="EB43" s="15">
        <f t="shared" si="452"/>
        <v>54166666.666666664</v>
      </c>
      <c r="EC43" s="15">
        <f t="shared" si="452"/>
        <v>54166666.666666664</v>
      </c>
      <c r="ED43" s="15">
        <f t="shared" si="452"/>
        <v>54166666.666666664</v>
      </c>
      <c r="EE43" s="15">
        <f t="shared" si="452"/>
        <v>0</v>
      </c>
      <c r="EF43" s="15">
        <f t="shared" si="452"/>
        <v>0</v>
      </c>
      <c r="EG43" s="15">
        <f t="shared" si="452"/>
        <v>0</v>
      </c>
      <c r="EH43" s="15">
        <f t="shared" si="452"/>
        <v>0</v>
      </c>
      <c r="EI43" s="15">
        <f t="shared" si="453"/>
        <v>0</v>
      </c>
      <c r="EJ43" s="15">
        <f t="shared" si="453"/>
        <v>0</v>
      </c>
      <c r="EK43" s="15">
        <f t="shared" si="453"/>
        <v>0</v>
      </c>
      <c r="EL43" s="15">
        <f t="shared" si="453"/>
        <v>0</v>
      </c>
      <c r="EM43" s="15">
        <f t="shared" si="453"/>
        <v>0</v>
      </c>
      <c r="EN43" s="15">
        <f t="shared" si="453"/>
        <v>0</v>
      </c>
      <c r="EO43" s="15">
        <f t="shared" si="453"/>
        <v>0</v>
      </c>
      <c r="EP43" s="15">
        <f t="shared" si="453"/>
        <v>0</v>
      </c>
      <c r="EQ43" s="15">
        <f t="shared" si="453"/>
        <v>0</v>
      </c>
      <c r="ER43" s="15">
        <f t="shared" si="453"/>
        <v>0</v>
      </c>
      <c r="ES43" s="15">
        <f t="shared" si="453"/>
        <v>0</v>
      </c>
      <c r="ET43" s="15">
        <f t="shared" si="453"/>
        <v>0</v>
      </c>
      <c r="EU43" s="15">
        <f t="shared" si="453"/>
        <v>0</v>
      </c>
      <c r="EV43" s="15">
        <f t="shared" si="453"/>
        <v>0</v>
      </c>
      <c r="EX43" s="15">
        <f t="shared" si="454"/>
        <v>54166666.666666664</v>
      </c>
      <c r="EY43" s="15">
        <f t="shared" si="454"/>
        <v>54166666.666666664</v>
      </c>
      <c r="EZ43" s="15">
        <f t="shared" si="454"/>
        <v>54166666.666666664</v>
      </c>
      <c r="FA43" s="15">
        <f t="shared" si="454"/>
        <v>54166666.666666664</v>
      </c>
      <c r="FB43" s="15">
        <f t="shared" si="454"/>
        <v>54166666.666666664</v>
      </c>
      <c r="FC43" s="15">
        <f t="shared" si="454"/>
        <v>54166666.666666664</v>
      </c>
      <c r="FD43" s="15">
        <f t="shared" si="454"/>
        <v>54166666.666666664</v>
      </c>
      <c r="FE43" s="15">
        <f t="shared" si="454"/>
        <v>54166666.666666664</v>
      </c>
      <c r="FF43" s="15">
        <f t="shared" si="454"/>
        <v>54166666.666666664</v>
      </c>
      <c r="FG43" s="15">
        <f t="shared" si="454"/>
        <v>54166666.666666664</v>
      </c>
      <c r="FH43" s="15">
        <f t="shared" si="454"/>
        <v>54166666.666666664</v>
      </c>
      <c r="FI43" s="15">
        <f t="shared" si="454"/>
        <v>54166666.666666664</v>
      </c>
      <c r="FJ43" s="15">
        <f t="shared" si="454"/>
        <v>0</v>
      </c>
      <c r="FK43" s="15">
        <f t="shared" si="454"/>
        <v>0</v>
      </c>
      <c r="FL43" s="15">
        <f t="shared" si="454"/>
        <v>0</v>
      </c>
      <c r="FM43" s="15">
        <f t="shared" si="454"/>
        <v>0</v>
      </c>
      <c r="FN43" s="15">
        <f t="shared" si="455"/>
        <v>0</v>
      </c>
      <c r="FO43" s="15">
        <f t="shared" si="455"/>
        <v>0</v>
      </c>
      <c r="FP43" s="15">
        <f t="shared" si="455"/>
        <v>0</v>
      </c>
      <c r="FQ43" s="15">
        <f t="shared" si="455"/>
        <v>0</v>
      </c>
      <c r="FR43" s="15">
        <f t="shared" si="455"/>
        <v>0</v>
      </c>
      <c r="FS43" s="15">
        <f t="shared" si="455"/>
        <v>0</v>
      </c>
      <c r="FT43" s="15">
        <f t="shared" si="455"/>
        <v>0</v>
      </c>
      <c r="FU43" s="15">
        <f t="shared" si="455"/>
        <v>0</v>
      </c>
      <c r="FV43" s="15">
        <f t="shared" si="455"/>
        <v>0</v>
      </c>
      <c r="FW43" s="15">
        <f t="shared" si="455"/>
        <v>0</v>
      </c>
      <c r="FX43" s="15">
        <f t="shared" si="455"/>
        <v>0</v>
      </c>
      <c r="FY43" s="15">
        <f t="shared" si="455"/>
        <v>0</v>
      </c>
      <c r="FZ43" s="15">
        <f t="shared" si="455"/>
        <v>0</v>
      </c>
      <c r="GA43" s="15">
        <f t="shared" si="455"/>
        <v>0</v>
      </c>
      <c r="GC43" s="15">
        <f t="shared" si="456"/>
        <v>54166666.666666664</v>
      </c>
      <c r="GD43" s="15">
        <f t="shared" si="456"/>
        <v>54166666.666666664</v>
      </c>
      <c r="GE43" s="15">
        <f t="shared" si="456"/>
        <v>54166666.666666664</v>
      </c>
      <c r="GF43" s="15">
        <f t="shared" si="456"/>
        <v>54166666.666666664</v>
      </c>
      <c r="GG43" s="15">
        <f t="shared" si="456"/>
        <v>54166666.666666664</v>
      </c>
      <c r="GH43" s="15">
        <f t="shared" si="456"/>
        <v>54166666.666666664</v>
      </c>
      <c r="GI43" s="15">
        <f t="shared" si="456"/>
        <v>54166666.666666664</v>
      </c>
      <c r="GJ43" s="15">
        <f t="shared" si="456"/>
        <v>54166666.666666664</v>
      </c>
      <c r="GK43" s="15">
        <f t="shared" si="456"/>
        <v>54166666.666666664</v>
      </c>
      <c r="GL43" s="15">
        <f t="shared" si="456"/>
        <v>54166666.666666664</v>
      </c>
      <c r="GM43" s="15">
        <f t="shared" si="456"/>
        <v>54166666.666666664</v>
      </c>
      <c r="GN43" s="15">
        <f t="shared" si="456"/>
        <v>54166666.666666664</v>
      </c>
      <c r="GO43" s="15">
        <f t="shared" si="456"/>
        <v>0</v>
      </c>
      <c r="GP43" s="15">
        <f t="shared" si="456"/>
        <v>0</v>
      </c>
      <c r="GQ43" s="15">
        <f t="shared" si="456"/>
        <v>0</v>
      </c>
      <c r="GR43" s="15">
        <f t="shared" si="456"/>
        <v>0</v>
      </c>
      <c r="GS43" s="15">
        <f t="shared" si="457"/>
        <v>0</v>
      </c>
      <c r="GT43" s="15">
        <f t="shared" si="457"/>
        <v>0</v>
      </c>
      <c r="GU43" s="15">
        <f t="shared" si="457"/>
        <v>0</v>
      </c>
      <c r="GV43" s="15">
        <f t="shared" si="457"/>
        <v>0</v>
      </c>
      <c r="GW43" s="15">
        <f t="shared" si="457"/>
        <v>0</v>
      </c>
      <c r="GX43" s="15">
        <f t="shared" si="457"/>
        <v>0</v>
      </c>
      <c r="GY43" s="15">
        <f t="shared" si="457"/>
        <v>0</v>
      </c>
      <c r="GZ43" s="15">
        <f t="shared" si="457"/>
        <v>0</v>
      </c>
      <c r="HA43" s="15">
        <f t="shared" si="457"/>
        <v>0</v>
      </c>
      <c r="HB43" s="15">
        <f t="shared" si="457"/>
        <v>0</v>
      </c>
      <c r="HC43" s="15">
        <f t="shared" si="457"/>
        <v>0</v>
      </c>
      <c r="HD43" s="15">
        <f t="shared" si="457"/>
        <v>0</v>
      </c>
      <c r="HE43" s="15">
        <f t="shared" si="457"/>
        <v>0</v>
      </c>
      <c r="HF43" s="15">
        <f t="shared" si="457"/>
        <v>0</v>
      </c>
      <c r="HH43" s="15">
        <f t="shared" si="458"/>
        <v>54166666.666666664</v>
      </c>
      <c r="HI43" s="15">
        <f t="shared" si="458"/>
        <v>54166666.666666664</v>
      </c>
      <c r="HJ43" s="15">
        <f t="shared" si="458"/>
        <v>54166666.666666664</v>
      </c>
      <c r="HK43" s="15">
        <f t="shared" si="458"/>
        <v>54166666.666666664</v>
      </c>
      <c r="HL43" s="15">
        <f t="shared" si="458"/>
        <v>54166666.666666664</v>
      </c>
      <c r="HM43" s="15">
        <f t="shared" si="458"/>
        <v>54166666.666666664</v>
      </c>
      <c r="HN43" s="15">
        <f t="shared" si="458"/>
        <v>54166666.666666664</v>
      </c>
      <c r="HO43" s="15">
        <f t="shared" si="458"/>
        <v>54166666.666666664</v>
      </c>
      <c r="HP43" s="15">
        <f t="shared" si="458"/>
        <v>54166666.666666664</v>
      </c>
      <c r="HQ43" s="15">
        <f t="shared" si="458"/>
        <v>54166666.666666664</v>
      </c>
      <c r="HR43" s="15">
        <f t="shared" si="458"/>
        <v>54166666.666666664</v>
      </c>
      <c r="HS43" s="15">
        <f t="shared" si="458"/>
        <v>54166666.666666664</v>
      </c>
      <c r="HT43" s="15">
        <f t="shared" si="458"/>
        <v>0</v>
      </c>
      <c r="HU43" s="15">
        <f t="shared" si="458"/>
        <v>0</v>
      </c>
      <c r="HV43" s="15">
        <f t="shared" si="458"/>
        <v>0</v>
      </c>
      <c r="HW43" s="15">
        <f t="shared" si="458"/>
        <v>0</v>
      </c>
      <c r="HX43" s="15">
        <f t="shared" si="459"/>
        <v>0</v>
      </c>
      <c r="HY43" s="15">
        <f t="shared" si="459"/>
        <v>0</v>
      </c>
      <c r="HZ43" s="15">
        <f t="shared" si="459"/>
        <v>0</v>
      </c>
      <c r="IA43" s="15">
        <f t="shared" si="459"/>
        <v>0</v>
      </c>
      <c r="IB43" s="15">
        <f t="shared" si="459"/>
        <v>0</v>
      </c>
      <c r="IC43" s="15">
        <f t="shared" si="459"/>
        <v>0</v>
      </c>
      <c r="ID43" s="15">
        <f t="shared" si="459"/>
        <v>0</v>
      </c>
      <c r="IE43" s="15">
        <f t="shared" si="459"/>
        <v>0</v>
      </c>
      <c r="IF43" s="15">
        <f t="shared" si="459"/>
        <v>0</v>
      </c>
      <c r="IG43" s="15">
        <f t="shared" si="459"/>
        <v>0</v>
      </c>
      <c r="IH43" s="15">
        <f t="shared" si="459"/>
        <v>0</v>
      </c>
      <c r="II43" s="15">
        <f t="shared" si="459"/>
        <v>0</v>
      </c>
      <c r="IJ43" s="15">
        <f t="shared" si="459"/>
        <v>0</v>
      </c>
      <c r="IK43" s="15">
        <f t="shared" si="459"/>
        <v>0</v>
      </c>
      <c r="IM43" s="15">
        <f t="shared" si="460"/>
        <v>54166666.666666664</v>
      </c>
      <c r="IN43" s="15">
        <f t="shared" si="460"/>
        <v>54166666.666666664</v>
      </c>
      <c r="IO43" s="15">
        <f t="shared" si="460"/>
        <v>54166666.666666664</v>
      </c>
      <c r="IP43" s="15">
        <f t="shared" si="460"/>
        <v>54166666.666666664</v>
      </c>
      <c r="IQ43" s="15">
        <f t="shared" si="460"/>
        <v>54166666.666666664</v>
      </c>
      <c r="IR43" s="15">
        <f t="shared" si="460"/>
        <v>54166666.666666664</v>
      </c>
      <c r="IS43" s="15">
        <f t="shared" si="460"/>
        <v>54166666.666666664</v>
      </c>
      <c r="IT43" s="15">
        <f t="shared" si="460"/>
        <v>54166666.666666664</v>
      </c>
      <c r="IU43" s="15">
        <f t="shared" si="460"/>
        <v>54166666.666666664</v>
      </c>
      <c r="IV43" s="15">
        <f t="shared" si="460"/>
        <v>54166666.666666664</v>
      </c>
      <c r="IW43" s="15">
        <f t="shared" si="460"/>
        <v>54166666.666666664</v>
      </c>
      <c r="IX43" s="15">
        <f t="shared" si="460"/>
        <v>54166666.666666664</v>
      </c>
      <c r="IY43" s="15">
        <f t="shared" si="460"/>
        <v>0</v>
      </c>
      <c r="IZ43" s="15">
        <f t="shared" si="460"/>
        <v>0</v>
      </c>
      <c r="JA43" s="15">
        <f t="shared" si="460"/>
        <v>0</v>
      </c>
      <c r="JB43" s="15">
        <f t="shared" si="460"/>
        <v>0</v>
      </c>
      <c r="JC43" s="15">
        <f t="shared" si="461"/>
        <v>0</v>
      </c>
      <c r="JD43" s="15">
        <f t="shared" si="461"/>
        <v>0</v>
      </c>
      <c r="JE43" s="15">
        <f t="shared" si="461"/>
        <v>0</v>
      </c>
      <c r="JF43" s="15">
        <f t="shared" si="461"/>
        <v>0</v>
      </c>
      <c r="JG43" s="15">
        <f t="shared" si="461"/>
        <v>0</v>
      </c>
      <c r="JH43" s="15">
        <f t="shared" si="461"/>
        <v>0</v>
      </c>
      <c r="JI43" s="15">
        <f t="shared" si="461"/>
        <v>0</v>
      </c>
      <c r="JJ43" s="15">
        <f t="shared" si="461"/>
        <v>0</v>
      </c>
      <c r="JK43" s="15">
        <f t="shared" si="461"/>
        <v>0</v>
      </c>
      <c r="JL43" s="15">
        <f t="shared" si="461"/>
        <v>0</v>
      </c>
      <c r="JM43" s="15">
        <f t="shared" si="461"/>
        <v>0</v>
      </c>
      <c r="JN43" s="15">
        <f t="shared" si="461"/>
        <v>0</v>
      </c>
      <c r="JO43" s="15">
        <f t="shared" si="461"/>
        <v>0</v>
      </c>
      <c r="JP43" s="15">
        <f t="shared" si="461"/>
        <v>0</v>
      </c>
      <c r="JR43" s="15">
        <f t="shared" si="462"/>
        <v>54166666.666666664</v>
      </c>
      <c r="JS43" s="15">
        <f t="shared" si="462"/>
        <v>54166666.666666664</v>
      </c>
      <c r="JT43" s="15">
        <f t="shared" si="462"/>
        <v>54166666.666666664</v>
      </c>
      <c r="JU43" s="15">
        <f t="shared" si="462"/>
        <v>54166666.666666664</v>
      </c>
      <c r="JV43" s="15">
        <f t="shared" si="462"/>
        <v>54166666.666666664</v>
      </c>
      <c r="JW43" s="15">
        <f t="shared" si="462"/>
        <v>54166666.666666664</v>
      </c>
      <c r="JX43" s="15">
        <f t="shared" si="462"/>
        <v>54166666.666666664</v>
      </c>
      <c r="JY43" s="15">
        <f t="shared" si="462"/>
        <v>54166666.666666664</v>
      </c>
      <c r="JZ43" s="15">
        <f t="shared" si="462"/>
        <v>54166666.666666664</v>
      </c>
      <c r="KA43" s="15">
        <f t="shared" si="462"/>
        <v>54166666.666666664</v>
      </c>
      <c r="KB43" s="15">
        <f t="shared" si="462"/>
        <v>54166666.666666664</v>
      </c>
      <c r="KC43" s="15">
        <f t="shared" si="462"/>
        <v>54166666.666666664</v>
      </c>
      <c r="KD43" s="15">
        <f t="shared" si="462"/>
        <v>0</v>
      </c>
      <c r="KE43" s="15">
        <f t="shared" si="462"/>
        <v>0</v>
      </c>
      <c r="KF43" s="15">
        <f t="shared" si="462"/>
        <v>0</v>
      </c>
      <c r="KG43" s="15">
        <f t="shared" si="462"/>
        <v>0</v>
      </c>
      <c r="KH43" s="15">
        <f t="shared" si="463"/>
        <v>0</v>
      </c>
      <c r="KI43" s="15">
        <f t="shared" si="463"/>
        <v>0</v>
      </c>
      <c r="KJ43" s="15">
        <f t="shared" si="463"/>
        <v>0</v>
      </c>
      <c r="KK43" s="15">
        <f t="shared" si="463"/>
        <v>0</v>
      </c>
      <c r="KL43" s="15">
        <f t="shared" si="463"/>
        <v>0</v>
      </c>
      <c r="KM43" s="15">
        <f t="shared" si="463"/>
        <v>0</v>
      </c>
      <c r="KN43" s="15">
        <f t="shared" si="463"/>
        <v>0</v>
      </c>
      <c r="KO43" s="15">
        <f t="shared" si="463"/>
        <v>0</v>
      </c>
      <c r="KP43" s="15">
        <f t="shared" si="463"/>
        <v>0</v>
      </c>
      <c r="KQ43" s="15">
        <f t="shared" si="463"/>
        <v>0</v>
      </c>
      <c r="KR43" s="15">
        <f t="shared" si="463"/>
        <v>0</v>
      </c>
      <c r="KS43" s="15">
        <f t="shared" si="463"/>
        <v>0</v>
      </c>
      <c r="KT43" s="15">
        <f t="shared" si="463"/>
        <v>0</v>
      </c>
      <c r="KU43" s="15">
        <f t="shared" si="463"/>
        <v>0</v>
      </c>
      <c r="KW43" s="15">
        <f t="shared" si="464"/>
        <v>54166666.666666664</v>
      </c>
      <c r="KX43" s="15">
        <f t="shared" si="464"/>
        <v>54166666.666666664</v>
      </c>
      <c r="KY43" s="15">
        <f t="shared" si="464"/>
        <v>54166666.666666664</v>
      </c>
      <c r="KZ43" s="15">
        <f t="shared" si="464"/>
        <v>54166666.666666664</v>
      </c>
      <c r="LA43" s="15">
        <f t="shared" si="464"/>
        <v>54166666.666666664</v>
      </c>
      <c r="LB43" s="15">
        <f t="shared" si="464"/>
        <v>54166666.666666664</v>
      </c>
      <c r="LC43" s="15">
        <f t="shared" si="464"/>
        <v>54166666.666666664</v>
      </c>
      <c r="LD43" s="15">
        <f t="shared" si="464"/>
        <v>54166666.666666664</v>
      </c>
      <c r="LE43" s="15">
        <f t="shared" si="464"/>
        <v>54166666.666666664</v>
      </c>
      <c r="LF43" s="15">
        <f t="shared" si="464"/>
        <v>54166666.666666664</v>
      </c>
      <c r="LG43" s="15">
        <f t="shared" si="464"/>
        <v>54166666.666666664</v>
      </c>
      <c r="LH43" s="15">
        <f t="shared" si="464"/>
        <v>54166666.666666664</v>
      </c>
      <c r="LI43" s="15">
        <f t="shared" si="464"/>
        <v>0</v>
      </c>
      <c r="LJ43" s="15">
        <f t="shared" si="464"/>
        <v>0</v>
      </c>
      <c r="LK43" s="15">
        <f t="shared" si="464"/>
        <v>0</v>
      </c>
      <c r="LL43" s="15">
        <f t="shared" si="464"/>
        <v>0</v>
      </c>
      <c r="LM43" s="15">
        <f t="shared" si="465"/>
        <v>0</v>
      </c>
      <c r="LN43" s="15">
        <f t="shared" si="465"/>
        <v>0</v>
      </c>
      <c r="LO43" s="15">
        <f t="shared" si="465"/>
        <v>0</v>
      </c>
      <c r="LP43" s="15">
        <f t="shared" si="465"/>
        <v>0</v>
      </c>
      <c r="LQ43" s="15">
        <f t="shared" si="465"/>
        <v>0</v>
      </c>
      <c r="LR43" s="15">
        <f t="shared" si="465"/>
        <v>0</v>
      </c>
      <c r="LS43" s="15">
        <f t="shared" si="465"/>
        <v>0</v>
      </c>
      <c r="LT43" s="15">
        <f t="shared" si="465"/>
        <v>0</v>
      </c>
      <c r="LU43" s="15">
        <f t="shared" si="465"/>
        <v>0</v>
      </c>
      <c r="LV43" s="15">
        <f t="shared" si="465"/>
        <v>0</v>
      </c>
      <c r="LW43" s="15">
        <f t="shared" si="465"/>
        <v>0</v>
      </c>
      <c r="LX43" s="15">
        <f t="shared" si="465"/>
        <v>0</v>
      </c>
      <c r="LY43" s="15">
        <f t="shared" si="465"/>
        <v>0</v>
      </c>
      <c r="LZ43" s="15">
        <f t="shared" si="465"/>
        <v>0</v>
      </c>
      <c r="MB43" s="15">
        <f t="shared" si="466"/>
        <v>54166666.666666664</v>
      </c>
      <c r="MC43" s="15">
        <f t="shared" si="466"/>
        <v>54166666.666666664</v>
      </c>
      <c r="MD43" s="15">
        <f t="shared" si="466"/>
        <v>54166666.666666664</v>
      </c>
      <c r="ME43" s="15">
        <f t="shared" si="466"/>
        <v>54166666.666666664</v>
      </c>
      <c r="MF43" s="15">
        <f t="shared" si="466"/>
        <v>54166666.666666664</v>
      </c>
      <c r="MG43" s="15">
        <f t="shared" si="466"/>
        <v>54166666.666666664</v>
      </c>
      <c r="MH43" s="15">
        <f t="shared" si="466"/>
        <v>54166666.666666664</v>
      </c>
      <c r="MI43" s="15">
        <f t="shared" si="466"/>
        <v>54166666.666666664</v>
      </c>
      <c r="MJ43" s="15">
        <f t="shared" si="466"/>
        <v>54166666.666666664</v>
      </c>
      <c r="MK43" s="15">
        <f t="shared" si="466"/>
        <v>54166666.666666664</v>
      </c>
      <c r="ML43" s="15">
        <f t="shared" si="466"/>
        <v>54166666.666666664</v>
      </c>
      <c r="MM43" s="15">
        <f t="shared" si="466"/>
        <v>54166666.666666664</v>
      </c>
      <c r="MN43" s="15">
        <f t="shared" si="466"/>
        <v>0</v>
      </c>
      <c r="MO43" s="15">
        <f t="shared" si="466"/>
        <v>0</v>
      </c>
      <c r="MP43" s="15">
        <f t="shared" si="466"/>
        <v>0</v>
      </c>
      <c r="MQ43" s="15">
        <f t="shared" si="466"/>
        <v>0</v>
      </c>
      <c r="MR43" s="15">
        <f t="shared" si="467"/>
        <v>0</v>
      </c>
      <c r="MS43" s="15">
        <f t="shared" si="467"/>
        <v>0</v>
      </c>
      <c r="MT43" s="15">
        <f t="shared" si="467"/>
        <v>0</v>
      </c>
      <c r="MU43" s="15">
        <f t="shared" si="467"/>
        <v>0</v>
      </c>
      <c r="MV43" s="15">
        <f t="shared" si="467"/>
        <v>0</v>
      </c>
      <c r="MW43" s="15">
        <f t="shared" si="467"/>
        <v>0</v>
      </c>
      <c r="MX43" s="15">
        <f t="shared" si="467"/>
        <v>0</v>
      </c>
      <c r="MY43" s="15">
        <f t="shared" si="467"/>
        <v>0</v>
      </c>
      <c r="MZ43" s="15">
        <f t="shared" si="467"/>
        <v>0</v>
      </c>
      <c r="NA43" s="15">
        <f t="shared" si="467"/>
        <v>0</v>
      </c>
      <c r="NB43" s="15">
        <f t="shared" si="467"/>
        <v>0</v>
      </c>
      <c r="NC43" s="15">
        <f t="shared" si="467"/>
        <v>0</v>
      </c>
      <c r="ND43" s="15">
        <f t="shared" si="467"/>
        <v>0</v>
      </c>
      <c r="NE43" s="15">
        <f t="shared" si="467"/>
        <v>0</v>
      </c>
    </row>
    <row r="44" spans="1:369" outlineLevel="1" x14ac:dyDescent="0.25">
      <c r="B44" t="s">
        <v>345</v>
      </c>
      <c r="C44" s="623" t="s">
        <v>247</v>
      </c>
      <c r="D44" s="613" t="s">
        <v>236</v>
      </c>
      <c r="E44" s="468">
        <v>1</v>
      </c>
      <c r="F44" s="221"/>
      <c r="G44" s="457">
        <v>12</v>
      </c>
      <c r="H44" s="468">
        <f>(425000000/$D$6)*1.04</f>
        <v>442000000</v>
      </c>
      <c r="I44" s="457">
        <f t="shared" si="419"/>
        <v>442000000</v>
      </c>
      <c r="J44" s="457">
        <f t="shared" si="420"/>
        <v>36833333.333333336</v>
      </c>
      <c r="K44" s="221"/>
      <c r="L44" s="457">
        <v>12</v>
      </c>
      <c r="M44" s="457">
        <f t="shared" si="421"/>
        <v>442000000</v>
      </c>
      <c r="N44" s="457">
        <f t="shared" si="422"/>
        <v>442000000</v>
      </c>
      <c r="O44" s="457">
        <f t="shared" si="423"/>
        <v>36833333.333333336</v>
      </c>
      <c r="P44" s="221"/>
      <c r="Q44" s="457">
        <v>12</v>
      </c>
      <c r="R44" s="457">
        <f t="shared" si="424"/>
        <v>442000000</v>
      </c>
      <c r="S44" s="457">
        <f t="shared" si="425"/>
        <v>442000000</v>
      </c>
      <c r="T44" s="457">
        <f t="shared" si="426"/>
        <v>36833333.333333336</v>
      </c>
      <c r="U44" s="221"/>
      <c r="V44" s="457">
        <v>12</v>
      </c>
      <c r="W44" s="457">
        <f t="shared" si="427"/>
        <v>442000000</v>
      </c>
      <c r="X44" s="457">
        <f t="shared" si="428"/>
        <v>442000000</v>
      </c>
      <c r="Y44" s="457">
        <f t="shared" si="429"/>
        <v>36833333.333333336</v>
      </c>
      <c r="Z44" s="221"/>
      <c r="AA44" s="457">
        <v>12</v>
      </c>
      <c r="AB44" s="457">
        <f t="shared" si="430"/>
        <v>442000000</v>
      </c>
      <c r="AC44" s="457">
        <f t="shared" si="431"/>
        <v>442000000</v>
      </c>
      <c r="AD44" s="457">
        <f t="shared" si="432"/>
        <v>36833333.333333336</v>
      </c>
      <c r="AE44" s="221"/>
      <c r="AF44" s="457">
        <v>12</v>
      </c>
      <c r="AG44" s="457">
        <f t="shared" si="433"/>
        <v>442000000</v>
      </c>
      <c r="AH44" s="457">
        <f t="shared" si="434"/>
        <v>442000000</v>
      </c>
      <c r="AI44" s="457">
        <f t="shared" si="435"/>
        <v>36833333.333333336</v>
      </c>
      <c r="AJ44" s="221"/>
      <c r="AK44" s="457">
        <v>12</v>
      </c>
      <c r="AL44" s="457">
        <f t="shared" si="436"/>
        <v>442000000</v>
      </c>
      <c r="AM44" s="457">
        <f t="shared" si="437"/>
        <v>442000000</v>
      </c>
      <c r="AN44" s="457">
        <f t="shared" si="438"/>
        <v>36833333.333333336</v>
      </c>
      <c r="AO44" s="221"/>
      <c r="AP44" s="457">
        <v>12</v>
      </c>
      <c r="AQ44" s="457">
        <f t="shared" si="439"/>
        <v>442000000</v>
      </c>
      <c r="AR44" s="457">
        <f t="shared" si="440"/>
        <v>442000000</v>
      </c>
      <c r="AS44" s="457">
        <f t="shared" si="441"/>
        <v>36833333.333333336</v>
      </c>
      <c r="AT44" s="221"/>
      <c r="AU44" s="457">
        <v>12</v>
      </c>
      <c r="AV44" s="457">
        <f t="shared" si="442"/>
        <v>442000000</v>
      </c>
      <c r="AW44" s="457">
        <f t="shared" si="443"/>
        <v>442000000</v>
      </c>
      <c r="AX44" s="457">
        <f t="shared" si="444"/>
        <v>36833333.333333336</v>
      </c>
      <c r="AY44" s="221"/>
      <c r="AZ44" s="457">
        <v>12</v>
      </c>
      <c r="BA44" s="457">
        <f t="shared" si="445"/>
        <v>442000000</v>
      </c>
      <c r="BB44" s="457">
        <f t="shared" si="446"/>
        <v>442000000</v>
      </c>
      <c r="BC44" s="457">
        <f t="shared" si="447"/>
        <v>36833333.333333336</v>
      </c>
      <c r="BD44" s="221"/>
      <c r="BG44" t="s">
        <v>337</v>
      </c>
      <c r="BI44" s="15">
        <f t="shared" si="448"/>
        <v>36833333.333333336</v>
      </c>
      <c r="BJ44" s="15">
        <f t="shared" si="448"/>
        <v>36833333.333333336</v>
      </c>
      <c r="BK44" s="15">
        <f t="shared" si="448"/>
        <v>36833333.333333336</v>
      </c>
      <c r="BL44" s="15">
        <f t="shared" si="448"/>
        <v>36833333.333333336</v>
      </c>
      <c r="BM44" s="15">
        <f t="shared" si="448"/>
        <v>36833333.333333336</v>
      </c>
      <c r="BN44" s="15">
        <f t="shared" si="448"/>
        <v>36833333.333333336</v>
      </c>
      <c r="BO44" s="15">
        <f t="shared" si="448"/>
        <v>36833333.333333336</v>
      </c>
      <c r="BP44" s="15">
        <f t="shared" si="448"/>
        <v>36833333.333333336</v>
      </c>
      <c r="BQ44" s="15">
        <f t="shared" si="448"/>
        <v>36833333.333333336</v>
      </c>
      <c r="BR44" s="15">
        <f t="shared" si="448"/>
        <v>36833333.333333336</v>
      </c>
      <c r="BS44" s="15">
        <f t="shared" si="448"/>
        <v>36833333.333333336</v>
      </c>
      <c r="BT44" s="15">
        <f t="shared" si="448"/>
        <v>36833333.333333336</v>
      </c>
      <c r="BU44" s="15">
        <f t="shared" si="448"/>
        <v>0</v>
      </c>
      <c r="BV44" s="15">
        <f t="shared" si="448"/>
        <v>0</v>
      </c>
      <c r="BW44" s="15">
        <f t="shared" si="448"/>
        <v>0</v>
      </c>
      <c r="BX44" s="15">
        <f t="shared" si="448"/>
        <v>0</v>
      </c>
      <c r="BY44" s="15">
        <f t="shared" si="449"/>
        <v>0</v>
      </c>
      <c r="BZ44" s="15">
        <f t="shared" si="449"/>
        <v>0</v>
      </c>
      <c r="CA44" s="15">
        <f t="shared" si="449"/>
        <v>0</v>
      </c>
      <c r="CB44" s="15">
        <f t="shared" si="449"/>
        <v>0</v>
      </c>
      <c r="CC44" s="15">
        <f t="shared" si="449"/>
        <v>0</v>
      </c>
      <c r="CD44" s="15">
        <f t="shared" si="449"/>
        <v>0</v>
      </c>
      <c r="CE44" s="15">
        <f t="shared" si="449"/>
        <v>0</v>
      </c>
      <c r="CF44" s="15">
        <f t="shared" si="449"/>
        <v>0</v>
      </c>
      <c r="CG44" s="15">
        <f t="shared" si="449"/>
        <v>0</v>
      </c>
      <c r="CH44" s="15">
        <f t="shared" si="449"/>
        <v>0</v>
      </c>
      <c r="CI44" s="15">
        <f t="shared" si="449"/>
        <v>0</v>
      </c>
      <c r="CJ44" s="15">
        <f t="shared" si="449"/>
        <v>0</v>
      </c>
      <c r="CK44" s="15">
        <f t="shared" si="449"/>
        <v>0</v>
      </c>
      <c r="CL44" s="15">
        <f t="shared" si="449"/>
        <v>0</v>
      </c>
      <c r="CN44" s="15">
        <f t="shared" si="450"/>
        <v>36833333.333333336</v>
      </c>
      <c r="CO44" s="15">
        <f t="shared" si="450"/>
        <v>36833333.333333336</v>
      </c>
      <c r="CP44" s="15">
        <f t="shared" si="450"/>
        <v>36833333.333333336</v>
      </c>
      <c r="CQ44" s="15">
        <f t="shared" si="450"/>
        <v>36833333.333333336</v>
      </c>
      <c r="CR44" s="15">
        <f t="shared" si="450"/>
        <v>36833333.333333336</v>
      </c>
      <c r="CS44" s="15">
        <f t="shared" si="450"/>
        <v>36833333.333333336</v>
      </c>
      <c r="CT44" s="15">
        <f t="shared" si="450"/>
        <v>36833333.333333336</v>
      </c>
      <c r="CU44" s="15">
        <f t="shared" si="450"/>
        <v>36833333.333333336</v>
      </c>
      <c r="CV44" s="15">
        <f t="shared" si="450"/>
        <v>36833333.333333336</v>
      </c>
      <c r="CW44" s="15">
        <f t="shared" si="450"/>
        <v>36833333.333333336</v>
      </c>
      <c r="CX44" s="15">
        <f t="shared" si="450"/>
        <v>36833333.333333336</v>
      </c>
      <c r="CY44" s="15">
        <f t="shared" si="450"/>
        <v>36833333.333333336</v>
      </c>
      <c r="CZ44" s="15">
        <f t="shared" si="450"/>
        <v>0</v>
      </c>
      <c r="DA44" s="15">
        <f t="shared" si="450"/>
        <v>0</v>
      </c>
      <c r="DB44" s="15">
        <f t="shared" si="450"/>
        <v>0</v>
      </c>
      <c r="DC44" s="15">
        <f t="shared" si="450"/>
        <v>0</v>
      </c>
      <c r="DD44" s="15">
        <f t="shared" si="451"/>
        <v>0</v>
      </c>
      <c r="DE44" s="15">
        <f t="shared" si="451"/>
        <v>0</v>
      </c>
      <c r="DF44" s="15">
        <f t="shared" si="451"/>
        <v>0</v>
      </c>
      <c r="DG44" s="15">
        <f t="shared" si="451"/>
        <v>0</v>
      </c>
      <c r="DH44" s="15">
        <f t="shared" si="451"/>
        <v>0</v>
      </c>
      <c r="DI44" s="15">
        <f t="shared" si="451"/>
        <v>0</v>
      </c>
      <c r="DJ44" s="15">
        <f t="shared" si="451"/>
        <v>0</v>
      </c>
      <c r="DK44" s="15">
        <f t="shared" si="451"/>
        <v>0</v>
      </c>
      <c r="DL44" s="15">
        <f t="shared" si="451"/>
        <v>0</v>
      </c>
      <c r="DM44" s="15">
        <f t="shared" si="451"/>
        <v>0</v>
      </c>
      <c r="DN44" s="15">
        <f t="shared" si="451"/>
        <v>0</v>
      </c>
      <c r="DO44" s="15">
        <f t="shared" si="451"/>
        <v>0</v>
      </c>
      <c r="DP44" s="15">
        <f t="shared" si="451"/>
        <v>0</v>
      </c>
      <c r="DQ44" s="15">
        <f t="shared" si="451"/>
        <v>0</v>
      </c>
      <c r="DS44" s="15">
        <f t="shared" si="452"/>
        <v>36833333.333333336</v>
      </c>
      <c r="DT44" s="15">
        <f t="shared" si="452"/>
        <v>36833333.333333336</v>
      </c>
      <c r="DU44" s="15">
        <f t="shared" si="452"/>
        <v>36833333.333333336</v>
      </c>
      <c r="DV44" s="15">
        <f t="shared" si="452"/>
        <v>36833333.333333336</v>
      </c>
      <c r="DW44" s="15">
        <f t="shared" si="452"/>
        <v>36833333.333333336</v>
      </c>
      <c r="DX44" s="15">
        <f t="shared" si="452"/>
        <v>36833333.333333336</v>
      </c>
      <c r="DY44" s="15">
        <f t="shared" si="452"/>
        <v>36833333.333333336</v>
      </c>
      <c r="DZ44" s="15">
        <f t="shared" si="452"/>
        <v>36833333.333333336</v>
      </c>
      <c r="EA44" s="15">
        <f t="shared" si="452"/>
        <v>36833333.333333336</v>
      </c>
      <c r="EB44" s="15">
        <f t="shared" si="452"/>
        <v>36833333.333333336</v>
      </c>
      <c r="EC44" s="15">
        <f t="shared" si="452"/>
        <v>36833333.333333336</v>
      </c>
      <c r="ED44" s="15">
        <f t="shared" si="452"/>
        <v>36833333.333333336</v>
      </c>
      <c r="EE44" s="15">
        <f t="shared" si="452"/>
        <v>0</v>
      </c>
      <c r="EF44" s="15">
        <f t="shared" si="452"/>
        <v>0</v>
      </c>
      <c r="EG44" s="15">
        <f t="shared" si="452"/>
        <v>0</v>
      </c>
      <c r="EH44" s="15">
        <f t="shared" si="452"/>
        <v>0</v>
      </c>
      <c r="EI44" s="15">
        <f t="shared" si="453"/>
        <v>0</v>
      </c>
      <c r="EJ44" s="15">
        <f t="shared" si="453"/>
        <v>0</v>
      </c>
      <c r="EK44" s="15">
        <f t="shared" si="453"/>
        <v>0</v>
      </c>
      <c r="EL44" s="15">
        <f t="shared" si="453"/>
        <v>0</v>
      </c>
      <c r="EM44" s="15">
        <f t="shared" si="453"/>
        <v>0</v>
      </c>
      <c r="EN44" s="15">
        <f t="shared" si="453"/>
        <v>0</v>
      </c>
      <c r="EO44" s="15">
        <f t="shared" si="453"/>
        <v>0</v>
      </c>
      <c r="EP44" s="15">
        <f t="shared" si="453"/>
        <v>0</v>
      </c>
      <c r="EQ44" s="15">
        <f t="shared" si="453"/>
        <v>0</v>
      </c>
      <c r="ER44" s="15">
        <f t="shared" si="453"/>
        <v>0</v>
      </c>
      <c r="ES44" s="15">
        <f t="shared" si="453"/>
        <v>0</v>
      </c>
      <c r="ET44" s="15">
        <f t="shared" si="453"/>
        <v>0</v>
      </c>
      <c r="EU44" s="15">
        <f t="shared" si="453"/>
        <v>0</v>
      </c>
      <c r="EV44" s="15">
        <f t="shared" si="453"/>
        <v>0</v>
      </c>
      <c r="EX44" s="15">
        <f t="shared" si="454"/>
        <v>36833333.333333336</v>
      </c>
      <c r="EY44" s="15">
        <f t="shared" si="454"/>
        <v>36833333.333333336</v>
      </c>
      <c r="EZ44" s="15">
        <f t="shared" si="454"/>
        <v>36833333.333333336</v>
      </c>
      <c r="FA44" s="15">
        <f t="shared" si="454"/>
        <v>36833333.333333336</v>
      </c>
      <c r="FB44" s="15">
        <f t="shared" si="454"/>
        <v>36833333.333333336</v>
      </c>
      <c r="FC44" s="15">
        <f t="shared" si="454"/>
        <v>36833333.333333336</v>
      </c>
      <c r="FD44" s="15">
        <f t="shared" si="454"/>
        <v>36833333.333333336</v>
      </c>
      <c r="FE44" s="15">
        <f t="shared" si="454"/>
        <v>36833333.333333336</v>
      </c>
      <c r="FF44" s="15">
        <f t="shared" si="454"/>
        <v>36833333.333333336</v>
      </c>
      <c r="FG44" s="15">
        <f t="shared" si="454"/>
        <v>36833333.333333336</v>
      </c>
      <c r="FH44" s="15">
        <f t="shared" si="454"/>
        <v>36833333.333333336</v>
      </c>
      <c r="FI44" s="15">
        <f t="shared" si="454"/>
        <v>36833333.333333336</v>
      </c>
      <c r="FJ44" s="15">
        <f t="shared" si="454"/>
        <v>0</v>
      </c>
      <c r="FK44" s="15">
        <f t="shared" si="454"/>
        <v>0</v>
      </c>
      <c r="FL44" s="15">
        <f t="shared" si="454"/>
        <v>0</v>
      </c>
      <c r="FM44" s="15">
        <f t="shared" si="454"/>
        <v>0</v>
      </c>
      <c r="FN44" s="15">
        <f t="shared" si="455"/>
        <v>0</v>
      </c>
      <c r="FO44" s="15">
        <f t="shared" si="455"/>
        <v>0</v>
      </c>
      <c r="FP44" s="15">
        <f t="shared" si="455"/>
        <v>0</v>
      </c>
      <c r="FQ44" s="15">
        <f t="shared" si="455"/>
        <v>0</v>
      </c>
      <c r="FR44" s="15">
        <f t="shared" si="455"/>
        <v>0</v>
      </c>
      <c r="FS44" s="15">
        <f t="shared" si="455"/>
        <v>0</v>
      </c>
      <c r="FT44" s="15">
        <f t="shared" si="455"/>
        <v>0</v>
      </c>
      <c r="FU44" s="15">
        <f t="shared" si="455"/>
        <v>0</v>
      </c>
      <c r="FV44" s="15">
        <f t="shared" si="455"/>
        <v>0</v>
      </c>
      <c r="FW44" s="15">
        <f t="shared" si="455"/>
        <v>0</v>
      </c>
      <c r="FX44" s="15">
        <f t="shared" si="455"/>
        <v>0</v>
      </c>
      <c r="FY44" s="15">
        <f t="shared" si="455"/>
        <v>0</v>
      </c>
      <c r="FZ44" s="15">
        <f t="shared" si="455"/>
        <v>0</v>
      </c>
      <c r="GA44" s="15">
        <f t="shared" si="455"/>
        <v>0</v>
      </c>
      <c r="GC44" s="15">
        <f t="shared" si="456"/>
        <v>36833333.333333336</v>
      </c>
      <c r="GD44" s="15">
        <f t="shared" si="456"/>
        <v>36833333.333333336</v>
      </c>
      <c r="GE44" s="15">
        <f t="shared" si="456"/>
        <v>36833333.333333336</v>
      </c>
      <c r="GF44" s="15">
        <f t="shared" si="456"/>
        <v>36833333.333333336</v>
      </c>
      <c r="GG44" s="15">
        <f t="shared" si="456"/>
        <v>36833333.333333336</v>
      </c>
      <c r="GH44" s="15">
        <f t="shared" si="456"/>
        <v>36833333.333333336</v>
      </c>
      <c r="GI44" s="15">
        <f t="shared" si="456"/>
        <v>36833333.333333336</v>
      </c>
      <c r="GJ44" s="15">
        <f t="shared" si="456"/>
        <v>36833333.333333336</v>
      </c>
      <c r="GK44" s="15">
        <f t="shared" si="456"/>
        <v>36833333.333333336</v>
      </c>
      <c r="GL44" s="15">
        <f t="shared" si="456"/>
        <v>36833333.333333336</v>
      </c>
      <c r="GM44" s="15">
        <f t="shared" si="456"/>
        <v>36833333.333333336</v>
      </c>
      <c r="GN44" s="15">
        <f t="shared" si="456"/>
        <v>36833333.333333336</v>
      </c>
      <c r="GO44" s="15">
        <f t="shared" si="456"/>
        <v>0</v>
      </c>
      <c r="GP44" s="15">
        <f t="shared" si="456"/>
        <v>0</v>
      </c>
      <c r="GQ44" s="15">
        <f t="shared" si="456"/>
        <v>0</v>
      </c>
      <c r="GR44" s="15">
        <f t="shared" si="456"/>
        <v>0</v>
      </c>
      <c r="GS44" s="15">
        <f t="shared" si="457"/>
        <v>0</v>
      </c>
      <c r="GT44" s="15">
        <f t="shared" si="457"/>
        <v>0</v>
      </c>
      <c r="GU44" s="15">
        <f t="shared" si="457"/>
        <v>0</v>
      </c>
      <c r="GV44" s="15">
        <f t="shared" si="457"/>
        <v>0</v>
      </c>
      <c r="GW44" s="15">
        <f t="shared" si="457"/>
        <v>0</v>
      </c>
      <c r="GX44" s="15">
        <f t="shared" si="457"/>
        <v>0</v>
      </c>
      <c r="GY44" s="15">
        <f t="shared" si="457"/>
        <v>0</v>
      </c>
      <c r="GZ44" s="15">
        <f t="shared" si="457"/>
        <v>0</v>
      </c>
      <c r="HA44" s="15">
        <f t="shared" si="457"/>
        <v>0</v>
      </c>
      <c r="HB44" s="15">
        <f t="shared" si="457"/>
        <v>0</v>
      </c>
      <c r="HC44" s="15">
        <f t="shared" si="457"/>
        <v>0</v>
      </c>
      <c r="HD44" s="15">
        <f t="shared" si="457"/>
        <v>0</v>
      </c>
      <c r="HE44" s="15">
        <f t="shared" si="457"/>
        <v>0</v>
      </c>
      <c r="HF44" s="15">
        <f t="shared" si="457"/>
        <v>0</v>
      </c>
      <c r="HH44" s="15">
        <f t="shared" si="458"/>
        <v>36833333.333333336</v>
      </c>
      <c r="HI44" s="15">
        <f t="shared" si="458"/>
        <v>36833333.333333336</v>
      </c>
      <c r="HJ44" s="15">
        <f t="shared" si="458"/>
        <v>36833333.333333336</v>
      </c>
      <c r="HK44" s="15">
        <f t="shared" si="458"/>
        <v>36833333.333333336</v>
      </c>
      <c r="HL44" s="15">
        <f t="shared" si="458"/>
        <v>36833333.333333336</v>
      </c>
      <c r="HM44" s="15">
        <f t="shared" si="458"/>
        <v>36833333.333333336</v>
      </c>
      <c r="HN44" s="15">
        <f t="shared" si="458"/>
        <v>36833333.333333336</v>
      </c>
      <c r="HO44" s="15">
        <f t="shared" si="458"/>
        <v>36833333.333333336</v>
      </c>
      <c r="HP44" s="15">
        <f t="shared" si="458"/>
        <v>36833333.333333336</v>
      </c>
      <c r="HQ44" s="15">
        <f t="shared" si="458"/>
        <v>36833333.333333336</v>
      </c>
      <c r="HR44" s="15">
        <f t="shared" si="458"/>
        <v>36833333.333333336</v>
      </c>
      <c r="HS44" s="15">
        <f t="shared" si="458"/>
        <v>36833333.333333336</v>
      </c>
      <c r="HT44" s="15">
        <f t="shared" si="458"/>
        <v>0</v>
      </c>
      <c r="HU44" s="15">
        <f t="shared" si="458"/>
        <v>0</v>
      </c>
      <c r="HV44" s="15">
        <f t="shared" si="458"/>
        <v>0</v>
      </c>
      <c r="HW44" s="15">
        <f t="shared" si="458"/>
        <v>0</v>
      </c>
      <c r="HX44" s="15">
        <f t="shared" si="459"/>
        <v>0</v>
      </c>
      <c r="HY44" s="15">
        <f t="shared" si="459"/>
        <v>0</v>
      </c>
      <c r="HZ44" s="15">
        <f t="shared" si="459"/>
        <v>0</v>
      </c>
      <c r="IA44" s="15">
        <f t="shared" si="459"/>
        <v>0</v>
      </c>
      <c r="IB44" s="15">
        <f t="shared" si="459"/>
        <v>0</v>
      </c>
      <c r="IC44" s="15">
        <f t="shared" si="459"/>
        <v>0</v>
      </c>
      <c r="ID44" s="15">
        <f t="shared" si="459"/>
        <v>0</v>
      </c>
      <c r="IE44" s="15">
        <f t="shared" si="459"/>
        <v>0</v>
      </c>
      <c r="IF44" s="15">
        <f t="shared" si="459"/>
        <v>0</v>
      </c>
      <c r="IG44" s="15">
        <f t="shared" si="459"/>
        <v>0</v>
      </c>
      <c r="IH44" s="15">
        <f t="shared" si="459"/>
        <v>0</v>
      </c>
      <c r="II44" s="15">
        <f t="shared" si="459"/>
        <v>0</v>
      </c>
      <c r="IJ44" s="15">
        <f t="shared" si="459"/>
        <v>0</v>
      </c>
      <c r="IK44" s="15">
        <f t="shared" si="459"/>
        <v>0</v>
      </c>
      <c r="IM44" s="15">
        <f t="shared" si="460"/>
        <v>36833333.333333336</v>
      </c>
      <c r="IN44" s="15">
        <f t="shared" si="460"/>
        <v>36833333.333333336</v>
      </c>
      <c r="IO44" s="15">
        <f t="shared" si="460"/>
        <v>36833333.333333336</v>
      </c>
      <c r="IP44" s="15">
        <f t="shared" si="460"/>
        <v>36833333.333333336</v>
      </c>
      <c r="IQ44" s="15">
        <f t="shared" si="460"/>
        <v>36833333.333333336</v>
      </c>
      <c r="IR44" s="15">
        <f t="shared" si="460"/>
        <v>36833333.333333336</v>
      </c>
      <c r="IS44" s="15">
        <f t="shared" si="460"/>
        <v>36833333.333333336</v>
      </c>
      <c r="IT44" s="15">
        <f t="shared" si="460"/>
        <v>36833333.333333336</v>
      </c>
      <c r="IU44" s="15">
        <f t="shared" si="460"/>
        <v>36833333.333333336</v>
      </c>
      <c r="IV44" s="15">
        <f t="shared" si="460"/>
        <v>36833333.333333336</v>
      </c>
      <c r="IW44" s="15">
        <f t="shared" si="460"/>
        <v>36833333.333333336</v>
      </c>
      <c r="IX44" s="15">
        <f t="shared" si="460"/>
        <v>36833333.333333336</v>
      </c>
      <c r="IY44" s="15">
        <f t="shared" si="460"/>
        <v>0</v>
      </c>
      <c r="IZ44" s="15">
        <f t="shared" si="460"/>
        <v>0</v>
      </c>
      <c r="JA44" s="15">
        <f t="shared" si="460"/>
        <v>0</v>
      </c>
      <c r="JB44" s="15">
        <f t="shared" si="460"/>
        <v>0</v>
      </c>
      <c r="JC44" s="15">
        <f t="shared" si="461"/>
        <v>0</v>
      </c>
      <c r="JD44" s="15">
        <f t="shared" si="461"/>
        <v>0</v>
      </c>
      <c r="JE44" s="15">
        <f t="shared" si="461"/>
        <v>0</v>
      </c>
      <c r="JF44" s="15">
        <f t="shared" si="461"/>
        <v>0</v>
      </c>
      <c r="JG44" s="15">
        <f t="shared" si="461"/>
        <v>0</v>
      </c>
      <c r="JH44" s="15">
        <f t="shared" si="461"/>
        <v>0</v>
      </c>
      <c r="JI44" s="15">
        <f t="shared" si="461"/>
        <v>0</v>
      </c>
      <c r="JJ44" s="15">
        <f t="shared" si="461"/>
        <v>0</v>
      </c>
      <c r="JK44" s="15">
        <f t="shared" si="461"/>
        <v>0</v>
      </c>
      <c r="JL44" s="15">
        <f t="shared" si="461"/>
        <v>0</v>
      </c>
      <c r="JM44" s="15">
        <f t="shared" si="461"/>
        <v>0</v>
      </c>
      <c r="JN44" s="15">
        <f t="shared" si="461"/>
        <v>0</v>
      </c>
      <c r="JO44" s="15">
        <f t="shared" si="461"/>
        <v>0</v>
      </c>
      <c r="JP44" s="15">
        <f t="shared" si="461"/>
        <v>0</v>
      </c>
      <c r="JR44" s="15">
        <f t="shared" si="462"/>
        <v>36833333.333333336</v>
      </c>
      <c r="JS44" s="15">
        <f t="shared" si="462"/>
        <v>36833333.333333336</v>
      </c>
      <c r="JT44" s="15">
        <f t="shared" si="462"/>
        <v>36833333.333333336</v>
      </c>
      <c r="JU44" s="15">
        <f t="shared" si="462"/>
        <v>36833333.333333336</v>
      </c>
      <c r="JV44" s="15">
        <f t="shared" si="462"/>
        <v>36833333.333333336</v>
      </c>
      <c r="JW44" s="15">
        <f t="shared" si="462"/>
        <v>36833333.333333336</v>
      </c>
      <c r="JX44" s="15">
        <f t="shared" si="462"/>
        <v>36833333.333333336</v>
      </c>
      <c r="JY44" s="15">
        <f t="shared" si="462"/>
        <v>36833333.333333336</v>
      </c>
      <c r="JZ44" s="15">
        <f t="shared" si="462"/>
        <v>36833333.333333336</v>
      </c>
      <c r="KA44" s="15">
        <f t="shared" si="462"/>
        <v>36833333.333333336</v>
      </c>
      <c r="KB44" s="15">
        <f t="shared" si="462"/>
        <v>36833333.333333336</v>
      </c>
      <c r="KC44" s="15">
        <f t="shared" si="462"/>
        <v>36833333.333333336</v>
      </c>
      <c r="KD44" s="15">
        <f t="shared" si="462"/>
        <v>0</v>
      </c>
      <c r="KE44" s="15">
        <f t="shared" si="462"/>
        <v>0</v>
      </c>
      <c r="KF44" s="15">
        <f t="shared" si="462"/>
        <v>0</v>
      </c>
      <c r="KG44" s="15">
        <f t="shared" si="462"/>
        <v>0</v>
      </c>
      <c r="KH44" s="15">
        <f t="shared" si="463"/>
        <v>0</v>
      </c>
      <c r="KI44" s="15">
        <f t="shared" si="463"/>
        <v>0</v>
      </c>
      <c r="KJ44" s="15">
        <f t="shared" si="463"/>
        <v>0</v>
      </c>
      <c r="KK44" s="15">
        <f t="shared" si="463"/>
        <v>0</v>
      </c>
      <c r="KL44" s="15">
        <f t="shared" si="463"/>
        <v>0</v>
      </c>
      <c r="KM44" s="15">
        <f t="shared" si="463"/>
        <v>0</v>
      </c>
      <c r="KN44" s="15">
        <f t="shared" si="463"/>
        <v>0</v>
      </c>
      <c r="KO44" s="15">
        <f t="shared" si="463"/>
        <v>0</v>
      </c>
      <c r="KP44" s="15">
        <f t="shared" si="463"/>
        <v>0</v>
      </c>
      <c r="KQ44" s="15">
        <f t="shared" si="463"/>
        <v>0</v>
      </c>
      <c r="KR44" s="15">
        <f t="shared" si="463"/>
        <v>0</v>
      </c>
      <c r="KS44" s="15">
        <f t="shared" si="463"/>
        <v>0</v>
      </c>
      <c r="KT44" s="15">
        <f t="shared" si="463"/>
        <v>0</v>
      </c>
      <c r="KU44" s="15">
        <f t="shared" si="463"/>
        <v>0</v>
      </c>
      <c r="KW44" s="15">
        <f t="shared" si="464"/>
        <v>36833333.333333336</v>
      </c>
      <c r="KX44" s="15">
        <f t="shared" si="464"/>
        <v>36833333.333333336</v>
      </c>
      <c r="KY44" s="15">
        <f t="shared" si="464"/>
        <v>36833333.333333336</v>
      </c>
      <c r="KZ44" s="15">
        <f t="shared" si="464"/>
        <v>36833333.333333336</v>
      </c>
      <c r="LA44" s="15">
        <f t="shared" si="464"/>
        <v>36833333.333333336</v>
      </c>
      <c r="LB44" s="15">
        <f t="shared" si="464"/>
        <v>36833333.333333336</v>
      </c>
      <c r="LC44" s="15">
        <f t="shared" si="464"/>
        <v>36833333.333333336</v>
      </c>
      <c r="LD44" s="15">
        <f t="shared" si="464"/>
        <v>36833333.333333336</v>
      </c>
      <c r="LE44" s="15">
        <f t="shared" si="464"/>
        <v>36833333.333333336</v>
      </c>
      <c r="LF44" s="15">
        <f t="shared" si="464"/>
        <v>36833333.333333336</v>
      </c>
      <c r="LG44" s="15">
        <f t="shared" si="464"/>
        <v>36833333.333333336</v>
      </c>
      <c r="LH44" s="15">
        <f t="shared" si="464"/>
        <v>36833333.333333336</v>
      </c>
      <c r="LI44" s="15">
        <f t="shared" si="464"/>
        <v>0</v>
      </c>
      <c r="LJ44" s="15">
        <f t="shared" si="464"/>
        <v>0</v>
      </c>
      <c r="LK44" s="15">
        <f t="shared" si="464"/>
        <v>0</v>
      </c>
      <c r="LL44" s="15">
        <f t="shared" si="464"/>
        <v>0</v>
      </c>
      <c r="LM44" s="15">
        <f t="shared" si="465"/>
        <v>0</v>
      </c>
      <c r="LN44" s="15">
        <f t="shared" si="465"/>
        <v>0</v>
      </c>
      <c r="LO44" s="15">
        <f t="shared" si="465"/>
        <v>0</v>
      </c>
      <c r="LP44" s="15">
        <f t="shared" si="465"/>
        <v>0</v>
      </c>
      <c r="LQ44" s="15">
        <f t="shared" si="465"/>
        <v>0</v>
      </c>
      <c r="LR44" s="15">
        <f t="shared" si="465"/>
        <v>0</v>
      </c>
      <c r="LS44" s="15">
        <f t="shared" si="465"/>
        <v>0</v>
      </c>
      <c r="LT44" s="15">
        <f t="shared" si="465"/>
        <v>0</v>
      </c>
      <c r="LU44" s="15">
        <f t="shared" si="465"/>
        <v>0</v>
      </c>
      <c r="LV44" s="15">
        <f t="shared" si="465"/>
        <v>0</v>
      </c>
      <c r="LW44" s="15">
        <f t="shared" si="465"/>
        <v>0</v>
      </c>
      <c r="LX44" s="15">
        <f t="shared" si="465"/>
        <v>0</v>
      </c>
      <c r="LY44" s="15">
        <f t="shared" si="465"/>
        <v>0</v>
      </c>
      <c r="LZ44" s="15">
        <f t="shared" si="465"/>
        <v>0</v>
      </c>
      <c r="MB44" s="15">
        <f t="shared" si="466"/>
        <v>36833333.333333336</v>
      </c>
      <c r="MC44" s="15">
        <f t="shared" si="466"/>
        <v>36833333.333333336</v>
      </c>
      <c r="MD44" s="15">
        <f t="shared" si="466"/>
        <v>36833333.333333336</v>
      </c>
      <c r="ME44" s="15">
        <f t="shared" si="466"/>
        <v>36833333.333333336</v>
      </c>
      <c r="MF44" s="15">
        <f t="shared" si="466"/>
        <v>36833333.333333336</v>
      </c>
      <c r="MG44" s="15">
        <f t="shared" si="466"/>
        <v>36833333.333333336</v>
      </c>
      <c r="MH44" s="15">
        <f t="shared" si="466"/>
        <v>36833333.333333336</v>
      </c>
      <c r="MI44" s="15">
        <f t="shared" si="466"/>
        <v>36833333.333333336</v>
      </c>
      <c r="MJ44" s="15">
        <f t="shared" si="466"/>
        <v>36833333.333333336</v>
      </c>
      <c r="MK44" s="15">
        <f t="shared" si="466"/>
        <v>36833333.333333336</v>
      </c>
      <c r="ML44" s="15">
        <f t="shared" si="466"/>
        <v>36833333.333333336</v>
      </c>
      <c r="MM44" s="15">
        <f t="shared" si="466"/>
        <v>36833333.333333336</v>
      </c>
      <c r="MN44" s="15">
        <f t="shared" si="466"/>
        <v>0</v>
      </c>
      <c r="MO44" s="15">
        <f t="shared" si="466"/>
        <v>0</v>
      </c>
      <c r="MP44" s="15">
        <f t="shared" si="466"/>
        <v>0</v>
      </c>
      <c r="MQ44" s="15">
        <f t="shared" si="466"/>
        <v>0</v>
      </c>
      <c r="MR44" s="15">
        <f t="shared" si="467"/>
        <v>0</v>
      </c>
      <c r="MS44" s="15">
        <f t="shared" si="467"/>
        <v>0</v>
      </c>
      <c r="MT44" s="15">
        <f t="shared" si="467"/>
        <v>0</v>
      </c>
      <c r="MU44" s="15">
        <f t="shared" si="467"/>
        <v>0</v>
      </c>
      <c r="MV44" s="15">
        <f t="shared" si="467"/>
        <v>0</v>
      </c>
      <c r="MW44" s="15">
        <f t="shared" si="467"/>
        <v>0</v>
      </c>
      <c r="MX44" s="15">
        <f t="shared" si="467"/>
        <v>0</v>
      </c>
      <c r="MY44" s="15">
        <f t="shared" si="467"/>
        <v>0</v>
      </c>
      <c r="MZ44" s="15">
        <f t="shared" si="467"/>
        <v>0</v>
      </c>
      <c r="NA44" s="15">
        <f t="shared" si="467"/>
        <v>0</v>
      </c>
      <c r="NB44" s="15">
        <f t="shared" si="467"/>
        <v>0</v>
      </c>
      <c r="NC44" s="15">
        <f t="shared" si="467"/>
        <v>0</v>
      </c>
      <c r="ND44" s="15">
        <f t="shared" si="467"/>
        <v>0</v>
      </c>
      <c r="NE44" s="15">
        <f t="shared" si="467"/>
        <v>0</v>
      </c>
    </row>
    <row r="45" spans="1:369" outlineLevel="1" x14ac:dyDescent="0.25">
      <c r="B45" t="s">
        <v>345</v>
      </c>
      <c r="C45" s="623" t="s">
        <v>248</v>
      </c>
      <c r="D45" s="613" t="s">
        <v>228</v>
      </c>
      <c r="E45" s="468">
        <v>1</v>
      </c>
      <c r="F45" s="221"/>
      <c r="G45" s="457">
        <v>12</v>
      </c>
      <c r="H45" s="468">
        <f>(250000000/$D$6)*1.04</f>
        <v>260000000</v>
      </c>
      <c r="I45" s="457">
        <f t="shared" si="419"/>
        <v>260000000</v>
      </c>
      <c r="J45" s="457">
        <f t="shared" si="420"/>
        <v>21666666.666666668</v>
      </c>
      <c r="K45" s="221"/>
      <c r="L45" s="457">
        <v>12</v>
      </c>
      <c r="M45" s="457">
        <f t="shared" si="421"/>
        <v>260000000</v>
      </c>
      <c r="N45" s="457">
        <f t="shared" si="422"/>
        <v>260000000</v>
      </c>
      <c r="O45" s="457">
        <f t="shared" si="423"/>
        <v>21666666.666666668</v>
      </c>
      <c r="P45" s="221"/>
      <c r="Q45" s="457">
        <v>12</v>
      </c>
      <c r="R45" s="457">
        <f t="shared" si="424"/>
        <v>260000000</v>
      </c>
      <c r="S45" s="457">
        <f t="shared" si="425"/>
        <v>260000000</v>
      </c>
      <c r="T45" s="457">
        <f t="shared" si="426"/>
        <v>21666666.666666668</v>
      </c>
      <c r="U45" s="221"/>
      <c r="V45" s="457">
        <v>12</v>
      </c>
      <c r="W45" s="457">
        <f t="shared" si="427"/>
        <v>260000000</v>
      </c>
      <c r="X45" s="457">
        <f t="shared" si="428"/>
        <v>260000000</v>
      </c>
      <c r="Y45" s="457">
        <f t="shared" si="429"/>
        <v>21666666.666666668</v>
      </c>
      <c r="Z45" s="221"/>
      <c r="AA45" s="457">
        <v>12</v>
      </c>
      <c r="AB45" s="457">
        <f t="shared" si="430"/>
        <v>260000000</v>
      </c>
      <c r="AC45" s="457">
        <f t="shared" si="431"/>
        <v>260000000</v>
      </c>
      <c r="AD45" s="457">
        <f t="shared" si="432"/>
        <v>21666666.666666668</v>
      </c>
      <c r="AE45" s="221"/>
      <c r="AF45" s="457">
        <v>12</v>
      </c>
      <c r="AG45" s="457">
        <f t="shared" si="433"/>
        <v>260000000</v>
      </c>
      <c r="AH45" s="457">
        <f t="shared" si="434"/>
        <v>260000000</v>
      </c>
      <c r="AI45" s="457">
        <f t="shared" si="435"/>
        <v>21666666.666666668</v>
      </c>
      <c r="AJ45" s="221"/>
      <c r="AK45" s="457">
        <v>12</v>
      </c>
      <c r="AL45" s="457">
        <f t="shared" si="436"/>
        <v>260000000</v>
      </c>
      <c r="AM45" s="457">
        <f t="shared" si="437"/>
        <v>260000000</v>
      </c>
      <c r="AN45" s="457">
        <f t="shared" si="438"/>
        <v>21666666.666666668</v>
      </c>
      <c r="AO45" s="221"/>
      <c r="AP45" s="457">
        <v>12</v>
      </c>
      <c r="AQ45" s="457">
        <f t="shared" si="439"/>
        <v>260000000</v>
      </c>
      <c r="AR45" s="457">
        <f t="shared" si="440"/>
        <v>260000000</v>
      </c>
      <c r="AS45" s="457">
        <f t="shared" si="441"/>
        <v>21666666.666666668</v>
      </c>
      <c r="AT45" s="221"/>
      <c r="AU45" s="457">
        <v>12</v>
      </c>
      <c r="AV45" s="457">
        <f t="shared" si="442"/>
        <v>260000000</v>
      </c>
      <c r="AW45" s="457">
        <f t="shared" si="443"/>
        <v>260000000</v>
      </c>
      <c r="AX45" s="457">
        <f t="shared" si="444"/>
        <v>21666666.666666668</v>
      </c>
      <c r="AY45" s="221"/>
      <c r="AZ45" s="457">
        <v>12</v>
      </c>
      <c r="BA45" s="457">
        <f t="shared" si="445"/>
        <v>260000000</v>
      </c>
      <c r="BB45" s="457">
        <f t="shared" si="446"/>
        <v>260000000</v>
      </c>
      <c r="BC45" s="457">
        <f t="shared" si="447"/>
        <v>21666666.666666668</v>
      </c>
      <c r="BD45" s="221"/>
      <c r="BG45" t="s">
        <v>337</v>
      </c>
      <c r="BI45" s="15">
        <f t="shared" si="448"/>
        <v>21666666.666666668</v>
      </c>
      <c r="BJ45" s="15">
        <f t="shared" si="448"/>
        <v>21666666.666666668</v>
      </c>
      <c r="BK45" s="15">
        <f t="shared" si="448"/>
        <v>21666666.666666668</v>
      </c>
      <c r="BL45" s="15">
        <f t="shared" si="448"/>
        <v>21666666.666666668</v>
      </c>
      <c r="BM45" s="15">
        <f t="shared" si="448"/>
        <v>21666666.666666668</v>
      </c>
      <c r="BN45" s="15">
        <f t="shared" si="448"/>
        <v>21666666.666666668</v>
      </c>
      <c r="BO45" s="15">
        <f t="shared" si="448"/>
        <v>21666666.666666668</v>
      </c>
      <c r="BP45" s="15">
        <f t="shared" si="448"/>
        <v>21666666.666666668</v>
      </c>
      <c r="BQ45" s="15">
        <f t="shared" si="448"/>
        <v>21666666.666666668</v>
      </c>
      <c r="BR45" s="15">
        <f t="shared" si="448"/>
        <v>21666666.666666668</v>
      </c>
      <c r="BS45" s="15">
        <f t="shared" si="448"/>
        <v>21666666.666666668</v>
      </c>
      <c r="BT45" s="15">
        <f t="shared" si="448"/>
        <v>21666666.666666668</v>
      </c>
      <c r="BU45" s="15">
        <f t="shared" si="448"/>
        <v>0</v>
      </c>
      <c r="BV45" s="15">
        <f t="shared" si="448"/>
        <v>0</v>
      </c>
      <c r="BW45" s="15">
        <f t="shared" si="448"/>
        <v>0</v>
      </c>
      <c r="BX45" s="15">
        <f t="shared" si="448"/>
        <v>0</v>
      </c>
      <c r="BY45" s="15">
        <f t="shared" si="449"/>
        <v>0</v>
      </c>
      <c r="BZ45" s="15">
        <f t="shared" si="449"/>
        <v>0</v>
      </c>
      <c r="CA45" s="15">
        <f t="shared" si="449"/>
        <v>0</v>
      </c>
      <c r="CB45" s="15">
        <f t="shared" si="449"/>
        <v>0</v>
      </c>
      <c r="CC45" s="15">
        <f t="shared" si="449"/>
        <v>0</v>
      </c>
      <c r="CD45" s="15">
        <f t="shared" si="449"/>
        <v>0</v>
      </c>
      <c r="CE45" s="15">
        <f t="shared" si="449"/>
        <v>0</v>
      </c>
      <c r="CF45" s="15">
        <f t="shared" si="449"/>
        <v>0</v>
      </c>
      <c r="CG45" s="15">
        <f t="shared" si="449"/>
        <v>0</v>
      </c>
      <c r="CH45" s="15">
        <f t="shared" si="449"/>
        <v>0</v>
      </c>
      <c r="CI45" s="15">
        <f t="shared" si="449"/>
        <v>0</v>
      </c>
      <c r="CJ45" s="15">
        <f t="shared" si="449"/>
        <v>0</v>
      </c>
      <c r="CK45" s="15">
        <f t="shared" si="449"/>
        <v>0</v>
      </c>
      <c r="CL45" s="15">
        <f t="shared" si="449"/>
        <v>0</v>
      </c>
      <c r="CN45" s="15">
        <f t="shared" si="450"/>
        <v>21666666.666666668</v>
      </c>
      <c r="CO45" s="15">
        <f t="shared" si="450"/>
        <v>21666666.666666668</v>
      </c>
      <c r="CP45" s="15">
        <f t="shared" si="450"/>
        <v>21666666.666666668</v>
      </c>
      <c r="CQ45" s="15">
        <f t="shared" si="450"/>
        <v>21666666.666666668</v>
      </c>
      <c r="CR45" s="15">
        <f t="shared" si="450"/>
        <v>21666666.666666668</v>
      </c>
      <c r="CS45" s="15">
        <f t="shared" si="450"/>
        <v>21666666.666666668</v>
      </c>
      <c r="CT45" s="15">
        <f t="shared" si="450"/>
        <v>21666666.666666668</v>
      </c>
      <c r="CU45" s="15">
        <f t="shared" si="450"/>
        <v>21666666.666666668</v>
      </c>
      <c r="CV45" s="15">
        <f t="shared" si="450"/>
        <v>21666666.666666668</v>
      </c>
      <c r="CW45" s="15">
        <f t="shared" si="450"/>
        <v>21666666.666666668</v>
      </c>
      <c r="CX45" s="15">
        <f t="shared" si="450"/>
        <v>21666666.666666668</v>
      </c>
      <c r="CY45" s="15">
        <f t="shared" si="450"/>
        <v>21666666.666666668</v>
      </c>
      <c r="CZ45" s="15">
        <f t="shared" si="450"/>
        <v>0</v>
      </c>
      <c r="DA45" s="15">
        <f t="shared" si="450"/>
        <v>0</v>
      </c>
      <c r="DB45" s="15">
        <f t="shared" si="450"/>
        <v>0</v>
      </c>
      <c r="DC45" s="15">
        <f t="shared" si="450"/>
        <v>0</v>
      </c>
      <c r="DD45" s="15">
        <f t="shared" si="451"/>
        <v>0</v>
      </c>
      <c r="DE45" s="15">
        <f t="shared" si="451"/>
        <v>0</v>
      </c>
      <c r="DF45" s="15">
        <f t="shared" si="451"/>
        <v>0</v>
      </c>
      <c r="DG45" s="15">
        <f t="shared" si="451"/>
        <v>0</v>
      </c>
      <c r="DH45" s="15">
        <f t="shared" si="451"/>
        <v>0</v>
      </c>
      <c r="DI45" s="15">
        <f t="shared" si="451"/>
        <v>0</v>
      </c>
      <c r="DJ45" s="15">
        <f t="shared" si="451"/>
        <v>0</v>
      </c>
      <c r="DK45" s="15">
        <f t="shared" si="451"/>
        <v>0</v>
      </c>
      <c r="DL45" s="15">
        <f t="shared" si="451"/>
        <v>0</v>
      </c>
      <c r="DM45" s="15">
        <f t="shared" si="451"/>
        <v>0</v>
      </c>
      <c r="DN45" s="15">
        <f t="shared" si="451"/>
        <v>0</v>
      </c>
      <c r="DO45" s="15">
        <f t="shared" si="451"/>
        <v>0</v>
      </c>
      <c r="DP45" s="15">
        <f t="shared" si="451"/>
        <v>0</v>
      </c>
      <c r="DQ45" s="15">
        <f t="shared" si="451"/>
        <v>0</v>
      </c>
      <c r="DS45" s="15">
        <f t="shared" si="452"/>
        <v>21666666.666666668</v>
      </c>
      <c r="DT45" s="15">
        <f t="shared" si="452"/>
        <v>21666666.666666668</v>
      </c>
      <c r="DU45" s="15">
        <f t="shared" si="452"/>
        <v>21666666.666666668</v>
      </c>
      <c r="DV45" s="15">
        <f t="shared" si="452"/>
        <v>21666666.666666668</v>
      </c>
      <c r="DW45" s="15">
        <f t="shared" si="452"/>
        <v>21666666.666666668</v>
      </c>
      <c r="DX45" s="15">
        <f t="shared" si="452"/>
        <v>21666666.666666668</v>
      </c>
      <c r="DY45" s="15">
        <f t="shared" si="452"/>
        <v>21666666.666666668</v>
      </c>
      <c r="DZ45" s="15">
        <f t="shared" si="452"/>
        <v>21666666.666666668</v>
      </c>
      <c r="EA45" s="15">
        <f t="shared" si="452"/>
        <v>21666666.666666668</v>
      </c>
      <c r="EB45" s="15">
        <f t="shared" si="452"/>
        <v>21666666.666666668</v>
      </c>
      <c r="EC45" s="15">
        <f t="shared" si="452"/>
        <v>21666666.666666668</v>
      </c>
      <c r="ED45" s="15">
        <f t="shared" si="452"/>
        <v>21666666.666666668</v>
      </c>
      <c r="EE45" s="15">
        <f t="shared" si="452"/>
        <v>0</v>
      </c>
      <c r="EF45" s="15">
        <f t="shared" si="452"/>
        <v>0</v>
      </c>
      <c r="EG45" s="15">
        <f t="shared" si="452"/>
        <v>0</v>
      </c>
      <c r="EH45" s="15">
        <f t="shared" si="452"/>
        <v>0</v>
      </c>
      <c r="EI45" s="15">
        <f t="shared" si="453"/>
        <v>0</v>
      </c>
      <c r="EJ45" s="15">
        <f t="shared" si="453"/>
        <v>0</v>
      </c>
      <c r="EK45" s="15">
        <f t="shared" si="453"/>
        <v>0</v>
      </c>
      <c r="EL45" s="15">
        <f t="shared" si="453"/>
        <v>0</v>
      </c>
      <c r="EM45" s="15">
        <f t="shared" si="453"/>
        <v>0</v>
      </c>
      <c r="EN45" s="15">
        <f t="shared" si="453"/>
        <v>0</v>
      </c>
      <c r="EO45" s="15">
        <f t="shared" si="453"/>
        <v>0</v>
      </c>
      <c r="EP45" s="15">
        <f t="shared" si="453"/>
        <v>0</v>
      </c>
      <c r="EQ45" s="15">
        <f t="shared" si="453"/>
        <v>0</v>
      </c>
      <c r="ER45" s="15">
        <f t="shared" si="453"/>
        <v>0</v>
      </c>
      <c r="ES45" s="15">
        <f t="shared" si="453"/>
        <v>0</v>
      </c>
      <c r="ET45" s="15">
        <f t="shared" si="453"/>
        <v>0</v>
      </c>
      <c r="EU45" s="15">
        <f t="shared" si="453"/>
        <v>0</v>
      </c>
      <c r="EV45" s="15">
        <f t="shared" si="453"/>
        <v>0</v>
      </c>
      <c r="EX45" s="15">
        <f t="shared" si="454"/>
        <v>21666666.666666668</v>
      </c>
      <c r="EY45" s="15">
        <f t="shared" si="454"/>
        <v>21666666.666666668</v>
      </c>
      <c r="EZ45" s="15">
        <f t="shared" si="454"/>
        <v>21666666.666666668</v>
      </c>
      <c r="FA45" s="15">
        <f t="shared" si="454"/>
        <v>21666666.666666668</v>
      </c>
      <c r="FB45" s="15">
        <f t="shared" si="454"/>
        <v>21666666.666666668</v>
      </c>
      <c r="FC45" s="15">
        <f t="shared" si="454"/>
        <v>21666666.666666668</v>
      </c>
      <c r="FD45" s="15">
        <f t="shared" si="454"/>
        <v>21666666.666666668</v>
      </c>
      <c r="FE45" s="15">
        <f t="shared" si="454"/>
        <v>21666666.666666668</v>
      </c>
      <c r="FF45" s="15">
        <f t="shared" si="454"/>
        <v>21666666.666666668</v>
      </c>
      <c r="FG45" s="15">
        <f t="shared" si="454"/>
        <v>21666666.666666668</v>
      </c>
      <c r="FH45" s="15">
        <f t="shared" si="454"/>
        <v>21666666.666666668</v>
      </c>
      <c r="FI45" s="15">
        <f t="shared" si="454"/>
        <v>21666666.666666668</v>
      </c>
      <c r="FJ45" s="15">
        <f t="shared" si="454"/>
        <v>0</v>
      </c>
      <c r="FK45" s="15">
        <f t="shared" si="454"/>
        <v>0</v>
      </c>
      <c r="FL45" s="15">
        <f t="shared" si="454"/>
        <v>0</v>
      </c>
      <c r="FM45" s="15">
        <f t="shared" si="454"/>
        <v>0</v>
      </c>
      <c r="FN45" s="15">
        <f t="shared" si="455"/>
        <v>0</v>
      </c>
      <c r="FO45" s="15">
        <f t="shared" si="455"/>
        <v>0</v>
      </c>
      <c r="FP45" s="15">
        <f t="shared" si="455"/>
        <v>0</v>
      </c>
      <c r="FQ45" s="15">
        <f t="shared" si="455"/>
        <v>0</v>
      </c>
      <c r="FR45" s="15">
        <f t="shared" si="455"/>
        <v>0</v>
      </c>
      <c r="FS45" s="15">
        <f t="shared" si="455"/>
        <v>0</v>
      </c>
      <c r="FT45" s="15">
        <f t="shared" si="455"/>
        <v>0</v>
      </c>
      <c r="FU45" s="15">
        <f t="shared" si="455"/>
        <v>0</v>
      </c>
      <c r="FV45" s="15">
        <f t="shared" si="455"/>
        <v>0</v>
      </c>
      <c r="FW45" s="15">
        <f t="shared" si="455"/>
        <v>0</v>
      </c>
      <c r="FX45" s="15">
        <f t="shared" si="455"/>
        <v>0</v>
      </c>
      <c r="FY45" s="15">
        <f t="shared" si="455"/>
        <v>0</v>
      </c>
      <c r="FZ45" s="15">
        <f t="shared" si="455"/>
        <v>0</v>
      </c>
      <c r="GA45" s="15">
        <f t="shared" si="455"/>
        <v>0</v>
      </c>
      <c r="GC45" s="15">
        <f t="shared" si="456"/>
        <v>21666666.666666668</v>
      </c>
      <c r="GD45" s="15">
        <f t="shared" si="456"/>
        <v>21666666.666666668</v>
      </c>
      <c r="GE45" s="15">
        <f t="shared" si="456"/>
        <v>21666666.666666668</v>
      </c>
      <c r="GF45" s="15">
        <f t="shared" si="456"/>
        <v>21666666.666666668</v>
      </c>
      <c r="GG45" s="15">
        <f t="shared" si="456"/>
        <v>21666666.666666668</v>
      </c>
      <c r="GH45" s="15">
        <f t="shared" si="456"/>
        <v>21666666.666666668</v>
      </c>
      <c r="GI45" s="15">
        <f t="shared" si="456"/>
        <v>21666666.666666668</v>
      </c>
      <c r="GJ45" s="15">
        <f t="shared" si="456"/>
        <v>21666666.666666668</v>
      </c>
      <c r="GK45" s="15">
        <f t="shared" si="456"/>
        <v>21666666.666666668</v>
      </c>
      <c r="GL45" s="15">
        <f t="shared" si="456"/>
        <v>21666666.666666668</v>
      </c>
      <c r="GM45" s="15">
        <f t="shared" si="456"/>
        <v>21666666.666666668</v>
      </c>
      <c r="GN45" s="15">
        <f t="shared" si="456"/>
        <v>21666666.666666668</v>
      </c>
      <c r="GO45" s="15">
        <f t="shared" si="456"/>
        <v>0</v>
      </c>
      <c r="GP45" s="15">
        <f t="shared" si="456"/>
        <v>0</v>
      </c>
      <c r="GQ45" s="15">
        <f t="shared" si="456"/>
        <v>0</v>
      </c>
      <c r="GR45" s="15">
        <f t="shared" si="456"/>
        <v>0</v>
      </c>
      <c r="GS45" s="15">
        <f t="shared" si="457"/>
        <v>0</v>
      </c>
      <c r="GT45" s="15">
        <f t="shared" si="457"/>
        <v>0</v>
      </c>
      <c r="GU45" s="15">
        <f t="shared" si="457"/>
        <v>0</v>
      </c>
      <c r="GV45" s="15">
        <f t="shared" si="457"/>
        <v>0</v>
      </c>
      <c r="GW45" s="15">
        <f t="shared" si="457"/>
        <v>0</v>
      </c>
      <c r="GX45" s="15">
        <f t="shared" si="457"/>
        <v>0</v>
      </c>
      <c r="GY45" s="15">
        <f t="shared" si="457"/>
        <v>0</v>
      </c>
      <c r="GZ45" s="15">
        <f t="shared" si="457"/>
        <v>0</v>
      </c>
      <c r="HA45" s="15">
        <f t="shared" si="457"/>
        <v>0</v>
      </c>
      <c r="HB45" s="15">
        <f t="shared" si="457"/>
        <v>0</v>
      </c>
      <c r="HC45" s="15">
        <f t="shared" si="457"/>
        <v>0</v>
      </c>
      <c r="HD45" s="15">
        <f t="shared" si="457"/>
        <v>0</v>
      </c>
      <c r="HE45" s="15">
        <f t="shared" si="457"/>
        <v>0</v>
      </c>
      <c r="HF45" s="15">
        <f t="shared" si="457"/>
        <v>0</v>
      </c>
      <c r="HH45" s="15">
        <f t="shared" si="458"/>
        <v>21666666.666666668</v>
      </c>
      <c r="HI45" s="15">
        <f t="shared" si="458"/>
        <v>21666666.666666668</v>
      </c>
      <c r="HJ45" s="15">
        <f t="shared" si="458"/>
        <v>21666666.666666668</v>
      </c>
      <c r="HK45" s="15">
        <f t="shared" si="458"/>
        <v>21666666.666666668</v>
      </c>
      <c r="HL45" s="15">
        <f t="shared" si="458"/>
        <v>21666666.666666668</v>
      </c>
      <c r="HM45" s="15">
        <f t="shared" si="458"/>
        <v>21666666.666666668</v>
      </c>
      <c r="HN45" s="15">
        <f t="shared" si="458"/>
        <v>21666666.666666668</v>
      </c>
      <c r="HO45" s="15">
        <f t="shared" si="458"/>
        <v>21666666.666666668</v>
      </c>
      <c r="HP45" s="15">
        <f t="shared" si="458"/>
        <v>21666666.666666668</v>
      </c>
      <c r="HQ45" s="15">
        <f t="shared" si="458"/>
        <v>21666666.666666668</v>
      </c>
      <c r="HR45" s="15">
        <f t="shared" si="458"/>
        <v>21666666.666666668</v>
      </c>
      <c r="HS45" s="15">
        <f t="shared" si="458"/>
        <v>21666666.666666668</v>
      </c>
      <c r="HT45" s="15">
        <f t="shared" si="458"/>
        <v>0</v>
      </c>
      <c r="HU45" s="15">
        <f t="shared" si="458"/>
        <v>0</v>
      </c>
      <c r="HV45" s="15">
        <f t="shared" si="458"/>
        <v>0</v>
      </c>
      <c r="HW45" s="15">
        <f t="shared" si="458"/>
        <v>0</v>
      </c>
      <c r="HX45" s="15">
        <f t="shared" si="459"/>
        <v>0</v>
      </c>
      <c r="HY45" s="15">
        <f t="shared" si="459"/>
        <v>0</v>
      </c>
      <c r="HZ45" s="15">
        <f t="shared" si="459"/>
        <v>0</v>
      </c>
      <c r="IA45" s="15">
        <f t="shared" si="459"/>
        <v>0</v>
      </c>
      <c r="IB45" s="15">
        <f t="shared" si="459"/>
        <v>0</v>
      </c>
      <c r="IC45" s="15">
        <f t="shared" si="459"/>
        <v>0</v>
      </c>
      <c r="ID45" s="15">
        <f t="shared" si="459"/>
        <v>0</v>
      </c>
      <c r="IE45" s="15">
        <f t="shared" si="459"/>
        <v>0</v>
      </c>
      <c r="IF45" s="15">
        <f t="shared" si="459"/>
        <v>0</v>
      </c>
      <c r="IG45" s="15">
        <f t="shared" si="459"/>
        <v>0</v>
      </c>
      <c r="IH45" s="15">
        <f t="shared" si="459"/>
        <v>0</v>
      </c>
      <c r="II45" s="15">
        <f t="shared" si="459"/>
        <v>0</v>
      </c>
      <c r="IJ45" s="15">
        <f t="shared" si="459"/>
        <v>0</v>
      </c>
      <c r="IK45" s="15">
        <f t="shared" si="459"/>
        <v>0</v>
      </c>
      <c r="IM45" s="15">
        <f t="shared" si="460"/>
        <v>21666666.666666668</v>
      </c>
      <c r="IN45" s="15">
        <f t="shared" si="460"/>
        <v>21666666.666666668</v>
      </c>
      <c r="IO45" s="15">
        <f t="shared" si="460"/>
        <v>21666666.666666668</v>
      </c>
      <c r="IP45" s="15">
        <f t="shared" si="460"/>
        <v>21666666.666666668</v>
      </c>
      <c r="IQ45" s="15">
        <f t="shared" si="460"/>
        <v>21666666.666666668</v>
      </c>
      <c r="IR45" s="15">
        <f t="shared" si="460"/>
        <v>21666666.666666668</v>
      </c>
      <c r="IS45" s="15">
        <f t="shared" si="460"/>
        <v>21666666.666666668</v>
      </c>
      <c r="IT45" s="15">
        <f t="shared" si="460"/>
        <v>21666666.666666668</v>
      </c>
      <c r="IU45" s="15">
        <f t="shared" si="460"/>
        <v>21666666.666666668</v>
      </c>
      <c r="IV45" s="15">
        <f t="shared" si="460"/>
        <v>21666666.666666668</v>
      </c>
      <c r="IW45" s="15">
        <f t="shared" si="460"/>
        <v>21666666.666666668</v>
      </c>
      <c r="IX45" s="15">
        <f t="shared" si="460"/>
        <v>21666666.666666668</v>
      </c>
      <c r="IY45" s="15">
        <f t="shared" si="460"/>
        <v>0</v>
      </c>
      <c r="IZ45" s="15">
        <f t="shared" si="460"/>
        <v>0</v>
      </c>
      <c r="JA45" s="15">
        <f t="shared" si="460"/>
        <v>0</v>
      </c>
      <c r="JB45" s="15">
        <f t="shared" si="460"/>
        <v>0</v>
      </c>
      <c r="JC45" s="15">
        <f t="shared" si="461"/>
        <v>0</v>
      </c>
      <c r="JD45" s="15">
        <f t="shared" si="461"/>
        <v>0</v>
      </c>
      <c r="JE45" s="15">
        <f t="shared" si="461"/>
        <v>0</v>
      </c>
      <c r="JF45" s="15">
        <f t="shared" si="461"/>
        <v>0</v>
      </c>
      <c r="JG45" s="15">
        <f t="shared" si="461"/>
        <v>0</v>
      </c>
      <c r="JH45" s="15">
        <f t="shared" si="461"/>
        <v>0</v>
      </c>
      <c r="JI45" s="15">
        <f t="shared" si="461"/>
        <v>0</v>
      </c>
      <c r="JJ45" s="15">
        <f t="shared" si="461"/>
        <v>0</v>
      </c>
      <c r="JK45" s="15">
        <f t="shared" si="461"/>
        <v>0</v>
      </c>
      <c r="JL45" s="15">
        <f t="shared" si="461"/>
        <v>0</v>
      </c>
      <c r="JM45" s="15">
        <f t="shared" si="461"/>
        <v>0</v>
      </c>
      <c r="JN45" s="15">
        <f t="shared" si="461"/>
        <v>0</v>
      </c>
      <c r="JO45" s="15">
        <f t="shared" si="461"/>
        <v>0</v>
      </c>
      <c r="JP45" s="15">
        <f t="shared" si="461"/>
        <v>0</v>
      </c>
      <c r="JR45" s="15">
        <f t="shared" si="462"/>
        <v>21666666.666666668</v>
      </c>
      <c r="JS45" s="15">
        <f t="shared" si="462"/>
        <v>21666666.666666668</v>
      </c>
      <c r="JT45" s="15">
        <f t="shared" si="462"/>
        <v>21666666.666666668</v>
      </c>
      <c r="JU45" s="15">
        <f t="shared" si="462"/>
        <v>21666666.666666668</v>
      </c>
      <c r="JV45" s="15">
        <f t="shared" si="462"/>
        <v>21666666.666666668</v>
      </c>
      <c r="JW45" s="15">
        <f t="shared" si="462"/>
        <v>21666666.666666668</v>
      </c>
      <c r="JX45" s="15">
        <f t="shared" si="462"/>
        <v>21666666.666666668</v>
      </c>
      <c r="JY45" s="15">
        <f t="shared" si="462"/>
        <v>21666666.666666668</v>
      </c>
      <c r="JZ45" s="15">
        <f t="shared" si="462"/>
        <v>21666666.666666668</v>
      </c>
      <c r="KA45" s="15">
        <f t="shared" si="462"/>
        <v>21666666.666666668</v>
      </c>
      <c r="KB45" s="15">
        <f t="shared" si="462"/>
        <v>21666666.666666668</v>
      </c>
      <c r="KC45" s="15">
        <f t="shared" si="462"/>
        <v>21666666.666666668</v>
      </c>
      <c r="KD45" s="15">
        <f t="shared" si="462"/>
        <v>0</v>
      </c>
      <c r="KE45" s="15">
        <f t="shared" si="462"/>
        <v>0</v>
      </c>
      <c r="KF45" s="15">
        <f t="shared" si="462"/>
        <v>0</v>
      </c>
      <c r="KG45" s="15">
        <f t="shared" si="462"/>
        <v>0</v>
      </c>
      <c r="KH45" s="15">
        <f t="shared" si="463"/>
        <v>0</v>
      </c>
      <c r="KI45" s="15">
        <f t="shared" si="463"/>
        <v>0</v>
      </c>
      <c r="KJ45" s="15">
        <f t="shared" si="463"/>
        <v>0</v>
      </c>
      <c r="KK45" s="15">
        <f t="shared" si="463"/>
        <v>0</v>
      </c>
      <c r="KL45" s="15">
        <f t="shared" si="463"/>
        <v>0</v>
      </c>
      <c r="KM45" s="15">
        <f t="shared" si="463"/>
        <v>0</v>
      </c>
      <c r="KN45" s="15">
        <f t="shared" si="463"/>
        <v>0</v>
      </c>
      <c r="KO45" s="15">
        <f t="shared" si="463"/>
        <v>0</v>
      </c>
      <c r="KP45" s="15">
        <f t="shared" si="463"/>
        <v>0</v>
      </c>
      <c r="KQ45" s="15">
        <f t="shared" si="463"/>
        <v>0</v>
      </c>
      <c r="KR45" s="15">
        <f t="shared" si="463"/>
        <v>0</v>
      </c>
      <c r="KS45" s="15">
        <f t="shared" si="463"/>
        <v>0</v>
      </c>
      <c r="KT45" s="15">
        <f t="shared" si="463"/>
        <v>0</v>
      </c>
      <c r="KU45" s="15">
        <f t="shared" si="463"/>
        <v>0</v>
      </c>
      <c r="KW45" s="15">
        <f t="shared" si="464"/>
        <v>21666666.666666668</v>
      </c>
      <c r="KX45" s="15">
        <f t="shared" si="464"/>
        <v>21666666.666666668</v>
      </c>
      <c r="KY45" s="15">
        <f t="shared" si="464"/>
        <v>21666666.666666668</v>
      </c>
      <c r="KZ45" s="15">
        <f t="shared" si="464"/>
        <v>21666666.666666668</v>
      </c>
      <c r="LA45" s="15">
        <f t="shared" si="464"/>
        <v>21666666.666666668</v>
      </c>
      <c r="LB45" s="15">
        <f t="shared" si="464"/>
        <v>21666666.666666668</v>
      </c>
      <c r="LC45" s="15">
        <f t="shared" si="464"/>
        <v>21666666.666666668</v>
      </c>
      <c r="LD45" s="15">
        <f t="shared" si="464"/>
        <v>21666666.666666668</v>
      </c>
      <c r="LE45" s="15">
        <f t="shared" si="464"/>
        <v>21666666.666666668</v>
      </c>
      <c r="LF45" s="15">
        <f t="shared" si="464"/>
        <v>21666666.666666668</v>
      </c>
      <c r="LG45" s="15">
        <f t="shared" si="464"/>
        <v>21666666.666666668</v>
      </c>
      <c r="LH45" s="15">
        <f t="shared" si="464"/>
        <v>21666666.666666668</v>
      </c>
      <c r="LI45" s="15">
        <f t="shared" si="464"/>
        <v>0</v>
      </c>
      <c r="LJ45" s="15">
        <f t="shared" si="464"/>
        <v>0</v>
      </c>
      <c r="LK45" s="15">
        <f t="shared" si="464"/>
        <v>0</v>
      </c>
      <c r="LL45" s="15">
        <f t="shared" si="464"/>
        <v>0</v>
      </c>
      <c r="LM45" s="15">
        <f t="shared" si="465"/>
        <v>0</v>
      </c>
      <c r="LN45" s="15">
        <f t="shared" si="465"/>
        <v>0</v>
      </c>
      <c r="LO45" s="15">
        <f t="shared" si="465"/>
        <v>0</v>
      </c>
      <c r="LP45" s="15">
        <f t="shared" si="465"/>
        <v>0</v>
      </c>
      <c r="LQ45" s="15">
        <f t="shared" si="465"/>
        <v>0</v>
      </c>
      <c r="LR45" s="15">
        <f t="shared" si="465"/>
        <v>0</v>
      </c>
      <c r="LS45" s="15">
        <f t="shared" si="465"/>
        <v>0</v>
      </c>
      <c r="LT45" s="15">
        <f t="shared" si="465"/>
        <v>0</v>
      </c>
      <c r="LU45" s="15">
        <f t="shared" si="465"/>
        <v>0</v>
      </c>
      <c r="LV45" s="15">
        <f t="shared" si="465"/>
        <v>0</v>
      </c>
      <c r="LW45" s="15">
        <f t="shared" si="465"/>
        <v>0</v>
      </c>
      <c r="LX45" s="15">
        <f t="shared" si="465"/>
        <v>0</v>
      </c>
      <c r="LY45" s="15">
        <f t="shared" si="465"/>
        <v>0</v>
      </c>
      <c r="LZ45" s="15">
        <f t="shared" si="465"/>
        <v>0</v>
      </c>
      <c r="MB45" s="15">
        <f t="shared" si="466"/>
        <v>21666666.666666668</v>
      </c>
      <c r="MC45" s="15">
        <f t="shared" si="466"/>
        <v>21666666.666666668</v>
      </c>
      <c r="MD45" s="15">
        <f t="shared" si="466"/>
        <v>21666666.666666668</v>
      </c>
      <c r="ME45" s="15">
        <f t="shared" si="466"/>
        <v>21666666.666666668</v>
      </c>
      <c r="MF45" s="15">
        <f t="shared" si="466"/>
        <v>21666666.666666668</v>
      </c>
      <c r="MG45" s="15">
        <f t="shared" si="466"/>
        <v>21666666.666666668</v>
      </c>
      <c r="MH45" s="15">
        <f t="shared" si="466"/>
        <v>21666666.666666668</v>
      </c>
      <c r="MI45" s="15">
        <f t="shared" si="466"/>
        <v>21666666.666666668</v>
      </c>
      <c r="MJ45" s="15">
        <f t="shared" si="466"/>
        <v>21666666.666666668</v>
      </c>
      <c r="MK45" s="15">
        <f t="shared" si="466"/>
        <v>21666666.666666668</v>
      </c>
      <c r="ML45" s="15">
        <f t="shared" si="466"/>
        <v>21666666.666666668</v>
      </c>
      <c r="MM45" s="15">
        <f t="shared" si="466"/>
        <v>21666666.666666668</v>
      </c>
      <c r="MN45" s="15">
        <f t="shared" si="466"/>
        <v>0</v>
      </c>
      <c r="MO45" s="15">
        <f t="shared" si="466"/>
        <v>0</v>
      </c>
      <c r="MP45" s="15">
        <f t="shared" si="466"/>
        <v>0</v>
      </c>
      <c r="MQ45" s="15">
        <f t="shared" si="466"/>
        <v>0</v>
      </c>
      <c r="MR45" s="15">
        <f t="shared" si="467"/>
        <v>0</v>
      </c>
      <c r="MS45" s="15">
        <f t="shared" si="467"/>
        <v>0</v>
      </c>
      <c r="MT45" s="15">
        <f t="shared" si="467"/>
        <v>0</v>
      </c>
      <c r="MU45" s="15">
        <f t="shared" si="467"/>
        <v>0</v>
      </c>
      <c r="MV45" s="15">
        <f t="shared" si="467"/>
        <v>0</v>
      </c>
      <c r="MW45" s="15">
        <f t="shared" si="467"/>
        <v>0</v>
      </c>
      <c r="MX45" s="15">
        <f t="shared" si="467"/>
        <v>0</v>
      </c>
      <c r="MY45" s="15">
        <f t="shared" si="467"/>
        <v>0</v>
      </c>
      <c r="MZ45" s="15">
        <f t="shared" si="467"/>
        <v>0</v>
      </c>
      <c r="NA45" s="15">
        <f t="shared" si="467"/>
        <v>0</v>
      </c>
      <c r="NB45" s="15">
        <f t="shared" si="467"/>
        <v>0</v>
      </c>
      <c r="NC45" s="15">
        <f t="shared" si="467"/>
        <v>0</v>
      </c>
      <c r="ND45" s="15">
        <f t="shared" si="467"/>
        <v>0</v>
      </c>
      <c r="NE45" s="15">
        <f t="shared" si="467"/>
        <v>0</v>
      </c>
    </row>
    <row r="46" spans="1:369" outlineLevel="1" x14ac:dyDescent="0.25">
      <c r="B46" t="s">
        <v>345</v>
      </c>
      <c r="C46" s="623" t="s">
        <v>249</v>
      </c>
      <c r="D46" s="613" t="s">
        <v>231</v>
      </c>
      <c r="E46" s="468">
        <v>1</v>
      </c>
      <c r="F46" s="221"/>
      <c r="G46" s="457">
        <v>12</v>
      </c>
      <c r="H46" s="468">
        <f>(137500000/$D$6)*1.04</f>
        <v>143000000</v>
      </c>
      <c r="I46" s="457">
        <f t="shared" si="419"/>
        <v>143000000</v>
      </c>
      <c r="J46" s="457">
        <f t="shared" si="420"/>
        <v>11916666.666666666</v>
      </c>
      <c r="K46" s="221"/>
      <c r="L46" s="457">
        <v>12</v>
      </c>
      <c r="M46" s="457">
        <f t="shared" si="421"/>
        <v>143000000</v>
      </c>
      <c r="N46" s="457">
        <f t="shared" si="422"/>
        <v>143000000</v>
      </c>
      <c r="O46" s="457">
        <f t="shared" si="423"/>
        <v>11916666.666666666</v>
      </c>
      <c r="P46" s="221"/>
      <c r="Q46" s="457">
        <v>12</v>
      </c>
      <c r="R46" s="457">
        <f t="shared" si="424"/>
        <v>143000000</v>
      </c>
      <c r="S46" s="457">
        <f t="shared" si="425"/>
        <v>143000000</v>
      </c>
      <c r="T46" s="457">
        <f t="shared" si="426"/>
        <v>11916666.666666666</v>
      </c>
      <c r="U46" s="221"/>
      <c r="V46" s="457">
        <v>12</v>
      </c>
      <c r="W46" s="457">
        <f t="shared" si="427"/>
        <v>143000000</v>
      </c>
      <c r="X46" s="457">
        <f t="shared" si="428"/>
        <v>143000000</v>
      </c>
      <c r="Y46" s="457">
        <f t="shared" si="429"/>
        <v>11916666.666666666</v>
      </c>
      <c r="Z46" s="221"/>
      <c r="AA46" s="457">
        <v>12</v>
      </c>
      <c r="AB46" s="457">
        <f t="shared" si="430"/>
        <v>143000000</v>
      </c>
      <c r="AC46" s="457">
        <f t="shared" si="431"/>
        <v>143000000</v>
      </c>
      <c r="AD46" s="457">
        <f t="shared" si="432"/>
        <v>11916666.666666666</v>
      </c>
      <c r="AE46" s="221"/>
      <c r="AF46" s="457">
        <v>12</v>
      </c>
      <c r="AG46" s="457">
        <f t="shared" si="433"/>
        <v>143000000</v>
      </c>
      <c r="AH46" s="457">
        <f t="shared" si="434"/>
        <v>143000000</v>
      </c>
      <c r="AI46" s="457">
        <f t="shared" si="435"/>
        <v>11916666.666666666</v>
      </c>
      <c r="AJ46" s="221"/>
      <c r="AK46" s="457">
        <v>12</v>
      </c>
      <c r="AL46" s="457">
        <f t="shared" si="436"/>
        <v>143000000</v>
      </c>
      <c r="AM46" s="457">
        <f t="shared" si="437"/>
        <v>143000000</v>
      </c>
      <c r="AN46" s="457">
        <f t="shared" si="438"/>
        <v>11916666.666666666</v>
      </c>
      <c r="AO46" s="221"/>
      <c r="AP46" s="457">
        <v>12</v>
      </c>
      <c r="AQ46" s="457">
        <f t="shared" si="439"/>
        <v>143000000</v>
      </c>
      <c r="AR46" s="457">
        <f t="shared" si="440"/>
        <v>143000000</v>
      </c>
      <c r="AS46" s="457">
        <f t="shared" si="441"/>
        <v>11916666.666666666</v>
      </c>
      <c r="AT46" s="221"/>
      <c r="AU46" s="457">
        <v>12</v>
      </c>
      <c r="AV46" s="457">
        <f t="shared" si="442"/>
        <v>143000000</v>
      </c>
      <c r="AW46" s="457">
        <f t="shared" si="443"/>
        <v>143000000</v>
      </c>
      <c r="AX46" s="457">
        <f t="shared" si="444"/>
        <v>11916666.666666666</v>
      </c>
      <c r="AY46" s="221"/>
      <c r="AZ46" s="457">
        <v>12</v>
      </c>
      <c r="BA46" s="457">
        <f t="shared" si="445"/>
        <v>143000000</v>
      </c>
      <c r="BB46" s="457">
        <f t="shared" si="446"/>
        <v>143000000</v>
      </c>
      <c r="BC46" s="457">
        <f t="shared" si="447"/>
        <v>11916666.666666666</v>
      </c>
      <c r="BD46" s="221"/>
      <c r="BG46" t="s">
        <v>337</v>
      </c>
      <c r="BI46" s="15">
        <f t="shared" si="448"/>
        <v>11916666.666666666</v>
      </c>
      <c r="BJ46" s="15">
        <f t="shared" si="448"/>
        <v>11916666.666666666</v>
      </c>
      <c r="BK46" s="15">
        <f t="shared" si="448"/>
        <v>11916666.666666666</v>
      </c>
      <c r="BL46" s="15">
        <f t="shared" si="448"/>
        <v>11916666.666666666</v>
      </c>
      <c r="BM46" s="15">
        <f t="shared" si="448"/>
        <v>11916666.666666666</v>
      </c>
      <c r="BN46" s="15">
        <f t="shared" si="448"/>
        <v>11916666.666666666</v>
      </c>
      <c r="BO46" s="15">
        <f t="shared" si="448"/>
        <v>11916666.666666666</v>
      </c>
      <c r="BP46" s="15">
        <f t="shared" si="448"/>
        <v>11916666.666666666</v>
      </c>
      <c r="BQ46" s="15">
        <f t="shared" si="448"/>
        <v>11916666.666666666</v>
      </c>
      <c r="BR46" s="15">
        <f t="shared" si="448"/>
        <v>11916666.666666666</v>
      </c>
      <c r="BS46" s="15">
        <f t="shared" si="448"/>
        <v>11916666.666666666</v>
      </c>
      <c r="BT46" s="15">
        <f t="shared" si="448"/>
        <v>11916666.666666666</v>
      </c>
      <c r="BU46" s="15">
        <f t="shared" si="448"/>
        <v>0</v>
      </c>
      <c r="BV46" s="15">
        <f t="shared" si="448"/>
        <v>0</v>
      </c>
      <c r="BW46" s="15">
        <f t="shared" si="448"/>
        <v>0</v>
      </c>
      <c r="BX46" s="15">
        <f t="shared" si="448"/>
        <v>0</v>
      </c>
      <c r="BY46" s="15">
        <f t="shared" si="449"/>
        <v>0</v>
      </c>
      <c r="BZ46" s="15">
        <f t="shared" si="449"/>
        <v>0</v>
      </c>
      <c r="CA46" s="15">
        <f t="shared" si="449"/>
        <v>0</v>
      </c>
      <c r="CB46" s="15">
        <f t="shared" si="449"/>
        <v>0</v>
      </c>
      <c r="CC46" s="15">
        <f t="shared" si="449"/>
        <v>0</v>
      </c>
      <c r="CD46" s="15">
        <f t="shared" si="449"/>
        <v>0</v>
      </c>
      <c r="CE46" s="15">
        <f t="shared" si="449"/>
        <v>0</v>
      </c>
      <c r="CF46" s="15">
        <f t="shared" si="449"/>
        <v>0</v>
      </c>
      <c r="CG46" s="15">
        <f t="shared" si="449"/>
        <v>0</v>
      </c>
      <c r="CH46" s="15">
        <f t="shared" si="449"/>
        <v>0</v>
      </c>
      <c r="CI46" s="15">
        <f t="shared" si="449"/>
        <v>0</v>
      </c>
      <c r="CJ46" s="15">
        <f t="shared" si="449"/>
        <v>0</v>
      </c>
      <c r="CK46" s="15">
        <f t="shared" si="449"/>
        <v>0</v>
      </c>
      <c r="CL46" s="15">
        <f t="shared" si="449"/>
        <v>0</v>
      </c>
      <c r="CN46" s="15">
        <f t="shared" si="450"/>
        <v>11916666.666666666</v>
      </c>
      <c r="CO46" s="15">
        <f t="shared" si="450"/>
        <v>11916666.666666666</v>
      </c>
      <c r="CP46" s="15">
        <f t="shared" si="450"/>
        <v>11916666.666666666</v>
      </c>
      <c r="CQ46" s="15">
        <f t="shared" si="450"/>
        <v>11916666.666666666</v>
      </c>
      <c r="CR46" s="15">
        <f t="shared" si="450"/>
        <v>11916666.666666666</v>
      </c>
      <c r="CS46" s="15">
        <f t="shared" si="450"/>
        <v>11916666.666666666</v>
      </c>
      <c r="CT46" s="15">
        <f t="shared" si="450"/>
        <v>11916666.666666666</v>
      </c>
      <c r="CU46" s="15">
        <f t="shared" si="450"/>
        <v>11916666.666666666</v>
      </c>
      <c r="CV46" s="15">
        <f t="shared" si="450"/>
        <v>11916666.666666666</v>
      </c>
      <c r="CW46" s="15">
        <f t="shared" si="450"/>
        <v>11916666.666666666</v>
      </c>
      <c r="CX46" s="15">
        <f t="shared" si="450"/>
        <v>11916666.666666666</v>
      </c>
      <c r="CY46" s="15">
        <f t="shared" si="450"/>
        <v>11916666.666666666</v>
      </c>
      <c r="CZ46" s="15">
        <f t="shared" si="450"/>
        <v>0</v>
      </c>
      <c r="DA46" s="15">
        <f t="shared" si="450"/>
        <v>0</v>
      </c>
      <c r="DB46" s="15">
        <f t="shared" si="450"/>
        <v>0</v>
      </c>
      <c r="DC46" s="15">
        <f t="shared" si="450"/>
        <v>0</v>
      </c>
      <c r="DD46" s="15">
        <f t="shared" si="451"/>
        <v>0</v>
      </c>
      <c r="DE46" s="15">
        <f t="shared" si="451"/>
        <v>0</v>
      </c>
      <c r="DF46" s="15">
        <f t="shared" si="451"/>
        <v>0</v>
      </c>
      <c r="DG46" s="15">
        <f t="shared" si="451"/>
        <v>0</v>
      </c>
      <c r="DH46" s="15">
        <f t="shared" si="451"/>
        <v>0</v>
      </c>
      <c r="DI46" s="15">
        <f t="shared" si="451"/>
        <v>0</v>
      </c>
      <c r="DJ46" s="15">
        <f t="shared" si="451"/>
        <v>0</v>
      </c>
      <c r="DK46" s="15">
        <f t="shared" si="451"/>
        <v>0</v>
      </c>
      <c r="DL46" s="15">
        <f t="shared" si="451"/>
        <v>0</v>
      </c>
      <c r="DM46" s="15">
        <f t="shared" si="451"/>
        <v>0</v>
      </c>
      <c r="DN46" s="15">
        <f t="shared" si="451"/>
        <v>0</v>
      </c>
      <c r="DO46" s="15">
        <f t="shared" si="451"/>
        <v>0</v>
      </c>
      <c r="DP46" s="15">
        <f t="shared" si="451"/>
        <v>0</v>
      </c>
      <c r="DQ46" s="15">
        <f t="shared" si="451"/>
        <v>0</v>
      </c>
      <c r="DS46" s="15">
        <f t="shared" si="452"/>
        <v>11916666.666666666</v>
      </c>
      <c r="DT46" s="15">
        <f t="shared" si="452"/>
        <v>11916666.666666666</v>
      </c>
      <c r="DU46" s="15">
        <f t="shared" si="452"/>
        <v>11916666.666666666</v>
      </c>
      <c r="DV46" s="15">
        <f t="shared" si="452"/>
        <v>11916666.666666666</v>
      </c>
      <c r="DW46" s="15">
        <f t="shared" si="452"/>
        <v>11916666.666666666</v>
      </c>
      <c r="DX46" s="15">
        <f t="shared" si="452"/>
        <v>11916666.666666666</v>
      </c>
      <c r="DY46" s="15">
        <f t="shared" si="452"/>
        <v>11916666.666666666</v>
      </c>
      <c r="DZ46" s="15">
        <f t="shared" si="452"/>
        <v>11916666.666666666</v>
      </c>
      <c r="EA46" s="15">
        <f t="shared" si="452"/>
        <v>11916666.666666666</v>
      </c>
      <c r="EB46" s="15">
        <f t="shared" si="452"/>
        <v>11916666.666666666</v>
      </c>
      <c r="EC46" s="15">
        <f t="shared" si="452"/>
        <v>11916666.666666666</v>
      </c>
      <c r="ED46" s="15">
        <f t="shared" si="452"/>
        <v>11916666.666666666</v>
      </c>
      <c r="EE46" s="15">
        <f t="shared" si="452"/>
        <v>0</v>
      </c>
      <c r="EF46" s="15">
        <f t="shared" si="452"/>
        <v>0</v>
      </c>
      <c r="EG46" s="15">
        <f t="shared" si="452"/>
        <v>0</v>
      </c>
      <c r="EH46" s="15">
        <f t="shared" si="452"/>
        <v>0</v>
      </c>
      <c r="EI46" s="15">
        <f t="shared" si="453"/>
        <v>0</v>
      </c>
      <c r="EJ46" s="15">
        <f t="shared" si="453"/>
        <v>0</v>
      </c>
      <c r="EK46" s="15">
        <f t="shared" si="453"/>
        <v>0</v>
      </c>
      <c r="EL46" s="15">
        <f t="shared" si="453"/>
        <v>0</v>
      </c>
      <c r="EM46" s="15">
        <f t="shared" si="453"/>
        <v>0</v>
      </c>
      <c r="EN46" s="15">
        <f t="shared" si="453"/>
        <v>0</v>
      </c>
      <c r="EO46" s="15">
        <f t="shared" si="453"/>
        <v>0</v>
      </c>
      <c r="EP46" s="15">
        <f t="shared" si="453"/>
        <v>0</v>
      </c>
      <c r="EQ46" s="15">
        <f t="shared" si="453"/>
        <v>0</v>
      </c>
      <c r="ER46" s="15">
        <f t="shared" si="453"/>
        <v>0</v>
      </c>
      <c r="ES46" s="15">
        <f t="shared" si="453"/>
        <v>0</v>
      </c>
      <c r="ET46" s="15">
        <f t="shared" si="453"/>
        <v>0</v>
      </c>
      <c r="EU46" s="15">
        <f t="shared" si="453"/>
        <v>0</v>
      </c>
      <c r="EV46" s="15">
        <f t="shared" si="453"/>
        <v>0</v>
      </c>
      <c r="EX46" s="15">
        <f t="shared" si="454"/>
        <v>11916666.666666666</v>
      </c>
      <c r="EY46" s="15">
        <f t="shared" si="454"/>
        <v>11916666.666666666</v>
      </c>
      <c r="EZ46" s="15">
        <f t="shared" si="454"/>
        <v>11916666.666666666</v>
      </c>
      <c r="FA46" s="15">
        <f t="shared" si="454"/>
        <v>11916666.666666666</v>
      </c>
      <c r="FB46" s="15">
        <f t="shared" si="454"/>
        <v>11916666.666666666</v>
      </c>
      <c r="FC46" s="15">
        <f t="shared" si="454"/>
        <v>11916666.666666666</v>
      </c>
      <c r="FD46" s="15">
        <f t="shared" si="454"/>
        <v>11916666.666666666</v>
      </c>
      <c r="FE46" s="15">
        <f t="shared" si="454"/>
        <v>11916666.666666666</v>
      </c>
      <c r="FF46" s="15">
        <f t="shared" si="454"/>
        <v>11916666.666666666</v>
      </c>
      <c r="FG46" s="15">
        <f t="shared" si="454"/>
        <v>11916666.666666666</v>
      </c>
      <c r="FH46" s="15">
        <f t="shared" si="454"/>
        <v>11916666.666666666</v>
      </c>
      <c r="FI46" s="15">
        <f t="shared" si="454"/>
        <v>11916666.666666666</v>
      </c>
      <c r="FJ46" s="15">
        <f t="shared" si="454"/>
        <v>0</v>
      </c>
      <c r="FK46" s="15">
        <f t="shared" si="454"/>
        <v>0</v>
      </c>
      <c r="FL46" s="15">
        <f t="shared" si="454"/>
        <v>0</v>
      </c>
      <c r="FM46" s="15">
        <f t="shared" si="454"/>
        <v>0</v>
      </c>
      <c r="FN46" s="15">
        <f t="shared" si="455"/>
        <v>0</v>
      </c>
      <c r="FO46" s="15">
        <f t="shared" si="455"/>
        <v>0</v>
      </c>
      <c r="FP46" s="15">
        <f t="shared" si="455"/>
        <v>0</v>
      </c>
      <c r="FQ46" s="15">
        <f t="shared" si="455"/>
        <v>0</v>
      </c>
      <c r="FR46" s="15">
        <f t="shared" si="455"/>
        <v>0</v>
      </c>
      <c r="FS46" s="15">
        <f t="shared" si="455"/>
        <v>0</v>
      </c>
      <c r="FT46" s="15">
        <f t="shared" si="455"/>
        <v>0</v>
      </c>
      <c r="FU46" s="15">
        <f t="shared" si="455"/>
        <v>0</v>
      </c>
      <c r="FV46" s="15">
        <f t="shared" si="455"/>
        <v>0</v>
      </c>
      <c r="FW46" s="15">
        <f t="shared" si="455"/>
        <v>0</v>
      </c>
      <c r="FX46" s="15">
        <f t="shared" si="455"/>
        <v>0</v>
      </c>
      <c r="FY46" s="15">
        <f t="shared" si="455"/>
        <v>0</v>
      </c>
      <c r="FZ46" s="15">
        <f t="shared" si="455"/>
        <v>0</v>
      </c>
      <c r="GA46" s="15">
        <f t="shared" si="455"/>
        <v>0</v>
      </c>
      <c r="GC46" s="15">
        <f t="shared" si="456"/>
        <v>11916666.666666666</v>
      </c>
      <c r="GD46" s="15">
        <f t="shared" si="456"/>
        <v>11916666.666666666</v>
      </c>
      <c r="GE46" s="15">
        <f t="shared" si="456"/>
        <v>11916666.666666666</v>
      </c>
      <c r="GF46" s="15">
        <f t="shared" si="456"/>
        <v>11916666.666666666</v>
      </c>
      <c r="GG46" s="15">
        <f t="shared" si="456"/>
        <v>11916666.666666666</v>
      </c>
      <c r="GH46" s="15">
        <f t="shared" si="456"/>
        <v>11916666.666666666</v>
      </c>
      <c r="GI46" s="15">
        <f t="shared" si="456"/>
        <v>11916666.666666666</v>
      </c>
      <c r="GJ46" s="15">
        <f t="shared" si="456"/>
        <v>11916666.666666666</v>
      </c>
      <c r="GK46" s="15">
        <f t="shared" si="456"/>
        <v>11916666.666666666</v>
      </c>
      <c r="GL46" s="15">
        <f t="shared" si="456"/>
        <v>11916666.666666666</v>
      </c>
      <c r="GM46" s="15">
        <f t="shared" si="456"/>
        <v>11916666.666666666</v>
      </c>
      <c r="GN46" s="15">
        <f t="shared" si="456"/>
        <v>11916666.666666666</v>
      </c>
      <c r="GO46" s="15">
        <f t="shared" si="456"/>
        <v>0</v>
      </c>
      <c r="GP46" s="15">
        <f t="shared" si="456"/>
        <v>0</v>
      </c>
      <c r="GQ46" s="15">
        <f t="shared" si="456"/>
        <v>0</v>
      </c>
      <c r="GR46" s="15">
        <f t="shared" si="456"/>
        <v>0</v>
      </c>
      <c r="GS46" s="15">
        <f t="shared" si="457"/>
        <v>0</v>
      </c>
      <c r="GT46" s="15">
        <f t="shared" si="457"/>
        <v>0</v>
      </c>
      <c r="GU46" s="15">
        <f t="shared" si="457"/>
        <v>0</v>
      </c>
      <c r="GV46" s="15">
        <f t="shared" si="457"/>
        <v>0</v>
      </c>
      <c r="GW46" s="15">
        <f t="shared" si="457"/>
        <v>0</v>
      </c>
      <c r="GX46" s="15">
        <f t="shared" si="457"/>
        <v>0</v>
      </c>
      <c r="GY46" s="15">
        <f t="shared" si="457"/>
        <v>0</v>
      </c>
      <c r="GZ46" s="15">
        <f t="shared" si="457"/>
        <v>0</v>
      </c>
      <c r="HA46" s="15">
        <f t="shared" si="457"/>
        <v>0</v>
      </c>
      <c r="HB46" s="15">
        <f t="shared" si="457"/>
        <v>0</v>
      </c>
      <c r="HC46" s="15">
        <f t="shared" si="457"/>
        <v>0</v>
      </c>
      <c r="HD46" s="15">
        <f t="shared" si="457"/>
        <v>0</v>
      </c>
      <c r="HE46" s="15">
        <f t="shared" si="457"/>
        <v>0</v>
      </c>
      <c r="HF46" s="15">
        <f t="shared" si="457"/>
        <v>0</v>
      </c>
      <c r="HH46" s="15">
        <f t="shared" si="458"/>
        <v>11916666.666666666</v>
      </c>
      <c r="HI46" s="15">
        <f t="shared" si="458"/>
        <v>11916666.666666666</v>
      </c>
      <c r="HJ46" s="15">
        <f t="shared" si="458"/>
        <v>11916666.666666666</v>
      </c>
      <c r="HK46" s="15">
        <f t="shared" si="458"/>
        <v>11916666.666666666</v>
      </c>
      <c r="HL46" s="15">
        <f t="shared" si="458"/>
        <v>11916666.666666666</v>
      </c>
      <c r="HM46" s="15">
        <f t="shared" si="458"/>
        <v>11916666.666666666</v>
      </c>
      <c r="HN46" s="15">
        <f t="shared" si="458"/>
        <v>11916666.666666666</v>
      </c>
      <c r="HO46" s="15">
        <f t="shared" si="458"/>
        <v>11916666.666666666</v>
      </c>
      <c r="HP46" s="15">
        <f t="shared" si="458"/>
        <v>11916666.666666666</v>
      </c>
      <c r="HQ46" s="15">
        <f t="shared" si="458"/>
        <v>11916666.666666666</v>
      </c>
      <c r="HR46" s="15">
        <f t="shared" si="458"/>
        <v>11916666.666666666</v>
      </c>
      <c r="HS46" s="15">
        <f t="shared" si="458"/>
        <v>11916666.666666666</v>
      </c>
      <c r="HT46" s="15">
        <f t="shared" si="458"/>
        <v>0</v>
      </c>
      <c r="HU46" s="15">
        <f t="shared" si="458"/>
        <v>0</v>
      </c>
      <c r="HV46" s="15">
        <f t="shared" si="458"/>
        <v>0</v>
      </c>
      <c r="HW46" s="15">
        <f t="shared" si="458"/>
        <v>0</v>
      </c>
      <c r="HX46" s="15">
        <f t="shared" si="459"/>
        <v>0</v>
      </c>
      <c r="HY46" s="15">
        <f t="shared" si="459"/>
        <v>0</v>
      </c>
      <c r="HZ46" s="15">
        <f t="shared" si="459"/>
        <v>0</v>
      </c>
      <c r="IA46" s="15">
        <f t="shared" si="459"/>
        <v>0</v>
      </c>
      <c r="IB46" s="15">
        <f t="shared" si="459"/>
        <v>0</v>
      </c>
      <c r="IC46" s="15">
        <f t="shared" si="459"/>
        <v>0</v>
      </c>
      <c r="ID46" s="15">
        <f t="shared" si="459"/>
        <v>0</v>
      </c>
      <c r="IE46" s="15">
        <f t="shared" si="459"/>
        <v>0</v>
      </c>
      <c r="IF46" s="15">
        <f t="shared" si="459"/>
        <v>0</v>
      </c>
      <c r="IG46" s="15">
        <f t="shared" si="459"/>
        <v>0</v>
      </c>
      <c r="IH46" s="15">
        <f t="shared" si="459"/>
        <v>0</v>
      </c>
      <c r="II46" s="15">
        <f t="shared" si="459"/>
        <v>0</v>
      </c>
      <c r="IJ46" s="15">
        <f t="shared" si="459"/>
        <v>0</v>
      </c>
      <c r="IK46" s="15">
        <f t="shared" si="459"/>
        <v>0</v>
      </c>
      <c r="IM46" s="15">
        <f t="shared" si="460"/>
        <v>11916666.666666666</v>
      </c>
      <c r="IN46" s="15">
        <f t="shared" si="460"/>
        <v>11916666.666666666</v>
      </c>
      <c r="IO46" s="15">
        <f t="shared" si="460"/>
        <v>11916666.666666666</v>
      </c>
      <c r="IP46" s="15">
        <f t="shared" si="460"/>
        <v>11916666.666666666</v>
      </c>
      <c r="IQ46" s="15">
        <f t="shared" si="460"/>
        <v>11916666.666666666</v>
      </c>
      <c r="IR46" s="15">
        <f t="shared" si="460"/>
        <v>11916666.666666666</v>
      </c>
      <c r="IS46" s="15">
        <f t="shared" si="460"/>
        <v>11916666.666666666</v>
      </c>
      <c r="IT46" s="15">
        <f t="shared" si="460"/>
        <v>11916666.666666666</v>
      </c>
      <c r="IU46" s="15">
        <f t="shared" si="460"/>
        <v>11916666.666666666</v>
      </c>
      <c r="IV46" s="15">
        <f t="shared" si="460"/>
        <v>11916666.666666666</v>
      </c>
      <c r="IW46" s="15">
        <f t="shared" si="460"/>
        <v>11916666.666666666</v>
      </c>
      <c r="IX46" s="15">
        <f t="shared" si="460"/>
        <v>11916666.666666666</v>
      </c>
      <c r="IY46" s="15">
        <f t="shared" si="460"/>
        <v>0</v>
      </c>
      <c r="IZ46" s="15">
        <f t="shared" si="460"/>
        <v>0</v>
      </c>
      <c r="JA46" s="15">
        <f t="shared" si="460"/>
        <v>0</v>
      </c>
      <c r="JB46" s="15">
        <f t="shared" si="460"/>
        <v>0</v>
      </c>
      <c r="JC46" s="15">
        <f t="shared" si="461"/>
        <v>0</v>
      </c>
      <c r="JD46" s="15">
        <f t="shared" si="461"/>
        <v>0</v>
      </c>
      <c r="JE46" s="15">
        <f t="shared" si="461"/>
        <v>0</v>
      </c>
      <c r="JF46" s="15">
        <f t="shared" si="461"/>
        <v>0</v>
      </c>
      <c r="JG46" s="15">
        <f t="shared" si="461"/>
        <v>0</v>
      </c>
      <c r="JH46" s="15">
        <f t="shared" si="461"/>
        <v>0</v>
      </c>
      <c r="JI46" s="15">
        <f t="shared" si="461"/>
        <v>0</v>
      </c>
      <c r="JJ46" s="15">
        <f t="shared" si="461"/>
        <v>0</v>
      </c>
      <c r="JK46" s="15">
        <f t="shared" si="461"/>
        <v>0</v>
      </c>
      <c r="JL46" s="15">
        <f t="shared" si="461"/>
        <v>0</v>
      </c>
      <c r="JM46" s="15">
        <f t="shared" si="461"/>
        <v>0</v>
      </c>
      <c r="JN46" s="15">
        <f t="shared" si="461"/>
        <v>0</v>
      </c>
      <c r="JO46" s="15">
        <f t="shared" si="461"/>
        <v>0</v>
      </c>
      <c r="JP46" s="15">
        <f t="shared" si="461"/>
        <v>0</v>
      </c>
      <c r="JR46" s="15">
        <f t="shared" si="462"/>
        <v>11916666.666666666</v>
      </c>
      <c r="JS46" s="15">
        <f t="shared" si="462"/>
        <v>11916666.666666666</v>
      </c>
      <c r="JT46" s="15">
        <f t="shared" si="462"/>
        <v>11916666.666666666</v>
      </c>
      <c r="JU46" s="15">
        <f t="shared" si="462"/>
        <v>11916666.666666666</v>
      </c>
      <c r="JV46" s="15">
        <f t="shared" si="462"/>
        <v>11916666.666666666</v>
      </c>
      <c r="JW46" s="15">
        <f t="shared" si="462"/>
        <v>11916666.666666666</v>
      </c>
      <c r="JX46" s="15">
        <f t="shared" si="462"/>
        <v>11916666.666666666</v>
      </c>
      <c r="JY46" s="15">
        <f t="shared" si="462"/>
        <v>11916666.666666666</v>
      </c>
      <c r="JZ46" s="15">
        <f t="shared" si="462"/>
        <v>11916666.666666666</v>
      </c>
      <c r="KA46" s="15">
        <f t="shared" si="462"/>
        <v>11916666.666666666</v>
      </c>
      <c r="KB46" s="15">
        <f t="shared" si="462"/>
        <v>11916666.666666666</v>
      </c>
      <c r="KC46" s="15">
        <f t="shared" si="462"/>
        <v>11916666.666666666</v>
      </c>
      <c r="KD46" s="15">
        <f t="shared" si="462"/>
        <v>0</v>
      </c>
      <c r="KE46" s="15">
        <f t="shared" si="462"/>
        <v>0</v>
      </c>
      <c r="KF46" s="15">
        <f t="shared" si="462"/>
        <v>0</v>
      </c>
      <c r="KG46" s="15">
        <f t="shared" si="462"/>
        <v>0</v>
      </c>
      <c r="KH46" s="15">
        <f t="shared" si="463"/>
        <v>0</v>
      </c>
      <c r="KI46" s="15">
        <f t="shared" si="463"/>
        <v>0</v>
      </c>
      <c r="KJ46" s="15">
        <f t="shared" si="463"/>
        <v>0</v>
      </c>
      <c r="KK46" s="15">
        <f t="shared" si="463"/>
        <v>0</v>
      </c>
      <c r="KL46" s="15">
        <f t="shared" si="463"/>
        <v>0</v>
      </c>
      <c r="KM46" s="15">
        <f t="shared" si="463"/>
        <v>0</v>
      </c>
      <c r="KN46" s="15">
        <f t="shared" si="463"/>
        <v>0</v>
      </c>
      <c r="KO46" s="15">
        <f t="shared" si="463"/>
        <v>0</v>
      </c>
      <c r="KP46" s="15">
        <f t="shared" si="463"/>
        <v>0</v>
      </c>
      <c r="KQ46" s="15">
        <f t="shared" si="463"/>
        <v>0</v>
      </c>
      <c r="KR46" s="15">
        <f t="shared" si="463"/>
        <v>0</v>
      </c>
      <c r="KS46" s="15">
        <f t="shared" si="463"/>
        <v>0</v>
      </c>
      <c r="KT46" s="15">
        <f t="shared" si="463"/>
        <v>0</v>
      </c>
      <c r="KU46" s="15">
        <f t="shared" si="463"/>
        <v>0</v>
      </c>
      <c r="KW46" s="15">
        <f t="shared" si="464"/>
        <v>11916666.666666666</v>
      </c>
      <c r="KX46" s="15">
        <f t="shared" si="464"/>
        <v>11916666.666666666</v>
      </c>
      <c r="KY46" s="15">
        <f t="shared" si="464"/>
        <v>11916666.666666666</v>
      </c>
      <c r="KZ46" s="15">
        <f t="shared" si="464"/>
        <v>11916666.666666666</v>
      </c>
      <c r="LA46" s="15">
        <f t="shared" si="464"/>
        <v>11916666.666666666</v>
      </c>
      <c r="LB46" s="15">
        <f t="shared" si="464"/>
        <v>11916666.666666666</v>
      </c>
      <c r="LC46" s="15">
        <f t="shared" si="464"/>
        <v>11916666.666666666</v>
      </c>
      <c r="LD46" s="15">
        <f t="shared" si="464"/>
        <v>11916666.666666666</v>
      </c>
      <c r="LE46" s="15">
        <f t="shared" si="464"/>
        <v>11916666.666666666</v>
      </c>
      <c r="LF46" s="15">
        <f t="shared" si="464"/>
        <v>11916666.666666666</v>
      </c>
      <c r="LG46" s="15">
        <f t="shared" si="464"/>
        <v>11916666.666666666</v>
      </c>
      <c r="LH46" s="15">
        <f t="shared" si="464"/>
        <v>11916666.666666666</v>
      </c>
      <c r="LI46" s="15">
        <f t="shared" si="464"/>
        <v>0</v>
      </c>
      <c r="LJ46" s="15">
        <f t="shared" si="464"/>
        <v>0</v>
      </c>
      <c r="LK46" s="15">
        <f t="shared" si="464"/>
        <v>0</v>
      </c>
      <c r="LL46" s="15">
        <f t="shared" si="464"/>
        <v>0</v>
      </c>
      <c r="LM46" s="15">
        <f t="shared" si="465"/>
        <v>0</v>
      </c>
      <c r="LN46" s="15">
        <f t="shared" si="465"/>
        <v>0</v>
      </c>
      <c r="LO46" s="15">
        <f t="shared" si="465"/>
        <v>0</v>
      </c>
      <c r="LP46" s="15">
        <f t="shared" si="465"/>
        <v>0</v>
      </c>
      <c r="LQ46" s="15">
        <f t="shared" si="465"/>
        <v>0</v>
      </c>
      <c r="LR46" s="15">
        <f t="shared" si="465"/>
        <v>0</v>
      </c>
      <c r="LS46" s="15">
        <f t="shared" si="465"/>
        <v>0</v>
      </c>
      <c r="LT46" s="15">
        <f t="shared" si="465"/>
        <v>0</v>
      </c>
      <c r="LU46" s="15">
        <f t="shared" si="465"/>
        <v>0</v>
      </c>
      <c r="LV46" s="15">
        <f t="shared" si="465"/>
        <v>0</v>
      </c>
      <c r="LW46" s="15">
        <f t="shared" si="465"/>
        <v>0</v>
      </c>
      <c r="LX46" s="15">
        <f t="shared" si="465"/>
        <v>0</v>
      </c>
      <c r="LY46" s="15">
        <f t="shared" si="465"/>
        <v>0</v>
      </c>
      <c r="LZ46" s="15">
        <f t="shared" si="465"/>
        <v>0</v>
      </c>
      <c r="MB46" s="15">
        <f t="shared" si="466"/>
        <v>11916666.666666666</v>
      </c>
      <c r="MC46" s="15">
        <f t="shared" si="466"/>
        <v>11916666.666666666</v>
      </c>
      <c r="MD46" s="15">
        <f t="shared" si="466"/>
        <v>11916666.666666666</v>
      </c>
      <c r="ME46" s="15">
        <f t="shared" si="466"/>
        <v>11916666.666666666</v>
      </c>
      <c r="MF46" s="15">
        <f t="shared" si="466"/>
        <v>11916666.666666666</v>
      </c>
      <c r="MG46" s="15">
        <f t="shared" si="466"/>
        <v>11916666.666666666</v>
      </c>
      <c r="MH46" s="15">
        <f t="shared" si="466"/>
        <v>11916666.666666666</v>
      </c>
      <c r="MI46" s="15">
        <f t="shared" si="466"/>
        <v>11916666.666666666</v>
      </c>
      <c r="MJ46" s="15">
        <f t="shared" si="466"/>
        <v>11916666.666666666</v>
      </c>
      <c r="MK46" s="15">
        <f t="shared" si="466"/>
        <v>11916666.666666666</v>
      </c>
      <c r="ML46" s="15">
        <f t="shared" si="466"/>
        <v>11916666.666666666</v>
      </c>
      <c r="MM46" s="15">
        <f t="shared" si="466"/>
        <v>11916666.666666666</v>
      </c>
      <c r="MN46" s="15">
        <f t="shared" si="466"/>
        <v>0</v>
      </c>
      <c r="MO46" s="15">
        <f t="shared" si="466"/>
        <v>0</v>
      </c>
      <c r="MP46" s="15">
        <f t="shared" si="466"/>
        <v>0</v>
      </c>
      <c r="MQ46" s="15">
        <f t="shared" si="466"/>
        <v>0</v>
      </c>
      <c r="MR46" s="15">
        <f t="shared" si="467"/>
        <v>0</v>
      </c>
      <c r="MS46" s="15">
        <f t="shared" si="467"/>
        <v>0</v>
      </c>
      <c r="MT46" s="15">
        <f t="shared" si="467"/>
        <v>0</v>
      </c>
      <c r="MU46" s="15">
        <f t="shared" si="467"/>
        <v>0</v>
      </c>
      <c r="MV46" s="15">
        <f t="shared" si="467"/>
        <v>0</v>
      </c>
      <c r="MW46" s="15">
        <f t="shared" si="467"/>
        <v>0</v>
      </c>
      <c r="MX46" s="15">
        <f t="shared" si="467"/>
        <v>0</v>
      </c>
      <c r="MY46" s="15">
        <f t="shared" si="467"/>
        <v>0</v>
      </c>
      <c r="MZ46" s="15">
        <f t="shared" si="467"/>
        <v>0</v>
      </c>
      <c r="NA46" s="15">
        <f t="shared" si="467"/>
        <v>0</v>
      </c>
      <c r="NB46" s="15">
        <f t="shared" si="467"/>
        <v>0</v>
      </c>
      <c r="NC46" s="15">
        <f t="shared" si="467"/>
        <v>0</v>
      </c>
      <c r="ND46" s="15">
        <f t="shared" si="467"/>
        <v>0</v>
      </c>
      <c r="NE46" s="15">
        <f t="shared" si="467"/>
        <v>0</v>
      </c>
    </row>
    <row r="47" spans="1:369" outlineLevel="1" x14ac:dyDescent="0.25">
      <c r="B47" t="s">
        <v>345</v>
      </c>
      <c r="C47" s="623" t="s">
        <v>250</v>
      </c>
      <c r="D47" s="613" t="s">
        <v>227</v>
      </c>
      <c r="E47" s="468">
        <v>1</v>
      </c>
      <c r="F47" s="221"/>
      <c r="G47" s="457">
        <v>12</v>
      </c>
      <c r="H47" s="468">
        <f t="shared" ref="H47:H55" si="468">(125000000/$D$6)*1.04</f>
        <v>130000000</v>
      </c>
      <c r="I47" s="457">
        <f t="shared" si="419"/>
        <v>130000000</v>
      </c>
      <c r="J47" s="457">
        <f t="shared" si="420"/>
        <v>10833333.333333334</v>
      </c>
      <c r="K47" s="221"/>
      <c r="L47" s="457">
        <v>12</v>
      </c>
      <c r="M47" s="457">
        <f t="shared" si="421"/>
        <v>130000000</v>
      </c>
      <c r="N47" s="457">
        <f t="shared" si="422"/>
        <v>130000000</v>
      </c>
      <c r="O47" s="457">
        <f t="shared" si="423"/>
        <v>10833333.333333334</v>
      </c>
      <c r="P47" s="221"/>
      <c r="Q47" s="457">
        <v>12</v>
      </c>
      <c r="R47" s="457">
        <f t="shared" si="424"/>
        <v>130000000</v>
      </c>
      <c r="S47" s="457">
        <f t="shared" si="425"/>
        <v>130000000</v>
      </c>
      <c r="T47" s="457">
        <f t="shared" si="426"/>
        <v>10833333.333333334</v>
      </c>
      <c r="U47" s="221"/>
      <c r="V47" s="457">
        <v>12</v>
      </c>
      <c r="W47" s="457">
        <f t="shared" si="427"/>
        <v>130000000</v>
      </c>
      <c r="X47" s="457">
        <f t="shared" si="428"/>
        <v>130000000</v>
      </c>
      <c r="Y47" s="457">
        <f t="shared" si="429"/>
        <v>10833333.333333334</v>
      </c>
      <c r="Z47" s="221"/>
      <c r="AA47" s="457">
        <v>12</v>
      </c>
      <c r="AB47" s="457">
        <f t="shared" si="430"/>
        <v>130000000</v>
      </c>
      <c r="AC47" s="457">
        <f t="shared" si="431"/>
        <v>130000000</v>
      </c>
      <c r="AD47" s="457">
        <f t="shared" si="432"/>
        <v>10833333.333333334</v>
      </c>
      <c r="AE47" s="221"/>
      <c r="AF47" s="457">
        <v>12</v>
      </c>
      <c r="AG47" s="457">
        <f t="shared" si="433"/>
        <v>130000000</v>
      </c>
      <c r="AH47" s="457">
        <f t="shared" si="434"/>
        <v>130000000</v>
      </c>
      <c r="AI47" s="457">
        <f t="shared" si="435"/>
        <v>10833333.333333334</v>
      </c>
      <c r="AJ47" s="221"/>
      <c r="AK47" s="457">
        <v>12</v>
      </c>
      <c r="AL47" s="457">
        <f t="shared" si="436"/>
        <v>130000000</v>
      </c>
      <c r="AM47" s="457">
        <f t="shared" si="437"/>
        <v>130000000</v>
      </c>
      <c r="AN47" s="457">
        <f t="shared" si="438"/>
        <v>10833333.333333334</v>
      </c>
      <c r="AO47" s="221"/>
      <c r="AP47" s="457">
        <v>12</v>
      </c>
      <c r="AQ47" s="457">
        <f t="shared" si="439"/>
        <v>130000000</v>
      </c>
      <c r="AR47" s="457">
        <f t="shared" si="440"/>
        <v>130000000</v>
      </c>
      <c r="AS47" s="457">
        <f t="shared" si="441"/>
        <v>10833333.333333334</v>
      </c>
      <c r="AT47" s="221"/>
      <c r="AU47" s="457">
        <v>12</v>
      </c>
      <c r="AV47" s="457">
        <f t="shared" si="442"/>
        <v>130000000</v>
      </c>
      <c r="AW47" s="457">
        <f t="shared" si="443"/>
        <v>130000000</v>
      </c>
      <c r="AX47" s="457">
        <f t="shared" si="444"/>
        <v>10833333.333333334</v>
      </c>
      <c r="AY47" s="221"/>
      <c r="AZ47" s="457">
        <v>12</v>
      </c>
      <c r="BA47" s="457">
        <f t="shared" si="445"/>
        <v>130000000</v>
      </c>
      <c r="BB47" s="457">
        <f t="shared" si="446"/>
        <v>130000000</v>
      </c>
      <c r="BC47" s="457">
        <f t="shared" si="447"/>
        <v>10833333.333333334</v>
      </c>
      <c r="BD47" s="221"/>
      <c r="BG47" t="s">
        <v>337</v>
      </c>
      <c r="BI47" s="15">
        <f t="shared" si="448"/>
        <v>10833333.333333334</v>
      </c>
      <c r="BJ47" s="15">
        <f t="shared" si="448"/>
        <v>10833333.333333334</v>
      </c>
      <c r="BK47" s="15">
        <f t="shared" si="448"/>
        <v>10833333.333333334</v>
      </c>
      <c r="BL47" s="15">
        <f t="shared" si="448"/>
        <v>10833333.333333334</v>
      </c>
      <c r="BM47" s="15">
        <f t="shared" si="448"/>
        <v>10833333.333333334</v>
      </c>
      <c r="BN47" s="15">
        <f t="shared" si="448"/>
        <v>10833333.333333334</v>
      </c>
      <c r="BO47" s="15">
        <f t="shared" si="448"/>
        <v>10833333.333333334</v>
      </c>
      <c r="BP47" s="15">
        <f t="shared" si="448"/>
        <v>10833333.333333334</v>
      </c>
      <c r="BQ47" s="15">
        <f t="shared" si="448"/>
        <v>10833333.333333334</v>
      </c>
      <c r="BR47" s="15">
        <f t="shared" si="448"/>
        <v>10833333.333333334</v>
      </c>
      <c r="BS47" s="15">
        <f t="shared" si="448"/>
        <v>10833333.333333334</v>
      </c>
      <c r="BT47" s="15">
        <f t="shared" si="448"/>
        <v>10833333.333333334</v>
      </c>
      <c r="BU47" s="15">
        <f t="shared" si="448"/>
        <v>0</v>
      </c>
      <c r="BV47" s="15">
        <f t="shared" si="448"/>
        <v>0</v>
      </c>
      <c r="BW47" s="15">
        <f t="shared" si="448"/>
        <v>0</v>
      </c>
      <c r="BX47" s="15">
        <f t="shared" si="448"/>
        <v>0</v>
      </c>
      <c r="BY47" s="15">
        <f t="shared" si="449"/>
        <v>0</v>
      </c>
      <c r="BZ47" s="15">
        <f t="shared" si="449"/>
        <v>0</v>
      </c>
      <c r="CA47" s="15">
        <f t="shared" si="449"/>
        <v>0</v>
      </c>
      <c r="CB47" s="15">
        <f t="shared" si="449"/>
        <v>0</v>
      </c>
      <c r="CC47" s="15">
        <f t="shared" si="449"/>
        <v>0</v>
      </c>
      <c r="CD47" s="15">
        <f t="shared" si="449"/>
        <v>0</v>
      </c>
      <c r="CE47" s="15">
        <f t="shared" si="449"/>
        <v>0</v>
      </c>
      <c r="CF47" s="15">
        <f t="shared" si="449"/>
        <v>0</v>
      </c>
      <c r="CG47" s="15">
        <f t="shared" si="449"/>
        <v>0</v>
      </c>
      <c r="CH47" s="15">
        <f t="shared" si="449"/>
        <v>0</v>
      </c>
      <c r="CI47" s="15">
        <f t="shared" si="449"/>
        <v>0</v>
      </c>
      <c r="CJ47" s="15">
        <f t="shared" si="449"/>
        <v>0</v>
      </c>
      <c r="CK47" s="15">
        <f t="shared" si="449"/>
        <v>0</v>
      </c>
      <c r="CL47" s="15">
        <f t="shared" si="449"/>
        <v>0</v>
      </c>
      <c r="CN47" s="15">
        <f t="shared" si="450"/>
        <v>10833333.333333334</v>
      </c>
      <c r="CO47" s="15">
        <f t="shared" si="450"/>
        <v>10833333.333333334</v>
      </c>
      <c r="CP47" s="15">
        <f t="shared" si="450"/>
        <v>10833333.333333334</v>
      </c>
      <c r="CQ47" s="15">
        <f t="shared" si="450"/>
        <v>10833333.333333334</v>
      </c>
      <c r="CR47" s="15">
        <f t="shared" si="450"/>
        <v>10833333.333333334</v>
      </c>
      <c r="CS47" s="15">
        <f t="shared" si="450"/>
        <v>10833333.333333334</v>
      </c>
      <c r="CT47" s="15">
        <f t="shared" si="450"/>
        <v>10833333.333333334</v>
      </c>
      <c r="CU47" s="15">
        <f t="shared" si="450"/>
        <v>10833333.333333334</v>
      </c>
      <c r="CV47" s="15">
        <f t="shared" si="450"/>
        <v>10833333.333333334</v>
      </c>
      <c r="CW47" s="15">
        <f t="shared" si="450"/>
        <v>10833333.333333334</v>
      </c>
      <c r="CX47" s="15">
        <f t="shared" si="450"/>
        <v>10833333.333333334</v>
      </c>
      <c r="CY47" s="15">
        <f t="shared" si="450"/>
        <v>10833333.333333334</v>
      </c>
      <c r="CZ47" s="15">
        <f t="shared" si="450"/>
        <v>0</v>
      </c>
      <c r="DA47" s="15">
        <f t="shared" si="450"/>
        <v>0</v>
      </c>
      <c r="DB47" s="15">
        <f t="shared" si="450"/>
        <v>0</v>
      </c>
      <c r="DC47" s="15">
        <f t="shared" si="450"/>
        <v>0</v>
      </c>
      <c r="DD47" s="15">
        <f t="shared" si="451"/>
        <v>0</v>
      </c>
      <c r="DE47" s="15">
        <f t="shared" si="451"/>
        <v>0</v>
      </c>
      <c r="DF47" s="15">
        <f t="shared" si="451"/>
        <v>0</v>
      </c>
      <c r="DG47" s="15">
        <f t="shared" si="451"/>
        <v>0</v>
      </c>
      <c r="DH47" s="15">
        <f t="shared" si="451"/>
        <v>0</v>
      </c>
      <c r="DI47" s="15">
        <f t="shared" si="451"/>
        <v>0</v>
      </c>
      <c r="DJ47" s="15">
        <f t="shared" si="451"/>
        <v>0</v>
      </c>
      <c r="DK47" s="15">
        <f t="shared" si="451"/>
        <v>0</v>
      </c>
      <c r="DL47" s="15">
        <f t="shared" si="451"/>
        <v>0</v>
      </c>
      <c r="DM47" s="15">
        <f t="shared" si="451"/>
        <v>0</v>
      </c>
      <c r="DN47" s="15">
        <f t="shared" si="451"/>
        <v>0</v>
      </c>
      <c r="DO47" s="15">
        <f t="shared" si="451"/>
        <v>0</v>
      </c>
      <c r="DP47" s="15">
        <f t="shared" si="451"/>
        <v>0</v>
      </c>
      <c r="DQ47" s="15">
        <f t="shared" si="451"/>
        <v>0</v>
      </c>
      <c r="DS47" s="15">
        <f t="shared" si="452"/>
        <v>10833333.333333334</v>
      </c>
      <c r="DT47" s="15">
        <f t="shared" si="452"/>
        <v>10833333.333333334</v>
      </c>
      <c r="DU47" s="15">
        <f t="shared" si="452"/>
        <v>10833333.333333334</v>
      </c>
      <c r="DV47" s="15">
        <f t="shared" si="452"/>
        <v>10833333.333333334</v>
      </c>
      <c r="DW47" s="15">
        <f t="shared" si="452"/>
        <v>10833333.333333334</v>
      </c>
      <c r="DX47" s="15">
        <f t="shared" si="452"/>
        <v>10833333.333333334</v>
      </c>
      <c r="DY47" s="15">
        <f t="shared" si="452"/>
        <v>10833333.333333334</v>
      </c>
      <c r="DZ47" s="15">
        <f t="shared" si="452"/>
        <v>10833333.333333334</v>
      </c>
      <c r="EA47" s="15">
        <f t="shared" si="452"/>
        <v>10833333.333333334</v>
      </c>
      <c r="EB47" s="15">
        <f t="shared" si="452"/>
        <v>10833333.333333334</v>
      </c>
      <c r="EC47" s="15">
        <f t="shared" si="452"/>
        <v>10833333.333333334</v>
      </c>
      <c r="ED47" s="15">
        <f t="shared" si="452"/>
        <v>10833333.333333334</v>
      </c>
      <c r="EE47" s="15">
        <f t="shared" si="452"/>
        <v>0</v>
      </c>
      <c r="EF47" s="15">
        <f t="shared" si="452"/>
        <v>0</v>
      </c>
      <c r="EG47" s="15">
        <f t="shared" si="452"/>
        <v>0</v>
      </c>
      <c r="EH47" s="15">
        <f t="shared" si="452"/>
        <v>0</v>
      </c>
      <c r="EI47" s="15">
        <f t="shared" si="453"/>
        <v>0</v>
      </c>
      <c r="EJ47" s="15">
        <f t="shared" si="453"/>
        <v>0</v>
      </c>
      <c r="EK47" s="15">
        <f t="shared" si="453"/>
        <v>0</v>
      </c>
      <c r="EL47" s="15">
        <f t="shared" si="453"/>
        <v>0</v>
      </c>
      <c r="EM47" s="15">
        <f t="shared" si="453"/>
        <v>0</v>
      </c>
      <c r="EN47" s="15">
        <f t="shared" si="453"/>
        <v>0</v>
      </c>
      <c r="EO47" s="15">
        <f t="shared" si="453"/>
        <v>0</v>
      </c>
      <c r="EP47" s="15">
        <f t="shared" si="453"/>
        <v>0</v>
      </c>
      <c r="EQ47" s="15">
        <f t="shared" si="453"/>
        <v>0</v>
      </c>
      <c r="ER47" s="15">
        <f t="shared" si="453"/>
        <v>0</v>
      </c>
      <c r="ES47" s="15">
        <f t="shared" si="453"/>
        <v>0</v>
      </c>
      <c r="ET47" s="15">
        <f t="shared" si="453"/>
        <v>0</v>
      </c>
      <c r="EU47" s="15">
        <f t="shared" si="453"/>
        <v>0</v>
      </c>
      <c r="EV47" s="15">
        <f t="shared" si="453"/>
        <v>0</v>
      </c>
      <c r="EX47" s="15">
        <f t="shared" si="454"/>
        <v>10833333.333333334</v>
      </c>
      <c r="EY47" s="15">
        <f t="shared" si="454"/>
        <v>10833333.333333334</v>
      </c>
      <c r="EZ47" s="15">
        <f t="shared" si="454"/>
        <v>10833333.333333334</v>
      </c>
      <c r="FA47" s="15">
        <f t="shared" si="454"/>
        <v>10833333.333333334</v>
      </c>
      <c r="FB47" s="15">
        <f t="shared" si="454"/>
        <v>10833333.333333334</v>
      </c>
      <c r="FC47" s="15">
        <f t="shared" si="454"/>
        <v>10833333.333333334</v>
      </c>
      <c r="FD47" s="15">
        <f t="shared" si="454"/>
        <v>10833333.333333334</v>
      </c>
      <c r="FE47" s="15">
        <f t="shared" si="454"/>
        <v>10833333.333333334</v>
      </c>
      <c r="FF47" s="15">
        <f t="shared" si="454"/>
        <v>10833333.333333334</v>
      </c>
      <c r="FG47" s="15">
        <f t="shared" si="454"/>
        <v>10833333.333333334</v>
      </c>
      <c r="FH47" s="15">
        <f t="shared" si="454"/>
        <v>10833333.333333334</v>
      </c>
      <c r="FI47" s="15">
        <f t="shared" si="454"/>
        <v>10833333.333333334</v>
      </c>
      <c r="FJ47" s="15">
        <f t="shared" si="454"/>
        <v>0</v>
      </c>
      <c r="FK47" s="15">
        <f t="shared" si="454"/>
        <v>0</v>
      </c>
      <c r="FL47" s="15">
        <f t="shared" si="454"/>
        <v>0</v>
      </c>
      <c r="FM47" s="15">
        <f t="shared" si="454"/>
        <v>0</v>
      </c>
      <c r="FN47" s="15">
        <f t="shared" si="455"/>
        <v>0</v>
      </c>
      <c r="FO47" s="15">
        <f t="shared" si="455"/>
        <v>0</v>
      </c>
      <c r="FP47" s="15">
        <f t="shared" si="455"/>
        <v>0</v>
      </c>
      <c r="FQ47" s="15">
        <f t="shared" si="455"/>
        <v>0</v>
      </c>
      <c r="FR47" s="15">
        <f t="shared" si="455"/>
        <v>0</v>
      </c>
      <c r="FS47" s="15">
        <f t="shared" si="455"/>
        <v>0</v>
      </c>
      <c r="FT47" s="15">
        <f t="shared" si="455"/>
        <v>0</v>
      </c>
      <c r="FU47" s="15">
        <f t="shared" si="455"/>
        <v>0</v>
      </c>
      <c r="FV47" s="15">
        <f t="shared" si="455"/>
        <v>0</v>
      </c>
      <c r="FW47" s="15">
        <f t="shared" si="455"/>
        <v>0</v>
      </c>
      <c r="FX47" s="15">
        <f t="shared" si="455"/>
        <v>0</v>
      </c>
      <c r="FY47" s="15">
        <f t="shared" si="455"/>
        <v>0</v>
      </c>
      <c r="FZ47" s="15">
        <f t="shared" si="455"/>
        <v>0</v>
      </c>
      <c r="GA47" s="15">
        <f t="shared" si="455"/>
        <v>0</v>
      </c>
      <c r="GC47" s="15">
        <f t="shared" si="456"/>
        <v>10833333.333333334</v>
      </c>
      <c r="GD47" s="15">
        <f t="shared" si="456"/>
        <v>10833333.333333334</v>
      </c>
      <c r="GE47" s="15">
        <f t="shared" si="456"/>
        <v>10833333.333333334</v>
      </c>
      <c r="GF47" s="15">
        <f t="shared" si="456"/>
        <v>10833333.333333334</v>
      </c>
      <c r="GG47" s="15">
        <f t="shared" si="456"/>
        <v>10833333.333333334</v>
      </c>
      <c r="GH47" s="15">
        <f t="shared" si="456"/>
        <v>10833333.333333334</v>
      </c>
      <c r="GI47" s="15">
        <f t="shared" si="456"/>
        <v>10833333.333333334</v>
      </c>
      <c r="GJ47" s="15">
        <f t="shared" si="456"/>
        <v>10833333.333333334</v>
      </c>
      <c r="GK47" s="15">
        <f t="shared" si="456"/>
        <v>10833333.333333334</v>
      </c>
      <c r="GL47" s="15">
        <f t="shared" si="456"/>
        <v>10833333.333333334</v>
      </c>
      <c r="GM47" s="15">
        <f t="shared" si="456"/>
        <v>10833333.333333334</v>
      </c>
      <c r="GN47" s="15">
        <f t="shared" si="456"/>
        <v>10833333.333333334</v>
      </c>
      <c r="GO47" s="15">
        <f t="shared" si="456"/>
        <v>0</v>
      </c>
      <c r="GP47" s="15">
        <f t="shared" si="456"/>
        <v>0</v>
      </c>
      <c r="GQ47" s="15">
        <f t="shared" si="456"/>
        <v>0</v>
      </c>
      <c r="GR47" s="15">
        <f t="shared" si="456"/>
        <v>0</v>
      </c>
      <c r="GS47" s="15">
        <f t="shared" si="457"/>
        <v>0</v>
      </c>
      <c r="GT47" s="15">
        <f t="shared" si="457"/>
        <v>0</v>
      </c>
      <c r="GU47" s="15">
        <f t="shared" si="457"/>
        <v>0</v>
      </c>
      <c r="GV47" s="15">
        <f t="shared" si="457"/>
        <v>0</v>
      </c>
      <c r="GW47" s="15">
        <f t="shared" si="457"/>
        <v>0</v>
      </c>
      <c r="GX47" s="15">
        <f t="shared" si="457"/>
        <v>0</v>
      </c>
      <c r="GY47" s="15">
        <f t="shared" si="457"/>
        <v>0</v>
      </c>
      <c r="GZ47" s="15">
        <f t="shared" si="457"/>
        <v>0</v>
      </c>
      <c r="HA47" s="15">
        <f t="shared" si="457"/>
        <v>0</v>
      </c>
      <c r="HB47" s="15">
        <f t="shared" si="457"/>
        <v>0</v>
      </c>
      <c r="HC47" s="15">
        <f t="shared" si="457"/>
        <v>0</v>
      </c>
      <c r="HD47" s="15">
        <f t="shared" si="457"/>
        <v>0</v>
      </c>
      <c r="HE47" s="15">
        <f t="shared" si="457"/>
        <v>0</v>
      </c>
      <c r="HF47" s="15">
        <f t="shared" si="457"/>
        <v>0</v>
      </c>
      <c r="HH47" s="15">
        <f t="shared" si="458"/>
        <v>10833333.333333334</v>
      </c>
      <c r="HI47" s="15">
        <f t="shared" si="458"/>
        <v>10833333.333333334</v>
      </c>
      <c r="HJ47" s="15">
        <f t="shared" si="458"/>
        <v>10833333.333333334</v>
      </c>
      <c r="HK47" s="15">
        <f t="shared" si="458"/>
        <v>10833333.333333334</v>
      </c>
      <c r="HL47" s="15">
        <f t="shared" si="458"/>
        <v>10833333.333333334</v>
      </c>
      <c r="HM47" s="15">
        <f t="shared" si="458"/>
        <v>10833333.333333334</v>
      </c>
      <c r="HN47" s="15">
        <f t="shared" si="458"/>
        <v>10833333.333333334</v>
      </c>
      <c r="HO47" s="15">
        <f t="shared" si="458"/>
        <v>10833333.333333334</v>
      </c>
      <c r="HP47" s="15">
        <f t="shared" si="458"/>
        <v>10833333.333333334</v>
      </c>
      <c r="HQ47" s="15">
        <f t="shared" si="458"/>
        <v>10833333.333333334</v>
      </c>
      <c r="HR47" s="15">
        <f t="shared" si="458"/>
        <v>10833333.333333334</v>
      </c>
      <c r="HS47" s="15">
        <f t="shared" si="458"/>
        <v>10833333.333333334</v>
      </c>
      <c r="HT47" s="15">
        <f t="shared" si="458"/>
        <v>0</v>
      </c>
      <c r="HU47" s="15">
        <f t="shared" si="458"/>
        <v>0</v>
      </c>
      <c r="HV47" s="15">
        <f t="shared" si="458"/>
        <v>0</v>
      </c>
      <c r="HW47" s="15">
        <f t="shared" si="458"/>
        <v>0</v>
      </c>
      <c r="HX47" s="15">
        <f t="shared" si="459"/>
        <v>0</v>
      </c>
      <c r="HY47" s="15">
        <f t="shared" si="459"/>
        <v>0</v>
      </c>
      <c r="HZ47" s="15">
        <f t="shared" si="459"/>
        <v>0</v>
      </c>
      <c r="IA47" s="15">
        <f t="shared" si="459"/>
        <v>0</v>
      </c>
      <c r="IB47" s="15">
        <f t="shared" si="459"/>
        <v>0</v>
      </c>
      <c r="IC47" s="15">
        <f t="shared" si="459"/>
        <v>0</v>
      </c>
      <c r="ID47" s="15">
        <f t="shared" si="459"/>
        <v>0</v>
      </c>
      <c r="IE47" s="15">
        <f t="shared" si="459"/>
        <v>0</v>
      </c>
      <c r="IF47" s="15">
        <f t="shared" si="459"/>
        <v>0</v>
      </c>
      <c r="IG47" s="15">
        <f t="shared" si="459"/>
        <v>0</v>
      </c>
      <c r="IH47" s="15">
        <f t="shared" si="459"/>
        <v>0</v>
      </c>
      <c r="II47" s="15">
        <f t="shared" si="459"/>
        <v>0</v>
      </c>
      <c r="IJ47" s="15">
        <f t="shared" si="459"/>
        <v>0</v>
      </c>
      <c r="IK47" s="15">
        <f t="shared" si="459"/>
        <v>0</v>
      </c>
      <c r="IM47" s="15">
        <f t="shared" si="460"/>
        <v>10833333.333333334</v>
      </c>
      <c r="IN47" s="15">
        <f t="shared" si="460"/>
        <v>10833333.333333334</v>
      </c>
      <c r="IO47" s="15">
        <f t="shared" si="460"/>
        <v>10833333.333333334</v>
      </c>
      <c r="IP47" s="15">
        <f t="shared" si="460"/>
        <v>10833333.333333334</v>
      </c>
      <c r="IQ47" s="15">
        <f t="shared" si="460"/>
        <v>10833333.333333334</v>
      </c>
      <c r="IR47" s="15">
        <f t="shared" si="460"/>
        <v>10833333.333333334</v>
      </c>
      <c r="IS47" s="15">
        <f t="shared" si="460"/>
        <v>10833333.333333334</v>
      </c>
      <c r="IT47" s="15">
        <f t="shared" si="460"/>
        <v>10833333.333333334</v>
      </c>
      <c r="IU47" s="15">
        <f t="shared" si="460"/>
        <v>10833333.333333334</v>
      </c>
      <c r="IV47" s="15">
        <f t="shared" si="460"/>
        <v>10833333.333333334</v>
      </c>
      <c r="IW47" s="15">
        <f t="shared" si="460"/>
        <v>10833333.333333334</v>
      </c>
      <c r="IX47" s="15">
        <f t="shared" si="460"/>
        <v>10833333.333333334</v>
      </c>
      <c r="IY47" s="15">
        <f t="shared" si="460"/>
        <v>0</v>
      </c>
      <c r="IZ47" s="15">
        <f t="shared" si="460"/>
        <v>0</v>
      </c>
      <c r="JA47" s="15">
        <f t="shared" si="460"/>
        <v>0</v>
      </c>
      <c r="JB47" s="15">
        <f t="shared" si="460"/>
        <v>0</v>
      </c>
      <c r="JC47" s="15">
        <f t="shared" si="461"/>
        <v>0</v>
      </c>
      <c r="JD47" s="15">
        <f t="shared" si="461"/>
        <v>0</v>
      </c>
      <c r="JE47" s="15">
        <f t="shared" si="461"/>
        <v>0</v>
      </c>
      <c r="JF47" s="15">
        <f t="shared" si="461"/>
        <v>0</v>
      </c>
      <c r="JG47" s="15">
        <f t="shared" si="461"/>
        <v>0</v>
      </c>
      <c r="JH47" s="15">
        <f t="shared" si="461"/>
        <v>0</v>
      </c>
      <c r="JI47" s="15">
        <f t="shared" si="461"/>
        <v>0</v>
      </c>
      <c r="JJ47" s="15">
        <f t="shared" si="461"/>
        <v>0</v>
      </c>
      <c r="JK47" s="15">
        <f t="shared" si="461"/>
        <v>0</v>
      </c>
      <c r="JL47" s="15">
        <f t="shared" si="461"/>
        <v>0</v>
      </c>
      <c r="JM47" s="15">
        <f t="shared" si="461"/>
        <v>0</v>
      </c>
      <c r="JN47" s="15">
        <f t="shared" si="461"/>
        <v>0</v>
      </c>
      <c r="JO47" s="15">
        <f t="shared" si="461"/>
        <v>0</v>
      </c>
      <c r="JP47" s="15">
        <f t="shared" si="461"/>
        <v>0</v>
      </c>
      <c r="JR47" s="15">
        <f t="shared" si="462"/>
        <v>10833333.333333334</v>
      </c>
      <c r="JS47" s="15">
        <f t="shared" si="462"/>
        <v>10833333.333333334</v>
      </c>
      <c r="JT47" s="15">
        <f t="shared" si="462"/>
        <v>10833333.333333334</v>
      </c>
      <c r="JU47" s="15">
        <f t="shared" si="462"/>
        <v>10833333.333333334</v>
      </c>
      <c r="JV47" s="15">
        <f t="shared" si="462"/>
        <v>10833333.333333334</v>
      </c>
      <c r="JW47" s="15">
        <f t="shared" si="462"/>
        <v>10833333.333333334</v>
      </c>
      <c r="JX47" s="15">
        <f t="shared" si="462"/>
        <v>10833333.333333334</v>
      </c>
      <c r="JY47" s="15">
        <f t="shared" si="462"/>
        <v>10833333.333333334</v>
      </c>
      <c r="JZ47" s="15">
        <f t="shared" si="462"/>
        <v>10833333.333333334</v>
      </c>
      <c r="KA47" s="15">
        <f t="shared" si="462"/>
        <v>10833333.333333334</v>
      </c>
      <c r="KB47" s="15">
        <f t="shared" si="462"/>
        <v>10833333.333333334</v>
      </c>
      <c r="KC47" s="15">
        <f t="shared" si="462"/>
        <v>10833333.333333334</v>
      </c>
      <c r="KD47" s="15">
        <f t="shared" si="462"/>
        <v>0</v>
      </c>
      <c r="KE47" s="15">
        <f t="shared" si="462"/>
        <v>0</v>
      </c>
      <c r="KF47" s="15">
        <f t="shared" si="462"/>
        <v>0</v>
      </c>
      <c r="KG47" s="15">
        <f t="shared" si="462"/>
        <v>0</v>
      </c>
      <c r="KH47" s="15">
        <f t="shared" si="463"/>
        <v>0</v>
      </c>
      <c r="KI47" s="15">
        <f t="shared" si="463"/>
        <v>0</v>
      </c>
      <c r="KJ47" s="15">
        <f t="shared" si="463"/>
        <v>0</v>
      </c>
      <c r="KK47" s="15">
        <f t="shared" si="463"/>
        <v>0</v>
      </c>
      <c r="KL47" s="15">
        <f t="shared" si="463"/>
        <v>0</v>
      </c>
      <c r="KM47" s="15">
        <f t="shared" si="463"/>
        <v>0</v>
      </c>
      <c r="KN47" s="15">
        <f t="shared" si="463"/>
        <v>0</v>
      </c>
      <c r="KO47" s="15">
        <f t="shared" si="463"/>
        <v>0</v>
      </c>
      <c r="KP47" s="15">
        <f t="shared" si="463"/>
        <v>0</v>
      </c>
      <c r="KQ47" s="15">
        <f t="shared" si="463"/>
        <v>0</v>
      </c>
      <c r="KR47" s="15">
        <f t="shared" si="463"/>
        <v>0</v>
      </c>
      <c r="KS47" s="15">
        <f t="shared" si="463"/>
        <v>0</v>
      </c>
      <c r="KT47" s="15">
        <f t="shared" si="463"/>
        <v>0</v>
      </c>
      <c r="KU47" s="15">
        <f t="shared" si="463"/>
        <v>0</v>
      </c>
      <c r="KW47" s="15">
        <f t="shared" si="464"/>
        <v>10833333.333333334</v>
      </c>
      <c r="KX47" s="15">
        <f t="shared" si="464"/>
        <v>10833333.333333334</v>
      </c>
      <c r="KY47" s="15">
        <f t="shared" si="464"/>
        <v>10833333.333333334</v>
      </c>
      <c r="KZ47" s="15">
        <f t="shared" si="464"/>
        <v>10833333.333333334</v>
      </c>
      <c r="LA47" s="15">
        <f t="shared" si="464"/>
        <v>10833333.333333334</v>
      </c>
      <c r="LB47" s="15">
        <f t="shared" si="464"/>
        <v>10833333.333333334</v>
      </c>
      <c r="LC47" s="15">
        <f t="shared" si="464"/>
        <v>10833333.333333334</v>
      </c>
      <c r="LD47" s="15">
        <f t="shared" si="464"/>
        <v>10833333.333333334</v>
      </c>
      <c r="LE47" s="15">
        <f t="shared" si="464"/>
        <v>10833333.333333334</v>
      </c>
      <c r="LF47" s="15">
        <f t="shared" si="464"/>
        <v>10833333.333333334</v>
      </c>
      <c r="LG47" s="15">
        <f t="shared" si="464"/>
        <v>10833333.333333334</v>
      </c>
      <c r="LH47" s="15">
        <f t="shared" si="464"/>
        <v>10833333.333333334</v>
      </c>
      <c r="LI47" s="15">
        <f t="shared" si="464"/>
        <v>0</v>
      </c>
      <c r="LJ47" s="15">
        <f t="shared" si="464"/>
        <v>0</v>
      </c>
      <c r="LK47" s="15">
        <f t="shared" si="464"/>
        <v>0</v>
      </c>
      <c r="LL47" s="15">
        <f t="shared" si="464"/>
        <v>0</v>
      </c>
      <c r="LM47" s="15">
        <f t="shared" si="465"/>
        <v>0</v>
      </c>
      <c r="LN47" s="15">
        <f t="shared" si="465"/>
        <v>0</v>
      </c>
      <c r="LO47" s="15">
        <f t="shared" si="465"/>
        <v>0</v>
      </c>
      <c r="LP47" s="15">
        <f t="shared" si="465"/>
        <v>0</v>
      </c>
      <c r="LQ47" s="15">
        <f t="shared" si="465"/>
        <v>0</v>
      </c>
      <c r="LR47" s="15">
        <f t="shared" si="465"/>
        <v>0</v>
      </c>
      <c r="LS47" s="15">
        <f t="shared" si="465"/>
        <v>0</v>
      </c>
      <c r="LT47" s="15">
        <f t="shared" si="465"/>
        <v>0</v>
      </c>
      <c r="LU47" s="15">
        <f t="shared" si="465"/>
        <v>0</v>
      </c>
      <c r="LV47" s="15">
        <f t="shared" si="465"/>
        <v>0</v>
      </c>
      <c r="LW47" s="15">
        <f t="shared" si="465"/>
        <v>0</v>
      </c>
      <c r="LX47" s="15">
        <f t="shared" si="465"/>
        <v>0</v>
      </c>
      <c r="LY47" s="15">
        <f t="shared" si="465"/>
        <v>0</v>
      </c>
      <c r="LZ47" s="15">
        <f t="shared" si="465"/>
        <v>0</v>
      </c>
      <c r="MB47" s="15">
        <f t="shared" si="466"/>
        <v>10833333.333333334</v>
      </c>
      <c r="MC47" s="15">
        <f t="shared" si="466"/>
        <v>10833333.333333334</v>
      </c>
      <c r="MD47" s="15">
        <f t="shared" si="466"/>
        <v>10833333.333333334</v>
      </c>
      <c r="ME47" s="15">
        <f t="shared" si="466"/>
        <v>10833333.333333334</v>
      </c>
      <c r="MF47" s="15">
        <f t="shared" si="466"/>
        <v>10833333.333333334</v>
      </c>
      <c r="MG47" s="15">
        <f t="shared" si="466"/>
        <v>10833333.333333334</v>
      </c>
      <c r="MH47" s="15">
        <f t="shared" si="466"/>
        <v>10833333.333333334</v>
      </c>
      <c r="MI47" s="15">
        <f t="shared" si="466"/>
        <v>10833333.333333334</v>
      </c>
      <c r="MJ47" s="15">
        <f t="shared" si="466"/>
        <v>10833333.333333334</v>
      </c>
      <c r="MK47" s="15">
        <f t="shared" si="466"/>
        <v>10833333.333333334</v>
      </c>
      <c r="ML47" s="15">
        <f t="shared" si="466"/>
        <v>10833333.333333334</v>
      </c>
      <c r="MM47" s="15">
        <f t="shared" si="466"/>
        <v>10833333.333333334</v>
      </c>
      <c r="MN47" s="15">
        <f t="shared" si="466"/>
        <v>0</v>
      </c>
      <c r="MO47" s="15">
        <f t="shared" si="466"/>
        <v>0</v>
      </c>
      <c r="MP47" s="15">
        <f t="shared" si="466"/>
        <v>0</v>
      </c>
      <c r="MQ47" s="15">
        <f t="shared" si="466"/>
        <v>0</v>
      </c>
      <c r="MR47" s="15">
        <f t="shared" si="467"/>
        <v>0</v>
      </c>
      <c r="MS47" s="15">
        <f t="shared" si="467"/>
        <v>0</v>
      </c>
      <c r="MT47" s="15">
        <f t="shared" si="467"/>
        <v>0</v>
      </c>
      <c r="MU47" s="15">
        <f t="shared" si="467"/>
        <v>0</v>
      </c>
      <c r="MV47" s="15">
        <f t="shared" si="467"/>
        <v>0</v>
      </c>
      <c r="MW47" s="15">
        <f t="shared" si="467"/>
        <v>0</v>
      </c>
      <c r="MX47" s="15">
        <f t="shared" si="467"/>
        <v>0</v>
      </c>
      <c r="MY47" s="15">
        <f t="shared" si="467"/>
        <v>0</v>
      </c>
      <c r="MZ47" s="15">
        <f t="shared" si="467"/>
        <v>0</v>
      </c>
      <c r="NA47" s="15">
        <f t="shared" si="467"/>
        <v>0</v>
      </c>
      <c r="NB47" s="15">
        <f t="shared" si="467"/>
        <v>0</v>
      </c>
      <c r="NC47" s="15">
        <f t="shared" si="467"/>
        <v>0</v>
      </c>
      <c r="ND47" s="15">
        <f t="shared" si="467"/>
        <v>0</v>
      </c>
      <c r="NE47" s="15">
        <f t="shared" si="467"/>
        <v>0</v>
      </c>
    </row>
    <row r="48" spans="1:369" outlineLevel="1" x14ac:dyDescent="0.25">
      <c r="B48" t="s">
        <v>345</v>
      </c>
      <c r="C48" s="623" t="s">
        <v>251</v>
      </c>
      <c r="D48" s="613" t="s">
        <v>549</v>
      </c>
      <c r="E48" s="468">
        <v>1</v>
      </c>
      <c r="F48" s="221"/>
      <c r="G48" s="457">
        <v>12</v>
      </c>
      <c r="H48" s="468">
        <f t="shared" si="468"/>
        <v>130000000</v>
      </c>
      <c r="I48" s="457">
        <f t="shared" si="419"/>
        <v>130000000</v>
      </c>
      <c r="J48" s="457">
        <f t="shared" si="420"/>
        <v>10833333.333333334</v>
      </c>
      <c r="K48" s="221"/>
      <c r="L48" s="457">
        <v>12</v>
      </c>
      <c r="M48" s="457">
        <f t="shared" si="421"/>
        <v>130000000</v>
      </c>
      <c r="N48" s="457">
        <f t="shared" si="422"/>
        <v>130000000</v>
      </c>
      <c r="O48" s="457">
        <f t="shared" si="423"/>
        <v>10833333.333333334</v>
      </c>
      <c r="P48" s="221"/>
      <c r="Q48" s="457">
        <v>12</v>
      </c>
      <c r="R48" s="457">
        <f t="shared" si="424"/>
        <v>130000000</v>
      </c>
      <c r="S48" s="457">
        <f t="shared" si="425"/>
        <v>130000000</v>
      </c>
      <c r="T48" s="457">
        <f t="shared" si="426"/>
        <v>10833333.333333334</v>
      </c>
      <c r="U48" s="221"/>
      <c r="V48" s="457">
        <v>12</v>
      </c>
      <c r="W48" s="457">
        <f t="shared" si="427"/>
        <v>130000000</v>
      </c>
      <c r="X48" s="457">
        <f t="shared" si="428"/>
        <v>130000000</v>
      </c>
      <c r="Y48" s="457">
        <f t="shared" si="429"/>
        <v>10833333.333333334</v>
      </c>
      <c r="Z48" s="221"/>
      <c r="AA48" s="457">
        <v>12</v>
      </c>
      <c r="AB48" s="457">
        <f t="shared" si="430"/>
        <v>130000000</v>
      </c>
      <c r="AC48" s="457">
        <f t="shared" si="431"/>
        <v>130000000</v>
      </c>
      <c r="AD48" s="457">
        <f t="shared" si="432"/>
        <v>10833333.333333334</v>
      </c>
      <c r="AE48" s="221"/>
      <c r="AF48" s="457">
        <v>12</v>
      </c>
      <c r="AG48" s="457">
        <f t="shared" si="433"/>
        <v>130000000</v>
      </c>
      <c r="AH48" s="457">
        <f t="shared" si="434"/>
        <v>130000000</v>
      </c>
      <c r="AI48" s="457">
        <f t="shared" si="435"/>
        <v>10833333.333333334</v>
      </c>
      <c r="AJ48" s="221"/>
      <c r="AK48" s="457">
        <v>12</v>
      </c>
      <c r="AL48" s="457">
        <f t="shared" si="436"/>
        <v>130000000</v>
      </c>
      <c r="AM48" s="457">
        <f t="shared" si="437"/>
        <v>130000000</v>
      </c>
      <c r="AN48" s="457">
        <f t="shared" si="438"/>
        <v>10833333.333333334</v>
      </c>
      <c r="AO48" s="221"/>
      <c r="AP48" s="457">
        <v>12</v>
      </c>
      <c r="AQ48" s="457">
        <f t="shared" si="439"/>
        <v>130000000</v>
      </c>
      <c r="AR48" s="457">
        <f t="shared" si="440"/>
        <v>130000000</v>
      </c>
      <c r="AS48" s="457">
        <f t="shared" si="441"/>
        <v>10833333.333333334</v>
      </c>
      <c r="AT48" s="221"/>
      <c r="AU48" s="457">
        <v>12</v>
      </c>
      <c r="AV48" s="457">
        <f t="shared" si="442"/>
        <v>130000000</v>
      </c>
      <c r="AW48" s="457">
        <f t="shared" si="443"/>
        <v>130000000</v>
      </c>
      <c r="AX48" s="457">
        <f t="shared" si="444"/>
        <v>10833333.333333334</v>
      </c>
      <c r="AY48" s="221"/>
      <c r="AZ48" s="457">
        <v>12</v>
      </c>
      <c r="BA48" s="457">
        <f t="shared" si="445"/>
        <v>130000000</v>
      </c>
      <c r="BB48" s="457">
        <f t="shared" si="446"/>
        <v>130000000</v>
      </c>
      <c r="BC48" s="457">
        <f t="shared" si="447"/>
        <v>10833333.333333334</v>
      </c>
      <c r="BD48" s="221"/>
      <c r="BG48" t="s">
        <v>337</v>
      </c>
      <c r="BI48" s="15">
        <f t="shared" si="448"/>
        <v>10833333.333333334</v>
      </c>
      <c r="BJ48" s="15">
        <f t="shared" si="448"/>
        <v>10833333.333333334</v>
      </c>
      <c r="BK48" s="15">
        <f t="shared" si="448"/>
        <v>10833333.333333334</v>
      </c>
      <c r="BL48" s="15">
        <f t="shared" si="448"/>
        <v>10833333.333333334</v>
      </c>
      <c r="BM48" s="15">
        <f t="shared" si="448"/>
        <v>10833333.333333334</v>
      </c>
      <c r="BN48" s="15">
        <f t="shared" si="448"/>
        <v>10833333.333333334</v>
      </c>
      <c r="BO48" s="15">
        <f t="shared" si="448"/>
        <v>10833333.333333334</v>
      </c>
      <c r="BP48" s="15">
        <f t="shared" si="448"/>
        <v>10833333.333333334</v>
      </c>
      <c r="BQ48" s="15">
        <f t="shared" si="448"/>
        <v>10833333.333333334</v>
      </c>
      <c r="BR48" s="15">
        <f t="shared" si="448"/>
        <v>10833333.333333334</v>
      </c>
      <c r="BS48" s="15">
        <f t="shared" si="448"/>
        <v>10833333.333333334</v>
      </c>
      <c r="BT48" s="15">
        <f t="shared" si="448"/>
        <v>10833333.333333334</v>
      </c>
      <c r="BU48" s="15">
        <f t="shared" si="448"/>
        <v>0</v>
      </c>
      <c r="BV48" s="15">
        <f t="shared" si="448"/>
        <v>0</v>
      </c>
      <c r="BW48" s="15">
        <f t="shared" si="448"/>
        <v>0</v>
      </c>
      <c r="BX48" s="15">
        <f t="shared" si="448"/>
        <v>0</v>
      </c>
      <c r="BY48" s="15">
        <f t="shared" si="449"/>
        <v>0</v>
      </c>
      <c r="BZ48" s="15">
        <f t="shared" si="449"/>
        <v>0</v>
      </c>
      <c r="CA48" s="15">
        <f t="shared" si="449"/>
        <v>0</v>
      </c>
      <c r="CB48" s="15">
        <f t="shared" si="449"/>
        <v>0</v>
      </c>
      <c r="CC48" s="15">
        <f t="shared" si="449"/>
        <v>0</v>
      </c>
      <c r="CD48" s="15">
        <f t="shared" si="449"/>
        <v>0</v>
      </c>
      <c r="CE48" s="15">
        <f t="shared" si="449"/>
        <v>0</v>
      </c>
      <c r="CF48" s="15">
        <f t="shared" si="449"/>
        <v>0</v>
      </c>
      <c r="CG48" s="15">
        <f t="shared" si="449"/>
        <v>0</v>
      </c>
      <c r="CH48" s="15">
        <f t="shared" si="449"/>
        <v>0</v>
      </c>
      <c r="CI48" s="15">
        <f t="shared" si="449"/>
        <v>0</v>
      </c>
      <c r="CJ48" s="15">
        <f t="shared" si="449"/>
        <v>0</v>
      </c>
      <c r="CK48" s="15">
        <f t="shared" si="449"/>
        <v>0</v>
      </c>
      <c r="CL48" s="15">
        <f t="shared" si="449"/>
        <v>0</v>
      </c>
      <c r="CN48" s="15">
        <f t="shared" si="450"/>
        <v>10833333.333333334</v>
      </c>
      <c r="CO48" s="15">
        <f t="shared" si="450"/>
        <v>10833333.333333334</v>
      </c>
      <c r="CP48" s="15">
        <f t="shared" si="450"/>
        <v>10833333.333333334</v>
      </c>
      <c r="CQ48" s="15">
        <f t="shared" si="450"/>
        <v>10833333.333333334</v>
      </c>
      <c r="CR48" s="15">
        <f t="shared" si="450"/>
        <v>10833333.333333334</v>
      </c>
      <c r="CS48" s="15">
        <f t="shared" si="450"/>
        <v>10833333.333333334</v>
      </c>
      <c r="CT48" s="15">
        <f t="shared" si="450"/>
        <v>10833333.333333334</v>
      </c>
      <c r="CU48" s="15">
        <f t="shared" si="450"/>
        <v>10833333.333333334</v>
      </c>
      <c r="CV48" s="15">
        <f t="shared" si="450"/>
        <v>10833333.333333334</v>
      </c>
      <c r="CW48" s="15">
        <f t="shared" si="450"/>
        <v>10833333.333333334</v>
      </c>
      <c r="CX48" s="15">
        <f t="shared" si="450"/>
        <v>10833333.333333334</v>
      </c>
      <c r="CY48" s="15">
        <f t="shared" si="450"/>
        <v>10833333.333333334</v>
      </c>
      <c r="CZ48" s="15">
        <f t="shared" si="450"/>
        <v>0</v>
      </c>
      <c r="DA48" s="15">
        <f t="shared" si="450"/>
        <v>0</v>
      </c>
      <c r="DB48" s="15">
        <f t="shared" si="450"/>
        <v>0</v>
      </c>
      <c r="DC48" s="15">
        <f t="shared" si="450"/>
        <v>0</v>
      </c>
      <c r="DD48" s="15">
        <f t="shared" si="451"/>
        <v>0</v>
      </c>
      <c r="DE48" s="15">
        <f t="shared" si="451"/>
        <v>0</v>
      </c>
      <c r="DF48" s="15">
        <f t="shared" si="451"/>
        <v>0</v>
      </c>
      <c r="DG48" s="15">
        <f t="shared" si="451"/>
        <v>0</v>
      </c>
      <c r="DH48" s="15">
        <f t="shared" si="451"/>
        <v>0</v>
      </c>
      <c r="DI48" s="15">
        <f t="shared" si="451"/>
        <v>0</v>
      </c>
      <c r="DJ48" s="15">
        <f t="shared" si="451"/>
        <v>0</v>
      </c>
      <c r="DK48" s="15">
        <f t="shared" si="451"/>
        <v>0</v>
      </c>
      <c r="DL48" s="15">
        <f t="shared" si="451"/>
        <v>0</v>
      </c>
      <c r="DM48" s="15">
        <f t="shared" si="451"/>
        <v>0</v>
      </c>
      <c r="DN48" s="15">
        <f t="shared" si="451"/>
        <v>0</v>
      </c>
      <c r="DO48" s="15">
        <f t="shared" si="451"/>
        <v>0</v>
      </c>
      <c r="DP48" s="15">
        <f t="shared" si="451"/>
        <v>0</v>
      </c>
      <c r="DQ48" s="15">
        <f t="shared" si="451"/>
        <v>0</v>
      </c>
      <c r="DS48" s="15">
        <f t="shared" si="452"/>
        <v>10833333.333333334</v>
      </c>
      <c r="DT48" s="15">
        <f t="shared" si="452"/>
        <v>10833333.333333334</v>
      </c>
      <c r="DU48" s="15">
        <f t="shared" si="452"/>
        <v>10833333.333333334</v>
      </c>
      <c r="DV48" s="15">
        <f t="shared" si="452"/>
        <v>10833333.333333334</v>
      </c>
      <c r="DW48" s="15">
        <f t="shared" si="452"/>
        <v>10833333.333333334</v>
      </c>
      <c r="DX48" s="15">
        <f t="shared" si="452"/>
        <v>10833333.333333334</v>
      </c>
      <c r="DY48" s="15">
        <f t="shared" si="452"/>
        <v>10833333.333333334</v>
      </c>
      <c r="DZ48" s="15">
        <f t="shared" si="452"/>
        <v>10833333.333333334</v>
      </c>
      <c r="EA48" s="15">
        <f t="shared" si="452"/>
        <v>10833333.333333334</v>
      </c>
      <c r="EB48" s="15">
        <f t="shared" si="452"/>
        <v>10833333.333333334</v>
      </c>
      <c r="EC48" s="15">
        <f t="shared" si="452"/>
        <v>10833333.333333334</v>
      </c>
      <c r="ED48" s="15">
        <f t="shared" si="452"/>
        <v>10833333.333333334</v>
      </c>
      <c r="EE48" s="15">
        <f t="shared" si="452"/>
        <v>0</v>
      </c>
      <c r="EF48" s="15">
        <f t="shared" si="452"/>
        <v>0</v>
      </c>
      <c r="EG48" s="15">
        <f t="shared" si="452"/>
        <v>0</v>
      </c>
      <c r="EH48" s="15">
        <f t="shared" si="452"/>
        <v>0</v>
      </c>
      <c r="EI48" s="15">
        <f t="shared" si="453"/>
        <v>0</v>
      </c>
      <c r="EJ48" s="15">
        <f t="shared" si="453"/>
        <v>0</v>
      </c>
      <c r="EK48" s="15">
        <f t="shared" si="453"/>
        <v>0</v>
      </c>
      <c r="EL48" s="15">
        <f t="shared" si="453"/>
        <v>0</v>
      </c>
      <c r="EM48" s="15">
        <f t="shared" si="453"/>
        <v>0</v>
      </c>
      <c r="EN48" s="15">
        <f t="shared" si="453"/>
        <v>0</v>
      </c>
      <c r="EO48" s="15">
        <f t="shared" si="453"/>
        <v>0</v>
      </c>
      <c r="EP48" s="15">
        <f t="shared" si="453"/>
        <v>0</v>
      </c>
      <c r="EQ48" s="15">
        <f t="shared" si="453"/>
        <v>0</v>
      </c>
      <c r="ER48" s="15">
        <f t="shared" si="453"/>
        <v>0</v>
      </c>
      <c r="ES48" s="15">
        <f t="shared" si="453"/>
        <v>0</v>
      </c>
      <c r="ET48" s="15">
        <f t="shared" si="453"/>
        <v>0</v>
      </c>
      <c r="EU48" s="15">
        <f t="shared" si="453"/>
        <v>0</v>
      </c>
      <c r="EV48" s="15">
        <f t="shared" si="453"/>
        <v>0</v>
      </c>
      <c r="EX48" s="15">
        <f t="shared" si="454"/>
        <v>10833333.333333334</v>
      </c>
      <c r="EY48" s="15">
        <f t="shared" si="454"/>
        <v>10833333.333333334</v>
      </c>
      <c r="EZ48" s="15">
        <f t="shared" si="454"/>
        <v>10833333.333333334</v>
      </c>
      <c r="FA48" s="15">
        <f t="shared" si="454"/>
        <v>10833333.333333334</v>
      </c>
      <c r="FB48" s="15">
        <f t="shared" si="454"/>
        <v>10833333.333333334</v>
      </c>
      <c r="FC48" s="15">
        <f t="shared" si="454"/>
        <v>10833333.333333334</v>
      </c>
      <c r="FD48" s="15">
        <f t="shared" si="454"/>
        <v>10833333.333333334</v>
      </c>
      <c r="FE48" s="15">
        <f t="shared" si="454"/>
        <v>10833333.333333334</v>
      </c>
      <c r="FF48" s="15">
        <f t="shared" si="454"/>
        <v>10833333.333333334</v>
      </c>
      <c r="FG48" s="15">
        <f t="shared" si="454"/>
        <v>10833333.333333334</v>
      </c>
      <c r="FH48" s="15">
        <f t="shared" si="454"/>
        <v>10833333.333333334</v>
      </c>
      <c r="FI48" s="15">
        <f t="shared" si="454"/>
        <v>10833333.333333334</v>
      </c>
      <c r="FJ48" s="15">
        <f t="shared" si="454"/>
        <v>0</v>
      </c>
      <c r="FK48" s="15">
        <f t="shared" si="454"/>
        <v>0</v>
      </c>
      <c r="FL48" s="15">
        <f t="shared" si="454"/>
        <v>0</v>
      </c>
      <c r="FM48" s="15">
        <f t="shared" si="454"/>
        <v>0</v>
      </c>
      <c r="FN48" s="15">
        <f t="shared" si="455"/>
        <v>0</v>
      </c>
      <c r="FO48" s="15">
        <f t="shared" si="455"/>
        <v>0</v>
      </c>
      <c r="FP48" s="15">
        <f t="shared" si="455"/>
        <v>0</v>
      </c>
      <c r="FQ48" s="15">
        <f t="shared" si="455"/>
        <v>0</v>
      </c>
      <c r="FR48" s="15">
        <f t="shared" si="455"/>
        <v>0</v>
      </c>
      <c r="FS48" s="15">
        <f t="shared" si="455"/>
        <v>0</v>
      </c>
      <c r="FT48" s="15">
        <f t="shared" si="455"/>
        <v>0</v>
      </c>
      <c r="FU48" s="15">
        <f t="shared" si="455"/>
        <v>0</v>
      </c>
      <c r="FV48" s="15">
        <f t="shared" si="455"/>
        <v>0</v>
      </c>
      <c r="FW48" s="15">
        <f t="shared" si="455"/>
        <v>0</v>
      </c>
      <c r="FX48" s="15">
        <f t="shared" si="455"/>
        <v>0</v>
      </c>
      <c r="FY48" s="15">
        <f t="shared" si="455"/>
        <v>0</v>
      </c>
      <c r="FZ48" s="15">
        <f t="shared" si="455"/>
        <v>0</v>
      </c>
      <c r="GA48" s="15">
        <f t="shared" si="455"/>
        <v>0</v>
      </c>
      <c r="GC48" s="15">
        <f t="shared" si="456"/>
        <v>10833333.333333334</v>
      </c>
      <c r="GD48" s="15">
        <f t="shared" si="456"/>
        <v>10833333.333333334</v>
      </c>
      <c r="GE48" s="15">
        <f t="shared" si="456"/>
        <v>10833333.333333334</v>
      </c>
      <c r="GF48" s="15">
        <f t="shared" si="456"/>
        <v>10833333.333333334</v>
      </c>
      <c r="GG48" s="15">
        <f t="shared" si="456"/>
        <v>10833333.333333334</v>
      </c>
      <c r="GH48" s="15">
        <f t="shared" si="456"/>
        <v>10833333.333333334</v>
      </c>
      <c r="GI48" s="15">
        <f t="shared" si="456"/>
        <v>10833333.333333334</v>
      </c>
      <c r="GJ48" s="15">
        <f t="shared" si="456"/>
        <v>10833333.333333334</v>
      </c>
      <c r="GK48" s="15">
        <f t="shared" si="456"/>
        <v>10833333.333333334</v>
      </c>
      <c r="GL48" s="15">
        <f t="shared" si="456"/>
        <v>10833333.333333334</v>
      </c>
      <c r="GM48" s="15">
        <f t="shared" si="456"/>
        <v>10833333.333333334</v>
      </c>
      <c r="GN48" s="15">
        <f t="shared" si="456"/>
        <v>10833333.333333334</v>
      </c>
      <c r="GO48" s="15">
        <f t="shared" si="456"/>
        <v>0</v>
      </c>
      <c r="GP48" s="15">
        <f t="shared" si="456"/>
        <v>0</v>
      </c>
      <c r="GQ48" s="15">
        <f t="shared" si="456"/>
        <v>0</v>
      </c>
      <c r="GR48" s="15">
        <f t="shared" si="456"/>
        <v>0</v>
      </c>
      <c r="GS48" s="15">
        <f t="shared" si="457"/>
        <v>0</v>
      </c>
      <c r="GT48" s="15">
        <f t="shared" si="457"/>
        <v>0</v>
      </c>
      <c r="GU48" s="15">
        <f t="shared" si="457"/>
        <v>0</v>
      </c>
      <c r="GV48" s="15">
        <f t="shared" si="457"/>
        <v>0</v>
      </c>
      <c r="GW48" s="15">
        <f t="shared" si="457"/>
        <v>0</v>
      </c>
      <c r="GX48" s="15">
        <f t="shared" si="457"/>
        <v>0</v>
      </c>
      <c r="GY48" s="15">
        <f t="shared" si="457"/>
        <v>0</v>
      </c>
      <c r="GZ48" s="15">
        <f t="shared" si="457"/>
        <v>0</v>
      </c>
      <c r="HA48" s="15">
        <f t="shared" si="457"/>
        <v>0</v>
      </c>
      <c r="HB48" s="15">
        <f t="shared" si="457"/>
        <v>0</v>
      </c>
      <c r="HC48" s="15">
        <f t="shared" si="457"/>
        <v>0</v>
      </c>
      <c r="HD48" s="15">
        <f t="shared" si="457"/>
        <v>0</v>
      </c>
      <c r="HE48" s="15">
        <f t="shared" si="457"/>
        <v>0</v>
      </c>
      <c r="HF48" s="15">
        <f t="shared" si="457"/>
        <v>0</v>
      </c>
      <c r="HH48" s="15">
        <f t="shared" si="458"/>
        <v>10833333.333333334</v>
      </c>
      <c r="HI48" s="15">
        <f t="shared" si="458"/>
        <v>10833333.333333334</v>
      </c>
      <c r="HJ48" s="15">
        <f t="shared" si="458"/>
        <v>10833333.333333334</v>
      </c>
      <c r="HK48" s="15">
        <f t="shared" si="458"/>
        <v>10833333.333333334</v>
      </c>
      <c r="HL48" s="15">
        <f t="shared" si="458"/>
        <v>10833333.333333334</v>
      </c>
      <c r="HM48" s="15">
        <f t="shared" si="458"/>
        <v>10833333.333333334</v>
      </c>
      <c r="HN48" s="15">
        <f t="shared" si="458"/>
        <v>10833333.333333334</v>
      </c>
      <c r="HO48" s="15">
        <f t="shared" si="458"/>
        <v>10833333.333333334</v>
      </c>
      <c r="HP48" s="15">
        <f t="shared" si="458"/>
        <v>10833333.333333334</v>
      </c>
      <c r="HQ48" s="15">
        <f t="shared" si="458"/>
        <v>10833333.333333334</v>
      </c>
      <c r="HR48" s="15">
        <f t="shared" si="458"/>
        <v>10833333.333333334</v>
      </c>
      <c r="HS48" s="15">
        <f t="shared" si="458"/>
        <v>10833333.333333334</v>
      </c>
      <c r="HT48" s="15">
        <f t="shared" si="458"/>
        <v>0</v>
      </c>
      <c r="HU48" s="15">
        <f t="shared" si="458"/>
        <v>0</v>
      </c>
      <c r="HV48" s="15">
        <f t="shared" si="458"/>
        <v>0</v>
      </c>
      <c r="HW48" s="15">
        <f t="shared" si="458"/>
        <v>0</v>
      </c>
      <c r="HX48" s="15">
        <f t="shared" si="459"/>
        <v>0</v>
      </c>
      <c r="HY48" s="15">
        <f t="shared" si="459"/>
        <v>0</v>
      </c>
      <c r="HZ48" s="15">
        <f t="shared" si="459"/>
        <v>0</v>
      </c>
      <c r="IA48" s="15">
        <f t="shared" si="459"/>
        <v>0</v>
      </c>
      <c r="IB48" s="15">
        <f t="shared" si="459"/>
        <v>0</v>
      </c>
      <c r="IC48" s="15">
        <f t="shared" si="459"/>
        <v>0</v>
      </c>
      <c r="ID48" s="15">
        <f t="shared" si="459"/>
        <v>0</v>
      </c>
      <c r="IE48" s="15">
        <f t="shared" si="459"/>
        <v>0</v>
      </c>
      <c r="IF48" s="15">
        <f t="shared" si="459"/>
        <v>0</v>
      </c>
      <c r="IG48" s="15">
        <f t="shared" si="459"/>
        <v>0</v>
      </c>
      <c r="IH48" s="15">
        <f t="shared" si="459"/>
        <v>0</v>
      </c>
      <c r="II48" s="15">
        <f t="shared" si="459"/>
        <v>0</v>
      </c>
      <c r="IJ48" s="15">
        <f t="shared" si="459"/>
        <v>0</v>
      </c>
      <c r="IK48" s="15">
        <f t="shared" si="459"/>
        <v>0</v>
      </c>
      <c r="IM48" s="15">
        <f t="shared" si="460"/>
        <v>10833333.333333334</v>
      </c>
      <c r="IN48" s="15">
        <f t="shared" si="460"/>
        <v>10833333.333333334</v>
      </c>
      <c r="IO48" s="15">
        <f t="shared" si="460"/>
        <v>10833333.333333334</v>
      </c>
      <c r="IP48" s="15">
        <f t="shared" si="460"/>
        <v>10833333.333333334</v>
      </c>
      <c r="IQ48" s="15">
        <f t="shared" si="460"/>
        <v>10833333.333333334</v>
      </c>
      <c r="IR48" s="15">
        <f t="shared" si="460"/>
        <v>10833333.333333334</v>
      </c>
      <c r="IS48" s="15">
        <f t="shared" si="460"/>
        <v>10833333.333333334</v>
      </c>
      <c r="IT48" s="15">
        <f t="shared" si="460"/>
        <v>10833333.333333334</v>
      </c>
      <c r="IU48" s="15">
        <f t="shared" si="460"/>
        <v>10833333.333333334</v>
      </c>
      <c r="IV48" s="15">
        <f t="shared" si="460"/>
        <v>10833333.333333334</v>
      </c>
      <c r="IW48" s="15">
        <f t="shared" si="460"/>
        <v>10833333.333333334</v>
      </c>
      <c r="IX48" s="15">
        <f t="shared" si="460"/>
        <v>10833333.333333334</v>
      </c>
      <c r="IY48" s="15">
        <f t="shared" si="460"/>
        <v>0</v>
      </c>
      <c r="IZ48" s="15">
        <f t="shared" si="460"/>
        <v>0</v>
      </c>
      <c r="JA48" s="15">
        <f t="shared" si="460"/>
        <v>0</v>
      </c>
      <c r="JB48" s="15">
        <f t="shared" si="460"/>
        <v>0</v>
      </c>
      <c r="JC48" s="15">
        <f t="shared" si="461"/>
        <v>0</v>
      </c>
      <c r="JD48" s="15">
        <f t="shared" si="461"/>
        <v>0</v>
      </c>
      <c r="JE48" s="15">
        <f t="shared" si="461"/>
        <v>0</v>
      </c>
      <c r="JF48" s="15">
        <f t="shared" si="461"/>
        <v>0</v>
      </c>
      <c r="JG48" s="15">
        <f t="shared" si="461"/>
        <v>0</v>
      </c>
      <c r="JH48" s="15">
        <f t="shared" si="461"/>
        <v>0</v>
      </c>
      <c r="JI48" s="15">
        <f t="shared" si="461"/>
        <v>0</v>
      </c>
      <c r="JJ48" s="15">
        <f t="shared" si="461"/>
        <v>0</v>
      </c>
      <c r="JK48" s="15">
        <f t="shared" si="461"/>
        <v>0</v>
      </c>
      <c r="JL48" s="15">
        <f t="shared" si="461"/>
        <v>0</v>
      </c>
      <c r="JM48" s="15">
        <f t="shared" si="461"/>
        <v>0</v>
      </c>
      <c r="JN48" s="15">
        <f t="shared" si="461"/>
        <v>0</v>
      </c>
      <c r="JO48" s="15">
        <f t="shared" si="461"/>
        <v>0</v>
      </c>
      <c r="JP48" s="15">
        <f t="shared" si="461"/>
        <v>0</v>
      </c>
      <c r="JR48" s="15">
        <f t="shared" si="462"/>
        <v>10833333.333333334</v>
      </c>
      <c r="JS48" s="15">
        <f t="shared" si="462"/>
        <v>10833333.333333334</v>
      </c>
      <c r="JT48" s="15">
        <f t="shared" si="462"/>
        <v>10833333.333333334</v>
      </c>
      <c r="JU48" s="15">
        <f t="shared" si="462"/>
        <v>10833333.333333334</v>
      </c>
      <c r="JV48" s="15">
        <f t="shared" si="462"/>
        <v>10833333.333333334</v>
      </c>
      <c r="JW48" s="15">
        <f t="shared" si="462"/>
        <v>10833333.333333334</v>
      </c>
      <c r="JX48" s="15">
        <f t="shared" si="462"/>
        <v>10833333.333333334</v>
      </c>
      <c r="JY48" s="15">
        <f t="shared" si="462"/>
        <v>10833333.333333334</v>
      </c>
      <c r="JZ48" s="15">
        <f t="shared" si="462"/>
        <v>10833333.333333334</v>
      </c>
      <c r="KA48" s="15">
        <f t="shared" si="462"/>
        <v>10833333.333333334</v>
      </c>
      <c r="KB48" s="15">
        <f t="shared" si="462"/>
        <v>10833333.333333334</v>
      </c>
      <c r="KC48" s="15">
        <f t="shared" si="462"/>
        <v>10833333.333333334</v>
      </c>
      <c r="KD48" s="15">
        <f t="shared" si="462"/>
        <v>0</v>
      </c>
      <c r="KE48" s="15">
        <f t="shared" si="462"/>
        <v>0</v>
      </c>
      <c r="KF48" s="15">
        <f t="shared" si="462"/>
        <v>0</v>
      </c>
      <c r="KG48" s="15">
        <f t="shared" si="462"/>
        <v>0</v>
      </c>
      <c r="KH48" s="15">
        <f t="shared" si="463"/>
        <v>0</v>
      </c>
      <c r="KI48" s="15">
        <f t="shared" si="463"/>
        <v>0</v>
      </c>
      <c r="KJ48" s="15">
        <f t="shared" si="463"/>
        <v>0</v>
      </c>
      <c r="KK48" s="15">
        <f t="shared" si="463"/>
        <v>0</v>
      </c>
      <c r="KL48" s="15">
        <f t="shared" si="463"/>
        <v>0</v>
      </c>
      <c r="KM48" s="15">
        <f t="shared" si="463"/>
        <v>0</v>
      </c>
      <c r="KN48" s="15">
        <f t="shared" si="463"/>
        <v>0</v>
      </c>
      <c r="KO48" s="15">
        <f t="shared" si="463"/>
        <v>0</v>
      </c>
      <c r="KP48" s="15">
        <f t="shared" si="463"/>
        <v>0</v>
      </c>
      <c r="KQ48" s="15">
        <f t="shared" si="463"/>
        <v>0</v>
      </c>
      <c r="KR48" s="15">
        <f t="shared" si="463"/>
        <v>0</v>
      </c>
      <c r="KS48" s="15">
        <f t="shared" si="463"/>
        <v>0</v>
      </c>
      <c r="KT48" s="15">
        <f t="shared" si="463"/>
        <v>0</v>
      </c>
      <c r="KU48" s="15">
        <f t="shared" si="463"/>
        <v>0</v>
      </c>
      <c r="KW48" s="15">
        <f t="shared" si="464"/>
        <v>10833333.333333334</v>
      </c>
      <c r="KX48" s="15">
        <f t="shared" si="464"/>
        <v>10833333.333333334</v>
      </c>
      <c r="KY48" s="15">
        <f t="shared" si="464"/>
        <v>10833333.333333334</v>
      </c>
      <c r="KZ48" s="15">
        <f t="shared" si="464"/>
        <v>10833333.333333334</v>
      </c>
      <c r="LA48" s="15">
        <f t="shared" si="464"/>
        <v>10833333.333333334</v>
      </c>
      <c r="LB48" s="15">
        <f t="shared" si="464"/>
        <v>10833333.333333334</v>
      </c>
      <c r="LC48" s="15">
        <f t="shared" si="464"/>
        <v>10833333.333333334</v>
      </c>
      <c r="LD48" s="15">
        <f t="shared" si="464"/>
        <v>10833333.333333334</v>
      </c>
      <c r="LE48" s="15">
        <f t="shared" si="464"/>
        <v>10833333.333333334</v>
      </c>
      <c r="LF48" s="15">
        <f t="shared" si="464"/>
        <v>10833333.333333334</v>
      </c>
      <c r="LG48" s="15">
        <f t="shared" si="464"/>
        <v>10833333.333333334</v>
      </c>
      <c r="LH48" s="15">
        <f t="shared" si="464"/>
        <v>10833333.333333334</v>
      </c>
      <c r="LI48" s="15">
        <f t="shared" si="464"/>
        <v>0</v>
      </c>
      <c r="LJ48" s="15">
        <f t="shared" si="464"/>
        <v>0</v>
      </c>
      <c r="LK48" s="15">
        <f t="shared" si="464"/>
        <v>0</v>
      </c>
      <c r="LL48" s="15">
        <f t="shared" si="464"/>
        <v>0</v>
      </c>
      <c r="LM48" s="15">
        <f t="shared" si="465"/>
        <v>0</v>
      </c>
      <c r="LN48" s="15">
        <f t="shared" si="465"/>
        <v>0</v>
      </c>
      <c r="LO48" s="15">
        <f t="shared" si="465"/>
        <v>0</v>
      </c>
      <c r="LP48" s="15">
        <f t="shared" si="465"/>
        <v>0</v>
      </c>
      <c r="LQ48" s="15">
        <f t="shared" si="465"/>
        <v>0</v>
      </c>
      <c r="LR48" s="15">
        <f t="shared" si="465"/>
        <v>0</v>
      </c>
      <c r="LS48" s="15">
        <f t="shared" si="465"/>
        <v>0</v>
      </c>
      <c r="LT48" s="15">
        <f t="shared" si="465"/>
        <v>0</v>
      </c>
      <c r="LU48" s="15">
        <f t="shared" si="465"/>
        <v>0</v>
      </c>
      <c r="LV48" s="15">
        <f t="shared" si="465"/>
        <v>0</v>
      </c>
      <c r="LW48" s="15">
        <f t="shared" si="465"/>
        <v>0</v>
      </c>
      <c r="LX48" s="15">
        <f t="shared" si="465"/>
        <v>0</v>
      </c>
      <c r="LY48" s="15">
        <f t="shared" si="465"/>
        <v>0</v>
      </c>
      <c r="LZ48" s="15">
        <f t="shared" si="465"/>
        <v>0</v>
      </c>
      <c r="MB48" s="15">
        <f t="shared" si="466"/>
        <v>10833333.333333334</v>
      </c>
      <c r="MC48" s="15">
        <f t="shared" si="466"/>
        <v>10833333.333333334</v>
      </c>
      <c r="MD48" s="15">
        <f t="shared" si="466"/>
        <v>10833333.333333334</v>
      </c>
      <c r="ME48" s="15">
        <f t="shared" si="466"/>
        <v>10833333.333333334</v>
      </c>
      <c r="MF48" s="15">
        <f t="shared" si="466"/>
        <v>10833333.333333334</v>
      </c>
      <c r="MG48" s="15">
        <f t="shared" si="466"/>
        <v>10833333.333333334</v>
      </c>
      <c r="MH48" s="15">
        <f t="shared" si="466"/>
        <v>10833333.333333334</v>
      </c>
      <c r="MI48" s="15">
        <f t="shared" si="466"/>
        <v>10833333.333333334</v>
      </c>
      <c r="MJ48" s="15">
        <f t="shared" si="466"/>
        <v>10833333.333333334</v>
      </c>
      <c r="MK48" s="15">
        <f t="shared" si="466"/>
        <v>10833333.333333334</v>
      </c>
      <c r="ML48" s="15">
        <f t="shared" si="466"/>
        <v>10833333.333333334</v>
      </c>
      <c r="MM48" s="15">
        <f t="shared" si="466"/>
        <v>10833333.333333334</v>
      </c>
      <c r="MN48" s="15">
        <f t="shared" si="466"/>
        <v>0</v>
      </c>
      <c r="MO48" s="15">
        <f t="shared" si="466"/>
        <v>0</v>
      </c>
      <c r="MP48" s="15">
        <f t="shared" si="466"/>
        <v>0</v>
      </c>
      <c r="MQ48" s="15">
        <f t="shared" si="466"/>
        <v>0</v>
      </c>
      <c r="MR48" s="15">
        <f t="shared" si="467"/>
        <v>0</v>
      </c>
      <c r="MS48" s="15">
        <f t="shared" si="467"/>
        <v>0</v>
      </c>
      <c r="MT48" s="15">
        <f t="shared" si="467"/>
        <v>0</v>
      </c>
      <c r="MU48" s="15">
        <f t="shared" si="467"/>
        <v>0</v>
      </c>
      <c r="MV48" s="15">
        <f t="shared" si="467"/>
        <v>0</v>
      </c>
      <c r="MW48" s="15">
        <f t="shared" si="467"/>
        <v>0</v>
      </c>
      <c r="MX48" s="15">
        <f t="shared" si="467"/>
        <v>0</v>
      </c>
      <c r="MY48" s="15">
        <f t="shared" si="467"/>
        <v>0</v>
      </c>
      <c r="MZ48" s="15">
        <f t="shared" si="467"/>
        <v>0</v>
      </c>
      <c r="NA48" s="15">
        <f t="shared" si="467"/>
        <v>0</v>
      </c>
      <c r="NB48" s="15">
        <f t="shared" si="467"/>
        <v>0</v>
      </c>
      <c r="NC48" s="15">
        <f t="shared" si="467"/>
        <v>0</v>
      </c>
      <c r="ND48" s="15">
        <f t="shared" si="467"/>
        <v>0</v>
      </c>
      <c r="NE48" s="15">
        <f t="shared" si="467"/>
        <v>0</v>
      </c>
    </row>
    <row r="49" spans="1:369" outlineLevel="1" x14ac:dyDescent="0.25">
      <c r="B49" t="s">
        <v>345</v>
      </c>
      <c r="C49" s="623" t="s">
        <v>252</v>
      </c>
      <c r="D49" s="613" t="s">
        <v>232</v>
      </c>
      <c r="E49" s="468">
        <v>1</v>
      </c>
      <c r="F49" s="221"/>
      <c r="G49" s="457">
        <v>12</v>
      </c>
      <c r="H49" s="468">
        <f t="shared" si="468"/>
        <v>130000000</v>
      </c>
      <c r="I49" s="457">
        <f t="shared" si="419"/>
        <v>130000000</v>
      </c>
      <c r="J49" s="457">
        <f t="shared" si="420"/>
        <v>10833333.333333334</v>
      </c>
      <c r="K49" s="221"/>
      <c r="L49" s="457">
        <v>12</v>
      </c>
      <c r="M49" s="457">
        <f t="shared" si="421"/>
        <v>130000000</v>
      </c>
      <c r="N49" s="457">
        <f t="shared" si="422"/>
        <v>130000000</v>
      </c>
      <c r="O49" s="457">
        <f t="shared" si="423"/>
        <v>10833333.333333334</v>
      </c>
      <c r="P49" s="221"/>
      <c r="Q49" s="457">
        <v>12</v>
      </c>
      <c r="R49" s="457">
        <f t="shared" si="424"/>
        <v>130000000</v>
      </c>
      <c r="S49" s="457">
        <f t="shared" si="425"/>
        <v>130000000</v>
      </c>
      <c r="T49" s="457">
        <f t="shared" si="426"/>
        <v>10833333.333333334</v>
      </c>
      <c r="U49" s="221"/>
      <c r="V49" s="457">
        <v>12</v>
      </c>
      <c r="W49" s="457">
        <f t="shared" si="427"/>
        <v>130000000</v>
      </c>
      <c r="X49" s="457">
        <f t="shared" si="428"/>
        <v>130000000</v>
      </c>
      <c r="Y49" s="457">
        <f t="shared" si="429"/>
        <v>10833333.333333334</v>
      </c>
      <c r="Z49" s="221"/>
      <c r="AA49" s="457">
        <v>12</v>
      </c>
      <c r="AB49" s="457">
        <f t="shared" si="430"/>
        <v>130000000</v>
      </c>
      <c r="AC49" s="457">
        <f t="shared" si="431"/>
        <v>130000000</v>
      </c>
      <c r="AD49" s="457">
        <f t="shared" si="432"/>
        <v>10833333.333333334</v>
      </c>
      <c r="AE49" s="221"/>
      <c r="AF49" s="457">
        <v>12</v>
      </c>
      <c r="AG49" s="457">
        <f t="shared" si="433"/>
        <v>130000000</v>
      </c>
      <c r="AH49" s="457">
        <f t="shared" si="434"/>
        <v>130000000</v>
      </c>
      <c r="AI49" s="457">
        <f t="shared" si="435"/>
        <v>10833333.333333334</v>
      </c>
      <c r="AJ49" s="221"/>
      <c r="AK49" s="457">
        <v>12</v>
      </c>
      <c r="AL49" s="457">
        <f t="shared" si="436"/>
        <v>130000000</v>
      </c>
      <c r="AM49" s="457">
        <f t="shared" si="437"/>
        <v>130000000</v>
      </c>
      <c r="AN49" s="457">
        <f t="shared" si="438"/>
        <v>10833333.333333334</v>
      </c>
      <c r="AO49" s="221"/>
      <c r="AP49" s="457">
        <v>12</v>
      </c>
      <c r="AQ49" s="457">
        <f t="shared" si="439"/>
        <v>130000000</v>
      </c>
      <c r="AR49" s="457">
        <f t="shared" si="440"/>
        <v>130000000</v>
      </c>
      <c r="AS49" s="457">
        <f t="shared" si="441"/>
        <v>10833333.333333334</v>
      </c>
      <c r="AT49" s="221"/>
      <c r="AU49" s="457">
        <v>12</v>
      </c>
      <c r="AV49" s="457">
        <f t="shared" si="442"/>
        <v>130000000</v>
      </c>
      <c r="AW49" s="457">
        <f t="shared" si="443"/>
        <v>130000000</v>
      </c>
      <c r="AX49" s="457">
        <f t="shared" si="444"/>
        <v>10833333.333333334</v>
      </c>
      <c r="AY49" s="221"/>
      <c r="AZ49" s="457">
        <v>12</v>
      </c>
      <c r="BA49" s="457">
        <f t="shared" si="445"/>
        <v>130000000</v>
      </c>
      <c r="BB49" s="457">
        <f t="shared" si="446"/>
        <v>130000000</v>
      </c>
      <c r="BC49" s="457">
        <f t="shared" si="447"/>
        <v>10833333.333333334</v>
      </c>
      <c r="BD49" s="221"/>
      <c r="BG49" t="s">
        <v>337</v>
      </c>
      <c r="BI49" s="15">
        <f t="shared" si="448"/>
        <v>10833333.333333334</v>
      </c>
      <c r="BJ49" s="15">
        <f t="shared" si="448"/>
        <v>10833333.333333334</v>
      </c>
      <c r="BK49" s="15">
        <f t="shared" si="448"/>
        <v>10833333.333333334</v>
      </c>
      <c r="BL49" s="15">
        <f t="shared" si="448"/>
        <v>10833333.333333334</v>
      </c>
      <c r="BM49" s="15">
        <f t="shared" si="448"/>
        <v>10833333.333333334</v>
      </c>
      <c r="BN49" s="15">
        <f t="shared" si="448"/>
        <v>10833333.333333334</v>
      </c>
      <c r="BO49" s="15">
        <f t="shared" si="448"/>
        <v>10833333.333333334</v>
      </c>
      <c r="BP49" s="15">
        <f t="shared" si="448"/>
        <v>10833333.333333334</v>
      </c>
      <c r="BQ49" s="15">
        <f t="shared" si="448"/>
        <v>10833333.333333334</v>
      </c>
      <c r="BR49" s="15">
        <f t="shared" si="448"/>
        <v>10833333.333333334</v>
      </c>
      <c r="BS49" s="15">
        <f t="shared" si="448"/>
        <v>10833333.333333334</v>
      </c>
      <c r="BT49" s="15">
        <f t="shared" si="448"/>
        <v>10833333.333333334</v>
      </c>
      <c r="BU49" s="15">
        <f t="shared" si="448"/>
        <v>0</v>
      </c>
      <c r="BV49" s="15">
        <f t="shared" si="448"/>
        <v>0</v>
      </c>
      <c r="BW49" s="15">
        <f t="shared" si="448"/>
        <v>0</v>
      </c>
      <c r="BX49" s="15">
        <f t="shared" si="448"/>
        <v>0</v>
      </c>
      <c r="BY49" s="15">
        <f t="shared" si="449"/>
        <v>0</v>
      </c>
      <c r="BZ49" s="15">
        <f t="shared" si="449"/>
        <v>0</v>
      </c>
      <c r="CA49" s="15">
        <f t="shared" si="449"/>
        <v>0</v>
      </c>
      <c r="CB49" s="15">
        <f t="shared" si="449"/>
        <v>0</v>
      </c>
      <c r="CC49" s="15">
        <f t="shared" si="449"/>
        <v>0</v>
      </c>
      <c r="CD49" s="15">
        <f t="shared" si="449"/>
        <v>0</v>
      </c>
      <c r="CE49" s="15">
        <f t="shared" si="449"/>
        <v>0</v>
      </c>
      <c r="CF49" s="15">
        <f t="shared" si="449"/>
        <v>0</v>
      </c>
      <c r="CG49" s="15">
        <f t="shared" si="449"/>
        <v>0</v>
      </c>
      <c r="CH49" s="15">
        <f t="shared" si="449"/>
        <v>0</v>
      </c>
      <c r="CI49" s="15">
        <f t="shared" si="449"/>
        <v>0</v>
      </c>
      <c r="CJ49" s="15">
        <f t="shared" si="449"/>
        <v>0</v>
      </c>
      <c r="CK49" s="15">
        <f t="shared" si="449"/>
        <v>0</v>
      </c>
      <c r="CL49" s="15">
        <f t="shared" si="449"/>
        <v>0</v>
      </c>
      <c r="CN49" s="15">
        <f t="shared" si="450"/>
        <v>10833333.333333334</v>
      </c>
      <c r="CO49" s="15">
        <f t="shared" si="450"/>
        <v>10833333.333333334</v>
      </c>
      <c r="CP49" s="15">
        <f t="shared" si="450"/>
        <v>10833333.333333334</v>
      </c>
      <c r="CQ49" s="15">
        <f t="shared" si="450"/>
        <v>10833333.333333334</v>
      </c>
      <c r="CR49" s="15">
        <f t="shared" si="450"/>
        <v>10833333.333333334</v>
      </c>
      <c r="CS49" s="15">
        <f t="shared" si="450"/>
        <v>10833333.333333334</v>
      </c>
      <c r="CT49" s="15">
        <f t="shared" si="450"/>
        <v>10833333.333333334</v>
      </c>
      <c r="CU49" s="15">
        <f t="shared" si="450"/>
        <v>10833333.333333334</v>
      </c>
      <c r="CV49" s="15">
        <f t="shared" si="450"/>
        <v>10833333.333333334</v>
      </c>
      <c r="CW49" s="15">
        <f t="shared" si="450"/>
        <v>10833333.333333334</v>
      </c>
      <c r="CX49" s="15">
        <f t="shared" si="450"/>
        <v>10833333.333333334</v>
      </c>
      <c r="CY49" s="15">
        <f t="shared" si="450"/>
        <v>10833333.333333334</v>
      </c>
      <c r="CZ49" s="15">
        <f t="shared" si="450"/>
        <v>0</v>
      </c>
      <c r="DA49" s="15">
        <f t="shared" si="450"/>
        <v>0</v>
      </c>
      <c r="DB49" s="15">
        <f t="shared" si="450"/>
        <v>0</v>
      </c>
      <c r="DC49" s="15">
        <f t="shared" si="450"/>
        <v>0</v>
      </c>
      <c r="DD49" s="15">
        <f t="shared" si="451"/>
        <v>0</v>
      </c>
      <c r="DE49" s="15">
        <f t="shared" si="451"/>
        <v>0</v>
      </c>
      <c r="DF49" s="15">
        <f t="shared" si="451"/>
        <v>0</v>
      </c>
      <c r="DG49" s="15">
        <f t="shared" si="451"/>
        <v>0</v>
      </c>
      <c r="DH49" s="15">
        <f t="shared" si="451"/>
        <v>0</v>
      </c>
      <c r="DI49" s="15">
        <f t="shared" si="451"/>
        <v>0</v>
      </c>
      <c r="DJ49" s="15">
        <f t="shared" si="451"/>
        <v>0</v>
      </c>
      <c r="DK49" s="15">
        <f t="shared" si="451"/>
        <v>0</v>
      </c>
      <c r="DL49" s="15">
        <f t="shared" si="451"/>
        <v>0</v>
      </c>
      <c r="DM49" s="15">
        <f t="shared" si="451"/>
        <v>0</v>
      </c>
      <c r="DN49" s="15">
        <f t="shared" si="451"/>
        <v>0</v>
      </c>
      <c r="DO49" s="15">
        <f t="shared" si="451"/>
        <v>0</v>
      </c>
      <c r="DP49" s="15">
        <f t="shared" si="451"/>
        <v>0</v>
      </c>
      <c r="DQ49" s="15">
        <f t="shared" si="451"/>
        <v>0</v>
      </c>
      <c r="DS49" s="15">
        <f t="shared" si="452"/>
        <v>10833333.333333334</v>
      </c>
      <c r="DT49" s="15">
        <f t="shared" si="452"/>
        <v>10833333.333333334</v>
      </c>
      <c r="DU49" s="15">
        <f t="shared" si="452"/>
        <v>10833333.333333334</v>
      </c>
      <c r="DV49" s="15">
        <f t="shared" si="452"/>
        <v>10833333.333333334</v>
      </c>
      <c r="DW49" s="15">
        <f t="shared" si="452"/>
        <v>10833333.333333334</v>
      </c>
      <c r="DX49" s="15">
        <f t="shared" si="452"/>
        <v>10833333.333333334</v>
      </c>
      <c r="DY49" s="15">
        <f t="shared" si="452"/>
        <v>10833333.333333334</v>
      </c>
      <c r="DZ49" s="15">
        <f t="shared" si="452"/>
        <v>10833333.333333334</v>
      </c>
      <c r="EA49" s="15">
        <f t="shared" si="452"/>
        <v>10833333.333333334</v>
      </c>
      <c r="EB49" s="15">
        <f t="shared" si="452"/>
        <v>10833333.333333334</v>
      </c>
      <c r="EC49" s="15">
        <f t="shared" si="452"/>
        <v>10833333.333333334</v>
      </c>
      <c r="ED49" s="15">
        <f t="shared" si="452"/>
        <v>10833333.333333334</v>
      </c>
      <c r="EE49" s="15">
        <f t="shared" si="452"/>
        <v>0</v>
      </c>
      <c r="EF49" s="15">
        <f t="shared" si="452"/>
        <v>0</v>
      </c>
      <c r="EG49" s="15">
        <f t="shared" si="452"/>
        <v>0</v>
      </c>
      <c r="EH49" s="15">
        <f t="shared" si="452"/>
        <v>0</v>
      </c>
      <c r="EI49" s="15">
        <f t="shared" si="453"/>
        <v>0</v>
      </c>
      <c r="EJ49" s="15">
        <f t="shared" si="453"/>
        <v>0</v>
      </c>
      <c r="EK49" s="15">
        <f t="shared" si="453"/>
        <v>0</v>
      </c>
      <c r="EL49" s="15">
        <f t="shared" si="453"/>
        <v>0</v>
      </c>
      <c r="EM49" s="15">
        <f t="shared" si="453"/>
        <v>0</v>
      </c>
      <c r="EN49" s="15">
        <f t="shared" si="453"/>
        <v>0</v>
      </c>
      <c r="EO49" s="15">
        <f t="shared" si="453"/>
        <v>0</v>
      </c>
      <c r="EP49" s="15">
        <f t="shared" si="453"/>
        <v>0</v>
      </c>
      <c r="EQ49" s="15">
        <f t="shared" si="453"/>
        <v>0</v>
      </c>
      <c r="ER49" s="15">
        <f t="shared" si="453"/>
        <v>0</v>
      </c>
      <c r="ES49" s="15">
        <f t="shared" si="453"/>
        <v>0</v>
      </c>
      <c r="ET49" s="15">
        <f t="shared" si="453"/>
        <v>0</v>
      </c>
      <c r="EU49" s="15">
        <f t="shared" si="453"/>
        <v>0</v>
      </c>
      <c r="EV49" s="15">
        <f t="shared" si="453"/>
        <v>0</v>
      </c>
      <c r="EX49" s="15">
        <f t="shared" si="454"/>
        <v>10833333.333333334</v>
      </c>
      <c r="EY49" s="15">
        <f t="shared" si="454"/>
        <v>10833333.333333334</v>
      </c>
      <c r="EZ49" s="15">
        <f t="shared" si="454"/>
        <v>10833333.333333334</v>
      </c>
      <c r="FA49" s="15">
        <f t="shared" si="454"/>
        <v>10833333.333333334</v>
      </c>
      <c r="FB49" s="15">
        <f t="shared" si="454"/>
        <v>10833333.333333334</v>
      </c>
      <c r="FC49" s="15">
        <f t="shared" si="454"/>
        <v>10833333.333333334</v>
      </c>
      <c r="FD49" s="15">
        <f t="shared" si="454"/>
        <v>10833333.333333334</v>
      </c>
      <c r="FE49" s="15">
        <f t="shared" si="454"/>
        <v>10833333.333333334</v>
      </c>
      <c r="FF49" s="15">
        <f t="shared" si="454"/>
        <v>10833333.333333334</v>
      </c>
      <c r="FG49" s="15">
        <f t="shared" si="454"/>
        <v>10833333.333333334</v>
      </c>
      <c r="FH49" s="15">
        <f t="shared" si="454"/>
        <v>10833333.333333334</v>
      </c>
      <c r="FI49" s="15">
        <f t="shared" si="454"/>
        <v>10833333.333333334</v>
      </c>
      <c r="FJ49" s="15">
        <f t="shared" si="454"/>
        <v>0</v>
      </c>
      <c r="FK49" s="15">
        <f t="shared" si="454"/>
        <v>0</v>
      </c>
      <c r="FL49" s="15">
        <f t="shared" si="454"/>
        <v>0</v>
      </c>
      <c r="FM49" s="15">
        <f t="shared" si="454"/>
        <v>0</v>
      </c>
      <c r="FN49" s="15">
        <f t="shared" si="455"/>
        <v>0</v>
      </c>
      <c r="FO49" s="15">
        <f t="shared" si="455"/>
        <v>0</v>
      </c>
      <c r="FP49" s="15">
        <f t="shared" si="455"/>
        <v>0</v>
      </c>
      <c r="FQ49" s="15">
        <f t="shared" si="455"/>
        <v>0</v>
      </c>
      <c r="FR49" s="15">
        <f t="shared" si="455"/>
        <v>0</v>
      </c>
      <c r="FS49" s="15">
        <f t="shared" si="455"/>
        <v>0</v>
      </c>
      <c r="FT49" s="15">
        <f t="shared" si="455"/>
        <v>0</v>
      </c>
      <c r="FU49" s="15">
        <f t="shared" si="455"/>
        <v>0</v>
      </c>
      <c r="FV49" s="15">
        <f t="shared" si="455"/>
        <v>0</v>
      </c>
      <c r="FW49" s="15">
        <f t="shared" si="455"/>
        <v>0</v>
      </c>
      <c r="FX49" s="15">
        <f t="shared" si="455"/>
        <v>0</v>
      </c>
      <c r="FY49" s="15">
        <f t="shared" si="455"/>
        <v>0</v>
      </c>
      <c r="FZ49" s="15">
        <f t="shared" si="455"/>
        <v>0</v>
      </c>
      <c r="GA49" s="15">
        <f t="shared" si="455"/>
        <v>0</v>
      </c>
      <c r="GC49" s="15">
        <f t="shared" si="456"/>
        <v>10833333.333333334</v>
      </c>
      <c r="GD49" s="15">
        <f t="shared" si="456"/>
        <v>10833333.333333334</v>
      </c>
      <c r="GE49" s="15">
        <f t="shared" si="456"/>
        <v>10833333.333333334</v>
      </c>
      <c r="GF49" s="15">
        <f t="shared" si="456"/>
        <v>10833333.333333334</v>
      </c>
      <c r="GG49" s="15">
        <f t="shared" si="456"/>
        <v>10833333.333333334</v>
      </c>
      <c r="GH49" s="15">
        <f t="shared" si="456"/>
        <v>10833333.333333334</v>
      </c>
      <c r="GI49" s="15">
        <f t="shared" si="456"/>
        <v>10833333.333333334</v>
      </c>
      <c r="GJ49" s="15">
        <f t="shared" si="456"/>
        <v>10833333.333333334</v>
      </c>
      <c r="GK49" s="15">
        <f t="shared" si="456"/>
        <v>10833333.333333334</v>
      </c>
      <c r="GL49" s="15">
        <f t="shared" si="456"/>
        <v>10833333.333333334</v>
      </c>
      <c r="GM49" s="15">
        <f t="shared" si="456"/>
        <v>10833333.333333334</v>
      </c>
      <c r="GN49" s="15">
        <f t="shared" si="456"/>
        <v>10833333.333333334</v>
      </c>
      <c r="GO49" s="15">
        <f t="shared" si="456"/>
        <v>0</v>
      </c>
      <c r="GP49" s="15">
        <f t="shared" si="456"/>
        <v>0</v>
      </c>
      <c r="GQ49" s="15">
        <f t="shared" si="456"/>
        <v>0</v>
      </c>
      <c r="GR49" s="15">
        <f t="shared" si="456"/>
        <v>0</v>
      </c>
      <c r="GS49" s="15">
        <f t="shared" si="457"/>
        <v>0</v>
      </c>
      <c r="GT49" s="15">
        <f t="shared" si="457"/>
        <v>0</v>
      </c>
      <c r="GU49" s="15">
        <f t="shared" si="457"/>
        <v>0</v>
      </c>
      <c r="GV49" s="15">
        <f t="shared" si="457"/>
        <v>0</v>
      </c>
      <c r="GW49" s="15">
        <f t="shared" si="457"/>
        <v>0</v>
      </c>
      <c r="GX49" s="15">
        <f t="shared" si="457"/>
        <v>0</v>
      </c>
      <c r="GY49" s="15">
        <f t="shared" si="457"/>
        <v>0</v>
      </c>
      <c r="GZ49" s="15">
        <f t="shared" si="457"/>
        <v>0</v>
      </c>
      <c r="HA49" s="15">
        <f t="shared" si="457"/>
        <v>0</v>
      </c>
      <c r="HB49" s="15">
        <f t="shared" si="457"/>
        <v>0</v>
      </c>
      <c r="HC49" s="15">
        <f t="shared" si="457"/>
        <v>0</v>
      </c>
      <c r="HD49" s="15">
        <f t="shared" si="457"/>
        <v>0</v>
      </c>
      <c r="HE49" s="15">
        <f t="shared" si="457"/>
        <v>0</v>
      </c>
      <c r="HF49" s="15">
        <f t="shared" si="457"/>
        <v>0</v>
      </c>
      <c r="HH49" s="15">
        <f t="shared" si="458"/>
        <v>10833333.333333334</v>
      </c>
      <c r="HI49" s="15">
        <f t="shared" si="458"/>
        <v>10833333.333333334</v>
      </c>
      <c r="HJ49" s="15">
        <f t="shared" si="458"/>
        <v>10833333.333333334</v>
      </c>
      <c r="HK49" s="15">
        <f t="shared" si="458"/>
        <v>10833333.333333334</v>
      </c>
      <c r="HL49" s="15">
        <f t="shared" si="458"/>
        <v>10833333.333333334</v>
      </c>
      <c r="HM49" s="15">
        <f t="shared" si="458"/>
        <v>10833333.333333334</v>
      </c>
      <c r="HN49" s="15">
        <f t="shared" si="458"/>
        <v>10833333.333333334</v>
      </c>
      <c r="HO49" s="15">
        <f t="shared" si="458"/>
        <v>10833333.333333334</v>
      </c>
      <c r="HP49" s="15">
        <f t="shared" si="458"/>
        <v>10833333.333333334</v>
      </c>
      <c r="HQ49" s="15">
        <f t="shared" si="458"/>
        <v>10833333.333333334</v>
      </c>
      <c r="HR49" s="15">
        <f t="shared" si="458"/>
        <v>10833333.333333334</v>
      </c>
      <c r="HS49" s="15">
        <f t="shared" si="458"/>
        <v>10833333.333333334</v>
      </c>
      <c r="HT49" s="15">
        <f t="shared" si="458"/>
        <v>0</v>
      </c>
      <c r="HU49" s="15">
        <f t="shared" si="458"/>
        <v>0</v>
      </c>
      <c r="HV49" s="15">
        <f t="shared" si="458"/>
        <v>0</v>
      </c>
      <c r="HW49" s="15">
        <f t="shared" si="458"/>
        <v>0</v>
      </c>
      <c r="HX49" s="15">
        <f t="shared" si="459"/>
        <v>0</v>
      </c>
      <c r="HY49" s="15">
        <f t="shared" si="459"/>
        <v>0</v>
      </c>
      <c r="HZ49" s="15">
        <f t="shared" si="459"/>
        <v>0</v>
      </c>
      <c r="IA49" s="15">
        <f t="shared" si="459"/>
        <v>0</v>
      </c>
      <c r="IB49" s="15">
        <f t="shared" si="459"/>
        <v>0</v>
      </c>
      <c r="IC49" s="15">
        <f t="shared" si="459"/>
        <v>0</v>
      </c>
      <c r="ID49" s="15">
        <f t="shared" si="459"/>
        <v>0</v>
      </c>
      <c r="IE49" s="15">
        <f t="shared" si="459"/>
        <v>0</v>
      </c>
      <c r="IF49" s="15">
        <f t="shared" si="459"/>
        <v>0</v>
      </c>
      <c r="IG49" s="15">
        <f t="shared" si="459"/>
        <v>0</v>
      </c>
      <c r="IH49" s="15">
        <f t="shared" si="459"/>
        <v>0</v>
      </c>
      <c r="II49" s="15">
        <f t="shared" si="459"/>
        <v>0</v>
      </c>
      <c r="IJ49" s="15">
        <f t="shared" si="459"/>
        <v>0</v>
      </c>
      <c r="IK49" s="15">
        <f t="shared" si="459"/>
        <v>0</v>
      </c>
      <c r="IM49" s="15">
        <f t="shared" si="460"/>
        <v>10833333.333333334</v>
      </c>
      <c r="IN49" s="15">
        <f t="shared" si="460"/>
        <v>10833333.333333334</v>
      </c>
      <c r="IO49" s="15">
        <f t="shared" si="460"/>
        <v>10833333.333333334</v>
      </c>
      <c r="IP49" s="15">
        <f t="shared" si="460"/>
        <v>10833333.333333334</v>
      </c>
      <c r="IQ49" s="15">
        <f t="shared" si="460"/>
        <v>10833333.333333334</v>
      </c>
      <c r="IR49" s="15">
        <f t="shared" si="460"/>
        <v>10833333.333333334</v>
      </c>
      <c r="IS49" s="15">
        <f t="shared" si="460"/>
        <v>10833333.333333334</v>
      </c>
      <c r="IT49" s="15">
        <f t="shared" si="460"/>
        <v>10833333.333333334</v>
      </c>
      <c r="IU49" s="15">
        <f t="shared" si="460"/>
        <v>10833333.333333334</v>
      </c>
      <c r="IV49" s="15">
        <f t="shared" si="460"/>
        <v>10833333.333333334</v>
      </c>
      <c r="IW49" s="15">
        <f t="shared" si="460"/>
        <v>10833333.333333334</v>
      </c>
      <c r="IX49" s="15">
        <f t="shared" si="460"/>
        <v>10833333.333333334</v>
      </c>
      <c r="IY49" s="15">
        <f t="shared" si="460"/>
        <v>0</v>
      </c>
      <c r="IZ49" s="15">
        <f t="shared" si="460"/>
        <v>0</v>
      </c>
      <c r="JA49" s="15">
        <f t="shared" si="460"/>
        <v>0</v>
      </c>
      <c r="JB49" s="15">
        <f t="shared" si="460"/>
        <v>0</v>
      </c>
      <c r="JC49" s="15">
        <f t="shared" si="461"/>
        <v>0</v>
      </c>
      <c r="JD49" s="15">
        <f t="shared" si="461"/>
        <v>0</v>
      </c>
      <c r="JE49" s="15">
        <f t="shared" si="461"/>
        <v>0</v>
      </c>
      <c r="JF49" s="15">
        <f t="shared" si="461"/>
        <v>0</v>
      </c>
      <c r="JG49" s="15">
        <f t="shared" si="461"/>
        <v>0</v>
      </c>
      <c r="JH49" s="15">
        <f t="shared" si="461"/>
        <v>0</v>
      </c>
      <c r="JI49" s="15">
        <f t="shared" si="461"/>
        <v>0</v>
      </c>
      <c r="JJ49" s="15">
        <f t="shared" si="461"/>
        <v>0</v>
      </c>
      <c r="JK49" s="15">
        <f t="shared" si="461"/>
        <v>0</v>
      </c>
      <c r="JL49" s="15">
        <f t="shared" si="461"/>
        <v>0</v>
      </c>
      <c r="JM49" s="15">
        <f t="shared" si="461"/>
        <v>0</v>
      </c>
      <c r="JN49" s="15">
        <f t="shared" si="461"/>
        <v>0</v>
      </c>
      <c r="JO49" s="15">
        <f t="shared" si="461"/>
        <v>0</v>
      </c>
      <c r="JP49" s="15">
        <f t="shared" si="461"/>
        <v>0</v>
      </c>
      <c r="JR49" s="15">
        <f t="shared" si="462"/>
        <v>10833333.333333334</v>
      </c>
      <c r="JS49" s="15">
        <f t="shared" si="462"/>
        <v>10833333.333333334</v>
      </c>
      <c r="JT49" s="15">
        <f t="shared" si="462"/>
        <v>10833333.333333334</v>
      </c>
      <c r="JU49" s="15">
        <f t="shared" si="462"/>
        <v>10833333.333333334</v>
      </c>
      <c r="JV49" s="15">
        <f t="shared" si="462"/>
        <v>10833333.333333334</v>
      </c>
      <c r="JW49" s="15">
        <f t="shared" si="462"/>
        <v>10833333.333333334</v>
      </c>
      <c r="JX49" s="15">
        <f t="shared" si="462"/>
        <v>10833333.333333334</v>
      </c>
      <c r="JY49" s="15">
        <f t="shared" si="462"/>
        <v>10833333.333333334</v>
      </c>
      <c r="JZ49" s="15">
        <f t="shared" si="462"/>
        <v>10833333.333333334</v>
      </c>
      <c r="KA49" s="15">
        <f t="shared" si="462"/>
        <v>10833333.333333334</v>
      </c>
      <c r="KB49" s="15">
        <f t="shared" si="462"/>
        <v>10833333.333333334</v>
      </c>
      <c r="KC49" s="15">
        <f t="shared" si="462"/>
        <v>10833333.333333334</v>
      </c>
      <c r="KD49" s="15">
        <f t="shared" si="462"/>
        <v>0</v>
      </c>
      <c r="KE49" s="15">
        <f t="shared" si="462"/>
        <v>0</v>
      </c>
      <c r="KF49" s="15">
        <f t="shared" si="462"/>
        <v>0</v>
      </c>
      <c r="KG49" s="15">
        <f t="shared" si="462"/>
        <v>0</v>
      </c>
      <c r="KH49" s="15">
        <f t="shared" si="463"/>
        <v>0</v>
      </c>
      <c r="KI49" s="15">
        <f t="shared" si="463"/>
        <v>0</v>
      </c>
      <c r="KJ49" s="15">
        <f t="shared" si="463"/>
        <v>0</v>
      </c>
      <c r="KK49" s="15">
        <f t="shared" si="463"/>
        <v>0</v>
      </c>
      <c r="KL49" s="15">
        <f t="shared" si="463"/>
        <v>0</v>
      </c>
      <c r="KM49" s="15">
        <f t="shared" si="463"/>
        <v>0</v>
      </c>
      <c r="KN49" s="15">
        <f t="shared" si="463"/>
        <v>0</v>
      </c>
      <c r="KO49" s="15">
        <f t="shared" si="463"/>
        <v>0</v>
      </c>
      <c r="KP49" s="15">
        <f t="shared" si="463"/>
        <v>0</v>
      </c>
      <c r="KQ49" s="15">
        <f t="shared" si="463"/>
        <v>0</v>
      </c>
      <c r="KR49" s="15">
        <f t="shared" si="463"/>
        <v>0</v>
      </c>
      <c r="KS49" s="15">
        <f t="shared" si="463"/>
        <v>0</v>
      </c>
      <c r="KT49" s="15">
        <f t="shared" si="463"/>
        <v>0</v>
      </c>
      <c r="KU49" s="15">
        <f t="shared" si="463"/>
        <v>0</v>
      </c>
      <c r="KW49" s="15">
        <f t="shared" si="464"/>
        <v>10833333.333333334</v>
      </c>
      <c r="KX49" s="15">
        <f t="shared" si="464"/>
        <v>10833333.333333334</v>
      </c>
      <c r="KY49" s="15">
        <f t="shared" si="464"/>
        <v>10833333.333333334</v>
      </c>
      <c r="KZ49" s="15">
        <f t="shared" si="464"/>
        <v>10833333.333333334</v>
      </c>
      <c r="LA49" s="15">
        <f t="shared" si="464"/>
        <v>10833333.333333334</v>
      </c>
      <c r="LB49" s="15">
        <f t="shared" si="464"/>
        <v>10833333.333333334</v>
      </c>
      <c r="LC49" s="15">
        <f t="shared" si="464"/>
        <v>10833333.333333334</v>
      </c>
      <c r="LD49" s="15">
        <f t="shared" si="464"/>
        <v>10833333.333333334</v>
      </c>
      <c r="LE49" s="15">
        <f t="shared" si="464"/>
        <v>10833333.333333334</v>
      </c>
      <c r="LF49" s="15">
        <f t="shared" si="464"/>
        <v>10833333.333333334</v>
      </c>
      <c r="LG49" s="15">
        <f t="shared" si="464"/>
        <v>10833333.333333334</v>
      </c>
      <c r="LH49" s="15">
        <f t="shared" si="464"/>
        <v>10833333.333333334</v>
      </c>
      <c r="LI49" s="15">
        <f t="shared" si="464"/>
        <v>0</v>
      </c>
      <c r="LJ49" s="15">
        <f t="shared" si="464"/>
        <v>0</v>
      </c>
      <c r="LK49" s="15">
        <f t="shared" si="464"/>
        <v>0</v>
      </c>
      <c r="LL49" s="15">
        <f t="shared" si="464"/>
        <v>0</v>
      </c>
      <c r="LM49" s="15">
        <f t="shared" si="465"/>
        <v>0</v>
      </c>
      <c r="LN49" s="15">
        <f t="shared" si="465"/>
        <v>0</v>
      </c>
      <c r="LO49" s="15">
        <f t="shared" si="465"/>
        <v>0</v>
      </c>
      <c r="LP49" s="15">
        <f t="shared" si="465"/>
        <v>0</v>
      </c>
      <c r="LQ49" s="15">
        <f t="shared" si="465"/>
        <v>0</v>
      </c>
      <c r="LR49" s="15">
        <f t="shared" si="465"/>
        <v>0</v>
      </c>
      <c r="LS49" s="15">
        <f t="shared" si="465"/>
        <v>0</v>
      </c>
      <c r="LT49" s="15">
        <f t="shared" si="465"/>
        <v>0</v>
      </c>
      <c r="LU49" s="15">
        <f t="shared" si="465"/>
        <v>0</v>
      </c>
      <c r="LV49" s="15">
        <f t="shared" si="465"/>
        <v>0</v>
      </c>
      <c r="LW49" s="15">
        <f t="shared" si="465"/>
        <v>0</v>
      </c>
      <c r="LX49" s="15">
        <f t="shared" si="465"/>
        <v>0</v>
      </c>
      <c r="LY49" s="15">
        <f t="shared" si="465"/>
        <v>0</v>
      </c>
      <c r="LZ49" s="15">
        <f t="shared" si="465"/>
        <v>0</v>
      </c>
      <c r="MB49" s="15">
        <f t="shared" si="466"/>
        <v>10833333.333333334</v>
      </c>
      <c r="MC49" s="15">
        <f t="shared" si="466"/>
        <v>10833333.333333334</v>
      </c>
      <c r="MD49" s="15">
        <f t="shared" si="466"/>
        <v>10833333.333333334</v>
      </c>
      <c r="ME49" s="15">
        <f t="shared" si="466"/>
        <v>10833333.333333334</v>
      </c>
      <c r="MF49" s="15">
        <f t="shared" si="466"/>
        <v>10833333.333333334</v>
      </c>
      <c r="MG49" s="15">
        <f t="shared" si="466"/>
        <v>10833333.333333334</v>
      </c>
      <c r="MH49" s="15">
        <f t="shared" si="466"/>
        <v>10833333.333333334</v>
      </c>
      <c r="MI49" s="15">
        <f t="shared" si="466"/>
        <v>10833333.333333334</v>
      </c>
      <c r="MJ49" s="15">
        <f t="shared" si="466"/>
        <v>10833333.333333334</v>
      </c>
      <c r="MK49" s="15">
        <f t="shared" si="466"/>
        <v>10833333.333333334</v>
      </c>
      <c r="ML49" s="15">
        <f t="shared" si="466"/>
        <v>10833333.333333334</v>
      </c>
      <c r="MM49" s="15">
        <f t="shared" si="466"/>
        <v>10833333.333333334</v>
      </c>
      <c r="MN49" s="15">
        <f t="shared" si="466"/>
        <v>0</v>
      </c>
      <c r="MO49" s="15">
        <f t="shared" si="466"/>
        <v>0</v>
      </c>
      <c r="MP49" s="15">
        <f t="shared" si="466"/>
        <v>0</v>
      </c>
      <c r="MQ49" s="15">
        <f t="shared" si="466"/>
        <v>0</v>
      </c>
      <c r="MR49" s="15">
        <f t="shared" si="467"/>
        <v>0</v>
      </c>
      <c r="MS49" s="15">
        <f t="shared" si="467"/>
        <v>0</v>
      </c>
      <c r="MT49" s="15">
        <f t="shared" si="467"/>
        <v>0</v>
      </c>
      <c r="MU49" s="15">
        <f t="shared" si="467"/>
        <v>0</v>
      </c>
      <c r="MV49" s="15">
        <f t="shared" si="467"/>
        <v>0</v>
      </c>
      <c r="MW49" s="15">
        <f t="shared" si="467"/>
        <v>0</v>
      </c>
      <c r="MX49" s="15">
        <f t="shared" si="467"/>
        <v>0</v>
      </c>
      <c r="MY49" s="15">
        <f t="shared" si="467"/>
        <v>0</v>
      </c>
      <c r="MZ49" s="15">
        <f t="shared" si="467"/>
        <v>0</v>
      </c>
      <c r="NA49" s="15">
        <f t="shared" si="467"/>
        <v>0</v>
      </c>
      <c r="NB49" s="15">
        <f t="shared" si="467"/>
        <v>0</v>
      </c>
      <c r="NC49" s="15">
        <f t="shared" si="467"/>
        <v>0</v>
      </c>
      <c r="ND49" s="15">
        <f t="shared" si="467"/>
        <v>0</v>
      </c>
      <c r="NE49" s="15">
        <f t="shared" si="467"/>
        <v>0</v>
      </c>
    </row>
    <row r="50" spans="1:369" outlineLevel="1" x14ac:dyDescent="0.25">
      <c r="B50" t="s">
        <v>345</v>
      </c>
      <c r="C50" s="623" t="s">
        <v>253</v>
      </c>
      <c r="D50" s="613" t="s">
        <v>233</v>
      </c>
      <c r="E50" s="468">
        <v>1</v>
      </c>
      <c r="F50" s="221"/>
      <c r="G50" s="457">
        <v>12</v>
      </c>
      <c r="H50" s="468">
        <f t="shared" si="468"/>
        <v>130000000</v>
      </c>
      <c r="I50" s="457">
        <f t="shared" si="419"/>
        <v>130000000</v>
      </c>
      <c r="J50" s="457">
        <f t="shared" si="420"/>
        <v>10833333.333333334</v>
      </c>
      <c r="K50" s="221"/>
      <c r="L50" s="457">
        <v>12</v>
      </c>
      <c r="M50" s="457">
        <f t="shared" si="421"/>
        <v>130000000</v>
      </c>
      <c r="N50" s="457">
        <f t="shared" si="422"/>
        <v>130000000</v>
      </c>
      <c r="O50" s="457">
        <f t="shared" si="423"/>
        <v>10833333.333333334</v>
      </c>
      <c r="P50" s="221"/>
      <c r="Q50" s="457">
        <v>12</v>
      </c>
      <c r="R50" s="457">
        <f t="shared" si="424"/>
        <v>130000000</v>
      </c>
      <c r="S50" s="457">
        <f t="shared" si="425"/>
        <v>130000000</v>
      </c>
      <c r="T50" s="457">
        <f t="shared" si="426"/>
        <v>10833333.333333334</v>
      </c>
      <c r="U50" s="221"/>
      <c r="V50" s="457">
        <v>12</v>
      </c>
      <c r="W50" s="457">
        <f t="shared" si="427"/>
        <v>130000000</v>
      </c>
      <c r="X50" s="457">
        <f t="shared" si="428"/>
        <v>130000000</v>
      </c>
      <c r="Y50" s="457">
        <f t="shared" si="429"/>
        <v>10833333.333333334</v>
      </c>
      <c r="Z50" s="221"/>
      <c r="AA50" s="457">
        <v>12</v>
      </c>
      <c r="AB50" s="457">
        <f t="shared" si="430"/>
        <v>130000000</v>
      </c>
      <c r="AC50" s="457">
        <f t="shared" si="431"/>
        <v>130000000</v>
      </c>
      <c r="AD50" s="457">
        <f t="shared" si="432"/>
        <v>10833333.333333334</v>
      </c>
      <c r="AE50" s="221"/>
      <c r="AF50" s="457">
        <v>12</v>
      </c>
      <c r="AG50" s="457">
        <f t="shared" si="433"/>
        <v>130000000</v>
      </c>
      <c r="AH50" s="457">
        <f t="shared" si="434"/>
        <v>130000000</v>
      </c>
      <c r="AI50" s="457">
        <f t="shared" si="435"/>
        <v>10833333.333333334</v>
      </c>
      <c r="AJ50" s="221"/>
      <c r="AK50" s="457">
        <v>12</v>
      </c>
      <c r="AL50" s="457">
        <f t="shared" si="436"/>
        <v>130000000</v>
      </c>
      <c r="AM50" s="457">
        <f t="shared" si="437"/>
        <v>130000000</v>
      </c>
      <c r="AN50" s="457">
        <f t="shared" si="438"/>
        <v>10833333.333333334</v>
      </c>
      <c r="AO50" s="221"/>
      <c r="AP50" s="457">
        <v>12</v>
      </c>
      <c r="AQ50" s="457">
        <f t="shared" si="439"/>
        <v>130000000</v>
      </c>
      <c r="AR50" s="457">
        <f t="shared" si="440"/>
        <v>130000000</v>
      </c>
      <c r="AS50" s="457">
        <f t="shared" si="441"/>
        <v>10833333.333333334</v>
      </c>
      <c r="AT50" s="221"/>
      <c r="AU50" s="457">
        <v>12</v>
      </c>
      <c r="AV50" s="457">
        <f t="shared" si="442"/>
        <v>130000000</v>
      </c>
      <c r="AW50" s="457">
        <f t="shared" si="443"/>
        <v>130000000</v>
      </c>
      <c r="AX50" s="457">
        <f t="shared" si="444"/>
        <v>10833333.333333334</v>
      </c>
      <c r="AY50" s="221"/>
      <c r="AZ50" s="457">
        <v>12</v>
      </c>
      <c r="BA50" s="457">
        <f t="shared" si="445"/>
        <v>130000000</v>
      </c>
      <c r="BB50" s="457">
        <f t="shared" si="446"/>
        <v>130000000</v>
      </c>
      <c r="BC50" s="457">
        <f t="shared" si="447"/>
        <v>10833333.333333334</v>
      </c>
      <c r="BD50" s="221"/>
      <c r="BG50" t="s">
        <v>337</v>
      </c>
      <c r="BI50" s="15">
        <f t="shared" si="448"/>
        <v>10833333.333333334</v>
      </c>
      <c r="BJ50" s="15">
        <f t="shared" si="448"/>
        <v>10833333.333333334</v>
      </c>
      <c r="BK50" s="15">
        <f t="shared" si="448"/>
        <v>10833333.333333334</v>
      </c>
      <c r="BL50" s="15">
        <f t="shared" si="448"/>
        <v>10833333.333333334</v>
      </c>
      <c r="BM50" s="15">
        <f t="shared" si="448"/>
        <v>10833333.333333334</v>
      </c>
      <c r="BN50" s="15">
        <f t="shared" si="448"/>
        <v>10833333.333333334</v>
      </c>
      <c r="BO50" s="15">
        <f t="shared" si="448"/>
        <v>10833333.333333334</v>
      </c>
      <c r="BP50" s="15">
        <f t="shared" si="448"/>
        <v>10833333.333333334</v>
      </c>
      <c r="BQ50" s="15">
        <f t="shared" si="448"/>
        <v>10833333.333333334</v>
      </c>
      <c r="BR50" s="15">
        <f t="shared" si="448"/>
        <v>10833333.333333334</v>
      </c>
      <c r="BS50" s="15">
        <f t="shared" si="448"/>
        <v>10833333.333333334</v>
      </c>
      <c r="BT50" s="15">
        <f t="shared" si="448"/>
        <v>10833333.333333334</v>
      </c>
      <c r="BU50" s="15">
        <f t="shared" si="448"/>
        <v>0</v>
      </c>
      <c r="BV50" s="15">
        <f t="shared" si="448"/>
        <v>0</v>
      </c>
      <c r="BW50" s="15">
        <f t="shared" si="448"/>
        <v>0</v>
      </c>
      <c r="BX50" s="15">
        <f t="shared" si="448"/>
        <v>0</v>
      </c>
      <c r="BY50" s="15">
        <f t="shared" si="449"/>
        <v>0</v>
      </c>
      <c r="BZ50" s="15">
        <f t="shared" si="449"/>
        <v>0</v>
      </c>
      <c r="CA50" s="15">
        <f t="shared" si="449"/>
        <v>0</v>
      </c>
      <c r="CB50" s="15">
        <f t="shared" si="449"/>
        <v>0</v>
      </c>
      <c r="CC50" s="15">
        <f t="shared" si="449"/>
        <v>0</v>
      </c>
      <c r="CD50" s="15">
        <f t="shared" si="449"/>
        <v>0</v>
      </c>
      <c r="CE50" s="15">
        <f t="shared" si="449"/>
        <v>0</v>
      </c>
      <c r="CF50" s="15">
        <f t="shared" si="449"/>
        <v>0</v>
      </c>
      <c r="CG50" s="15">
        <f t="shared" si="449"/>
        <v>0</v>
      </c>
      <c r="CH50" s="15">
        <f t="shared" si="449"/>
        <v>0</v>
      </c>
      <c r="CI50" s="15">
        <f t="shared" si="449"/>
        <v>0</v>
      </c>
      <c r="CJ50" s="15">
        <f t="shared" si="449"/>
        <v>0</v>
      </c>
      <c r="CK50" s="15">
        <f t="shared" si="449"/>
        <v>0</v>
      </c>
      <c r="CL50" s="15">
        <f t="shared" si="449"/>
        <v>0</v>
      </c>
      <c r="CN50" s="15">
        <f t="shared" si="450"/>
        <v>10833333.333333334</v>
      </c>
      <c r="CO50" s="15">
        <f t="shared" si="450"/>
        <v>10833333.333333334</v>
      </c>
      <c r="CP50" s="15">
        <f t="shared" si="450"/>
        <v>10833333.333333334</v>
      </c>
      <c r="CQ50" s="15">
        <f t="shared" si="450"/>
        <v>10833333.333333334</v>
      </c>
      <c r="CR50" s="15">
        <f t="shared" si="450"/>
        <v>10833333.333333334</v>
      </c>
      <c r="CS50" s="15">
        <f t="shared" si="450"/>
        <v>10833333.333333334</v>
      </c>
      <c r="CT50" s="15">
        <f t="shared" si="450"/>
        <v>10833333.333333334</v>
      </c>
      <c r="CU50" s="15">
        <f t="shared" si="450"/>
        <v>10833333.333333334</v>
      </c>
      <c r="CV50" s="15">
        <f t="shared" si="450"/>
        <v>10833333.333333334</v>
      </c>
      <c r="CW50" s="15">
        <f t="shared" si="450"/>
        <v>10833333.333333334</v>
      </c>
      <c r="CX50" s="15">
        <f t="shared" si="450"/>
        <v>10833333.333333334</v>
      </c>
      <c r="CY50" s="15">
        <f t="shared" si="450"/>
        <v>10833333.333333334</v>
      </c>
      <c r="CZ50" s="15">
        <f t="shared" si="450"/>
        <v>0</v>
      </c>
      <c r="DA50" s="15">
        <f t="shared" si="450"/>
        <v>0</v>
      </c>
      <c r="DB50" s="15">
        <f t="shared" si="450"/>
        <v>0</v>
      </c>
      <c r="DC50" s="15">
        <f t="shared" si="450"/>
        <v>0</v>
      </c>
      <c r="DD50" s="15">
        <f t="shared" si="451"/>
        <v>0</v>
      </c>
      <c r="DE50" s="15">
        <f t="shared" si="451"/>
        <v>0</v>
      </c>
      <c r="DF50" s="15">
        <f t="shared" si="451"/>
        <v>0</v>
      </c>
      <c r="DG50" s="15">
        <f t="shared" si="451"/>
        <v>0</v>
      </c>
      <c r="DH50" s="15">
        <f t="shared" si="451"/>
        <v>0</v>
      </c>
      <c r="DI50" s="15">
        <f t="shared" si="451"/>
        <v>0</v>
      </c>
      <c r="DJ50" s="15">
        <f t="shared" si="451"/>
        <v>0</v>
      </c>
      <c r="DK50" s="15">
        <f t="shared" si="451"/>
        <v>0</v>
      </c>
      <c r="DL50" s="15">
        <f t="shared" si="451"/>
        <v>0</v>
      </c>
      <c r="DM50" s="15">
        <f t="shared" si="451"/>
        <v>0</v>
      </c>
      <c r="DN50" s="15">
        <f t="shared" si="451"/>
        <v>0</v>
      </c>
      <c r="DO50" s="15">
        <f t="shared" si="451"/>
        <v>0</v>
      </c>
      <c r="DP50" s="15">
        <f t="shared" si="451"/>
        <v>0</v>
      </c>
      <c r="DQ50" s="15">
        <f t="shared" si="451"/>
        <v>0</v>
      </c>
      <c r="DS50" s="15">
        <f t="shared" si="452"/>
        <v>10833333.333333334</v>
      </c>
      <c r="DT50" s="15">
        <f t="shared" si="452"/>
        <v>10833333.333333334</v>
      </c>
      <c r="DU50" s="15">
        <f t="shared" si="452"/>
        <v>10833333.333333334</v>
      </c>
      <c r="DV50" s="15">
        <f t="shared" si="452"/>
        <v>10833333.333333334</v>
      </c>
      <c r="DW50" s="15">
        <f t="shared" si="452"/>
        <v>10833333.333333334</v>
      </c>
      <c r="DX50" s="15">
        <f t="shared" si="452"/>
        <v>10833333.333333334</v>
      </c>
      <c r="DY50" s="15">
        <f t="shared" si="452"/>
        <v>10833333.333333334</v>
      </c>
      <c r="DZ50" s="15">
        <f t="shared" si="452"/>
        <v>10833333.333333334</v>
      </c>
      <c r="EA50" s="15">
        <f t="shared" si="452"/>
        <v>10833333.333333334</v>
      </c>
      <c r="EB50" s="15">
        <f t="shared" si="452"/>
        <v>10833333.333333334</v>
      </c>
      <c r="EC50" s="15">
        <f t="shared" si="452"/>
        <v>10833333.333333334</v>
      </c>
      <c r="ED50" s="15">
        <f t="shared" si="452"/>
        <v>10833333.333333334</v>
      </c>
      <c r="EE50" s="15">
        <f t="shared" si="452"/>
        <v>0</v>
      </c>
      <c r="EF50" s="15">
        <f t="shared" si="452"/>
        <v>0</v>
      </c>
      <c r="EG50" s="15">
        <f t="shared" si="452"/>
        <v>0</v>
      </c>
      <c r="EH50" s="15">
        <f t="shared" si="452"/>
        <v>0</v>
      </c>
      <c r="EI50" s="15">
        <f t="shared" si="453"/>
        <v>0</v>
      </c>
      <c r="EJ50" s="15">
        <f t="shared" si="453"/>
        <v>0</v>
      </c>
      <c r="EK50" s="15">
        <f t="shared" si="453"/>
        <v>0</v>
      </c>
      <c r="EL50" s="15">
        <f t="shared" si="453"/>
        <v>0</v>
      </c>
      <c r="EM50" s="15">
        <f t="shared" si="453"/>
        <v>0</v>
      </c>
      <c r="EN50" s="15">
        <f t="shared" si="453"/>
        <v>0</v>
      </c>
      <c r="EO50" s="15">
        <f t="shared" si="453"/>
        <v>0</v>
      </c>
      <c r="EP50" s="15">
        <f t="shared" si="453"/>
        <v>0</v>
      </c>
      <c r="EQ50" s="15">
        <f t="shared" si="453"/>
        <v>0</v>
      </c>
      <c r="ER50" s="15">
        <f t="shared" si="453"/>
        <v>0</v>
      </c>
      <c r="ES50" s="15">
        <f t="shared" si="453"/>
        <v>0</v>
      </c>
      <c r="ET50" s="15">
        <f t="shared" si="453"/>
        <v>0</v>
      </c>
      <c r="EU50" s="15">
        <f t="shared" si="453"/>
        <v>0</v>
      </c>
      <c r="EV50" s="15">
        <f t="shared" si="453"/>
        <v>0</v>
      </c>
      <c r="EX50" s="15">
        <f t="shared" si="454"/>
        <v>10833333.333333334</v>
      </c>
      <c r="EY50" s="15">
        <f t="shared" si="454"/>
        <v>10833333.333333334</v>
      </c>
      <c r="EZ50" s="15">
        <f t="shared" si="454"/>
        <v>10833333.333333334</v>
      </c>
      <c r="FA50" s="15">
        <f t="shared" si="454"/>
        <v>10833333.333333334</v>
      </c>
      <c r="FB50" s="15">
        <f t="shared" si="454"/>
        <v>10833333.333333334</v>
      </c>
      <c r="FC50" s="15">
        <f t="shared" si="454"/>
        <v>10833333.333333334</v>
      </c>
      <c r="FD50" s="15">
        <f t="shared" si="454"/>
        <v>10833333.333333334</v>
      </c>
      <c r="FE50" s="15">
        <f t="shared" si="454"/>
        <v>10833333.333333334</v>
      </c>
      <c r="FF50" s="15">
        <f t="shared" si="454"/>
        <v>10833333.333333334</v>
      </c>
      <c r="FG50" s="15">
        <f t="shared" si="454"/>
        <v>10833333.333333334</v>
      </c>
      <c r="FH50" s="15">
        <f t="shared" si="454"/>
        <v>10833333.333333334</v>
      </c>
      <c r="FI50" s="15">
        <f t="shared" si="454"/>
        <v>10833333.333333334</v>
      </c>
      <c r="FJ50" s="15">
        <f t="shared" si="454"/>
        <v>0</v>
      </c>
      <c r="FK50" s="15">
        <f t="shared" si="454"/>
        <v>0</v>
      </c>
      <c r="FL50" s="15">
        <f t="shared" si="454"/>
        <v>0</v>
      </c>
      <c r="FM50" s="15">
        <f t="shared" si="454"/>
        <v>0</v>
      </c>
      <c r="FN50" s="15">
        <f t="shared" si="455"/>
        <v>0</v>
      </c>
      <c r="FO50" s="15">
        <f t="shared" si="455"/>
        <v>0</v>
      </c>
      <c r="FP50" s="15">
        <f t="shared" si="455"/>
        <v>0</v>
      </c>
      <c r="FQ50" s="15">
        <f t="shared" si="455"/>
        <v>0</v>
      </c>
      <c r="FR50" s="15">
        <f t="shared" si="455"/>
        <v>0</v>
      </c>
      <c r="FS50" s="15">
        <f t="shared" si="455"/>
        <v>0</v>
      </c>
      <c r="FT50" s="15">
        <f t="shared" si="455"/>
        <v>0</v>
      </c>
      <c r="FU50" s="15">
        <f t="shared" si="455"/>
        <v>0</v>
      </c>
      <c r="FV50" s="15">
        <f t="shared" si="455"/>
        <v>0</v>
      </c>
      <c r="FW50" s="15">
        <f t="shared" si="455"/>
        <v>0</v>
      </c>
      <c r="FX50" s="15">
        <f t="shared" si="455"/>
        <v>0</v>
      </c>
      <c r="FY50" s="15">
        <f t="shared" si="455"/>
        <v>0</v>
      </c>
      <c r="FZ50" s="15">
        <f t="shared" si="455"/>
        <v>0</v>
      </c>
      <c r="GA50" s="15">
        <f t="shared" si="455"/>
        <v>0</v>
      </c>
      <c r="GC50" s="15">
        <f t="shared" si="456"/>
        <v>10833333.333333334</v>
      </c>
      <c r="GD50" s="15">
        <f t="shared" si="456"/>
        <v>10833333.333333334</v>
      </c>
      <c r="GE50" s="15">
        <f t="shared" si="456"/>
        <v>10833333.333333334</v>
      </c>
      <c r="GF50" s="15">
        <f t="shared" si="456"/>
        <v>10833333.333333334</v>
      </c>
      <c r="GG50" s="15">
        <f t="shared" si="456"/>
        <v>10833333.333333334</v>
      </c>
      <c r="GH50" s="15">
        <f t="shared" si="456"/>
        <v>10833333.333333334</v>
      </c>
      <c r="GI50" s="15">
        <f t="shared" si="456"/>
        <v>10833333.333333334</v>
      </c>
      <c r="GJ50" s="15">
        <f t="shared" si="456"/>
        <v>10833333.333333334</v>
      </c>
      <c r="GK50" s="15">
        <f t="shared" si="456"/>
        <v>10833333.333333334</v>
      </c>
      <c r="GL50" s="15">
        <f t="shared" si="456"/>
        <v>10833333.333333334</v>
      </c>
      <c r="GM50" s="15">
        <f t="shared" si="456"/>
        <v>10833333.333333334</v>
      </c>
      <c r="GN50" s="15">
        <f t="shared" si="456"/>
        <v>10833333.333333334</v>
      </c>
      <c r="GO50" s="15">
        <f t="shared" si="456"/>
        <v>0</v>
      </c>
      <c r="GP50" s="15">
        <f t="shared" si="456"/>
        <v>0</v>
      </c>
      <c r="GQ50" s="15">
        <f t="shared" si="456"/>
        <v>0</v>
      </c>
      <c r="GR50" s="15">
        <f t="shared" si="456"/>
        <v>0</v>
      </c>
      <c r="GS50" s="15">
        <f t="shared" si="457"/>
        <v>0</v>
      </c>
      <c r="GT50" s="15">
        <f t="shared" si="457"/>
        <v>0</v>
      </c>
      <c r="GU50" s="15">
        <f t="shared" si="457"/>
        <v>0</v>
      </c>
      <c r="GV50" s="15">
        <f t="shared" si="457"/>
        <v>0</v>
      </c>
      <c r="GW50" s="15">
        <f t="shared" si="457"/>
        <v>0</v>
      </c>
      <c r="GX50" s="15">
        <f t="shared" si="457"/>
        <v>0</v>
      </c>
      <c r="GY50" s="15">
        <f t="shared" si="457"/>
        <v>0</v>
      </c>
      <c r="GZ50" s="15">
        <f t="shared" si="457"/>
        <v>0</v>
      </c>
      <c r="HA50" s="15">
        <f t="shared" si="457"/>
        <v>0</v>
      </c>
      <c r="HB50" s="15">
        <f t="shared" si="457"/>
        <v>0</v>
      </c>
      <c r="HC50" s="15">
        <f t="shared" si="457"/>
        <v>0</v>
      </c>
      <c r="HD50" s="15">
        <f t="shared" si="457"/>
        <v>0</v>
      </c>
      <c r="HE50" s="15">
        <f t="shared" si="457"/>
        <v>0</v>
      </c>
      <c r="HF50" s="15">
        <f t="shared" si="457"/>
        <v>0</v>
      </c>
      <c r="HH50" s="15">
        <f t="shared" si="458"/>
        <v>10833333.333333334</v>
      </c>
      <c r="HI50" s="15">
        <f t="shared" si="458"/>
        <v>10833333.333333334</v>
      </c>
      <c r="HJ50" s="15">
        <f t="shared" si="458"/>
        <v>10833333.333333334</v>
      </c>
      <c r="HK50" s="15">
        <f t="shared" si="458"/>
        <v>10833333.333333334</v>
      </c>
      <c r="HL50" s="15">
        <f t="shared" si="458"/>
        <v>10833333.333333334</v>
      </c>
      <c r="HM50" s="15">
        <f t="shared" si="458"/>
        <v>10833333.333333334</v>
      </c>
      <c r="HN50" s="15">
        <f t="shared" si="458"/>
        <v>10833333.333333334</v>
      </c>
      <c r="HO50" s="15">
        <f t="shared" si="458"/>
        <v>10833333.333333334</v>
      </c>
      <c r="HP50" s="15">
        <f t="shared" si="458"/>
        <v>10833333.333333334</v>
      </c>
      <c r="HQ50" s="15">
        <f t="shared" si="458"/>
        <v>10833333.333333334</v>
      </c>
      <c r="HR50" s="15">
        <f t="shared" si="458"/>
        <v>10833333.333333334</v>
      </c>
      <c r="HS50" s="15">
        <f t="shared" si="458"/>
        <v>10833333.333333334</v>
      </c>
      <c r="HT50" s="15">
        <f t="shared" si="458"/>
        <v>0</v>
      </c>
      <c r="HU50" s="15">
        <f t="shared" si="458"/>
        <v>0</v>
      </c>
      <c r="HV50" s="15">
        <f t="shared" si="458"/>
        <v>0</v>
      </c>
      <c r="HW50" s="15">
        <f t="shared" si="458"/>
        <v>0</v>
      </c>
      <c r="HX50" s="15">
        <f t="shared" si="459"/>
        <v>0</v>
      </c>
      <c r="HY50" s="15">
        <f t="shared" si="459"/>
        <v>0</v>
      </c>
      <c r="HZ50" s="15">
        <f t="shared" si="459"/>
        <v>0</v>
      </c>
      <c r="IA50" s="15">
        <f t="shared" si="459"/>
        <v>0</v>
      </c>
      <c r="IB50" s="15">
        <f t="shared" si="459"/>
        <v>0</v>
      </c>
      <c r="IC50" s="15">
        <f t="shared" si="459"/>
        <v>0</v>
      </c>
      <c r="ID50" s="15">
        <f t="shared" si="459"/>
        <v>0</v>
      </c>
      <c r="IE50" s="15">
        <f t="shared" si="459"/>
        <v>0</v>
      </c>
      <c r="IF50" s="15">
        <f t="shared" si="459"/>
        <v>0</v>
      </c>
      <c r="IG50" s="15">
        <f t="shared" si="459"/>
        <v>0</v>
      </c>
      <c r="IH50" s="15">
        <f t="shared" si="459"/>
        <v>0</v>
      </c>
      <c r="II50" s="15">
        <f t="shared" si="459"/>
        <v>0</v>
      </c>
      <c r="IJ50" s="15">
        <f t="shared" si="459"/>
        <v>0</v>
      </c>
      <c r="IK50" s="15">
        <f t="shared" si="459"/>
        <v>0</v>
      </c>
      <c r="IM50" s="15">
        <f t="shared" si="460"/>
        <v>10833333.333333334</v>
      </c>
      <c r="IN50" s="15">
        <f t="shared" si="460"/>
        <v>10833333.333333334</v>
      </c>
      <c r="IO50" s="15">
        <f t="shared" si="460"/>
        <v>10833333.333333334</v>
      </c>
      <c r="IP50" s="15">
        <f t="shared" si="460"/>
        <v>10833333.333333334</v>
      </c>
      <c r="IQ50" s="15">
        <f t="shared" si="460"/>
        <v>10833333.333333334</v>
      </c>
      <c r="IR50" s="15">
        <f t="shared" si="460"/>
        <v>10833333.333333334</v>
      </c>
      <c r="IS50" s="15">
        <f t="shared" si="460"/>
        <v>10833333.333333334</v>
      </c>
      <c r="IT50" s="15">
        <f t="shared" si="460"/>
        <v>10833333.333333334</v>
      </c>
      <c r="IU50" s="15">
        <f t="shared" si="460"/>
        <v>10833333.333333334</v>
      </c>
      <c r="IV50" s="15">
        <f t="shared" si="460"/>
        <v>10833333.333333334</v>
      </c>
      <c r="IW50" s="15">
        <f t="shared" si="460"/>
        <v>10833333.333333334</v>
      </c>
      <c r="IX50" s="15">
        <f t="shared" si="460"/>
        <v>10833333.333333334</v>
      </c>
      <c r="IY50" s="15">
        <f t="shared" si="460"/>
        <v>0</v>
      </c>
      <c r="IZ50" s="15">
        <f t="shared" si="460"/>
        <v>0</v>
      </c>
      <c r="JA50" s="15">
        <f t="shared" si="460"/>
        <v>0</v>
      </c>
      <c r="JB50" s="15">
        <f t="shared" si="460"/>
        <v>0</v>
      </c>
      <c r="JC50" s="15">
        <f t="shared" si="461"/>
        <v>0</v>
      </c>
      <c r="JD50" s="15">
        <f t="shared" si="461"/>
        <v>0</v>
      </c>
      <c r="JE50" s="15">
        <f t="shared" si="461"/>
        <v>0</v>
      </c>
      <c r="JF50" s="15">
        <f t="shared" si="461"/>
        <v>0</v>
      </c>
      <c r="JG50" s="15">
        <f t="shared" si="461"/>
        <v>0</v>
      </c>
      <c r="JH50" s="15">
        <f t="shared" si="461"/>
        <v>0</v>
      </c>
      <c r="JI50" s="15">
        <f t="shared" si="461"/>
        <v>0</v>
      </c>
      <c r="JJ50" s="15">
        <f t="shared" si="461"/>
        <v>0</v>
      </c>
      <c r="JK50" s="15">
        <f t="shared" si="461"/>
        <v>0</v>
      </c>
      <c r="JL50" s="15">
        <f t="shared" si="461"/>
        <v>0</v>
      </c>
      <c r="JM50" s="15">
        <f t="shared" si="461"/>
        <v>0</v>
      </c>
      <c r="JN50" s="15">
        <f t="shared" si="461"/>
        <v>0</v>
      </c>
      <c r="JO50" s="15">
        <f t="shared" si="461"/>
        <v>0</v>
      </c>
      <c r="JP50" s="15">
        <f t="shared" si="461"/>
        <v>0</v>
      </c>
      <c r="JR50" s="15">
        <f t="shared" si="462"/>
        <v>10833333.333333334</v>
      </c>
      <c r="JS50" s="15">
        <f t="shared" si="462"/>
        <v>10833333.333333334</v>
      </c>
      <c r="JT50" s="15">
        <f t="shared" si="462"/>
        <v>10833333.333333334</v>
      </c>
      <c r="JU50" s="15">
        <f t="shared" si="462"/>
        <v>10833333.333333334</v>
      </c>
      <c r="JV50" s="15">
        <f t="shared" si="462"/>
        <v>10833333.333333334</v>
      </c>
      <c r="JW50" s="15">
        <f t="shared" si="462"/>
        <v>10833333.333333334</v>
      </c>
      <c r="JX50" s="15">
        <f t="shared" si="462"/>
        <v>10833333.333333334</v>
      </c>
      <c r="JY50" s="15">
        <f t="shared" si="462"/>
        <v>10833333.333333334</v>
      </c>
      <c r="JZ50" s="15">
        <f t="shared" si="462"/>
        <v>10833333.333333334</v>
      </c>
      <c r="KA50" s="15">
        <f t="shared" si="462"/>
        <v>10833333.333333334</v>
      </c>
      <c r="KB50" s="15">
        <f t="shared" si="462"/>
        <v>10833333.333333334</v>
      </c>
      <c r="KC50" s="15">
        <f t="shared" si="462"/>
        <v>10833333.333333334</v>
      </c>
      <c r="KD50" s="15">
        <f t="shared" si="462"/>
        <v>0</v>
      </c>
      <c r="KE50" s="15">
        <f t="shared" si="462"/>
        <v>0</v>
      </c>
      <c r="KF50" s="15">
        <f t="shared" si="462"/>
        <v>0</v>
      </c>
      <c r="KG50" s="15">
        <f t="shared" si="462"/>
        <v>0</v>
      </c>
      <c r="KH50" s="15">
        <f t="shared" si="463"/>
        <v>0</v>
      </c>
      <c r="KI50" s="15">
        <f t="shared" si="463"/>
        <v>0</v>
      </c>
      <c r="KJ50" s="15">
        <f t="shared" si="463"/>
        <v>0</v>
      </c>
      <c r="KK50" s="15">
        <f t="shared" si="463"/>
        <v>0</v>
      </c>
      <c r="KL50" s="15">
        <f t="shared" si="463"/>
        <v>0</v>
      </c>
      <c r="KM50" s="15">
        <f t="shared" si="463"/>
        <v>0</v>
      </c>
      <c r="KN50" s="15">
        <f t="shared" si="463"/>
        <v>0</v>
      </c>
      <c r="KO50" s="15">
        <f t="shared" si="463"/>
        <v>0</v>
      </c>
      <c r="KP50" s="15">
        <f t="shared" si="463"/>
        <v>0</v>
      </c>
      <c r="KQ50" s="15">
        <f t="shared" si="463"/>
        <v>0</v>
      </c>
      <c r="KR50" s="15">
        <f t="shared" si="463"/>
        <v>0</v>
      </c>
      <c r="KS50" s="15">
        <f t="shared" si="463"/>
        <v>0</v>
      </c>
      <c r="KT50" s="15">
        <f t="shared" si="463"/>
        <v>0</v>
      </c>
      <c r="KU50" s="15">
        <f t="shared" si="463"/>
        <v>0</v>
      </c>
      <c r="KW50" s="15">
        <f t="shared" si="464"/>
        <v>10833333.333333334</v>
      </c>
      <c r="KX50" s="15">
        <f t="shared" si="464"/>
        <v>10833333.333333334</v>
      </c>
      <c r="KY50" s="15">
        <f t="shared" si="464"/>
        <v>10833333.333333334</v>
      </c>
      <c r="KZ50" s="15">
        <f t="shared" si="464"/>
        <v>10833333.333333334</v>
      </c>
      <c r="LA50" s="15">
        <f t="shared" si="464"/>
        <v>10833333.333333334</v>
      </c>
      <c r="LB50" s="15">
        <f t="shared" si="464"/>
        <v>10833333.333333334</v>
      </c>
      <c r="LC50" s="15">
        <f t="shared" si="464"/>
        <v>10833333.333333334</v>
      </c>
      <c r="LD50" s="15">
        <f t="shared" si="464"/>
        <v>10833333.333333334</v>
      </c>
      <c r="LE50" s="15">
        <f t="shared" si="464"/>
        <v>10833333.333333334</v>
      </c>
      <c r="LF50" s="15">
        <f t="shared" si="464"/>
        <v>10833333.333333334</v>
      </c>
      <c r="LG50" s="15">
        <f t="shared" si="464"/>
        <v>10833333.333333334</v>
      </c>
      <c r="LH50" s="15">
        <f t="shared" si="464"/>
        <v>10833333.333333334</v>
      </c>
      <c r="LI50" s="15">
        <f t="shared" si="464"/>
        <v>0</v>
      </c>
      <c r="LJ50" s="15">
        <f t="shared" si="464"/>
        <v>0</v>
      </c>
      <c r="LK50" s="15">
        <f t="shared" si="464"/>
        <v>0</v>
      </c>
      <c r="LL50" s="15">
        <f t="shared" si="464"/>
        <v>0</v>
      </c>
      <c r="LM50" s="15">
        <f t="shared" si="465"/>
        <v>0</v>
      </c>
      <c r="LN50" s="15">
        <f t="shared" si="465"/>
        <v>0</v>
      </c>
      <c r="LO50" s="15">
        <f t="shared" si="465"/>
        <v>0</v>
      </c>
      <c r="LP50" s="15">
        <f t="shared" si="465"/>
        <v>0</v>
      </c>
      <c r="LQ50" s="15">
        <f t="shared" si="465"/>
        <v>0</v>
      </c>
      <c r="LR50" s="15">
        <f t="shared" si="465"/>
        <v>0</v>
      </c>
      <c r="LS50" s="15">
        <f t="shared" si="465"/>
        <v>0</v>
      </c>
      <c r="LT50" s="15">
        <f t="shared" si="465"/>
        <v>0</v>
      </c>
      <c r="LU50" s="15">
        <f t="shared" si="465"/>
        <v>0</v>
      </c>
      <c r="LV50" s="15">
        <f t="shared" si="465"/>
        <v>0</v>
      </c>
      <c r="LW50" s="15">
        <f t="shared" si="465"/>
        <v>0</v>
      </c>
      <c r="LX50" s="15">
        <f t="shared" si="465"/>
        <v>0</v>
      </c>
      <c r="LY50" s="15">
        <f t="shared" si="465"/>
        <v>0</v>
      </c>
      <c r="LZ50" s="15">
        <f t="shared" si="465"/>
        <v>0</v>
      </c>
      <c r="MB50" s="15">
        <f t="shared" si="466"/>
        <v>10833333.333333334</v>
      </c>
      <c r="MC50" s="15">
        <f t="shared" si="466"/>
        <v>10833333.333333334</v>
      </c>
      <c r="MD50" s="15">
        <f t="shared" si="466"/>
        <v>10833333.333333334</v>
      </c>
      <c r="ME50" s="15">
        <f t="shared" si="466"/>
        <v>10833333.333333334</v>
      </c>
      <c r="MF50" s="15">
        <f t="shared" si="466"/>
        <v>10833333.333333334</v>
      </c>
      <c r="MG50" s="15">
        <f t="shared" si="466"/>
        <v>10833333.333333334</v>
      </c>
      <c r="MH50" s="15">
        <f t="shared" si="466"/>
        <v>10833333.333333334</v>
      </c>
      <c r="MI50" s="15">
        <f t="shared" si="466"/>
        <v>10833333.333333334</v>
      </c>
      <c r="MJ50" s="15">
        <f t="shared" si="466"/>
        <v>10833333.333333334</v>
      </c>
      <c r="MK50" s="15">
        <f t="shared" si="466"/>
        <v>10833333.333333334</v>
      </c>
      <c r="ML50" s="15">
        <f t="shared" si="466"/>
        <v>10833333.333333334</v>
      </c>
      <c r="MM50" s="15">
        <f t="shared" si="466"/>
        <v>10833333.333333334</v>
      </c>
      <c r="MN50" s="15">
        <f t="shared" si="466"/>
        <v>0</v>
      </c>
      <c r="MO50" s="15">
        <f t="shared" si="466"/>
        <v>0</v>
      </c>
      <c r="MP50" s="15">
        <f t="shared" si="466"/>
        <v>0</v>
      </c>
      <c r="MQ50" s="15">
        <f t="shared" si="466"/>
        <v>0</v>
      </c>
      <c r="MR50" s="15">
        <f t="shared" si="467"/>
        <v>0</v>
      </c>
      <c r="MS50" s="15">
        <f t="shared" si="467"/>
        <v>0</v>
      </c>
      <c r="MT50" s="15">
        <f t="shared" si="467"/>
        <v>0</v>
      </c>
      <c r="MU50" s="15">
        <f t="shared" si="467"/>
        <v>0</v>
      </c>
      <c r="MV50" s="15">
        <f t="shared" si="467"/>
        <v>0</v>
      </c>
      <c r="MW50" s="15">
        <f t="shared" si="467"/>
        <v>0</v>
      </c>
      <c r="MX50" s="15">
        <f t="shared" si="467"/>
        <v>0</v>
      </c>
      <c r="MY50" s="15">
        <f t="shared" si="467"/>
        <v>0</v>
      </c>
      <c r="MZ50" s="15">
        <f t="shared" si="467"/>
        <v>0</v>
      </c>
      <c r="NA50" s="15">
        <f t="shared" si="467"/>
        <v>0</v>
      </c>
      <c r="NB50" s="15">
        <f t="shared" si="467"/>
        <v>0</v>
      </c>
      <c r="NC50" s="15">
        <f t="shared" si="467"/>
        <v>0</v>
      </c>
      <c r="ND50" s="15">
        <f t="shared" si="467"/>
        <v>0</v>
      </c>
      <c r="NE50" s="15">
        <f t="shared" si="467"/>
        <v>0</v>
      </c>
    </row>
    <row r="51" spans="1:369" outlineLevel="1" x14ac:dyDescent="0.25">
      <c r="B51" t="s">
        <v>345</v>
      </c>
      <c r="C51" s="623" t="s">
        <v>254</v>
      </c>
      <c r="D51" s="613" t="s">
        <v>235</v>
      </c>
      <c r="E51" s="468">
        <v>1</v>
      </c>
      <c r="F51" s="221"/>
      <c r="G51" s="457">
        <v>12</v>
      </c>
      <c r="H51" s="468">
        <f t="shared" si="468"/>
        <v>130000000</v>
      </c>
      <c r="I51" s="457">
        <f t="shared" si="419"/>
        <v>130000000</v>
      </c>
      <c r="J51" s="457">
        <f t="shared" si="420"/>
        <v>10833333.333333334</v>
      </c>
      <c r="K51" s="221"/>
      <c r="L51" s="457">
        <v>12</v>
      </c>
      <c r="M51" s="457">
        <f t="shared" si="421"/>
        <v>130000000</v>
      </c>
      <c r="N51" s="457">
        <f t="shared" si="422"/>
        <v>130000000</v>
      </c>
      <c r="O51" s="457">
        <f t="shared" si="423"/>
        <v>10833333.333333334</v>
      </c>
      <c r="P51" s="221"/>
      <c r="Q51" s="457">
        <v>12</v>
      </c>
      <c r="R51" s="457">
        <f t="shared" si="424"/>
        <v>130000000</v>
      </c>
      <c r="S51" s="457">
        <f t="shared" si="425"/>
        <v>130000000</v>
      </c>
      <c r="T51" s="457">
        <f t="shared" si="426"/>
        <v>10833333.333333334</v>
      </c>
      <c r="U51" s="221"/>
      <c r="V51" s="457">
        <v>12</v>
      </c>
      <c r="W51" s="457">
        <f t="shared" si="427"/>
        <v>130000000</v>
      </c>
      <c r="X51" s="457">
        <f t="shared" si="428"/>
        <v>130000000</v>
      </c>
      <c r="Y51" s="457">
        <f t="shared" si="429"/>
        <v>10833333.333333334</v>
      </c>
      <c r="Z51" s="221"/>
      <c r="AA51" s="457">
        <v>12</v>
      </c>
      <c r="AB51" s="457">
        <f t="shared" si="430"/>
        <v>130000000</v>
      </c>
      <c r="AC51" s="457">
        <f t="shared" si="431"/>
        <v>130000000</v>
      </c>
      <c r="AD51" s="457">
        <f t="shared" si="432"/>
        <v>10833333.333333334</v>
      </c>
      <c r="AE51" s="221"/>
      <c r="AF51" s="457">
        <v>12</v>
      </c>
      <c r="AG51" s="457">
        <f t="shared" si="433"/>
        <v>130000000</v>
      </c>
      <c r="AH51" s="457">
        <f t="shared" si="434"/>
        <v>130000000</v>
      </c>
      <c r="AI51" s="457">
        <f t="shared" si="435"/>
        <v>10833333.333333334</v>
      </c>
      <c r="AJ51" s="221"/>
      <c r="AK51" s="457">
        <v>12</v>
      </c>
      <c r="AL51" s="457">
        <f t="shared" si="436"/>
        <v>130000000</v>
      </c>
      <c r="AM51" s="457">
        <f t="shared" si="437"/>
        <v>130000000</v>
      </c>
      <c r="AN51" s="457">
        <f t="shared" si="438"/>
        <v>10833333.333333334</v>
      </c>
      <c r="AO51" s="221"/>
      <c r="AP51" s="457">
        <v>12</v>
      </c>
      <c r="AQ51" s="457">
        <f t="shared" si="439"/>
        <v>130000000</v>
      </c>
      <c r="AR51" s="457">
        <f t="shared" si="440"/>
        <v>130000000</v>
      </c>
      <c r="AS51" s="457">
        <f t="shared" si="441"/>
        <v>10833333.333333334</v>
      </c>
      <c r="AT51" s="221"/>
      <c r="AU51" s="457">
        <v>12</v>
      </c>
      <c r="AV51" s="457">
        <f t="shared" si="442"/>
        <v>130000000</v>
      </c>
      <c r="AW51" s="457">
        <f t="shared" si="443"/>
        <v>130000000</v>
      </c>
      <c r="AX51" s="457">
        <f t="shared" si="444"/>
        <v>10833333.333333334</v>
      </c>
      <c r="AY51" s="221"/>
      <c r="AZ51" s="457">
        <v>12</v>
      </c>
      <c r="BA51" s="457">
        <f t="shared" si="445"/>
        <v>130000000</v>
      </c>
      <c r="BB51" s="457">
        <f t="shared" si="446"/>
        <v>130000000</v>
      </c>
      <c r="BC51" s="457">
        <f t="shared" si="447"/>
        <v>10833333.333333334</v>
      </c>
      <c r="BD51" s="221"/>
      <c r="BG51" t="s">
        <v>337</v>
      </c>
      <c r="BI51" s="15">
        <f t="shared" si="448"/>
        <v>10833333.333333334</v>
      </c>
      <c r="BJ51" s="15">
        <f t="shared" si="448"/>
        <v>10833333.333333334</v>
      </c>
      <c r="BK51" s="15">
        <f t="shared" si="448"/>
        <v>10833333.333333334</v>
      </c>
      <c r="BL51" s="15">
        <f t="shared" si="448"/>
        <v>10833333.333333334</v>
      </c>
      <c r="BM51" s="15">
        <f t="shared" si="448"/>
        <v>10833333.333333334</v>
      </c>
      <c r="BN51" s="15">
        <f t="shared" si="448"/>
        <v>10833333.333333334</v>
      </c>
      <c r="BO51" s="15">
        <f t="shared" si="448"/>
        <v>10833333.333333334</v>
      </c>
      <c r="BP51" s="15">
        <f t="shared" si="448"/>
        <v>10833333.333333334</v>
      </c>
      <c r="BQ51" s="15">
        <f t="shared" si="448"/>
        <v>10833333.333333334</v>
      </c>
      <c r="BR51" s="15">
        <f t="shared" si="448"/>
        <v>10833333.333333334</v>
      </c>
      <c r="BS51" s="15">
        <f t="shared" si="448"/>
        <v>10833333.333333334</v>
      </c>
      <c r="BT51" s="15">
        <f t="shared" si="448"/>
        <v>10833333.333333334</v>
      </c>
      <c r="BU51" s="15">
        <f t="shared" si="448"/>
        <v>0</v>
      </c>
      <c r="BV51" s="15">
        <f t="shared" si="448"/>
        <v>0</v>
      </c>
      <c r="BW51" s="15">
        <f t="shared" si="448"/>
        <v>0</v>
      </c>
      <c r="BX51" s="15">
        <f t="shared" si="448"/>
        <v>0</v>
      </c>
      <c r="BY51" s="15">
        <f t="shared" si="449"/>
        <v>0</v>
      </c>
      <c r="BZ51" s="15">
        <f t="shared" si="449"/>
        <v>0</v>
      </c>
      <c r="CA51" s="15">
        <f t="shared" si="449"/>
        <v>0</v>
      </c>
      <c r="CB51" s="15">
        <f t="shared" si="449"/>
        <v>0</v>
      </c>
      <c r="CC51" s="15">
        <f t="shared" si="449"/>
        <v>0</v>
      </c>
      <c r="CD51" s="15">
        <f t="shared" si="449"/>
        <v>0</v>
      </c>
      <c r="CE51" s="15">
        <f t="shared" si="449"/>
        <v>0</v>
      </c>
      <c r="CF51" s="15">
        <f t="shared" si="449"/>
        <v>0</v>
      </c>
      <c r="CG51" s="15">
        <f t="shared" si="449"/>
        <v>0</v>
      </c>
      <c r="CH51" s="15">
        <f t="shared" si="449"/>
        <v>0</v>
      </c>
      <c r="CI51" s="15">
        <f t="shared" si="449"/>
        <v>0</v>
      </c>
      <c r="CJ51" s="15">
        <f t="shared" si="449"/>
        <v>0</v>
      </c>
      <c r="CK51" s="15">
        <f t="shared" si="449"/>
        <v>0</v>
      </c>
      <c r="CL51" s="15">
        <f t="shared" si="449"/>
        <v>0</v>
      </c>
      <c r="CN51" s="15">
        <f t="shared" si="450"/>
        <v>10833333.333333334</v>
      </c>
      <c r="CO51" s="15">
        <f t="shared" si="450"/>
        <v>10833333.333333334</v>
      </c>
      <c r="CP51" s="15">
        <f t="shared" si="450"/>
        <v>10833333.333333334</v>
      </c>
      <c r="CQ51" s="15">
        <f t="shared" si="450"/>
        <v>10833333.333333334</v>
      </c>
      <c r="CR51" s="15">
        <f t="shared" si="450"/>
        <v>10833333.333333334</v>
      </c>
      <c r="CS51" s="15">
        <f t="shared" si="450"/>
        <v>10833333.333333334</v>
      </c>
      <c r="CT51" s="15">
        <f t="shared" si="450"/>
        <v>10833333.333333334</v>
      </c>
      <c r="CU51" s="15">
        <f t="shared" si="450"/>
        <v>10833333.333333334</v>
      </c>
      <c r="CV51" s="15">
        <f t="shared" si="450"/>
        <v>10833333.333333334</v>
      </c>
      <c r="CW51" s="15">
        <f t="shared" si="450"/>
        <v>10833333.333333334</v>
      </c>
      <c r="CX51" s="15">
        <f t="shared" si="450"/>
        <v>10833333.333333334</v>
      </c>
      <c r="CY51" s="15">
        <f t="shared" si="450"/>
        <v>10833333.333333334</v>
      </c>
      <c r="CZ51" s="15">
        <f t="shared" si="450"/>
        <v>0</v>
      </c>
      <c r="DA51" s="15">
        <f t="shared" si="450"/>
        <v>0</v>
      </c>
      <c r="DB51" s="15">
        <f t="shared" si="450"/>
        <v>0</v>
      </c>
      <c r="DC51" s="15">
        <f t="shared" si="450"/>
        <v>0</v>
      </c>
      <c r="DD51" s="15">
        <f t="shared" si="451"/>
        <v>0</v>
      </c>
      <c r="DE51" s="15">
        <f t="shared" si="451"/>
        <v>0</v>
      </c>
      <c r="DF51" s="15">
        <f t="shared" si="451"/>
        <v>0</v>
      </c>
      <c r="DG51" s="15">
        <f t="shared" si="451"/>
        <v>0</v>
      </c>
      <c r="DH51" s="15">
        <f t="shared" si="451"/>
        <v>0</v>
      </c>
      <c r="DI51" s="15">
        <f t="shared" si="451"/>
        <v>0</v>
      </c>
      <c r="DJ51" s="15">
        <f t="shared" si="451"/>
        <v>0</v>
      </c>
      <c r="DK51" s="15">
        <f t="shared" si="451"/>
        <v>0</v>
      </c>
      <c r="DL51" s="15">
        <f t="shared" si="451"/>
        <v>0</v>
      </c>
      <c r="DM51" s="15">
        <f t="shared" si="451"/>
        <v>0</v>
      </c>
      <c r="DN51" s="15">
        <f t="shared" si="451"/>
        <v>0</v>
      </c>
      <c r="DO51" s="15">
        <f t="shared" si="451"/>
        <v>0</v>
      </c>
      <c r="DP51" s="15">
        <f t="shared" si="451"/>
        <v>0</v>
      </c>
      <c r="DQ51" s="15">
        <f t="shared" si="451"/>
        <v>0</v>
      </c>
      <c r="DS51" s="15">
        <f t="shared" si="452"/>
        <v>10833333.333333334</v>
      </c>
      <c r="DT51" s="15">
        <f t="shared" si="452"/>
        <v>10833333.333333334</v>
      </c>
      <c r="DU51" s="15">
        <f t="shared" si="452"/>
        <v>10833333.333333334</v>
      </c>
      <c r="DV51" s="15">
        <f t="shared" si="452"/>
        <v>10833333.333333334</v>
      </c>
      <c r="DW51" s="15">
        <f t="shared" si="452"/>
        <v>10833333.333333334</v>
      </c>
      <c r="DX51" s="15">
        <f t="shared" si="452"/>
        <v>10833333.333333334</v>
      </c>
      <c r="DY51" s="15">
        <f t="shared" si="452"/>
        <v>10833333.333333334</v>
      </c>
      <c r="DZ51" s="15">
        <f t="shared" si="452"/>
        <v>10833333.333333334</v>
      </c>
      <c r="EA51" s="15">
        <f t="shared" si="452"/>
        <v>10833333.333333334</v>
      </c>
      <c r="EB51" s="15">
        <f t="shared" si="452"/>
        <v>10833333.333333334</v>
      </c>
      <c r="EC51" s="15">
        <f t="shared" si="452"/>
        <v>10833333.333333334</v>
      </c>
      <c r="ED51" s="15">
        <f t="shared" si="452"/>
        <v>10833333.333333334</v>
      </c>
      <c r="EE51" s="15">
        <f t="shared" si="452"/>
        <v>0</v>
      </c>
      <c r="EF51" s="15">
        <f t="shared" si="452"/>
        <v>0</v>
      </c>
      <c r="EG51" s="15">
        <f t="shared" si="452"/>
        <v>0</v>
      </c>
      <c r="EH51" s="15">
        <f t="shared" si="452"/>
        <v>0</v>
      </c>
      <c r="EI51" s="15">
        <f t="shared" si="453"/>
        <v>0</v>
      </c>
      <c r="EJ51" s="15">
        <f t="shared" si="453"/>
        <v>0</v>
      </c>
      <c r="EK51" s="15">
        <f t="shared" si="453"/>
        <v>0</v>
      </c>
      <c r="EL51" s="15">
        <f t="shared" si="453"/>
        <v>0</v>
      </c>
      <c r="EM51" s="15">
        <f t="shared" si="453"/>
        <v>0</v>
      </c>
      <c r="EN51" s="15">
        <f t="shared" si="453"/>
        <v>0</v>
      </c>
      <c r="EO51" s="15">
        <f t="shared" si="453"/>
        <v>0</v>
      </c>
      <c r="EP51" s="15">
        <f t="shared" si="453"/>
        <v>0</v>
      </c>
      <c r="EQ51" s="15">
        <f t="shared" si="453"/>
        <v>0</v>
      </c>
      <c r="ER51" s="15">
        <f t="shared" si="453"/>
        <v>0</v>
      </c>
      <c r="ES51" s="15">
        <f t="shared" si="453"/>
        <v>0</v>
      </c>
      <c r="ET51" s="15">
        <f t="shared" si="453"/>
        <v>0</v>
      </c>
      <c r="EU51" s="15">
        <f t="shared" si="453"/>
        <v>0</v>
      </c>
      <c r="EV51" s="15">
        <f t="shared" si="453"/>
        <v>0</v>
      </c>
      <c r="EX51" s="15">
        <f t="shared" si="454"/>
        <v>10833333.333333334</v>
      </c>
      <c r="EY51" s="15">
        <f t="shared" si="454"/>
        <v>10833333.333333334</v>
      </c>
      <c r="EZ51" s="15">
        <f t="shared" si="454"/>
        <v>10833333.333333334</v>
      </c>
      <c r="FA51" s="15">
        <f t="shared" si="454"/>
        <v>10833333.333333334</v>
      </c>
      <c r="FB51" s="15">
        <f t="shared" si="454"/>
        <v>10833333.333333334</v>
      </c>
      <c r="FC51" s="15">
        <f t="shared" si="454"/>
        <v>10833333.333333334</v>
      </c>
      <c r="FD51" s="15">
        <f t="shared" si="454"/>
        <v>10833333.333333334</v>
      </c>
      <c r="FE51" s="15">
        <f t="shared" si="454"/>
        <v>10833333.333333334</v>
      </c>
      <c r="FF51" s="15">
        <f t="shared" si="454"/>
        <v>10833333.333333334</v>
      </c>
      <c r="FG51" s="15">
        <f t="shared" si="454"/>
        <v>10833333.333333334</v>
      </c>
      <c r="FH51" s="15">
        <f t="shared" si="454"/>
        <v>10833333.333333334</v>
      </c>
      <c r="FI51" s="15">
        <f t="shared" si="454"/>
        <v>10833333.333333334</v>
      </c>
      <c r="FJ51" s="15">
        <f t="shared" si="454"/>
        <v>0</v>
      </c>
      <c r="FK51" s="15">
        <f t="shared" si="454"/>
        <v>0</v>
      </c>
      <c r="FL51" s="15">
        <f t="shared" si="454"/>
        <v>0</v>
      </c>
      <c r="FM51" s="15">
        <f t="shared" si="454"/>
        <v>0</v>
      </c>
      <c r="FN51" s="15">
        <f t="shared" si="455"/>
        <v>0</v>
      </c>
      <c r="FO51" s="15">
        <f t="shared" si="455"/>
        <v>0</v>
      </c>
      <c r="FP51" s="15">
        <f t="shared" si="455"/>
        <v>0</v>
      </c>
      <c r="FQ51" s="15">
        <f t="shared" si="455"/>
        <v>0</v>
      </c>
      <c r="FR51" s="15">
        <f t="shared" si="455"/>
        <v>0</v>
      </c>
      <c r="FS51" s="15">
        <f t="shared" si="455"/>
        <v>0</v>
      </c>
      <c r="FT51" s="15">
        <f t="shared" si="455"/>
        <v>0</v>
      </c>
      <c r="FU51" s="15">
        <f t="shared" si="455"/>
        <v>0</v>
      </c>
      <c r="FV51" s="15">
        <f t="shared" si="455"/>
        <v>0</v>
      </c>
      <c r="FW51" s="15">
        <f t="shared" si="455"/>
        <v>0</v>
      </c>
      <c r="FX51" s="15">
        <f t="shared" si="455"/>
        <v>0</v>
      </c>
      <c r="FY51" s="15">
        <f t="shared" si="455"/>
        <v>0</v>
      </c>
      <c r="FZ51" s="15">
        <f t="shared" si="455"/>
        <v>0</v>
      </c>
      <c r="GA51" s="15">
        <f t="shared" si="455"/>
        <v>0</v>
      </c>
      <c r="GC51" s="15">
        <f t="shared" si="456"/>
        <v>10833333.333333334</v>
      </c>
      <c r="GD51" s="15">
        <f t="shared" si="456"/>
        <v>10833333.333333334</v>
      </c>
      <c r="GE51" s="15">
        <f t="shared" si="456"/>
        <v>10833333.333333334</v>
      </c>
      <c r="GF51" s="15">
        <f t="shared" si="456"/>
        <v>10833333.333333334</v>
      </c>
      <c r="GG51" s="15">
        <f t="shared" si="456"/>
        <v>10833333.333333334</v>
      </c>
      <c r="GH51" s="15">
        <f t="shared" si="456"/>
        <v>10833333.333333334</v>
      </c>
      <c r="GI51" s="15">
        <f t="shared" si="456"/>
        <v>10833333.333333334</v>
      </c>
      <c r="GJ51" s="15">
        <f t="shared" si="456"/>
        <v>10833333.333333334</v>
      </c>
      <c r="GK51" s="15">
        <f t="shared" si="456"/>
        <v>10833333.333333334</v>
      </c>
      <c r="GL51" s="15">
        <f t="shared" si="456"/>
        <v>10833333.333333334</v>
      </c>
      <c r="GM51" s="15">
        <f t="shared" si="456"/>
        <v>10833333.333333334</v>
      </c>
      <c r="GN51" s="15">
        <f t="shared" si="456"/>
        <v>10833333.333333334</v>
      </c>
      <c r="GO51" s="15">
        <f t="shared" si="456"/>
        <v>0</v>
      </c>
      <c r="GP51" s="15">
        <f t="shared" si="456"/>
        <v>0</v>
      </c>
      <c r="GQ51" s="15">
        <f t="shared" si="456"/>
        <v>0</v>
      </c>
      <c r="GR51" s="15">
        <f t="shared" si="456"/>
        <v>0</v>
      </c>
      <c r="GS51" s="15">
        <f t="shared" si="457"/>
        <v>0</v>
      </c>
      <c r="GT51" s="15">
        <f t="shared" si="457"/>
        <v>0</v>
      </c>
      <c r="GU51" s="15">
        <f t="shared" si="457"/>
        <v>0</v>
      </c>
      <c r="GV51" s="15">
        <f t="shared" si="457"/>
        <v>0</v>
      </c>
      <c r="GW51" s="15">
        <f t="shared" si="457"/>
        <v>0</v>
      </c>
      <c r="GX51" s="15">
        <f t="shared" si="457"/>
        <v>0</v>
      </c>
      <c r="GY51" s="15">
        <f t="shared" si="457"/>
        <v>0</v>
      </c>
      <c r="GZ51" s="15">
        <f t="shared" si="457"/>
        <v>0</v>
      </c>
      <c r="HA51" s="15">
        <f t="shared" si="457"/>
        <v>0</v>
      </c>
      <c r="HB51" s="15">
        <f t="shared" si="457"/>
        <v>0</v>
      </c>
      <c r="HC51" s="15">
        <f t="shared" si="457"/>
        <v>0</v>
      </c>
      <c r="HD51" s="15">
        <f t="shared" si="457"/>
        <v>0</v>
      </c>
      <c r="HE51" s="15">
        <f t="shared" si="457"/>
        <v>0</v>
      </c>
      <c r="HF51" s="15">
        <f t="shared" si="457"/>
        <v>0</v>
      </c>
      <c r="HH51" s="15">
        <f t="shared" si="458"/>
        <v>10833333.333333334</v>
      </c>
      <c r="HI51" s="15">
        <f t="shared" si="458"/>
        <v>10833333.333333334</v>
      </c>
      <c r="HJ51" s="15">
        <f t="shared" si="458"/>
        <v>10833333.333333334</v>
      </c>
      <c r="HK51" s="15">
        <f t="shared" si="458"/>
        <v>10833333.333333334</v>
      </c>
      <c r="HL51" s="15">
        <f t="shared" si="458"/>
        <v>10833333.333333334</v>
      </c>
      <c r="HM51" s="15">
        <f t="shared" si="458"/>
        <v>10833333.333333334</v>
      </c>
      <c r="HN51" s="15">
        <f t="shared" si="458"/>
        <v>10833333.333333334</v>
      </c>
      <c r="HO51" s="15">
        <f t="shared" si="458"/>
        <v>10833333.333333334</v>
      </c>
      <c r="HP51" s="15">
        <f t="shared" si="458"/>
        <v>10833333.333333334</v>
      </c>
      <c r="HQ51" s="15">
        <f t="shared" si="458"/>
        <v>10833333.333333334</v>
      </c>
      <c r="HR51" s="15">
        <f t="shared" si="458"/>
        <v>10833333.333333334</v>
      </c>
      <c r="HS51" s="15">
        <f t="shared" si="458"/>
        <v>10833333.333333334</v>
      </c>
      <c r="HT51" s="15">
        <f t="shared" si="458"/>
        <v>0</v>
      </c>
      <c r="HU51" s="15">
        <f t="shared" si="458"/>
        <v>0</v>
      </c>
      <c r="HV51" s="15">
        <f t="shared" si="458"/>
        <v>0</v>
      </c>
      <c r="HW51" s="15">
        <f t="shared" si="458"/>
        <v>0</v>
      </c>
      <c r="HX51" s="15">
        <f t="shared" si="459"/>
        <v>0</v>
      </c>
      <c r="HY51" s="15">
        <f t="shared" si="459"/>
        <v>0</v>
      </c>
      <c r="HZ51" s="15">
        <f t="shared" si="459"/>
        <v>0</v>
      </c>
      <c r="IA51" s="15">
        <f t="shared" si="459"/>
        <v>0</v>
      </c>
      <c r="IB51" s="15">
        <f t="shared" si="459"/>
        <v>0</v>
      </c>
      <c r="IC51" s="15">
        <f t="shared" si="459"/>
        <v>0</v>
      </c>
      <c r="ID51" s="15">
        <f t="shared" si="459"/>
        <v>0</v>
      </c>
      <c r="IE51" s="15">
        <f t="shared" si="459"/>
        <v>0</v>
      </c>
      <c r="IF51" s="15">
        <f t="shared" si="459"/>
        <v>0</v>
      </c>
      <c r="IG51" s="15">
        <f t="shared" si="459"/>
        <v>0</v>
      </c>
      <c r="IH51" s="15">
        <f t="shared" si="459"/>
        <v>0</v>
      </c>
      <c r="II51" s="15">
        <f t="shared" si="459"/>
        <v>0</v>
      </c>
      <c r="IJ51" s="15">
        <f t="shared" si="459"/>
        <v>0</v>
      </c>
      <c r="IK51" s="15">
        <f t="shared" si="459"/>
        <v>0</v>
      </c>
      <c r="IM51" s="15">
        <f t="shared" si="460"/>
        <v>10833333.333333334</v>
      </c>
      <c r="IN51" s="15">
        <f t="shared" si="460"/>
        <v>10833333.333333334</v>
      </c>
      <c r="IO51" s="15">
        <f t="shared" si="460"/>
        <v>10833333.333333334</v>
      </c>
      <c r="IP51" s="15">
        <f t="shared" si="460"/>
        <v>10833333.333333334</v>
      </c>
      <c r="IQ51" s="15">
        <f t="shared" si="460"/>
        <v>10833333.333333334</v>
      </c>
      <c r="IR51" s="15">
        <f t="shared" si="460"/>
        <v>10833333.333333334</v>
      </c>
      <c r="IS51" s="15">
        <f t="shared" si="460"/>
        <v>10833333.333333334</v>
      </c>
      <c r="IT51" s="15">
        <f t="shared" si="460"/>
        <v>10833333.333333334</v>
      </c>
      <c r="IU51" s="15">
        <f t="shared" si="460"/>
        <v>10833333.333333334</v>
      </c>
      <c r="IV51" s="15">
        <f t="shared" si="460"/>
        <v>10833333.333333334</v>
      </c>
      <c r="IW51" s="15">
        <f t="shared" si="460"/>
        <v>10833333.333333334</v>
      </c>
      <c r="IX51" s="15">
        <f t="shared" si="460"/>
        <v>10833333.333333334</v>
      </c>
      <c r="IY51" s="15">
        <f t="shared" si="460"/>
        <v>0</v>
      </c>
      <c r="IZ51" s="15">
        <f t="shared" si="460"/>
        <v>0</v>
      </c>
      <c r="JA51" s="15">
        <f t="shared" si="460"/>
        <v>0</v>
      </c>
      <c r="JB51" s="15">
        <f t="shared" si="460"/>
        <v>0</v>
      </c>
      <c r="JC51" s="15">
        <f t="shared" si="461"/>
        <v>0</v>
      </c>
      <c r="JD51" s="15">
        <f t="shared" si="461"/>
        <v>0</v>
      </c>
      <c r="JE51" s="15">
        <f t="shared" si="461"/>
        <v>0</v>
      </c>
      <c r="JF51" s="15">
        <f t="shared" si="461"/>
        <v>0</v>
      </c>
      <c r="JG51" s="15">
        <f t="shared" si="461"/>
        <v>0</v>
      </c>
      <c r="JH51" s="15">
        <f t="shared" si="461"/>
        <v>0</v>
      </c>
      <c r="JI51" s="15">
        <f t="shared" si="461"/>
        <v>0</v>
      </c>
      <c r="JJ51" s="15">
        <f t="shared" si="461"/>
        <v>0</v>
      </c>
      <c r="JK51" s="15">
        <f t="shared" si="461"/>
        <v>0</v>
      </c>
      <c r="JL51" s="15">
        <f t="shared" si="461"/>
        <v>0</v>
      </c>
      <c r="JM51" s="15">
        <f t="shared" si="461"/>
        <v>0</v>
      </c>
      <c r="JN51" s="15">
        <f t="shared" si="461"/>
        <v>0</v>
      </c>
      <c r="JO51" s="15">
        <f t="shared" si="461"/>
        <v>0</v>
      </c>
      <c r="JP51" s="15">
        <f t="shared" si="461"/>
        <v>0</v>
      </c>
      <c r="JR51" s="15">
        <f t="shared" si="462"/>
        <v>10833333.333333334</v>
      </c>
      <c r="JS51" s="15">
        <f t="shared" si="462"/>
        <v>10833333.333333334</v>
      </c>
      <c r="JT51" s="15">
        <f t="shared" si="462"/>
        <v>10833333.333333334</v>
      </c>
      <c r="JU51" s="15">
        <f t="shared" si="462"/>
        <v>10833333.333333334</v>
      </c>
      <c r="JV51" s="15">
        <f t="shared" si="462"/>
        <v>10833333.333333334</v>
      </c>
      <c r="JW51" s="15">
        <f t="shared" si="462"/>
        <v>10833333.333333334</v>
      </c>
      <c r="JX51" s="15">
        <f t="shared" si="462"/>
        <v>10833333.333333334</v>
      </c>
      <c r="JY51" s="15">
        <f t="shared" si="462"/>
        <v>10833333.333333334</v>
      </c>
      <c r="JZ51" s="15">
        <f t="shared" si="462"/>
        <v>10833333.333333334</v>
      </c>
      <c r="KA51" s="15">
        <f t="shared" si="462"/>
        <v>10833333.333333334</v>
      </c>
      <c r="KB51" s="15">
        <f t="shared" si="462"/>
        <v>10833333.333333334</v>
      </c>
      <c r="KC51" s="15">
        <f t="shared" si="462"/>
        <v>10833333.333333334</v>
      </c>
      <c r="KD51" s="15">
        <f t="shared" si="462"/>
        <v>0</v>
      </c>
      <c r="KE51" s="15">
        <f t="shared" si="462"/>
        <v>0</v>
      </c>
      <c r="KF51" s="15">
        <f t="shared" si="462"/>
        <v>0</v>
      </c>
      <c r="KG51" s="15">
        <f t="shared" si="462"/>
        <v>0</v>
      </c>
      <c r="KH51" s="15">
        <f t="shared" si="463"/>
        <v>0</v>
      </c>
      <c r="KI51" s="15">
        <f t="shared" si="463"/>
        <v>0</v>
      </c>
      <c r="KJ51" s="15">
        <f t="shared" si="463"/>
        <v>0</v>
      </c>
      <c r="KK51" s="15">
        <f t="shared" si="463"/>
        <v>0</v>
      </c>
      <c r="KL51" s="15">
        <f t="shared" si="463"/>
        <v>0</v>
      </c>
      <c r="KM51" s="15">
        <f t="shared" si="463"/>
        <v>0</v>
      </c>
      <c r="KN51" s="15">
        <f t="shared" si="463"/>
        <v>0</v>
      </c>
      <c r="KO51" s="15">
        <f t="shared" si="463"/>
        <v>0</v>
      </c>
      <c r="KP51" s="15">
        <f t="shared" si="463"/>
        <v>0</v>
      </c>
      <c r="KQ51" s="15">
        <f t="shared" si="463"/>
        <v>0</v>
      </c>
      <c r="KR51" s="15">
        <f t="shared" si="463"/>
        <v>0</v>
      </c>
      <c r="KS51" s="15">
        <f t="shared" si="463"/>
        <v>0</v>
      </c>
      <c r="KT51" s="15">
        <f t="shared" si="463"/>
        <v>0</v>
      </c>
      <c r="KU51" s="15">
        <f t="shared" si="463"/>
        <v>0</v>
      </c>
      <c r="KW51" s="15">
        <f t="shared" si="464"/>
        <v>10833333.333333334</v>
      </c>
      <c r="KX51" s="15">
        <f t="shared" si="464"/>
        <v>10833333.333333334</v>
      </c>
      <c r="KY51" s="15">
        <f t="shared" si="464"/>
        <v>10833333.333333334</v>
      </c>
      <c r="KZ51" s="15">
        <f t="shared" si="464"/>
        <v>10833333.333333334</v>
      </c>
      <c r="LA51" s="15">
        <f t="shared" si="464"/>
        <v>10833333.333333334</v>
      </c>
      <c r="LB51" s="15">
        <f t="shared" si="464"/>
        <v>10833333.333333334</v>
      </c>
      <c r="LC51" s="15">
        <f t="shared" si="464"/>
        <v>10833333.333333334</v>
      </c>
      <c r="LD51" s="15">
        <f t="shared" si="464"/>
        <v>10833333.333333334</v>
      </c>
      <c r="LE51" s="15">
        <f t="shared" si="464"/>
        <v>10833333.333333334</v>
      </c>
      <c r="LF51" s="15">
        <f t="shared" si="464"/>
        <v>10833333.333333334</v>
      </c>
      <c r="LG51" s="15">
        <f t="shared" si="464"/>
        <v>10833333.333333334</v>
      </c>
      <c r="LH51" s="15">
        <f t="shared" si="464"/>
        <v>10833333.333333334</v>
      </c>
      <c r="LI51" s="15">
        <f t="shared" si="464"/>
        <v>0</v>
      </c>
      <c r="LJ51" s="15">
        <f t="shared" si="464"/>
        <v>0</v>
      </c>
      <c r="LK51" s="15">
        <f t="shared" si="464"/>
        <v>0</v>
      </c>
      <c r="LL51" s="15">
        <f t="shared" si="464"/>
        <v>0</v>
      </c>
      <c r="LM51" s="15">
        <f t="shared" si="465"/>
        <v>0</v>
      </c>
      <c r="LN51" s="15">
        <f t="shared" si="465"/>
        <v>0</v>
      </c>
      <c r="LO51" s="15">
        <f t="shared" si="465"/>
        <v>0</v>
      </c>
      <c r="LP51" s="15">
        <f t="shared" si="465"/>
        <v>0</v>
      </c>
      <c r="LQ51" s="15">
        <f t="shared" si="465"/>
        <v>0</v>
      </c>
      <c r="LR51" s="15">
        <f t="shared" si="465"/>
        <v>0</v>
      </c>
      <c r="LS51" s="15">
        <f t="shared" si="465"/>
        <v>0</v>
      </c>
      <c r="LT51" s="15">
        <f t="shared" si="465"/>
        <v>0</v>
      </c>
      <c r="LU51" s="15">
        <f t="shared" si="465"/>
        <v>0</v>
      </c>
      <c r="LV51" s="15">
        <f t="shared" si="465"/>
        <v>0</v>
      </c>
      <c r="LW51" s="15">
        <f t="shared" si="465"/>
        <v>0</v>
      </c>
      <c r="LX51" s="15">
        <f t="shared" si="465"/>
        <v>0</v>
      </c>
      <c r="LY51" s="15">
        <f t="shared" si="465"/>
        <v>0</v>
      </c>
      <c r="LZ51" s="15">
        <f t="shared" si="465"/>
        <v>0</v>
      </c>
      <c r="MB51" s="15">
        <f t="shared" si="466"/>
        <v>10833333.333333334</v>
      </c>
      <c r="MC51" s="15">
        <f t="shared" si="466"/>
        <v>10833333.333333334</v>
      </c>
      <c r="MD51" s="15">
        <f t="shared" si="466"/>
        <v>10833333.333333334</v>
      </c>
      <c r="ME51" s="15">
        <f t="shared" si="466"/>
        <v>10833333.333333334</v>
      </c>
      <c r="MF51" s="15">
        <f t="shared" si="466"/>
        <v>10833333.333333334</v>
      </c>
      <c r="MG51" s="15">
        <f t="shared" si="466"/>
        <v>10833333.333333334</v>
      </c>
      <c r="MH51" s="15">
        <f t="shared" si="466"/>
        <v>10833333.333333334</v>
      </c>
      <c r="MI51" s="15">
        <f t="shared" si="466"/>
        <v>10833333.333333334</v>
      </c>
      <c r="MJ51" s="15">
        <f t="shared" si="466"/>
        <v>10833333.333333334</v>
      </c>
      <c r="MK51" s="15">
        <f t="shared" si="466"/>
        <v>10833333.333333334</v>
      </c>
      <c r="ML51" s="15">
        <f t="shared" si="466"/>
        <v>10833333.333333334</v>
      </c>
      <c r="MM51" s="15">
        <f t="shared" si="466"/>
        <v>10833333.333333334</v>
      </c>
      <c r="MN51" s="15">
        <f t="shared" si="466"/>
        <v>0</v>
      </c>
      <c r="MO51" s="15">
        <f t="shared" si="466"/>
        <v>0</v>
      </c>
      <c r="MP51" s="15">
        <f t="shared" si="466"/>
        <v>0</v>
      </c>
      <c r="MQ51" s="15">
        <f t="shared" si="466"/>
        <v>0</v>
      </c>
      <c r="MR51" s="15">
        <f t="shared" si="467"/>
        <v>0</v>
      </c>
      <c r="MS51" s="15">
        <f t="shared" si="467"/>
        <v>0</v>
      </c>
      <c r="MT51" s="15">
        <f t="shared" si="467"/>
        <v>0</v>
      </c>
      <c r="MU51" s="15">
        <f t="shared" si="467"/>
        <v>0</v>
      </c>
      <c r="MV51" s="15">
        <f t="shared" si="467"/>
        <v>0</v>
      </c>
      <c r="MW51" s="15">
        <f t="shared" si="467"/>
        <v>0</v>
      </c>
      <c r="MX51" s="15">
        <f t="shared" si="467"/>
        <v>0</v>
      </c>
      <c r="MY51" s="15">
        <f t="shared" si="467"/>
        <v>0</v>
      </c>
      <c r="MZ51" s="15">
        <f t="shared" si="467"/>
        <v>0</v>
      </c>
      <c r="NA51" s="15">
        <f t="shared" si="467"/>
        <v>0</v>
      </c>
      <c r="NB51" s="15">
        <f t="shared" si="467"/>
        <v>0</v>
      </c>
      <c r="NC51" s="15">
        <f t="shared" si="467"/>
        <v>0</v>
      </c>
      <c r="ND51" s="15">
        <f t="shared" si="467"/>
        <v>0</v>
      </c>
      <c r="NE51" s="15">
        <f t="shared" si="467"/>
        <v>0</v>
      </c>
    </row>
    <row r="52" spans="1:369" outlineLevel="1" x14ac:dyDescent="0.25">
      <c r="B52" t="s">
        <v>345</v>
      </c>
      <c r="C52" s="623" t="s">
        <v>255</v>
      </c>
      <c r="D52" s="613" t="s">
        <v>237</v>
      </c>
      <c r="E52" s="468">
        <v>1</v>
      </c>
      <c r="F52" s="221"/>
      <c r="G52" s="457">
        <v>12</v>
      </c>
      <c r="H52" s="468">
        <f t="shared" si="468"/>
        <v>130000000</v>
      </c>
      <c r="I52" s="457">
        <f t="shared" si="419"/>
        <v>130000000</v>
      </c>
      <c r="J52" s="457">
        <f t="shared" si="420"/>
        <v>10833333.333333334</v>
      </c>
      <c r="K52" s="221"/>
      <c r="L52" s="457">
        <v>12</v>
      </c>
      <c r="M52" s="457">
        <f t="shared" si="421"/>
        <v>130000000</v>
      </c>
      <c r="N52" s="457">
        <f t="shared" si="422"/>
        <v>130000000</v>
      </c>
      <c r="O52" s="457">
        <f t="shared" si="423"/>
        <v>10833333.333333334</v>
      </c>
      <c r="P52" s="221"/>
      <c r="Q52" s="457">
        <v>12</v>
      </c>
      <c r="R52" s="457">
        <f t="shared" si="424"/>
        <v>130000000</v>
      </c>
      <c r="S52" s="457">
        <f t="shared" si="425"/>
        <v>130000000</v>
      </c>
      <c r="T52" s="457">
        <f t="shared" si="426"/>
        <v>10833333.333333334</v>
      </c>
      <c r="U52" s="221"/>
      <c r="V52" s="457">
        <v>12</v>
      </c>
      <c r="W52" s="457">
        <f t="shared" si="427"/>
        <v>130000000</v>
      </c>
      <c r="X52" s="457">
        <f t="shared" si="428"/>
        <v>130000000</v>
      </c>
      <c r="Y52" s="457">
        <f t="shared" si="429"/>
        <v>10833333.333333334</v>
      </c>
      <c r="Z52" s="221"/>
      <c r="AA52" s="457">
        <v>12</v>
      </c>
      <c r="AB52" s="457">
        <f t="shared" si="430"/>
        <v>130000000</v>
      </c>
      <c r="AC52" s="457">
        <f t="shared" si="431"/>
        <v>130000000</v>
      </c>
      <c r="AD52" s="457">
        <f t="shared" si="432"/>
        <v>10833333.333333334</v>
      </c>
      <c r="AE52" s="221"/>
      <c r="AF52" s="457">
        <v>12</v>
      </c>
      <c r="AG52" s="457">
        <f t="shared" si="433"/>
        <v>130000000</v>
      </c>
      <c r="AH52" s="457">
        <f t="shared" si="434"/>
        <v>130000000</v>
      </c>
      <c r="AI52" s="457">
        <f t="shared" si="435"/>
        <v>10833333.333333334</v>
      </c>
      <c r="AJ52" s="221"/>
      <c r="AK52" s="457">
        <v>12</v>
      </c>
      <c r="AL52" s="457">
        <f t="shared" si="436"/>
        <v>130000000</v>
      </c>
      <c r="AM52" s="457">
        <f t="shared" si="437"/>
        <v>130000000</v>
      </c>
      <c r="AN52" s="457">
        <f t="shared" si="438"/>
        <v>10833333.333333334</v>
      </c>
      <c r="AO52" s="221"/>
      <c r="AP52" s="457">
        <v>12</v>
      </c>
      <c r="AQ52" s="457">
        <f t="shared" si="439"/>
        <v>130000000</v>
      </c>
      <c r="AR52" s="457">
        <f t="shared" si="440"/>
        <v>130000000</v>
      </c>
      <c r="AS52" s="457">
        <f t="shared" si="441"/>
        <v>10833333.333333334</v>
      </c>
      <c r="AT52" s="221"/>
      <c r="AU52" s="457">
        <v>12</v>
      </c>
      <c r="AV52" s="457">
        <f t="shared" si="442"/>
        <v>130000000</v>
      </c>
      <c r="AW52" s="457">
        <f t="shared" si="443"/>
        <v>130000000</v>
      </c>
      <c r="AX52" s="457">
        <f t="shared" si="444"/>
        <v>10833333.333333334</v>
      </c>
      <c r="AY52" s="221"/>
      <c r="AZ52" s="457">
        <v>12</v>
      </c>
      <c r="BA52" s="457">
        <f t="shared" si="445"/>
        <v>130000000</v>
      </c>
      <c r="BB52" s="457">
        <f t="shared" si="446"/>
        <v>130000000</v>
      </c>
      <c r="BC52" s="457">
        <f t="shared" si="447"/>
        <v>10833333.333333334</v>
      </c>
      <c r="BD52" s="221"/>
      <c r="BG52" t="s">
        <v>337</v>
      </c>
      <c r="BI52" s="15">
        <f t="shared" si="448"/>
        <v>10833333.333333334</v>
      </c>
      <c r="BJ52" s="15">
        <f t="shared" si="448"/>
        <v>10833333.333333334</v>
      </c>
      <c r="BK52" s="15">
        <f t="shared" si="448"/>
        <v>10833333.333333334</v>
      </c>
      <c r="BL52" s="15">
        <f t="shared" si="448"/>
        <v>10833333.333333334</v>
      </c>
      <c r="BM52" s="15">
        <f t="shared" si="448"/>
        <v>10833333.333333334</v>
      </c>
      <c r="BN52" s="15">
        <f t="shared" si="448"/>
        <v>10833333.333333334</v>
      </c>
      <c r="BO52" s="15">
        <f t="shared" si="448"/>
        <v>10833333.333333334</v>
      </c>
      <c r="BP52" s="15">
        <f t="shared" si="448"/>
        <v>10833333.333333334</v>
      </c>
      <c r="BQ52" s="15">
        <f t="shared" si="448"/>
        <v>10833333.333333334</v>
      </c>
      <c r="BR52" s="15">
        <f t="shared" si="448"/>
        <v>10833333.333333334</v>
      </c>
      <c r="BS52" s="15">
        <f t="shared" si="448"/>
        <v>10833333.333333334</v>
      </c>
      <c r="BT52" s="15">
        <f t="shared" si="448"/>
        <v>10833333.333333334</v>
      </c>
      <c r="BU52" s="15">
        <f t="shared" si="448"/>
        <v>0</v>
      </c>
      <c r="BV52" s="15">
        <f t="shared" si="448"/>
        <v>0</v>
      </c>
      <c r="BW52" s="15">
        <f t="shared" si="448"/>
        <v>0</v>
      </c>
      <c r="BX52" s="15">
        <f t="shared" si="448"/>
        <v>0</v>
      </c>
      <c r="BY52" s="15">
        <f t="shared" si="449"/>
        <v>0</v>
      </c>
      <c r="BZ52" s="15">
        <f t="shared" si="449"/>
        <v>0</v>
      </c>
      <c r="CA52" s="15">
        <f t="shared" si="449"/>
        <v>0</v>
      </c>
      <c r="CB52" s="15">
        <f t="shared" si="449"/>
        <v>0</v>
      </c>
      <c r="CC52" s="15">
        <f t="shared" si="449"/>
        <v>0</v>
      </c>
      <c r="CD52" s="15">
        <f t="shared" si="449"/>
        <v>0</v>
      </c>
      <c r="CE52" s="15">
        <f t="shared" si="449"/>
        <v>0</v>
      </c>
      <c r="CF52" s="15">
        <f t="shared" si="449"/>
        <v>0</v>
      </c>
      <c r="CG52" s="15">
        <f t="shared" si="449"/>
        <v>0</v>
      </c>
      <c r="CH52" s="15">
        <f t="shared" si="449"/>
        <v>0</v>
      </c>
      <c r="CI52" s="15">
        <f t="shared" si="449"/>
        <v>0</v>
      </c>
      <c r="CJ52" s="15">
        <f t="shared" si="449"/>
        <v>0</v>
      </c>
      <c r="CK52" s="15">
        <f t="shared" si="449"/>
        <v>0</v>
      </c>
      <c r="CL52" s="15">
        <f t="shared" si="449"/>
        <v>0</v>
      </c>
      <c r="CN52" s="15">
        <f t="shared" si="450"/>
        <v>10833333.333333334</v>
      </c>
      <c r="CO52" s="15">
        <f t="shared" si="450"/>
        <v>10833333.333333334</v>
      </c>
      <c r="CP52" s="15">
        <f t="shared" si="450"/>
        <v>10833333.333333334</v>
      </c>
      <c r="CQ52" s="15">
        <f t="shared" si="450"/>
        <v>10833333.333333334</v>
      </c>
      <c r="CR52" s="15">
        <f t="shared" si="450"/>
        <v>10833333.333333334</v>
      </c>
      <c r="CS52" s="15">
        <f t="shared" si="450"/>
        <v>10833333.333333334</v>
      </c>
      <c r="CT52" s="15">
        <f t="shared" si="450"/>
        <v>10833333.333333334</v>
      </c>
      <c r="CU52" s="15">
        <f t="shared" si="450"/>
        <v>10833333.333333334</v>
      </c>
      <c r="CV52" s="15">
        <f t="shared" si="450"/>
        <v>10833333.333333334</v>
      </c>
      <c r="CW52" s="15">
        <f t="shared" si="450"/>
        <v>10833333.333333334</v>
      </c>
      <c r="CX52" s="15">
        <f t="shared" si="450"/>
        <v>10833333.333333334</v>
      </c>
      <c r="CY52" s="15">
        <f t="shared" si="450"/>
        <v>10833333.333333334</v>
      </c>
      <c r="CZ52" s="15">
        <f t="shared" si="450"/>
        <v>0</v>
      </c>
      <c r="DA52" s="15">
        <f t="shared" si="450"/>
        <v>0</v>
      </c>
      <c r="DB52" s="15">
        <f t="shared" si="450"/>
        <v>0</v>
      </c>
      <c r="DC52" s="15">
        <f t="shared" si="450"/>
        <v>0</v>
      </c>
      <c r="DD52" s="15">
        <f t="shared" si="451"/>
        <v>0</v>
      </c>
      <c r="DE52" s="15">
        <f t="shared" si="451"/>
        <v>0</v>
      </c>
      <c r="DF52" s="15">
        <f t="shared" si="451"/>
        <v>0</v>
      </c>
      <c r="DG52" s="15">
        <f t="shared" si="451"/>
        <v>0</v>
      </c>
      <c r="DH52" s="15">
        <f t="shared" si="451"/>
        <v>0</v>
      </c>
      <c r="DI52" s="15">
        <f t="shared" si="451"/>
        <v>0</v>
      </c>
      <c r="DJ52" s="15">
        <f t="shared" si="451"/>
        <v>0</v>
      </c>
      <c r="DK52" s="15">
        <f t="shared" si="451"/>
        <v>0</v>
      </c>
      <c r="DL52" s="15">
        <f t="shared" si="451"/>
        <v>0</v>
      </c>
      <c r="DM52" s="15">
        <f t="shared" si="451"/>
        <v>0</v>
      </c>
      <c r="DN52" s="15">
        <f t="shared" si="451"/>
        <v>0</v>
      </c>
      <c r="DO52" s="15">
        <f t="shared" si="451"/>
        <v>0</v>
      </c>
      <c r="DP52" s="15">
        <f t="shared" si="451"/>
        <v>0</v>
      </c>
      <c r="DQ52" s="15">
        <f t="shared" si="451"/>
        <v>0</v>
      </c>
      <c r="DS52" s="15">
        <f t="shared" si="452"/>
        <v>10833333.333333334</v>
      </c>
      <c r="DT52" s="15">
        <f t="shared" si="452"/>
        <v>10833333.333333334</v>
      </c>
      <c r="DU52" s="15">
        <f t="shared" si="452"/>
        <v>10833333.333333334</v>
      </c>
      <c r="DV52" s="15">
        <f t="shared" si="452"/>
        <v>10833333.333333334</v>
      </c>
      <c r="DW52" s="15">
        <f t="shared" si="452"/>
        <v>10833333.333333334</v>
      </c>
      <c r="DX52" s="15">
        <f t="shared" si="452"/>
        <v>10833333.333333334</v>
      </c>
      <c r="DY52" s="15">
        <f t="shared" si="452"/>
        <v>10833333.333333334</v>
      </c>
      <c r="DZ52" s="15">
        <f t="shared" si="452"/>
        <v>10833333.333333334</v>
      </c>
      <c r="EA52" s="15">
        <f t="shared" si="452"/>
        <v>10833333.333333334</v>
      </c>
      <c r="EB52" s="15">
        <f t="shared" si="452"/>
        <v>10833333.333333334</v>
      </c>
      <c r="EC52" s="15">
        <f t="shared" si="452"/>
        <v>10833333.333333334</v>
      </c>
      <c r="ED52" s="15">
        <f t="shared" si="452"/>
        <v>10833333.333333334</v>
      </c>
      <c r="EE52" s="15">
        <f t="shared" si="452"/>
        <v>0</v>
      </c>
      <c r="EF52" s="15">
        <f t="shared" si="452"/>
        <v>0</v>
      </c>
      <c r="EG52" s="15">
        <f t="shared" si="452"/>
        <v>0</v>
      </c>
      <c r="EH52" s="15">
        <f t="shared" si="452"/>
        <v>0</v>
      </c>
      <c r="EI52" s="15">
        <f t="shared" si="453"/>
        <v>0</v>
      </c>
      <c r="EJ52" s="15">
        <f t="shared" si="453"/>
        <v>0</v>
      </c>
      <c r="EK52" s="15">
        <f t="shared" si="453"/>
        <v>0</v>
      </c>
      <c r="EL52" s="15">
        <f t="shared" si="453"/>
        <v>0</v>
      </c>
      <c r="EM52" s="15">
        <f t="shared" si="453"/>
        <v>0</v>
      </c>
      <c r="EN52" s="15">
        <f t="shared" si="453"/>
        <v>0</v>
      </c>
      <c r="EO52" s="15">
        <f t="shared" si="453"/>
        <v>0</v>
      </c>
      <c r="EP52" s="15">
        <f t="shared" si="453"/>
        <v>0</v>
      </c>
      <c r="EQ52" s="15">
        <f t="shared" si="453"/>
        <v>0</v>
      </c>
      <c r="ER52" s="15">
        <f t="shared" si="453"/>
        <v>0</v>
      </c>
      <c r="ES52" s="15">
        <f t="shared" si="453"/>
        <v>0</v>
      </c>
      <c r="ET52" s="15">
        <f t="shared" si="453"/>
        <v>0</v>
      </c>
      <c r="EU52" s="15">
        <f t="shared" si="453"/>
        <v>0</v>
      </c>
      <c r="EV52" s="15">
        <f t="shared" si="453"/>
        <v>0</v>
      </c>
      <c r="EX52" s="15">
        <f t="shared" si="454"/>
        <v>10833333.333333334</v>
      </c>
      <c r="EY52" s="15">
        <f t="shared" si="454"/>
        <v>10833333.333333334</v>
      </c>
      <c r="EZ52" s="15">
        <f t="shared" si="454"/>
        <v>10833333.333333334</v>
      </c>
      <c r="FA52" s="15">
        <f t="shared" si="454"/>
        <v>10833333.333333334</v>
      </c>
      <c r="FB52" s="15">
        <f t="shared" si="454"/>
        <v>10833333.333333334</v>
      </c>
      <c r="FC52" s="15">
        <f t="shared" si="454"/>
        <v>10833333.333333334</v>
      </c>
      <c r="FD52" s="15">
        <f t="shared" si="454"/>
        <v>10833333.333333334</v>
      </c>
      <c r="FE52" s="15">
        <f t="shared" si="454"/>
        <v>10833333.333333334</v>
      </c>
      <c r="FF52" s="15">
        <f t="shared" si="454"/>
        <v>10833333.333333334</v>
      </c>
      <c r="FG52" s="15">
        <f t="shared" si="454"/>
        <v>10833333.333333334</v>
      </c>
      <c r="FH52" s="15">
        <f t="shared" si="454"/>
        <v>10833333.333333334</v>
      </c>
      <c r="FI52" s="15">
        <f t="shared" si="454"/>
        <v>10833333.333333334</v>
      </c>
      <c r="FJ52" s="15">
        <f t="shared" si="454"/>
        <v>0</v>
      </c>
      <c r="FK52" s="15">
        <f t="shared" si="454"/>
        <v>0</v>
      </c>
      <c r="FL52" s="15">
        <f t="shared" si="454"/>
        <v>0</v>
      </c>
      <c r="FM52" s="15">
        <f t="shared" si="454"/>
        <v>0</v>
      </c>
      <c r="FN52" s="15">
        <f t="shared" si="455"/>
        <v>0</v>
      </c>
      <c r="FO52" s="15">
        <f t="shared" si="455"/>
        <v>0</v>
      </c>
      <c r="FP52" s="15">
        <f t="shared" si="455"/>
        <v>0</v>
      </c>
      <c r="FQ52" s="15">
        <f t="shared" si="455"/>
        <v>0</v>
      </c>
      <c r="FR52" s="15">
        <f t="shared" si="455"/>
        <v>0</v>
      </c>
      <c r="FS52" s="15">
        <f t="shared" si="455"/>
        <v>0</v>
      </c>
      <c r="FT52" s="15">
        <f t="shared" si="455"/>
        <v>0</v>
      </c>
      <c r="FU52" s="15">
        <f t="shared" si="455"/>
        <v>0</v>
      </c>
      <c r="FV52" s="15">
        <f t="shared" si="455"/>
        <v>0</v>
      </c>
      <c r="FW52" s="15">
        <f t="shared" si="455"/>
        <v>0</v>
      </c>
      <c r="FX52" s="15">
        <f t="shared" si="455"/>
        <v>0</v>
      </c>
      <c r="FY52" s="15">
        <f t="shared" si="455"/>
        <v>0</v>
      </c>
      <c r="FZ52" s="15">
        <f t="shared" si="455"/>
        <v>0</v>
      </c>
      <c r="GA52" s="15">
        <f t="shared" si="455"/>
        <v>0</v>
      </c>
      <c r="GC52" s="15">
        <f t="shared" si="456"/>
        <v>10833333.333333334</v>
      </c>
      <c r="GD52" s="15">
        <f t="shared" si="456"/>
        <v>10833333.333333334</v>
      </c>
      <c r="GE52" s="15">
        <f t="shared" si="456"/>
        <v>10833333.333333334</v>
      </c>
      <c r="GF52" s="15">
        <f t="shared" si="456"/>
        <v>10833333.333333334</v>
      </c>
      <c r="GG52" s="15">
        <f t="shared" si="456"/>
        <v>10833333.333333334</v>
      </c>
      <c r="GH52" s="15">
        <f t="shared" si="456"/>
        <v>10833333.333333334</v>
      </c>
      <c r="GI52" s="15">
        <f t="shared" si="456"/>
        <v>10833333.333333334</v>
      </c>
      <c r="GJ52" s="15">
        <f t="shared" si="456"/>
        <v>10833333.333333334</v>
      </c>
      <c r="GK52" s="15">
        <f t="shared" si="456"/>
        <v>10833333.333333334</v>
      </c>
      <c r="GL52" s="15">
        <f t="shared" si="456"/>
        <v>10833333.333333334</v>
      </c>
      <c r="GM52" s="15">
        <f t="shared" si="456"/>
        <v>10833333.333333334</v>
      </c>
      <c r="GN52" s="15">
        <f t="shared" si="456"/>
        <v>10833333.333333334</v>
      </c>
      <c r="GO52" s="15">
        <f t="shared" si="456"/>
        <v>0</v>
      </c>
      <c r="GP52" s="15">
        <f t="shared" si="456"/>
        <v>0</v>
      </c>
      <c r="GQ52" s="15">
        <f t="shared" si="456"/>
        <v>0</v>
      </c>
      <c r="GR52" s="15">
        <f t="shared" si="456"/>
        <v>0</v>
      </c>
      <c r="GS52" s="15">
        <f t="shared" si="457"/>
        <v>0</v>
      </c>
      <c r="GT52" s="15">
        <f t="shared" si="457"/>
        <v>0</v>
      </c>
      <c r="GU52" s="15">
        <f t="shared" si="457"/>
        <v>0</v>
      </c>
      <c r="GV52" s="15">
        <f t="shared" si="457"/>
        <v>0</v>
      </c>
      <c r="GW52" s="15">
        <f t="shared" si="457"/>
        <v>0</v>
      </c>
      <c r="GX52" s="15">
        <f t="shared" si="457"/>
        <v>0</v>
      </c>
      <c r="GY52" s="15">
        <f t="shared" si="457"/>
        <v>0</v>
      </c>
      <c r="GZ52" s="15">
        <f t="shared" si="457"/>
        <v>0</v>
      </c>
      <c r="HA52" s="15">
        <f t="shared" si="457"/>
        <v>0</v>
      </c>
      <c r="HB52" s="15">
        <f t="shared" si="457"/>
        <v>0</v>
      </c>
      <c r="HC52" s="15">
        <f t="shared" si="457"/>
        <v>0</v>
      </c>
      <c r="HD52" s="15">
        <f t="shared" si="457"/>
        <v>0</v>
      </c>
      <c r="HE52" s="15">
        <f t="shared" si="457"/>
        <v>0</v>
      </c>
      <c r="HF52" s="15">
        <f t="shared" si="457"/>
        <v>0</v>
      </c>
      <c r="HH52" s="15">
        <f t="shared" si="458"/>
        <v>10833333.333333334</v>
      </c>
      <c r="HI52" s="15">
        <f t="shared" si="458"/>
        <v>10833333.333333334</v>
      </c>
      <c r="HJ52" s="15">
        <f t="shared" si="458"/>
        <v>10833333.333333334</v>
      </c>
      <c r="HK52" s="15">
        <f t="shared" si="458"/>
        <v>10833333.333333334</v>
      </c>
      <c r="HL52" s="15">
        <f t="shared" si="458"/>
        <v>10833333.333333334</v>
      </c>
      <c r="HM52" s="15">
        <f t="shared" si="458"/>
        <v>10833333.333333334</v>
      </c>
      <c r="HN52" s="15">
        <f t="shared" si="458"/>
        <v>10833333.333333334</v>
      </c>
      <c r="HO52" s="15">
        <f t="shared" si="458"/>
        <v>10833333.333333334</v>
      </c>
      <c r="HP52" s="15">
        <f t="shared" si="458"/>
        <v>10833333.333333334</v>
      </c>
      <c r="HQ52" s="15">
        <f t="shared" si="458"/>
        <v>10833333.333333334</v>
      </c>
      <c r="HR52" s="15">
        <f t="shared" si="458"/>
        <v>10833333.333333334</v>
      </c>
      <c r="HS52" s="15">
        <f t="shared" si="458"/>
        <v>10833333.333333334</v>
      </c>
      <c r="HT52" s="15">
        <f t="shared" si="458"/>
        <v>0</v>
      </c>
      <c r="HU52" s="15">
        <f t="shared" si="458"/>
        <v>0</v>
      </c>
      <c r="HV52" s="15">
        <f t="shared" si="458"/>
        <v>0</v>
      </c>
      <c r="HW52" s="15">
        <f t="shared" si="458"/>
        <v>0</v>
      </c>
      <c r="HX52" s="15">
        <f t="shared" si="459"/>
        <v>0</v>
      </c>
      <c r="HY52" s="15">
        <f t="shared" si="459"/>
        <v>0</v>
      </c>
      <c r="HZ52" s="15">
        <f t="shared" si="459"/>
        <v>0</v>
      </c>
      <c r="IA52" s="15">
        <f t="shared" si="459"/>
        <v>0</v>
      </c>
      <c r="IB52" s="15">
        <f t="shared" si="459"/>
        <v>0</v>
      </c>
      <c r="IC52" s="15">
        <f t="shared" si="459"/>
        <v>0</v>
      </c>
      <c r="ID52" s="15">
        <f t="shared" si="459"/>
        <v>0</v>
      </c>
      <c r="IE52" s="15">
        <f t="shared" si="459"/>
        <v>0</v>
      </c>
      <c r="IF52" s="15">
        <f t="shared" si="459"/>
        <v>0</v>
      </c>
      <c r="IG52" s="15">
        <f t="shared" si="459"/>
        <v>0</v>
      </c>
      <c r="IH52" s="15">
        <f t="shared" si="459"/>
        <v>0</v>
      </c>
      <c r="II52" s="15">
        <f t="shared" si="459"/>
        <v>0</v>
      </c>
      <c r="IJ52" s="15">
        <f t="shared" si="459"/>
        <v>0</v>
      </c>
      <c r="IK52" s="15">
        <f t="shared" si="459"/>
        <v>0</v>
      </c>
      <c r="IM52" s="15">
        <f t="shared" si="460"/>
        <v>10833333.333333334</v>
      </c>
      <c r="IN52" s="15">
        <f t="shared" si="460"/>
        <v>10833333.333333334</v>
      </c>
      <c r="IO52" s="15">
        <f t="shared" si="460"/>
        <v>10833333.333333334</v>
      </c>
      <c r="IP52" s="15">
        <f t="shared" si="460"/>
        <v>10833333.333333334</v>
      </c>
      <c r="IQ52" s="15">
        <f t="shared" si="460"/>
        <v>10833333.333333334</v>
      </c>
      <c r="IR52" s="15">
        <f t="shared" si="460"/>
        <v>10833333.333333334</v>
      </c>
      <c r="IS52" s="15">
        <f t="shared" si="460"/>
        <v>10833333.333333334</v>
      </c>
      <c r="IT52" s="15">
        <f t="shared" si="460"/>
        <v>10833333.333333334</v>
      </c>
      <c r="IU52" s="15">
        <f t="shared" si="460"/>
        <v>10833333.333333334</v>
      </c>
      <c r="IV52" s="15">
        <f t="shared" si="460"/>
        <v>10833333.333333334</v>
      </c>
      <c r="IW52" s="15">
        <f t="shared" si="460"/>
        <v>10833333.333333334</v>
      </c>
      <c r="IX52" s="15">
        <f t="shared" si="460"/>
        <v>10833333.333333334</v>
      </c>
      <c r="IY52" s="15">
        <f t="shared" si="460"/>
        <v>0</v>
      </c>
      <c r="IZ52" s="15">
        <f t="shared" si="460"/>
        <v>0</v>
      </c>
      <c r="JA52" s="15">
        <f t="shared" si="460"/>
        <v>0</v>
      </c>
      <c r="JB52" s="15">
        <f t="shared" si="460"/>
        <v>0</v>
      </c>
      <c r="JC52" s="15">
        <f t="shared" si="461"/>
        <v>0</v>
      </c>
      <c r="JD52" s="15">
        <f t="shared" si="461"/>
        <v>0</v>
      </c>
      <c r="JE52" s="15">
        <f t="shared" si="461"/>
        <v>0</v>
      </c>
      <c r="JF52" s="15">
        <f t="shared" si="461"/>
        <v>0</v>
      </c>
      <c r="JG52" s="15">
        <f t="shared" si="461"/>
        <v>0</v>
      </c>
      <c r="JH52" s="15">
        <f t="shared" si="461"/>
        <v>0</v>
      </c>
      <c r="JI52" s="15">
        <f t="shared" si="461"/>
        <v>0</v>
      </c>
      <c r="JJ52" s="15">
        <f t="shared" si="461"/>
        <v>0</v>
      </c>
      <c r="JK52" s="15">
        <f t="shared" si="461"/>
        <v>0</v>
      </c>
      <c r="JL52" s="15">
        <f t="shared" si="461"/>
        <v>0</v>
      </c>
      <c r="JM52" s="15">
        <f t="shared" si="461"/>
        <v>0</v>
      </c>
      <c r="JN52" s="15">
        <f t="shared" si="461"/>
        <v>0</v>
      </c>
      <c r="JO52" s="15">
        <f t="shared" si="461"/>
        <v>0</v>
      </c>
      <c r="JP52" s="15">
        <f t="shared" si="461"/>
        <v>0</v>
      </c>
      <c r="JR52" s="15">
        <f t="shared" si="462"/>
        <v>10833333.333333334</v>
      </c>
      <c r="JS52" s="15">
        <f t="shared" si="462"/>
        <v>10833333.333333334</v>
      </c>
      <c r="JT52" s="15">
        <f t="shared" si="462"/>
        <v>10833333.333333334</v>
      </c>
      <c r="JU52" s="15">
        <f t="shared" si="462"/>
        <v>10833333.333333334</v>
      </c>
      <c r="JV52" s="15">
        <f t="shared" si="462"/>
        <v>10833333.333333334</v>
      </c>
      <c r="JW52" s="15">
        <f t="shared" si="462"/>
        <v>10833333.333333334</v>
      </c>
      <c r="JX52" s="15">
        <f t="shared" si="462"/>
        <v>10833333.333333334</v>
      </c>
      <c r="JY52" s="15">
        <f t="shared" si="462"/>
        <v>10833333.333333334</v>
      </c>
      <c r="JZ52" s="15">
        <f t="shared" si="462"/>
        <v>10833333.333333334</v>
      </c>
      <c r="KA52" s="15">
        <f t="shared" si="462"/>
        <v>10833333.333333334</v>
      </c>
      <c r="KB52" s="15">
        <f t="shared" si="462"/>
        <v>10833333.333333334</v>
      </c>
      <c r="KC52" s="15">
        <f t="shared" si="462"/>
        <v>10833333.333333334</v>
      </c>
      <c r="KD52" s="15">
        <f t="shared" si="462"/>
        <v>0</v>
      </c>
      <c r="KE52" s="15">
        <f t="shared" si="462"/>
        <v>0</v>
      </c>
      <c r="KF52" s="15">
        <f t="shared" si="462"/>
        <v>0</v>
      </c>
      <c r="KG52" s="15">
        <f t="shared" si="462"/>
        <v>0</v>
      </c>
      <c r="KH52" s="15">
        <f t="shared" si="463"/>
        <v>0</v>
      </c>
      <c r="KI52" s="15">
        <f t="shared" si="463"/>
        <v>0</v>
      </c>
      <c r="KJ52" s="15">
        <f t="shared" si="463"/>
        <v>0</v>
      </c>
      <c r="KK52" s="15">
        <f t="shared" si="463"/>
        <v>0</v>
      </c>
      <c r="KL52" s="15">
        <f t="shared" si="463"/>
        <v>0</v>
      </c>
      <c r="KM52" s="15">
        <f t="shared" si="463"/>
        <v>0</v>
      </c>
      <c r="KN52" s="15">
        <f t="shared" si="463"/>
        <v>0</v>
      </c>
      <c r="KO52" s="15">
        <f t="shared" si="463"/>
        <v>0</v>
      </c>
      <c r="KP52" s="15">
        <f t="shared" si="463"/>
        <v>0</v>
      </c>
      <c r="KQ52" s="15">
        <f t="shared" si="463"/>
        <v>0</v>
      </c>
      <c r="KR52" s="15">
        <f t="shared" si="463"/>
        <v>0</v>
      </c>
      <c r="KS52" s="15">
        <f t="shared" si="463"/>
        <v>0</v>
      </c>
      <c r="KT52" s="15">
        <f t="shared" si="463"/>
        <v>0</v>
      </c>
      <c r="KU52" s="15">
        <f t="shared" si="463"/>
        <v>0</v>
      </c>
      <c r="KW52" s="15">
        <f t="shared" si="464"/>
        <v>10833333.333333334</v>
      </c>
      <c r="KX52" s="15">
        <f t="shared" si="464"/>
        <v>10833333.333333334</v>
      </c>
      <c r="KY52" s="15">
        <f t="shared" si="464"/>
        <v>10833333.333333334</v>
      </c>
      <c r="KZ52" s="15">
        <f t="shared" si="464"/>
        <v>10833333.333333334</v>
      </c>
      <c r="LA52" s="15">
        <f t="shared" si="464"/>
        <v>10833333.333333334</v>
      </c>
      <c r="LB52" s="15">
        <f t="shared" si="464"/>
        <v>10833333.333333334</v>
      </c>
      <c r="LC52" s="15">
        <f t="shared" si="464"/>
        <v>10833333.333333334</v>
      </c>
      <c r="LD52" s="15">
        <f t="shared" si="464"/>
        <v>10833333.333333334</v>
      </c>
      <c r="LE52" s="15">
        <f t="shared" si="464"/>
        <v>10833333.333333334</v>
      </c>
      <c r="LF52" s="15">
        <f t="shared" si="464"/>
        <v>10833333.333333334</v>
      </c>
      <c r="LG52" s="15">
        <f t="shared" si="464"/>
        <v>10833333.333333334</v>
      </c>
      <c r="LH52" s="15">
        <f t="shared" si="464"/>
        <v>10833333.333333334</v>
      </c>
      <c r="LI52" s="15">
        <f t="shared" si="464"/>
        <v>0</v>
      </c>
      <c r="LJ52" s="15">
        <f t="shared" si="464"/>
        <v>0</v>
      </c>
      <c r="LK52" s="15">
        <f t="shared" si="464"/>
        <v>0</v>
      </c>
      <c r="LL52" s="15">
        <f t="shared" si="464"/>
        <v>0</v>
      </c>
      <c r="LM52" s="15">
        <f t="shared" si="465"/>
        <v>0</v>
      </c>
      <c r="LN52" s="15">
        <f t="shared" si="465"/>
        <v>0</v>
      </c>
      <c r="LO52" s="15">
        <f t="shared" si="465"/>
        <v>0</v>
      </c>
      <c r="LP52" s="15">
        <f t="shared" si="465"/>
        <v>0</v>
      </c>
      <c r="LQ52" s="15">
        <f t="shared" si="465"/>
        <v>0</v>
      </c>
      <c r="LR52" s="15">
        <f t="shared" si="465"/>
        <v>0</v>
      </c>
      <c r="LS52" s="15">
        <f t="shared" si="465"/>
        <v>0</v>
      </c>
      <c r="LT52" s="15">
        <f t="shared" si="465"/>
        <v>0</v>
      </c>
      <c r="LU52" s="15">
        <f t="shared" si="465"/>
        <v>0</v>
      </c>
      <c r="LV52" s="15">
        <f t="shared" si="465"/>
        <v>0</v>
      </c>
      <c r="LW52" s="15">
        <f t="shared" si="465"/>
        <v>0</v>
      </c>
      <c r="LX52" s="15">
        <f t="shared" si="465"/>
        <v>0</v>
      </c>
      <c r="LY52" s="15">
        <f t="shared" si="465"/>
        <v>0</v>
      </c>
      <c r="LZ52" s="15">
        <f t="shared" si="465"/>
        <v>0</v>
      </c>
      <c r="MB52" s="15">
        <f t="shared" si="466"/>
        <v>10833333.333333334</v>
      </c>
      <c r="MC52" s="15">
        <f t="shared" si="466"/>
        <v>10833333.333333334</v>
      </c>
      <c r="MD52" s="15">
        <f t="shared" si="466"/>
        <v>10833333.333333334</v>
      </c>
      <c r="ME52" s="15">
        <f t="shared" si="466"/>
        <v>10833333.333333334</v>
      </c>
      <c r="MF52" s="15">
        <f t="shared" si="466"/>
        <v>10833333.333333334</v>
      </c>
      <c r="MG52" s="15">
        <f t="shared" si="466"/>
        <v>10833333.333333334</v>
      </c>
      <c r="MH52" s="15">
        <f t="shared" si="466"/>
        <v>10833333.333333334</v>
      </c>
      <c r="MI52" s="15">
        <f t="shared" si="466"/>
        <v>10833333.333333334</v>
      </c>
      <c r="MJ52" s="15">
        <f t="shared" si="466"/>
        <v>10833333.333333334</v>
      </c>
      <c r="MK52" s="15">
        <f t="shared" si="466"/>
        <v>10833333.333333334</v>
      </c>
      <c r="ML52" s="15">
        <f t="shared" si="466"/>
        <v>10833333.333333334</v>
      </c>
      <c r="MM52" s="15">
        <f t="shared" si="466"/>
        <v>10833333.333333334</v>
      </c>
      <c r="MN52" s="15">
        <f t="shared" si="466"/>
        <v>0</v>
      </c>
      <c r="MO52" s="15">
        <f t="shared" si="466"/>
        <v>0</v>
      </c>
      <c r="MP52" s="15">
        <f t="shared" si="466"/>
        <v>0</v>
      </c>
      <c r="MQ52" s="15">
        <f t="shared" si="466"/>
        <v>0</v>
      </c>
      <c r="MR52" s="15">
        <f t="shared" si="467"/>
        <v>0</v>
      </c>
      <c r="MS52" s="15">
        <f t="shared" si="467"/>
        <v>0</v>
      </c>
      <c r="MT52" s="15">
        <f t="shared" si="467"/>
        <v>0</v>
      </c>
      <c r="MU52" s="15">
        <f t="shared" si="467"/>
        <v>0</v>
      </c>
      <c r="MV52" s="15">
        <f t="shared" si="467"/>
        <v>0</v>
      </c>
      <c r="MW52" s="15">
        <f t="shared" si="467"/>
        <v>0</v>
      </c>
      <c r="MX52" s="15">
        <f t="shared" si="467"/>
        <v>0</v>
      </c>
      <c r="MY52" s="15">
        <f t="shared" si="467"/>
        <v>0</v>
      </c>
      <c r="MZ52" s="15">
        <f t="shared" si="467"/>
        <v>0</v>
      </c>
      <c r="NA52" s="15">
        <f t="shared" si="467"/>
        <v>0</v>
      </c>
      <c r="NB52" s="15">
        <f t="shared" si="467"/>
        <v>0</v>
      </c>
      <c r="NC52" s="15">
        <f t="shared" si="467"/>
        <v>0</v>
      </c>
      <c r="ND52" s="15">
        <f t="shared" si="467"/>
        <v>0</v>
      </c>
      <c r="NE52" s="15">
        <f t="shared" si="467"/>
        <v>0</v>
      </c>
    </row>
    <row r="53" spans="1:369" outlineLevel="1" x14ac:dyDescent="0.25">
      <c r="B53" t="s">
        <v>345</v>
      </c>
      <c r="C53" s="623" t="s">
        <v>256</v>
      </c>
      <c r="D53" s="613" t="s">
        <v>238</v>
      </c>
      <c r="E53" s="468">
        <v>1</v>
      </c>
      <c r="F53" s="221"/>
      <c r="G53" s="457">
        <v>12</v>
      </c>
      <c r="H53" s="468">
        <f t="shared" si="468"/>
        <v>130000000</v>
      </c>
      <c r="I53" s="457">
        <f t="shared" si="419"/>
        <v>130000000</v>
      </c>
      <c r="J53" s="457">
        <f t="shared" si="420"/>
        <v>10833333.333333334</v>
      </c>
      <c r="K53" s="221"/>
      <c r="L53" s="457">
        <v>12</v>
      </c>
      <c r="M53" s="457">
        <f t="shared" si="421"/>
        <v>130000000</v>
      </c>
      <c r="N53" s="457">
        <f t="shared" si="422"/>
        <v>130000000</v>
      </c>
      <c r="O53" s="457">
        <f t="shared" si="423"/>
        <v>10833333.333333334</v>
      </c>
      <c r="P53" s="221"/>
      <c r="Q53" s="457">
        <v>12</v>
      </c>
      <c r="R53" s="457">
        <f t="shared" si="424"/>
        <v>130000000</v>
      </c>
      <c r="S53" s="457">
        <f t="shared" si="425"/>
        <v>130000000</v>
      </c>
      <c r="T53" s="457">
        <f t="shared" si="426"/>
        <v>10833333.333333334</v>
      </c>
      <c r="U53" s="221"/>
      <c r="V53" s="457">
        <v>12</v>
      </c>
      <c r="W53" s="457">
        <f t="shared" si="427"/>
        <v>130000000</v>
      </c>
      <c r="X53" s="457">
        <f t="shared" si="428"/>
        <v>130000000</v>
      </c>
      <c r="Y53" s="457">
        <f t="shared" si="429"/>
        <v>10833333.333333334</v>
      </c>
      <c r="Z53" s="221"/>
      <c r="AA53" s="457">
        <v>12</v>
      </c>
      <c r="AB53" s="457">
        <f t="shared" si="430"/>
        <v>130000000</v>
      </c>
      <c r="AC53" s="457">
        <f t="shared" si="431"/>
        <v>130000000</v>
      </c>
      <c r="AD53" s="457">
        <f t="shared" si="432"/>
        <v>10833333.333333334</v>
      </c>
      <c r="AE53" s="221"/>
      <c r="AF53" s="457">
        <v>12</v>
      </c>
      <c r="AG53" s="457">
        <f t="shared" si="433"/>
        <v>130000000</v>
      </c>
      <c r="AH53" s="457">
        <f t="shared" si="434"/>
        <v>130000000</v>
      </c>
      <c r="AI53" s="457">
        <f t="shared" si="435"/>
        <v>10833333.333333334</v>
      </c>
      <c r="AJ53" s="221"/>
      <c r="AK53" s="457">
        <v>12</v>
      </c>
      <c r="AL53" s="457">
        <f t="shared" si="436"/>
        <v>130000000</v>
      </c>
      <c r="AM53" s="457">
        <f t="shared" si="437"/>
        <v>130000000</v>
      </c>
      <c r="AN53" s="457">
        <f t="shared" si="438"/>
        <v>10833333.333333334</v>
      </c>
      <c r="AO53" s="221"/>
      <c r="AP53" s="457">
        <v>12</v>
      </c>
      <c r="AQ53" s="457">
        <f t="shared" si="439"/>
        <v>130000000</v>
      </c>
      <c r="AR53" s="457">
        <f t="shared" si="440"/>
        <v>130000000</v>
      </c>
      <c r="AS53" s="457">
        <f t="shared" si="441"/>
        <v>10833333.333333334</v>
      </c>
      <c r="AT53" s="221"/>
      <c r="AU53" s="457">
        <v>12</v>
      </c>
      <c r="AV53" s="457">
        <f t="shared" si="442"/>
        <v>130000000</v>
      </c>
      <c r="AW53" s="457">
        <f t="shared" si="443"/>
        <v>130000000</v>
      </c>
      <c r="AX53" s="457">
        <f t="shared" si="444"/>
        <v>10833333.333333334</v>
      </c>
      <c r="AY53" s="221"/>
      <c r="AZ53" s="457">
        <v>12</v>
      </c>
      <c r="BA53" s="457">
        <f t="shared" si="445"/>
        <v>130000000</v>
      </c>
      <c r="BB53" s="457">
        <f t="shared" si="446"/>
        <v>130000000</v>
      </c>
      <c r="BC53" s="457">
        <f t="shared" si="447"/>
        <v>10833333.333333334</v>
      </c>
      <c r="BD53" s="221"/>
      <c r="BG53" t="s">
        <v>337</v>
      </c>
      <c r="BI53" s="15">
        <f t="shared" si="448"/>
        <v>10833333.333333334</v>
      </c>
      <c r="BJ53" s="15">
        <f t="shared" si="448"/>
        <v>10833333.333333334</v>
      </c>
      <c r="BK53" s="15">
        <f t="shared" si="448"/>
        <v>10833333.333333334</v>
      </c>
      <c r="BL53" s="15">
        <f t="shared" si="448"/>
        <v>10833333.333333334</v>
      </c>
      <c r="BM53" s="15">
        <f t="shared" si="448"/>
        <v>10833333.333333334</v>
      </c>
      <c r="BN53" s="15">
        <f t="shared" si="448"/>
        <v>10833333.333333334</v>
      </c>
      <c r="BO53" s="15">
        <f t="shared" si="448"/>
        <v>10833333.333333334</v>
      </c>
      <c r="BP53" s="15">
        <f t="shared" si="448"/>
        <v>10833333.333333334</v>
      </c>
      <c r="BQ53" s="15">
        <f t="shared" si="448"/>
        <v>10833333.333333334</v>
      </c>
      <c r="BR53" s="15">
        <f t="shared" si="448"/>
        <v>10833333.333333334</v>
      </c>
      <c r="BS53" s="15">
        <f t="shared" si="448"/>
        <v>10833333.333333334</v>
      </c>
      <c r="BT53" s="15">
        <f t="shared" si="448"/>
        <v>10833333.333333334</v>
      </c>
      <c r="BU53" s="15">
        <f t="shared" si="448"/>
        <v>0</v>
      </c>
      <c r="BV53" s="15">
        <f t="shared" si="448"/>
        <v>0</v>
      </c>
      <c r="BW53" s="15">
        <f t="shared" si="448"/>
        <v>0</v>
      </c>
      <c r="BX53" s="15">
        <f t="shared" si="448"/>
        <v>0</v>
      </c>
      <c r="BY53" s="15">
        <f t="shared" si="449"/>
        <v>0</v>
      </c>
      <c r="BZ53" s="15">
        <f t="shared" si="449"/>
        <v>0</v>
      </c>
      <c r="CA53" s="15">
        <f t="shared" si="449"/>
        <v>0</v>
      </c>
      <c r="CB53" s="15">
        <f t="shared" si="449"/>
        <v>0</v>
      </c>
      <c r="CC53" s="15">
        <f t="shared" si="449"/>
        <v>0</v>
      </c>
      <c r="CD53" s="15">
        <f t="shared" si="449"/>
        <v>0</v>
      </c>
      <c r="CE53" s="15">
        <f t="shared" si="449"/>
        <v>0</v>
      </c>
      <c r="CF53" s="15">
        <f t="shared" si="449"/>
        <v>0</v>
      </c>
      <c r="CG53" s="15">
        <f t="shared" si="449"/>
        <v>0</v>
      </c>
      <c r="CH53" s="15">
        <f t="shared" si="449"/>
        <v>0</v>
      </c>
      <c r="CI53" s="15">
        <f t="shared" si="449"/>
        <v>0</v>
      </c>
      <c r="CJ53" s="15">
        <f t="shared" si="449"/>
        <v>0</v>
      </c>
      <c r="CK53" s="15">
        <f t="shared" si="449"/>
        <v>0</v>
      </c>
      <c r="CL53" s="15">
        <f t="shared" si="449"/>
        <v>0</v>
      </c>
      <c r="CN53" s="15">
        <f t="shared" si="450"/>
        <v>10833333.333333334</v>
      </c>
      <c r="CO53" s="15">
        <f t="shared" si="450"/>
        <v>10833333.333333334</v>
      </c>
      <c r="CP53" s="15">
        <f t="shared" si="450"/>
        <v>10833333.333333334</v>
      </c>
      <c r="CQ53" s="15">
        <f t="shared" si="450"/>
        <v>10833333.333333334</v>
      </c>
      <c r="CR53" s="15">
        <f t="shared" si="450"/>
        <v>10833333.333333334</v>
      </c>
      <c r="CS53" s="15">
        <f t="shared" si="450"/>
        <v>10833333.333333334</v>
      </c>
      <c r="CT53" s="15">
        <f t="shared" si="450"/>
        <v>10833333.333333334</v>
      </c>
      <c r="CU53" s="15">
        <f t="shared" si="450"/>
        <v>10833333.333333334</v>
      </c>
      <c r="CV53" s="15">
        <f t="shared" si="450"/>
        <v>10833333.333333334</v>
      </c>
      <c r="CW53" s="15">
        <f t="shared" si="450"/>
        <v>10833333.333333334</v>
      </c>
      <c r="CX53" s="15">
        <f t="shared" si="450"/>
        <v>10833333.333333334</v>
      </c>
      <c r="CY53" s="15">
        <f t="shared" si="450"/>
        <v>10833333.333333334</v>
      </c>
      <c r="CZ53" s="15">
        <f t="shared" si="450"/>
        <v>0</v>
      </c>
      <c r="DA53" s="15">
        <f t="shared" si="450"/>
        <v>0</v>
      </c>
      <c r="DB53" s="15">
        <f t="shared" si="450"/>
        <v>0</v>
      </c>
      <c r="DC53" s="15">
        <f t="shared" si="450"/>
        <v>0</v>
      </c>
      <c r="DD53" s="15">
        <f t="shared" si="451"/>
        <v>0</v>
      </c>
      <c r="DE53" s="15">
        <f t="shared" si="451"/>
        <v>0</v>
      </c>
      <c r="DF53" s="15">
        <f t="shared" si="451"/>
        <v>0</v>
      </c>
      <c r="DG53" s="15">
        <f t="shared" si="451"/>
        <v>0</v>
      </c>
      <c r="DH53" s="15">
        <f t="shared" si="451"/>
        <v>0</v>
      </c>
      <c r="DI53" s="15">
        <f t="shared" si="451"/>
        <v>0</v>
      </c>
      <c r="DJ53" s="15">
        <f t="shared" si="451"/>
        <v>0</v>
      </c>
      <c r="DK53" s="15">
        <f t="shared" si="451"/>
        <v>0</v>
      </c>
      <c r="DL53" s="15">
        <f t="shared" si="451"/>
        <v>0</v>
      </c>
      <c r="DM53" s="15">
        <f t="shared" si="451"/>
        <v>0</v>
      </c>
      <c r="DN53" s="15">
        <f t="shared" si="451"/>
        <v>0</v>
      </c>
      <c r="DO53" s="15">
        <f t="shared" si="451"/>
        <v>0</v>
      </c>
      <c r="DP53" s="15">
        <f t="shared" si="451"/>
        <v>0</v>
      </c>
      <c r="DQ53" s="15">
        <f t="shared" si="451"/>
        <v>0</v>
      </c>
      <c r="DS53" s="15">
        <f t="shared" si="452"/>
        <v>10833333.333333334</v>
      </c>
      <c r="DT53" s="15">
        <f t="shared" si="452"/>
        <v>10833333.333333334</v>
      </c>
      <c r="DU53" s="15">
        <f t="shared" si="452"/>
        <v>10833333.333333334</v>
      </c>
      <c r="DV53" s="15">
        <f t="shared" si="452"/>
        <v>10833333.333333334</v>
      </c>
      <c r="DW53" s="15">
        <f t="shared" si="452"/>
        <v>10833333.333333334</v>
      </c>
      <c r="DX53" s="15">
        <f t="shared" si="452"/>
        <v>10833333.333333334</v>
      </c>
      <c r="DY53" s="15">
        <f t="shared" si="452"/>
        <v>10833333.333333334</v>
      </c>
      <c r="DZ53" s="15">
        <f t="shared" si="452"/>
        <v>10833333.333333334</v>
      </c>
      <c r="EA53" s="15">
        <f t="shared" si="452"/>
        <v>10833333.333333334</v>
      </c>
      <c r="EB53" s="15">
        <f t="shared" si="452"/>
        <v>10833333.333333334</v>
      </c>
      <c r="EC53" s="15">
        <f t="shared" si="452"/>
        <v>10833333.333333334</v>
      </c>
      <c r="ED53" s="15">
        <f t="shared" si="452"/>
        <v>10833333.333333334</v>
      </c>
      <c r="EE53" s="15">
        <f t="shared" si="452"/>
        <v>0</v>
      </c>
      <c r="EF53" s="15">
        <f t="shared" si="452"/>
        <v>0</v>
      </c>
      <c r="EG53" s="15">
        <f t="shared" si="452"/>
        <v>0</v>
      </c>
      <c r="EH53" s="15">
        <f t="shared" si="452"/>
        <v>0</v>
      </c>
      <c r="EI53" s="15">
        <f t="shared" si="453"/>
        <v>0</v>
      </c>
      <c r="EJ53" s="15">
        <f t="shared" si="453"/>
        <v>0</v>
      </c>
      <c r="EK53" s="15">
        <f t="shared" si="453"/>
        <v>0</v>
      </c>
      <c r="EL53" s="15">
        <f t="shared" si="453"/>
        <v>0</v>
      </c>
      <c r="EM53" s="15">
        <f t="shared" si="453"/>
        <v>0</v>
      </c>
      <c r="EN53" s="15">
        <f t="shared" si="453"/>
        <v>0</v>
      </c>
      <c r="EO53" s="15">
        <f t="shared" si="453"/>
        <v>0</v>
      </c>
      <c r="EP53" s="15">
        <f t="shared" si="453"/>
        <v>0</v>
      </c>
      <c r="EQ53" s="15">
        <f t="shared" si="453"/>
        <v>0</v>
      </c>
      <c r="ER53" s="15">
        <f t="shared" si="453"/>
        <v>0</v>
      </c>
      <c r="ES53" s="15">
        <f t="shared" si="453"/>
        <v>0</v>
      </c>
      <c r="ET53" s="15">
        <f t="shared" si="453"/>
        <v>0</v>
      </c>
      <c r="EU53" s="15">
        <f t="shared" si="453"/>
        <v>0</v>
      </c>
      <c r="EV53" s="15">
        <f t="shared" si="453"/>
        <v>0</v>
      </c>
      <c r="EX53" s="15">
        <f t="shared" si="454"/>
        <v>10833333.333333334</v>
      </c>
      <c r="EY53" s="15">
        <f t="shared" si="454"/>
        <v>10833333.333333334</v>
      </c>
      <c r="EZ53" s="15">
        <f t="shared" si="454"/>
        <v>10833333.333333334</v>
      </c>
      <c r="FA53" s="15">
        <f t="shared" si="454"/>
        <v>10833333.333333334</v>
      </c>
      <c r="FB53" s="15">
        <f t="shared" si="454"/>
        <v>10833333.333333334</v>
      </c>
      <c r="FC53" s="15">
        <f t="shared" si="454"/>
        <v>10833333.333333334</v>
      </c>
      <c r="FD53" s="15">
        <f t="shared" si="454"/>
        <v>10833333.333333334</v>
      </c>
      <c r="FE53" s="15">
        <f t="shared" si="454"/>
        <v>10833333.333333334</v>
      </c>
      <c r="FF53" s="15">
        <f t="shared" si="454"/>
        <v>10833333.333333334</v>
      </c>
      <c r="FG53" s="15">
        <f t="shared" si="454"/>
        <v>10833333.333333334</v>
      </c>
      <c r="FH53" s="15">
        <f t="shared" si="454"/>
        <v>10833333.333333334</v>
      </c>
      <c r="FI53" s="15">
        <f t="shared" si="454"/>
        <v>10833333.333333334</v>
      </c>
      <c r="FJ53" s="15">
        <f t="shared" si="454"/>
        <v>0</v>
      </c>
      <c r="FK53" s="15">
        <f t="shared" si="454"/>
        <v>0</v>
      </c>
      <c r="FL53" s="15">
        <f t="shared" si="454"/>
        <v>0</v>
      </c>
      <c r="FM53" s="15">
        <f t="shared" si="454"/>
        <v>0</v>
      </c>
      <c r="FN53" s="15">
        <f t="shared" si="455"/>
        <v>0</v>
      </c>
      <c r="FO53" s="15">
        <f t="shared" si="455"/>
        <v>0</v>
      </c>
      <c r="FP53" s="15">
        <f t="shared" si="455"/>
        <v>0</v>
      </c>
      <c r="FQ53" s="15">
        <f t="shared" si="455"/>
        <v>0</v>
      </c>
      <c r="FR53" s="15">
        <f t="shared" si="455"/>
        <v>0</v>
      </c>
      <c r="FS53" s="15">
        <f t="shared" si="455"/>
        <v>0</v>
      </c>
      <c r="FT53" s="15">
        <f t="shared" si="455"/>
        <v>0</v>
      </c>
      <c r="FU53" s="15">
        <f t="shared" si="455"/>
        <v>0</v>
      </c>
      <c r="FV53" s="15">
        <f t="shared" si="455"/>
        <v>0</v>
      </c>
      <c r="FW53" s="15">
        <f t="shared" si="455"/>
        <v>0</v>
      </c>
      <c r="FX53" s="15">
        <f t="shared" si="455"/>
        <v>0</v>
      </c>
      <c r="FY53" s="15">
        <f t="shared" si="455"/>
        <v>0</v>
      </c>
      <c r="FZ53" s="15">
        <f t="shared" si="455"/>
        <v>0</v>
      </c>
      <c r="GA53" s="15">
        <f t="shared" si="455"/>
        <v>0</v>
      </c>
      <c r="GC53" s="15">
        <f t="shared" si="456"/>
        <v>10833333.333333334</v>
      </c>
      <c r="GD53" s="15">
        <f t="shared" si="456"/>
        <v>10833333.333333334</v>
      </c>
      <c r="GE53" s="15">
        <f t="shared" si="456"/>
        <v>10833333.333333334</v>
      </c>
      <c r="GF53" s="15">
        <f t="shared" si="456"/>
        <v>10833333.333333334</v>
      </c>
      <c r="GG53" s="15">
        <f t="shared" si="456"/>
        <v>10833333.333333334</v>
      </c>
      <c r="GH53" s="15">
        <f t="shared" si="456"/>
        <v>10833333.333333334</v>
      </c>
      <c r="GI53" s="15">
        <f t="shared" si="456"/>
        <v>10833333.333333334</v>
      </c>
      <c r="GJ53" s="15">
        <f t="shared" si="456"/>
        <v>10833333.333333334</v>
      </c>
      <c r="GK53" s="15">
        <f t="shared" si="456"/>
        <v>10833333.333333334</v>
      </c>
      <c r="GL53" s="15">
        <f t="shared" si="456"/>
        <v>10833333.333333334</v>
      </c>
      <c r="GM53" s="15">
        <f t="shared" si="456"/>
        <v>10833333.333333334</v>
      </c>
      <c r="GN53" s="15">
        <f t="shared" si="456"/>
        <v>10833333.333333334</v>
      </c>
      <c r="GO53" s="15">
        <f t="shared" si="456"/>
        <v>0</v>
      </c>
      <c r="GP53" s="15">
        <f t="shared" si="456"/>
        <v>0</v>
      </c>
      <c r="GQ53" s="15">
        <f t="shared" si="456"/>
        <v>0</v>
      </c>
      <c r="GR53" s="15">
        <f t="shared" si="456"/>
        <v>0</v>
      </c>
      <c r="GS53" s="15">
        <f t="shared" si="457"/>
        <v>0</v>
      </c>
      <c r="GT53" s="15">
        <f t="shared" si="457"/>
        <v>0</v>
      </c>
      <c r="GU53" s="15">
        <f t="shared" si="457"/>
        <v>0</v>
      </c>
      <c r="GV53" s="15">
        <f t="shared" si="457"/>
        <v>0</v>
      </c>
      <c r="GW53" s="15">
        <f t="shared" si="457"/>
        <v>0</v>
      </c>
      <c r="GX53" s="15">
        <f t="shared" si="457"/>
        <v>0</v>
      </c>
      <c r="GY53" s="15">
        <f t="shared" si="457"/>
        <v>0</v>
      </c>
      <c r="GZ53" s="15">
        <f t="shared" si="457"/>
        <v>0</v>
      </c>
      <c r="HA53" s="15">
        <f t="shared" si="457"/>
        <v>0</v>
      </c>
      <c r="HB53" s="15">
        <f t="shared" si="457"/>
        <v>0</v>
      </c>
      <c r="HC53" s="15">
        <f t="shared" si="457"/>
        <v>0</v>
      </c>
      <c r="HD53" s="15">
        <f t="shared" si="457"/>
        <v>0</v>
      </c>
      <c r="HE53" s="15">
        <f t="shared" si="457"/>
        <v>0</v>
      </c>
      <c r="HF53" s="15">
        <f t="shared" si="457"/>
        <v>0</v>
      </c>
      <c r="HH53" s="15">
        <f t="shared" si="458"/>
        <v>10833333.333333334</v>
      </c>
      <c r="HI53" s="15">
        <f t="shared" si="458"/>
        <v>10833333.333333334</v>
      </c>
      <c r="HJ53" s="15">
        <f t="shared" si="458"/>
        <v>10833333.333333334</v>
      </c>
      <c r="HK53" s="15">
        <f t="shared" si="458"/>
        <v>10833333.333333334</v>
      </c>
      <c r="HL53" s="15">
        <f t="shared" si="458"/>
        <v>10833333.333333334</v>
      </c>
      <c r="HM53" s="15">
        <f t="shared" si="458"/>
        <v>10833333.333333334</v>
      </c>
      <c r="HN53" s="15">
        <f t="shared" si="458"/>
        <v>10833333.333333334</v>
      </c>
      <c r="HO53" s="15">
        <f t="shared" si="458"/>
        <v>10833333.333333334</v>
      </c>
      <c r="HP53" s="15">
        <f t="shared" si="458"/>
        <v>10833333.333333334</v>
      </c>
      <c r="HQ53" s="15">
        <f t="shared" si="458"/>
        <v>10833333.333333334</v>
      </c>
      <c r="HR53" s="15">
        <f t="shared" si="458"/>
        <v>10833333.333333334</v>
      </c>
      <c r="HS53" s="15">
        <f t="shared" si="458"/>
        <v>10833333.333333334</v>
      </c>
      <c r="HT53" s="15">
        <f t="shared" si="458"/>
        <v>0</v>
      </c>
      <c r="HU53" s="15">
        <f t="shared" si="458"/>
        <v>0</v>
      </c>
      <c r="HV53" s="15">
        <f t="shared" si="458"/>
        <v>0</v>
      </c>
      <c r="HW53" s="15">
        <f t="shared" si="458"/>
        <v>0</v>
      </c>
      <c r="HX53" s="15">
        <f t="shared" si="459"/>
        <v>0</v>
      </c>
      <c r="HY53" s="15">
        <f t="shared" si="459"/>
        <v>0</v>
      </c>
      <c r="HZ53" s="15">
        <f t="shared" si="459"/>
        <v>0</v>
      </c>
      <c r="IA53" s="15">
        <f t="shared" si="459"/>
        <v>0</v>
      </c>
      <c r="IB53" s="15">
        <f t="shared" si="459"/>
        <v>0</v>
      </c>
      <c r="IC53" s="15">
        <f t="shared" si="459"/>
        <v>0</v>
      </c>
      <c r="ID53" s="15">
        <f t="shared" si="459"/>
        <v>0</v>
      </c>
      <c r="IE53" s="15">
        <f t="shared" si="459"/>
        <v>0</v>
      </c>
      <c r="IF53" s="15">
        <f t="shared" si="459"/>
        <v>0</v>
      </c>
      <c r="IG53" s="15">
        <f t="shared" si="459"/>
        <v>0</v>
      </c>
      <c r="IH53" s="15">
        <f t="shared" si="459"/>
        <v>0</v>
      </c>
      <c r="II53" s="15">
        <f t="shared" si="459"/>
        <v>0</v>
      </c>
      <c r="IJ53" s="15">
        <f t="shared" si="459"/>
        <v>0</v>
      </c>
      <c r="IK53" s="15">
        <f t="shared" si="459"/>
        <v>0</v>
      </c>
      <c r="IM53" s="15">
        <f t="shared" si="460"/>
        <v>10833333.333333334</v>
      </c>
      <c r="IN53" s="15">
        <f t="shared" si="460"/>
        <v>10833333.333333334</v>
      </c>
      <c r="IO53" s="15">
        <f t="shared" si="460"/>
        <v>10833333.333333334</v>
      </c>
      <c r="IP53" s="15">
        <f t="shared" si="460"/>
        <v>10833333.333333334</v>
      </c>
      <c r="IQ53" s="15">
        <f t="shared" si="460"/>
        <v>10833333.333333334</v>
      </c>
      <c r="IR53" s="15">
        <f t="shared" si="460"/>
        <v>10833333.333333334</v>
      </c>
      <c r="IS53" s="15">
        <f t="shared" si="460"/>
        <v>10833333.333333334</v>
      </c>
      <c r="IT53" s="15">
        <f t="shared" si="460"/>
        <v>10833333.333333334</v>
      </c>
      <c r="IU53" s="15">
        <f t="shared" si="460"/>
        <v>10833333.333333334</v>
      </c>
      <c r="IV53" s="15">
        <f t="shared" si="460"/>
        <v>10833333.333333334</v>
      </c>
      <c r="IW53" s="15">
        <f t="shared" si="460"/>
        <v>10833333.333333334</v>
      </c>
      <c r="IX53" s="15">
        <f t="shared" si="460"/>
        <v>10833333.333333334</v>
      </c>
      <c r="IY53" s="15">
        <f t="shared" si="460"/>
        <v>0</v>
      </c>
      <c r="IZ53" s="15">
        <f t="shared" si="460"/>
        <v>0</v>
      </c>
      <c r="JA53" s="15">
        <f t="shared" si="460"/>
        <v>0</v>
      </c>
      <c r="JB53" s="15">
        <f t="shared" si="460"/>
        <v>0</v>
      </c>
      <c r="JC53" s="15">
        <f t="shared" si="461"/>
        <v>0</v>
      </c>
      <c r="JD53" s="15">
        <f t="shared" si="461"/>
        <v>0</v>
      </c>
      <c r="JE53" s="15">
        <f t="shared" si="461"/>
        <v>0</v>
      </c>
      <c r="JF53" s="15">
        <f t="shared" si="461"/>
        <v>0</v>
      </c>
      <c r="JG53" s="15">
        <f t="shared" si="461"/>
        <v>0</v>
      </c>
      <c r="JH53" s="15">
        <f t="shared" si="461"/>
        <v>0</v>
      </c>
      <c r="JI53" s="15">
        <f t="shared" si="461"/>
        <v>0</v>
      </c>
      <c r="JJ53" s="15">
        <f t="shared" si="461"/>
        <v>0</v>
      </c>
      <c r="JK53" s="15">
        <f t="shared" si="461"/>
        <v>0</v>
      </c>
      <c r="JL53" s="15">
        <f t="shared" si="461"/>
        <v>0</v>
      </c>
      <c r="JM53" s="15">
        <f t="shared" si="461"/>
        <v>0</v>
      </c>
      <c r="JN53" s="15">
        <f t="shared" si="461"/>
        <v>0</v>
      </c>
      <c r="JO53" s="15">
        <f t="shared" si="461"/>
        <v>0</v>
      </c>
      <c r="JP53" s="15">
        <f t="shared" si="461"/>
        <v>0</v>
      </c>
      <c r="JR53" s="15">
        <f t="shared" si="462"/>
        <v>10833333.333333334</v>
      </c>
      <c r="JS53" s="15">
        <f t="shared" si="462"/>
        <v>10833333.333333334</v>
      </c>
      <c r="JT53" s="15">
        <f t="shared" si="462"/>
        <v>10833333.333333334</v>
      </c>
      <c r="JU53" s="15">
        <f t="shared" si="462"/>
        <v>10833333.333333334</v>
      </c>
      <c r="JV53" s="15">
        <f t="shared" si="462"/>
        <v>10833333.333333334</v>
      </c>
      <c r="JW53" s="15">
        <f t="shared" si="462"/>
        <v>10833333.333333334</v>
      </c>
      <c r="JX53" s="15">
        <f t="shared" si="462"/>
        <v>10833333.333333334</v>
      </c>
      <c r="JY53" s="15">
        <f t="shared" si="462"/>
        <v>10833333.333333334</v>
      </c>
      <c r="JZ53" s="15">
        <f t="shared" si="462"/>
        <v>10833333.333333334</v>
      </c>
      <c r="KA53" s="15">
        <f t="shared" si="462"/>
        <v>10833333.333333334</v>
      </c>
      <c r="KB53" s="15">
        <f t="shared" si="462"/>
        <v>10833333.333333334</v>
      </c>
      <c r="KC53" s="15">
        <f t="shared" si="462"/>
        <v>10833333.333333334</v>
      </c>
      <c r="KD53" s="15">
        <f t="shared" si="462"/>
        <v>0</v>
      </c>
      <c r="KE53" s="15">
        <f t="shared" si="462"/>
        <v>0</v>
      </c>
      <c r="KF53" s="15">
        <f t="shared" si="462"/>
        <v>0</v>
      </c>
      <c r="KG53" s="15">
        <f t="shared" si="462"/>
        <v>0</v>
      </c>
      <c r="KH53" s="15">
        <f t="shared" si="463"/>
        <v>0</v>
      </c>
      <c r="KI53" s="15">
        <f t="shared" si="463"/>
        <v>0</v>
      </c>
      <c r="KJ53" s="15">
        <f t="shared" si="463"/>
        <v>0</v>
      </c>
      <c r="KK53" s="15">
        <f t="shared" si="463"/>
        <v>0</v>
      </c>
      <c r="KL53" s="15">
        <f t="shared" si="463"/>
        <v>0</v>
      </c>
      <c r="KM53" s="15">
        <f t="shared" si="463"/>
        <v>0</v>
      </c>
      <c r="KN53" s="15">
        <f t="shared" si="463"/>
        <v>0</v>
      </c>
      <c r="KO53" s="15">
        <f t="shared" si="463"/>
        <v>0</v>
      </c>
      <c r="KP53" s="15">
        <f t="shared" si="463"/>
        <v>0</v>
      </c>
      <c r="KQ53" s="15">
        <f t="shared" si="463"/>
        <v>0</v>
      </c>
      <c r="KR53" s="15">
        <f t="shared" si="463"/>
        <v>0</v>
      </c>
      <c r="KS53" s="15">
        <f t="shared" si="463"/>
        <v>0</v>
      </c>
      <c r="KT53" s="15">
        <f t="shared" si="463"/>
        <v>0</v>
      </c>
      <c r="KU53" s="15">
        <f t="shared" si="463"/>
        <v>0</v>
      </c>
      <c r="KW53" s="15">
        <f t="shared" si="464"/>
        <v>10833333.333333334</v>
      </c>
      <c r="KX53" s="15">
        <f t="shared" si="464"/>
        <v>10833333.333333334</v>
      </c>
      <c r="KY53" s="15">
        <f t="shared" si="464"/>
        <v>10833333.333333334</v>
      </c>
      <c r="KZ53" s="15">
        <f t="shared" si="464"/>
        <v>10833333.333333334</v>
      </c>
      <c r="LA53" s="15">
        <f t="shared" si="464"/>
        <v>10833333.333333334</v>
      </c>
      <c r="LB53" s="15">
        <f t="shared" si="464"/>
        <v>10833333.333333334</v>
      </c>
      <c r="LC53" s="15">
        <f t="shared" si="464"/>
        <v>10833333.333333334</v>
      </c>
      <c r="LD53" s="15">
        <f t="shared" si="464"/>
        <v>10833333.333333334</v>
      </c>
      <c r="LE53" s="15">
        <f t="shared" si="464"/>
        <v>10833333.333333334</v>
      </c>
      <c r="LF53" s="15">
        <f t="shared" si="464"/>
        <v>10833333.333333334</v>
      </c>
      <c r="LG53" s="15">
        <f t="shared" si="464"/>
        <v>10833333.333333334</v>
      </c>
      <c r="LH53" s="15">
        <f t="shared" si="464"/>
        <v>10833333.333333334</v>
      </c>
      <c r="LI53" s="15">
        <f t="shared" si="464"/>
        <v>0</v>
      </c>
      <c r="LJ53" s="15">
        <f t="shared" si="464"/>
        <v>0</v>
      </c>
      <c r="LK53" s="15">
        <f t="shared" si="464"/>
        <v>0</v>
      </c>
      <c r="LL53" s="15">
        <f t="shared" si="464"/>
        <v>0</v>
      </c>
      <c r="LM53" s="15">
        <f t="shared" si="465"/>
        <v>0</v>
      </c>
      <c r="LN53" s="15">
        <f t="shared" si="465"/>
        <v>0</v>
      </c>
      <c r="LO53" s="15">
        <f t="shared" si="465"/>
        <v>0</v>
      </c>
      <c r="LP53" s="15">
        <f t="shared" si="465"/>
        <v>0</v>
      </c>
      <c r="LQ53" s="15">
        <f t="shared" si="465"/>
        <v>0</v>
      </c>
      <c r="LR53" s="15">
        <f t="shared" si="465"/>
        <v>0</v>
      </c>
      <c r="LS53" s="15">
        <f t="shared" si="465"/>
        <v>0</v>
      </c>
      <c r="LT53" s="15">
        <f t="shared" si="465"/>
        <v>0</v>
      </c>
      <c r="LU53" s="15">
        <f t="shared" si="465"/>
        <v>0</v>
      </c>
      <c r="LV53" s="15">
        <f t="shared" si="465"/>
        <v>0</v>
      </c>
      <c r="LW53" s="15">
        <f t="shared" si="465"/>
        <v>0</v>
      </c>
      <c r="LX53" s="15">
        <f t="shared" si="465"/>
        <v>0</v>
      </c>
      <c r="LY53" s="15">
        <f t="shared" si="465"/>
        <v>0</v>
      </c>
      <c r="LZ53" s="15">
        <f t="shared" si="465"/>
        <v>0</v>
      </c>
      <c r="MB53" s="15">
        <f t="shared" si="466"/>
        <v>10833333.333333334</v>
      </c>
      <c r="MC53" s="15">
        <f t="shared" si="466"/>
        <v>10833333.333333334</v>
      </c>
      <c r="MD53" s="15">
        <f t="shared" si="466"/>
        <v>10833333.333333334</v>
      </c>
      <c r="ME53" s="15">
        <f t="shared" si="466"/>
        <v>10833333.333333334</v>
      </c>
      <c r="MF53" s="15">
        <f t="shared" si="466"/>
        <v>10833333.333333334</v>
      </c>
      <c r="MG53" s="15">
        <f t="shared" si="466"/>
        <v>10833333.333333334</v>
      </c>
      <c r="MH53" s="15">
        <f t="shared" si="466"/>
        <v>10833333.333333334</v>
      </c>
      <c r="MI53" s="15">
        <f t="shared" si="466"/>
        <v>10833333.333333334</v>
      </c>
      <c r="MJ53" s="15">
        <f t="shared" si="466"/>
        <v>10833333.333333334</v>
      </c>
      <c r="MK53" s="15">
        <f t="shared" si="466"/>
        <v>10833333.333333334</v>
      </c>
      <c r="ML53" s="15">
        <f t="shared" si="466"/>
        <v>10833333.333333334</v>
      </c>
      <c r="MM53" s="15">
        <f t="shared" si="466"/>
        <v>10833333.333333334</v>
      </c>
      <c r="MN53" s="15">
        <f t="shared" si="466"/>
        <v>0</v>
      </c>
      <c r="MO53" s="15">
        <f t="shared" si="466"/>
        <v>0</v>
      </c>
      <c r="MP53" s="15">
        <f t="shared" si="466"/>
        <v>0</v>
      </c>
      <c r="MQ53" s="15">
        <f t="shared" si="466"/>
        <v>0</v>
      </c>
      <c r="MR53" s="15">
        <f t="shared" si="467"/>
        <v>0</v>
      </c>
      <c r="MS53" s="15">
        <f t="shared" si="467"/>
        <v>0</v>
      </c>
      <c r="MT53" s="15">
        <f t="shared" si="467"/>
        <v>0</v>
      </c>
      <c r="MU53" s="15">
        <f t="shared" si="467"/>
        <v>0</v>
      </c>
      <c r="MV53" s="15">
        <f t="shared" si="467"/>
        <v>0</v>
      </c>
      <c r="MW53" s="15">
        <f t="shared" si="467"/>
        <v>0</v>
      </c>
      <c r="MX53" s="15">
        <f t="shared" si="467"/>
        <v>0</v>
      </c>
      <c r="MY53" s="15">
        <f t="shared" si="467"/>
        <v>0</v>
      </c>
      <c r="MZ53" s="15">
        <f t="shared" si="467"/>
        <v>0</v>
      </c>
      <c r="NA53" s="15">
        <f t="shared" si="467"/>
        <v>0</v>
      </c>
      <c r="NB53" s="15">
        <f t="shared" si="467"/>
        <v>0</v>
      </c>
      <c r="NC53" s="15">
        <f t="shared" si="467"/>
        <v>0</v>
      </c>
      <c r="ND53" s="15">
        <f t="shared" si="467"/>
        <v>0</v>
      </c>
      <c r="NE53" s="15">
        <f t="shared" si="467"/>
        <v>0</v>
      </c>
    </row>
    <row r="54" spans="1:369" outlineLevel="1" x14ac:dyDescent="0.25">
      <c r="B54" t="s">
        <v>345</v>
      </c>
      <c r="C54" s="623" t="s">
        <v>257</v>
      </c>
      <c r="D54" s="613" t="s">
        <v>239</v>
      </c>
      <c r="E54" s="468">
        <v>1</v>
      </c>
      <c r="F54" s="221"/>
      <c r="G54" s="457">
        <v>12</v>
      </c>
      <c r="H54" s="468">
        <f t="shared" si="468"/>
        <v>130000000</v>
      </c>
      <c r="I54" s="457">
        <f t="shared" si="419"/>
        <v>130000000</v>
      </c>
      <c r="J54" s="457">
        <f t="shared" si="420"/>
        <v>10833333.333333334</v>
      </c>
      <c r="K54" s="221"/>
      <c r="L54" s="457">
        <v>12</v>
      </c>
      <c r="M54" s="457">
        <f t="shared" si="421"/>
        <v>130000000</v>
      </c>
      <c r="N54" s="457">
        <f t="shared" si="422"/>
        <v>130000000</v>
      </c>
      <c r="O54" s="457">
        <f t="shared" si="423"/>
        <v>10833333.333333334</v>
      </c>
      <c r="P54" s="221"/>
      <c r="Q54" s="457">
        <v>12</v>
      </c>
      <c r="R54" s="457">
        <f t="shared" si="424"/>
        <v>130000000</v>
      </c>
      <c r="S54" s="457">
        <f t="shared" si="425"/>
        <v>130000000</v>
      </c>
      <c r="T54" s="457">
        <f t="shared" si="426"/>
        <v>10833333.333333334</v>
      </c>
      <c r="U54" s="221"/>
      <c r="V54" s="457">
        <v>12</v>
      </c>
      <c r="W54" s="457">
        <f t="shared" si="427"/>
        <v>130000000</v>
      </c>
      <c r="X54" s="457">
        <f t="shared" si="428"/>
        <v>130000000</v>
      </c>
      <c r="Y54" s="457">
        <f t="shared" si="429"/>
        <v>10833333.333333334</v>
      </c>
      <c r="Z54" s="221"/>
      <c r="AA54" s="457">
        <v>12</v>
      </c>
      <c r="AB54" s="457">
        <f t="shared" si="430"/>
        <v>130000000</v>
      </c>
      <c r="AC54" s="457">
        <f t="shared" si="431"/>
        <v>130000000</v>
      </c>
      <c r="AD54" s="457">
        <f t="shared" si="432"/>
        <v>10833333.333333334</v>
      </c>
      <c r="AE54" s="221"/>
      <c r="AF54" s="457">
        <v>12</v>
      </c>
      <c r="AG54" s="457">
        <f t="shared" si="433"/>
        <v>130000000</v>
      </c>
      <c r="AH54" s="457">
        <f t="shared" si="434"/>
        <v>130000000</v>
      </c>
      <c r="AI54" s="457">
        <f t="shared" si="435"/>
        <v>10833333.333333334</v>
      </c>
      <c r="AJ54" s="221"/>
      <c r="AK54" s="457">
        <v>12</v>
      </c>
      <c r="AL54" s="457">
        <f t="shared" si="436"/>
        <v>130000000</v>
      </c>
      <c r="AM54" s="457">
        <f t="shared" si="437"/>
        <v>130000000</v>
      </c>
      <c r="AN54" s="457">
        <f t="shared" si="438"/>
        <v>10833333.333333334</v>
      </c>
      <c r="AO54" s="221"/>
      <c r="AP54" s="457">
        <v>12</v>
      </c>
      <c r="AQ54" s="457">
        <f t="shared" si="439"/>
        <v>130000000</v>
      </c>
      <c r="AR54" s="457">
        <f t="shared" si="440"/>
        <v>130000000</v>
      </c>
      <c r="AS54" s="457">
        <f t="shared" si="441"/>
        <v>10833333.333333334</v>
      </c>
      <c r="AT54" s="221"/>
      <c r="AU54" s="457">
        <v>12</v>
      </c>
      <c r="AV54" s="457">
        <f t="shared" si="442"/>
        <v>130000000</v>
      </c>
      <c r="AW54" s="457">
        <f t="shared" si="443"/>
        <v>130000000</v>
      </c>
      <c r="AX54" s="457">
        <f t="shared" si="444"/>
        <v>10833333.333333334</v>
      </c>
      <c r="AY54" s="221"/>
      <c r="AZ54" s="457">
        <v>12</v>
      </c>
      <c r="BA54" s="457">
        <f t="shared" si="445"/>
        <v>130000000</v>
      </c>
      <c r="BB54" s="457">
        <f t="shared" si="446"/>
        <v>130000000</v>
      </c>
      <c r="BC54" s="457">
        <f t="shared" si="447"/>
        <v>10833333.333333334</v>
      </c>
      <c r="BD54" s="221"/>
      <c r="BG54" t="s">
        <v>337</v>
      </c>
      <c r="BI54" s="15">
        <f t="shared" si="448"/>
        <v>10833333.333333334</v>
      </c>
      <c r="BJ54" s="15">
        <f t="shared" si="448"/>
        <v>10833333.333333334</v>
      </c>
      <c r="BK54" s="15">
        <f t="shared" si="448"/>
        <v>10833333.333333334</v>
      </c>
      <c r="BL54" s="15">
        <f t="shared" si="448"/>
        <v>10833333.333333334</v>
      </c>
      <c r="BM54" s="15">
        <f t="shared" si="448"/>
        <v>10833333.333333334</v>
      </c>
      <c r="BN54" s="15">
        <f t="shared" si="448"/>
        <v>10833333.333333334</v>
      </c>
      <c r="BO54" s="15">
        <f t="shared" si="448"/>
        <v>10833333.333333334</v>
      </c>
      <c r="BP54" s="15">
        <f t="shared" si="448"/>
        <v>10833333.333333334</v>
      </c>
      <c r="BQ54" s="15">
        <f t="shared" si="448"/>
        <v>10833333.333333334</v>
      </c>
      <c r="BR54" s="15">
        <f t="shared" si="448"/>
        <v>10833333.333333334</v>
      </c>
      <c r="BS54" s="15">
        <f t="shared" si="448"/>
        <v>10833333.333333334</v>
      </c>
      <c r="BT54" s="15">
        <f t="shared" si="448"/>
        <v>10833333.333333334</v>
      </c>
      <c r="BU54" s="15">
        <f t="shared" si="448"/>
        <v>0</v>
      </c>
      <c r="BV54" s="15">
        <f t="shared" si="448"/>
        <v>0</v>
      </c>
      <c r="BW54" s="15">
        <f t="shared" si="448"/>
        <v>0</v>
      </c>
      <c r="BX54" s="15">
        <f t="shared" si="448"/>
        <v>0</v>
      </c>
      <c r="BY54" s="15">
        <f t="shared" si="449"/>
        <v>0</v>
      </c>
      <c r="BZ54" s="15">
        <f t="shared" si="449"/>
        <v>0</v>
      </c>
      <c r="CA54" s="15">
        <f t="shared" si="449"/>
        <v>0</v>
      </c>
      <c r="CB54" s="15">
        <f t="shared" si="449"/>
        <v>0</v>
      </c>
      <c r="CC54" s="15">
        <f t="shared" si="449"/>
        <v>0</v>
      </c>
      <c r="CD54" s="15">
        <f t="shared" si="449"/>
        <v>0</v>
      </c>
      <c r="CE54" s="15">
        <f t="shared" si="449"/>
        <v>0</v>
      </c>
      <c r="CF54" s="15">
        <f t="shared" si="449"/>
        <v>0</v>
      </c>
      <c r="CG54" s="15">
        <f t="shared" si="449"/>
        <v>0</v>
      </c>
      <c r="CH54" s="15">
        <f t="shared" si="449"/>
        <v>0</v>
      </c>
      <c r="CI54" s="15">
        <f t="shared" si="449"/>
        <v>0</v>
      </c>
      <c r="CJ54" s="15">
        <f t="shared" si="449"/>
        <v>0</v>
      </c>
      <c r="CK54" s="15">
        <f t="shared" si="449"/>
        <v>0</v>
      </c>
      <c r="CL54" s="15">
        <f t="shared" si="449"/>
        <v>0</v>
      </c>
      <c r="CN54" s="15">
        <f t="shared" si="450"/>
        <v>10833333.333333334</v>
      </c>
      <c r="CO54" s="15">
        <f t="shared" si="450"/>
        <v>10833333.333333334</v>
      </c>
      <c r="CP54" s="15">
        <f t="shared" si="450"/>
        <v>10833333.333333334</v>
      </c>
      <c r="CQ54" s="15">
        <f t="shared" si="450"/>
        <v>10833333.333333334</v>
      </c>
      <c r="CR54" s="15">
        <f t="shared" si="450"/>
        <v>10833333.333333334</v>
      </c>
      <c r="CS54" s="15">
        <f t="shared" si="450"/>
        <v>10833333.333333334</v>
      </c>
      <c r="CT54" s="15">
        <f t="shared" si="450"/>
        <v>10833333.333333334</v>
      </c>
      <c r="CU54" s="15">
        <f t="shared" si="450"/>
        <v>10833333.333333334</v>
      </c>
      <c r="CV54" s="15">
        <f t="shared" si="450"/>
        <v>10833333.333333334</v>
      </c>
      <c r="CW54" s="15">
        <f t="shared" si="450"/>
        <v>10833333.333333334</v>
      </c>
      <c r="CX54" s="15">
        <f t="shared" si="450"/>
        <v>10833333.333333334</v>
      </c>
      <c r="CY54" s="15">
        <f t="shared" si="450"/>
        <v>10833333.333333334</v>
      </c>
      <c r="CZ54" s="15">
        <f t="shared" si="450"/>
        <v>0</v>
      </c>
      <c r="DA54" s="15">
        <f t="shared" si="450"/>
        <v>0</v>
      </c>
      <c r="DB54" s="15">
        <f t="shared" si="450"/>
        <v>0</v>
      </c>
      <c r="DC54" s="15">
        <f t="shared" si="450"/>
        <v>0</v>
      </c>
      <c r="DD54" s="15">
        <f t="shared" si="451"/>
        <v>0</v>
      </c>
      <c r="DE54" s="15">
        <f t="shared" si="451"/>
        <v>0</v>
      </c>
      <c r="DF54" s="15">
        <f t="shared" si="451"/>
        <v>0</v>
      </c>
      <c r="DG54" s="15">
        <f t="shared" si="451"/>
        <v>0</v>
      </c>
      <c r="DH54" s="15">
        <f t="shared" si="451"/>
        <v>0</v>
      </c>
      <c r="DI54" s="15">
        <f t="shared" si="451"/>
        <v>0</v>
      </c>
      <c r="DJ54" s="15">
        <f t="shared" si="451"/>
        <v>0</v>
      </c>
      <c r="DK54" s="15">
        <f t="shared" si="451"/>
        <v>0</v>
      </c>
      <c r="DL54" s="15">
        <f t="shared" si="451"/>
        <v>0</v>
      </c>
      <c r="DM54" s="15">
        <f t="shared" si="451"/>
        <v>0</v>
      </c>
      <c r="DN54" s="15">
        <f t="shared" si="451"/>
        <v>0</v>
      </c>
      <c r="DO54" s="15">
        <f t="shared" si="451"/>
        <v>0</v>
      </c>
      <c r="DP54" s="15">
        <f t="shared" si="451"/>
        <v>0</v>
      </c>
      <c r="DQ54" s="15">
        <f t="shared" si="451"/>
        <v>0</v>
      </c>
      <c r="DS54" s="15">
        <f t="shared" si="452"/>
        <v>10833333.333333334</v>
      </c>
      <c r="DT54" s="15">
        <f t="shared" si="452"/>
        <v>10833333.333333334</v>
      </c>
      <c r="DU54" s="15">
        <f t="shared" si="452"/>
        <v>10833333.333333334</v>
      </c>
      <c r="DV54" s="15">
        <f t="shared" si="452"/>
        <v>10833333.333333334</v>
      </c>
      <c r="DW54" s="15">
        <f t="shared" si="452"/>
        <v>10833333.333333334</v>
      </c>
      <c r="DX54" s="15">
        <f t="shared" si="452"/>
        <v>10833333.333333334</v>
      </c>
      <c r="DY54" s="15">
        <f t="shared" si="452"/>
        <v>10833333.333333334</v>
      </c>
      <c r="DZ54" s="15">
        <f t="shared" si="452"/>
        <v>10833333.333333334</v>
      </c>
      <c r="EA54" s="15">
        <f t="shared" si="452"/>
        <v>10833333.333333334</v>
      </c>
      <c r="EB54" s="15">
        <f t="shared" si="452"/>
        <v>10833333.333333334</v>
      </c>
      <c r="EC54" s="15">
        <f t="shared" si="452"/>
        <v>10833333.333333334</v>
      </c>
      <c r="ED54" s="15">
        <f t="shared" si="452"/>
        <v>10833333.333333334</v>
      </c>
      <c r="EE54" s="15">
        <f t="shared" si="452"/>
        <v>0</v>
      </c>
      <c r="EF54" s="15">
        <f t="shared" si="452"/>
        <v>0</v>
      </c>
      <c r="EG54" s="15">
        <f t="shared" si="452"/>
        <v>0</v>
      </c>
      <c r="EH54" s="15">
        <f t="shared" si="452"/>
        <v>0</v>
      </c>
      <c r="EI54" s="15">
        <f t="shared" si="453"/>
        <v>0</v>
      </c>
      <c r="EJ54" s="15">
        <f t="shared" si="453"/>
        <v>0</v>
      </c>
      <c r="EK54" s="15">
        <f t="shared" si="453"/>
        <v>0</v>
      </c>
      <c r="EL54" s="15">
        <f t="shared" si="453"/>
        <v>0</v>
      </c>
      <c r="EM54" s="15">
        <f t="shared" si="453"/>
        <v>0</v>
      </c>
      <c r="EN54" s="15">
        <f t="shared" si="453"/>
        <v>0</v>
      </c>
      <c r="EO54" s="15">
        <f t="shared" si="453"/>
        <v>0</v>
      </c>
      <c r="EP54" s="15">
        <f t="shared" si="453"/>
        <v>0</v>
      </c>
      <c r="EQ54" s="15">
        <f t="shared" si="453"/>
        <v>0</v>
      </c>
      <c r="ER54" s="15">
        <f t="shared" si="453"/>
        <v>0</v>
      </c>
      <c r="ES54" s="15">
        <f t="shared" si="453"/>
        <v>0</v>
      </c>
      <c r="ET54" s="15">
        <f t="shared" si="453"/>
        <v>0</v>
      </c>
      <c r="EU54" s="15">
        <f t="shared" si="453"/>
        <v>0</v>
      </c>
      <c r="EV54" s="15">
        <f t="shared" si="453"/>
        <v>0</v>
      </c>
      <c r="EX54" s="15">
        <f t="shared" si="454"/>
        <v>10833333.333333334</v>
      </c>
      <c r="EY54" s="15">
        <f t="shared" si="454"/>
        <v>10833333.333333334</v>
      </c>
      <c r="EZ54" s="15">
        <f t="shared" si="454"/>
        <v>10833333.333333334</v>
      </c>
      <c r="FA54" s="15">
        <f t="shared" si="454"/>
        <v>10833333.333333334</v>
      </c>
      <c r="FB54" s="15">
        <f t="shared" si="454"/>
        <v>10833333.333333334</v>
      </c>
      <c r="FC54" s="15">
        <f t="shared" si="454"/>
        <v>10833333.333333334</v>
      </c>
      <c r="FD54" s="15">
        <f t="shared" si="454"/>
        <v>10833333.333333334</v>
      </c>
      <c r="FE54" s="15">
        <f t="shared" si="454"/>
        <v>10833333.333333334</v>
      </c>
      <c r="FF54" s="15">
        <f t="shared" si="454"/>
        <v>10833333.333333334</v>
      </c>
      <c r="FG54" s="15">
        <f t="shared" si="454"/>
        <v>10833333.333333334</v>
      </c>
      <c r="FH54" s="15">
        <f t="shared" si="454"/>
        <v>10833333.333333334</v>
      </c>
      <c r="FI54" s="15">
        <f t="shared" si="454"/>
        <v>10833333.333333334</v>
      </c>
      <c r="FJ54" s="15">
        <f t="shared" si="454"/>
        <v>0</v>
      </c>
      <c r="FK54" s="15">
        <f t="shared" si="454"/>
        <v>0</v>
      </c>
      <c r="FL54" s="15">
        <f t="shared" si="454"/>
        <v>0</v>
      </c>
      <c r="FM54" s="15">
        <f t="shared" si="454"/>
        <v>0</v>
      </c>
      <c r="FN54" s="15">
        <f t="shared" si="455"/>
        <v>0</v>
      </c>
      <c r="FO54" s="15">
        <f t="shared" si="455"/>
        <v>0</v>
      </c>
      <c r="FP54" s="15">
        <f t="shared" si="455"/>
        <v>0</v>
      </c>
      <c r="FQ54" s="15">
        <f t="shared" si="455"/>
        <v>0</v>
      </c>
      <c r="FR54" s="15">
        <f t="shared" si="455"/>
        <v>0</v>
      </c>
      <c r="FS54" s="15">
        <f t="shared" si="455"/>
        <v>0</v>
      </c>
      <c r="FT54" s="15">
        <f t="shared" si="455"/>
        <v>0</v>
      </c>
      <c r="FU54" s="15">
        <f t="shared" si="455"/>
        <v>0</v>
      </c>
      <c r="FV54" s="15">
        <f t="shared" si="455"/>
        <v>0</v>
      </c>
      <c r="FW54" s="15">
        <f t="shared" si="455"/>
        <v>0</v>
      </c>
      <c r="FX54" s="15">
        <f t="shared" si="455"/>
        <v>0</v>
      </c>
      <c r="FY54" s="15">
        <f t="shared" si="455"/>
        <v>0</v>
      </c>
      <c r="FZ54" s="15">
        <f t="shared" si="455"/>
        <v>0</v>
      </c>
      <c r="GA54" s="15">
        <f t="shared" si="455"/>
        <v>0</v>
      </c>
      <c r="GC54" s="15">
        <f t="shared" si="456"/>
        <v>10833333.333333334</v>
      </c>
      <c r="GD54" s="15">
        <f t="shared" si="456"/>
        <v>10833333.333333334</v>
      </c>
      <c r="GE54" s="15">
        <f t="shared" si="456"/>
        <v>10833333.333333334</v>
      </c>
      <c r="GF54" s="15">
        <f t="shared" si="456"/>
        <v>10833333.333333334</v>
      </c>
      <c r="GG54" s="15">
        <f t="shared" si="456"/>
        <v>10833333.333333334</v>
      </c>
      <c r="GH54" s="15">
        <f t="shared" si="456"/>
        <v>10833333.333333334</v>
      </c>
      <c r="GI54" s="15">
        <f t="shared" si="456"/>
        <v>10833333.333333334</v>
      </c>
      <c r="GJ54" s="15">
        <f t="shared" si="456"/>
        <v>10833333.333333334</v>
      </c>
      <c r="GK54" s="15">
        <f t="shared" si="456"/>
        <v>10833333.333333334</v>
      </c>
      <c r="GL54" s="15">
        <f t="shared" si="456"/>
        <v>10833333.333333334</v>
      </c>
      <c r="GM54" s="15">
        <f t="shared" si="456"/>
        <v>10833333.333333334</v>
      </c>
      <c r="GN54" s="15">
        <f t="shared" si="456"/>
        <v>10833333.333333334</v>
      </c>
      <c r="GO54" s="15">
        <f t="shared" si="456"/>
        <v>0</v>
      </c>
      <c r="GP54" s="15">
        <f t="shared" si="456"/>
        <v>0</v>
      </c>
      <c r="GQ54" s="15">
        <f t="shared" si="456"/>
        <v>0</v>
      </c>
      <c r="GR54" s="15">
        <f t="shared" si="456"/>
        <v>0</v>
      </c>
      <c r="GS54" s="15">
        <f t="shared" si="457"/>
        <v>0</v>
      </c>
      <c r="GT54" s="15">
        <f t="shared" si="457"/>
        <v>0</v>
      </c>
      <c r="GU54" s="15">
        <f t="shared" si="457"/>
        <v>0</v>
      </c>
      <c r="GV54" s="15">
        <f t="shared" si="457"/>
        <v>0</v>
      </c>
      <c r="GW54" s="15">
        <f t="shared" si="457"/>
        <v>0</v>
      </c>
      <c r="GX54" s="15">
        <f t="shared" si="457"/>
        <v>0</v>
      </c>
      <c r="GY54" s="15">
        <f t="shared" si="457"/>
        <v>0</v>
      </c>
      <c r="GZ54" s="15">
        <f t="shared" si="457"/>
        <v>0</v>
      </c>
      <c r="HA54" s="15">
        <f t="shared" si="457"/>
        <v>0</v>
      </c>
      <c r="HB54" s="15">
        <f t="shared" si="457"/>
        <v>0</v>
      </c>
      <c r="HC54" s="15">
        <f t="shared" si="457"/>
        <v>0</v>
      </c>
      <c r="HD54" s="15">
        <f t="shared" si="457"/>
        <v>0</v>
      </c>
      <c r="HE54" s="15">
        <f t="shared" si="457"/>
        <v>0</v>
      </c>
      <c r="HF54" s="15">
        <f t="shared" si="457"/>
        <v>0</v>
      </c>
      <c r="HH54" s="15">
        <f t="shared" si="458"/>
        <v>10833333.333333334</v>
      </c>
      <c r="HI54" s="15">
        <f t="shared" si="458"/>
        <v>10833333.333333334</v>
      </c>
      <c r="HJ54" s="15">
        <f t="shared" si="458"/>
        <v>10833333.333333334</v>
      </c>
      <c r="HK54" s="15">
        <f t="shared" si="458"/>
        <v>10833333.333333334</v>
      </c>
      <c r="HL54" s="15">
        <f t="shared" si="458"/>
        <v>10833333.333333334</v>
      </c>
      <c r="HM54" s="15">
        <f t="shared" si="458"/>
        <v>10833333.333333334</v>
      </c>
      <c r="HN54" s="15">
        <f t="shared" si="458"/>
        <v>10833333.333333334</v>
      </c>
      <c r="HO54" s="15">
        <f t="shared" si="458"/>
        <v>10833333.333333334</v>
      </c>
      <c r="HP54" s="15">
        <f t="shared" si="458"/>
        <v>10833333.333333334</v>
      </c>
      <c r="HQ54" s="15">
        <f t="shared" si="458"/>
        <v>10833333.333333334</v>
      </c>
      <c r="HR54" s="15">
        <f t="shared" si="458"/>
        <v>10833333.333333334</v>
      </c>
      <c r="HS54" s="15">
        <f t="shared" si="458"/>
        <v>10833333.333333334</v>
      </c>
      <c r="HT54" s="15">
        <f t="shared" si="458"/>
        <v>0</v>
      </c>
      <c r="HU54" s="15">
        <f t="shared" si="458"/>
        <v>0</v>
      </c>
      <c r="HV54" s="15">
        <f t="shared" si="458"/>
        <v>0</v>
      </c>
      <c r="HW54" s="15">
        <f t="shared" si="458"/>
        <v>0</v>
      </c>
      <c r="HX54" s="15">
        <f t="shared" si="459"/>
        <v>0</v>
      </c>
      <c r="HY54" s="15">
        <f t="shared" si="459"/>
        <v>0</v>
      </c>
      <c r="HZ54" s="15">
        <f t="shared" si="459"/>
        <v>0</v>
      </c>
      <c r="IA54" s="15">
        <f t="shared" si="459"/>
        <v>0</v>
      </c>
      <c r="IB54" s="15">
        <f t="shared" si="459"/>
        <v>0</v>
      </c>
      <c r="IC54" s="15">
        <f t="shared" si="459"/>
        <v>0</v>
      </c>
      <c r="ID54" s="15">
        <f t="shared" si="459"/>
        <v>0</v>
      </c>
      <c r="IE54" s="15">
        <f t="shared" si="459"/>
        <v>0</v>
      </c>
      <c r="IF54" s="15">
        <f t="shared" si="459"/>
        <v>0</v>
      </c>
      <c r="IG54" s="15">
        <f t="shared" si="459"/>
        <v>0</v>
      </c>
      <c r="IH54" s="15">
        <f t="shared" si="459"/>
        <v>0</v>
      </c>
      <c r="II54" s="15">
        <f t="shared" si="459"/>
        <v>0</v>
      </c>
      <c r="IJ54" s="15">
        <f t="shared" si="459"/>
        <v>0</v>
      </c>
      <c r="IK54" s="15">
        <f t="shared" si="459"/>
        <v>0</v>
      </c>
      <c r="IM54" s="15">
        <f t="shared" si="460"/>
        <v>10833333.333333334</v>
      </c>
      <c r="IN54" s="15">
        <f t="shared" si="460"/>
        <v>10833333.333333334</v>
      </c>
      <c r="IO54" s="15">
        <f t="shared" si="460"/>
        <v>10833333.333333334</v>
      </c>
      <c r="IP54" s="15">
        <f t="shared" si="460"/>
        <v>10833333.333333334</v>
      </c>
      <c r="IQ54" s="15">
        <f t="shared" si="460"/>
        <v>10833333.333333334</v>
      </c>
      <c r="IR54" s="15">
        <f t="shared" si="460"/>
        <v>10833333.333333334</v>
      </c>
      <c r="IS54" s="15">
        <f t="shared" si="460"/>
        <v>10833333.333333334</v>
      </c>
      <c r="IT54" s="15">
        <f t="shared" si="460"/>
        <v>10833333.333333334</v>
      </c>
      <c r="IU54" s="15">
        <f t="shared" si="460"/>
        <v>10833333.333333334</v>
      </c>
      <c r="IV54" s="15">
        <f t="shared" si="460"/>
        <v>10833333.333333334</v>
      </c>
      <c r="IW54" s="15">
        <f t="shared" si="460"/>
        <v>10833333.333333334</v>
      </c>
      <c r="IX54" s="15">
        <f t="shared" si="460"/>
        <v>10833333.333333334</v>
      </c>
      <c r="IY54" s="15">
        <f t="shared" si="460"/>
        <v>0</v>
      </c>
      <c r="IZ54" s="15">
        <f t="shared" si="460"/>
        <v>0</v>
      </c>
      <c r="JA54" s="15">
        <f t="shared" si="460"/>
        <v>0</v>
      </c>
      <c r="JB54" s="15">
        <f t="shared" si="460"/>
        <v>0</v>
      </c>
      <c r="JC54" s="15">
        <f t="shared" si="461"/>
        <v>0</v>
      </c>
      <c r="JD54" s="15">
        <f t="shared" si="461"/>
        <v>0</v>
      </c>
      <c r="JE54" s="15">
        <f t="shared" si="461"/>
        <v>0</v>
      </c>
      <c r="JF54" s="15">
        <f t="shared" si="461"/>
        <v>0</v>
      </c>
      <c r="JG54" s="15">
        <f t="shared" si="461"/>
        <v>0</v>
      </c>
      <c r="JH54" s="15">
        <f t="shared" si="461"/>
        <v>0</v>
      </c>
      <c r="JI54" s="15">
        <f t="shared" si="461"/>
        <v>0</v>
      </c>
      <c r="JJ54" s="15">
        <f t="shared" si="461"/>
        <v>0</v>
      </c>
      <c r="JK54" s="15">
        <f t="shared" si="461"/>
        <v>0</v>
      </c>
      <c r="JL54" s="15">
        <f t="shared" si="461"/>
        <v>0</v>
      </c>
      <c r="JM54" s="15">
        <f t="shared" si="461"/>
        <v>0</v>
      </c>
      <c r="JN54" s="15">
        <f t="shared" si="461"/>
        <v>0</v>
      </c>
      <c r="JO54" s="15">
        <f t="shared" si="461"/>
        <v>0</v>
      </c>
      <c r="JP54" s="15">
        <f t="shared" si="461"/>
        <v>0</v>
      </c>
      <c r="JR54" s="15">
        <f t="shared" si="462"/>
        <v>10833333.333333334</v>
      </c>
      <c r="JS54" s="15">
        <f t="shared" si="462"/>
        <v>10833333.333333334</v>
      </c>
      <c r="JT54" s="15">
        <f t="shared" si="462"/>
        <v>10833333.333333334</v>
      </c>
      <c r="JU54" s="15">
        <f t="shared" si="462"/>
        <v>10833333.333333334</v>
      </c>
      <c r="JV54" s="15">
        <f t="shared" si="462"/>
        <v>10833333.333333334</v>
      </c>
      <c r="JW54" s="15">
        <f t="shared" si="462"/>
        <v>10833333.333333334</v>
      </c>
      <c r="JX54" s="15">
        <f t="shared" si="462"/>
        <v>10833333.333333334</v>
      </c>
      <c r="JY54" s="15">
        <f t="shared" si="462"/>
        <v>10833333.333333334</v>
      </c>
      <c r="JZ54" s="15">
        <f t="shared" si="462"/>
        <v>10833333.333333334</v>
      </c>
      <c r="KA54" s="15">
        <f t="shared" si="462"/>
        <v>10833333.333333334</v>
      </c>
      <c r="KB54" s="15">
        <f t="shared" si="462"/>
        <v>10833333.333333334</v>
      </c>
      <c r="KC54" s="15">
        <f t="shared" si="462"/>
        <v>10833333.333333334</v>
      </c>
      <c r="KD54" s="15">
        <f t="shared" si="462"/>
        <v>0</v>
      </c>
      <c r="KE54" s="15">
        <f t="shared" si="462"/>
        <v>0</v>
      </c>
      <c r="KF54" s="15">
        <f t="shared" si="462"/>
        <v>0</v>
      </c>
      <c r="KG54" s="15">
        <f t="shared" si="462"/>
        <v>0</v>
      </c>
      <c r="KH54" s="15">
        <f t="shared" si="463"/>
        <v>0</v>
      </c>
      <c r="KI54" s="15">
        <f t="shared" si="463"/>
        <v>0</v>
      </c>
      <c r="KJ54" s="15">
        <f t="shared" si="463"/>
        <v>0</v>
      </c>
      <c r="KK54" s="15">
        <f t="shared" si="463"/>
        <v>0</v>
      </c>
      <c r="KL54" s="15">
        <f t="shared" si="463"/>
        <v>0</v>
      </c>
      <c r="KM54" s="15">
        <f t="shared" si="463"/>
        <v>0</v>
      </c>
      <c r="KN54" s="15">
        <f t="shared" si="463"/>
        <v>0</v>
      </c>
      <c r="KO54" s="15">
        <f t="shared" si="463"/>
        <v>0</v>
      </c>
      <c r="KP54" s="15">
        <f t="shared" si="463"/>
        <v>0</v>
      </c>
      <c r="KQ54" s="15">
        <f t="shared" si="463"/>
        <v>0</v>
      </c>
      <c r="KR54" s="15">
        <f t="shared" si="463"/>
        <v>0</v>
      </c>
      <c r="KS54" s="15">
        <f t="shared" si="463"/>
        <v>0</v>
      </c>
      <c r="KT54" s="15">
        <f t="shared" si="463"/>
        <v>0</v>
      </c>
      <c r="KU54" s="15">
        <f t="shared" si="463"/>
        <v>0</v>
      </c>
      <c r="KW54" s="15">
        <f t="shared" si="464"/>
        <v>10833333.333333334</v>
      </c>
      <c r="KX54" s="15">
        <f t="shared" si="464"/>
        <v>10833333.333333334</v>
      </c>
      <c r="KY54" s="15">
        <f t="shared" si="464"/>
        <v>10833333.333333334</v>
      </c>
      <c r="KZ54" s="15">
        <f t="shared" si="464"/>
        <v>10833333.333333334</v>
      </c>
      <c r="LA54" s="15">
        <f t="shared" si="464"/>
        <v>10833333.333333334</v>
      </c>
      <c r="LB54" s="15">
        <f t="shared" si="464"/>
        <v>10833333.333333334</v>
      </c>
      <c r="LC54" s="15">
        <f t="shared" si="464"/>
        <v>10833333.333333334</v>
      </c>
      <c r="LD54" s="15">
        <f t="shared" si="464"/>
        <v>10833333.333333334</v>
      </c>
      <c r="LE54" s="15">
        <f t="shared" si="464"/>
        <v>10833333.333333334</v>
      </c>
      <c r="LF54" s="15">
        <f t="shared" si="464"/>
        <v>10833333.333333334</v>
      </c>
      <c r="LG54" s="15">
        <f t="shared" si="464"/>
        <v>10833333.333333334</v>
      </c>
      <c r="LH54" s="15">
        <f t="shared" si="464"/>
        <v>10833333.333333334</v>
      </c>
      <c r="LI54" s="15">
        <f t="shared" si="464"/>
        <v>0</v>
      </c>
      <c r="LJ54" s="15">
        <f t="shared" si="464"/>
        <v>0</v>
      </c>
      <c r="LK54" s="15">
        <f t="shared" si="464"/>
        <v>0</v>
      </c>
      <c r="LL54" s="15">
        <f t="shared" si="464"/>
        <v>0</v>
      </c>
      <c r="LM54" s="15">
        <f t="shared" si="465"/>
        <v>0</v>
      </c>
      <c r="LN54" s="15">
        <f t="shared" si="465"/>
        <v>0</v>
      </c>
      <c r="LO54" s="15">
        <f t="shared" si="465"/>
        <v>0</v>
      </c>
      <c r="LP54" s="15">
        <f t="shared" si="465"/>
        <v>0</v>
      </c>
      <c r="LQ54" s="15">
        <f t="shared" si="465"/>
        <v>0</v>
      </c>
      <c r="LR54" s="15">
        <f t="shared" si="465"/>
        <v>0</v>
      </c>
      <c r="LS54" s="15">
        <f t="shared" si="465"/>
        <v>0</v>
      </c>
      <c r="LT54" s="15">
        <f t="shared" si="465"/>
        <v>0</v>
      </c>
      <c r="LU54" s="15">
        <f t="shared" si="465"/>
        <v>0</v>
      </c>
      <c r="LV54" s="15">
        <f t="shared" si="465"/>
        <v>0</v>
      </c>
      <c r="LW54" s="15">
        <f t="shared" si="465"/>
        <v>0</v>
      </c>
      <c r="LX54" s="15">
        <f t="shared" si="465"/>
        <v>0</v>
      </c>
      <c r="LY54" s="15">
        <f t="shared" si="465"/>
        <v>0</v>
      </c>
      <c r="LZ54" s="15">
        <f t="shared" si="465"/>
        <v>0</v>
      </c>
      <c r="MB54" s="15">
        <f t="shared" si="466"/>
        <v>10833333.333333334</v>
      </c>
      <c r="MC54" s="15">
        <f t="shared" si="466"/>
        <v>10833333.333333334</v>
      </c>
      <c r="MD54" s="15">
        <f t="shared" si="466"/>
        <v>10833333.333333334</v>
      </c>
      <c r="ME54" s="15">
        <f t="shared" si="466"/>
        <v>10833333.333333334</v>
      </c>
      <c r="MF54" s="15">
        <f t="shared" si="466"/>
        <v>10833333.333333334</v>
      </c>
      <c r="MG54" s="15">
        <f t="shared" si="466"/>
        <v>10833333.333333334</v>
      </c>
      <c r="MH54" s="15">
        <f t="shared" si="466"/>
        <v>10833333.333333334</v>
      </c>
      <c r="MI54" s="15">
        <f t="shared" si="466"/>
        <v>10833333.333333334</v>
      </c>
      <c r="MJ54" s="15">
        <f t="shared" si="466"/>
        <v>10833333.333333334</v>
      </c>
      <c r="MK54" s="15">
        <f t="shared" si="466"/>
        <v>10833333.333333334</v>
      </c>
      <c r="ML54" s="15">
        <f t="shared" si="466"/>
        <v>10833333.333333334</v>
      </c>
      <c r="MM54" s="15">
        <f t="shared" si="466"/>
        <v>10833333.333333334</v>
      </c>
      <c r="MN54" s="15">
        <f t="shared" si="466"/>
        <v>0</v>
      </c>
      <c r="MO54" s="15">
        <f t="shared" si="466"/>
        <v>0</v>
      </c>
      <c r="MP54" s="15">
        <f t="shared" si="466"/>
        <v>0</v>
      </c>
      <c r="MQ54" s="15">
        <f t="shared" si="466"/>
        <v>0</v>
      </c>
      <c r="MR54" s="15">
        <f t="shared" si="467"/>
        <v>0</v>
      </c>
      <c r="MS54" s="15">
        <f t="shared" si="467"/>
        <v>0</v>
      </c>
      <c r="MT54" s="15">
        <f t="shared" si="467"/>
        <v>0</v>
      </c>
      <c r="MU54" s="15">
        <f t="shared" si="467"/>
        <v>0</v>
      </c>
      <c r="MV54" s="15">
        <f t="shared" si="467"/>
        <v>0</v>
      </c>
      <c r="MW54" s="15">
        <f t="shared" si="467"/>
        <v>0</v>
      </c>
      <c r="MX54" s="15">
        <f t="shared" si="467"/>
        <v>0</v>
      </c>
      <c r="MY54" s="15">
        <f t="shared" si="467"/>
        <v>0</v>
      </c>
      <c r="MZ54" s="15">
        <f t="shared" si="467"/>
        <v>0</v>
      </c>
      <c r="NA54" s="15">
        <f t="shared" si="467"/>
        <v>0</v>
      </c>
      <c r="NB54" s="15">
        <f t="shared" si="467"/>
        <v>0</v>
      </c>
      <c r="NC54" s="15">
        <f t="shared" si="467"/>
        <v>0</v>
      </c>
      <c r="ND54" s="15">
        <f t="shared" si="467"/>
        <v>0</v>
      </c>
      <c r="NE54" s="15">
        <f t="shared" si="467"/>
        <v>0</v>
      </c>
    </row>
    <row r="55" spans="1:369" outlineLevel="1" x14ac:dyDescent="0.25">
      <c r="B55" t="s">
        <v>345</v>
      </c>
      <c r="C55" s="623" t="s">
        <v>258</v>
      </c>
      <c r="D55" s="613" t="s">
        <v>240</v>
      </c>
      <c r="E55" s="468">
        <v>1</v>
      </c>
      <c r="F55" s="221"/>
      <c r="G55" s="457">
        <v>12</v>
      </c>
      <c r="H55" s="468">
        <f t="shared" si="468"/>
        <v>130000000</v>
      </c>
      <c r="I55" s="457">
        <f t="shared" si="419"/>
        <v>130000000</v>
      </c>
      <c r="J55" s="457">
        <f t="shared" si="420"/>
        <v>10833333.333333334</v>
      </c>
      <c r="K55" s="221"/>
      <c r="L55" s="457">
        <v>12</v>
      </c>
      <c r="M55" s="457">
        <f t="shared" si="421"/>
        <v>130000000</v>
      </c>
      <c r="N55" s="457">
        <f t="shared" si="422"/>
        <v>130000000</v>
      </c>
      <c r="O55" s="457">
        <f t="shared" si="423"/>
        <v>10833333.333333334</v>
      </c>
      <c r="P55" s="221"/>
      <c r="Q55" s="457">
        <v>12</v>
      </c>
      <c r="R55" s="457">
        <f t="shared" si="424"/>
        <v>130000000</v>
      </c>
      <c r="S55" s="457">
        <f t="shared" si="425"/>
        <v>130000000</v>
      </c>
      <c r="T55" s="457">
        <f t="shared" si="426"/>
        <v>10833333.333333334</v>
      </c>
      <c r="U55" s="221"/>
      <c r="V55" s="457">
        <v>12</v>
      </c>
      <c r="W55" s="457">
        <f t="shared" si="427"/>
        <v>130000000</v>
      </c>
      <c r="X55" s="457">
        <f t="shared" si="428"/>
        <v>130000000</v>
      </c>
      <c r="Y55" s="457">
        <f t="shared" si="429"/>
        <v>10833333.333333334</v>
      </c>
      <c r="Z55" s="221"/>
      <c r="AA55" s="457">
        <v>12</v>
      </c>
      <c r="AB55" s="457">
        <f t="shared" si="430"/>
        <v>130000000</v>
      </c>
      <c r="AC55" s="457">
        <f t="shared" si="431"/>
        <v>130000000</v>
      </c>
      <c r="AD55" s="457">
        <f t="shared" si="432"/>
        <v>10833333.333333334</v>
      </c>
      <c r="AE55" s="221"/>
      <c r="AF55" s="457">
        <v>12</v>
      </c>
      <c r="AG55" s="457">
        <f t="shared" si="433"/>
        <v>130000000</v>
      </c>
      <c r="AH55" s="457">
        <f t="shared" si="434"/>
        <v>130000000</v>
      </c>
      <c r="AI55" s="457">
        <f t="shared" si="435"/>
        <v>10833333.333333334</v>
      </c>
      <c r="AJ55" s="221"/>
      <c r="AK55" s="457">
        <v>12</v>
      </c>
      <c r="AL55" s="457">
        <f t="shared" si="436"/>
        <v>130000000</v>
      </c>
      <c r="AM55" s="457">
        <f t="shared" si="437"/>
        <v>130000000</v>
      </c>
      <c r="AN55" s="457">
        <f t="shared" si="438"/>
        <v>10833333.333333334</v>
      </c>
      <c r="AO55" s="221"/>
      <c r="AP55" s="457">
        <v>12</v>
      </c>
      <c r="AQ55" s="457">
        <f t="shared" si="439"/>
        <v>130000000</v>
      </c>
      <c r="AR55" s="457">
        <f t="shared" si="440"/>
        <v>130000000</v>
      </c>
      <c r="AS55" s="457">
        <f t="shared" si="441"/>
        <v>10833333.333333334</v>
      </c>
      <c r="AT55" s="221"/>
      <c r="AU55" s="457">
        <v>12</v>
      </c>
      <c r="AV55" s="457">
        <f t="shared" si="442"/>
        <v>130000000</v>
      </c>
      <c r="AW55" s="457">
        <f t="shared" si="443"/>
        <v>130000000</v>
      </c>
      <c r="AX55" s="457">
        <f t="shared" si="444"/>
        <v>10833333.333333334</v>
      </c>
      <c r="AY55" s="221"/>
      <c r="AZ55" s="457">
        <v>12</v>
      </c>
      <c r="BA55" s="457">
        <f t="shared" si="445"/>
        <v>130000000</v>
      </c>
      <c r="BB55" s="457">
        <f t="shared" si="446"/>
        <v>130000000</v>
      </c>
      <c r="BC55" s="457">
        <f t="shared" si="447"/>
        <v>10833333.333333334</v>
      </c>
      <c r="BD55" s="221"/>
      <c r="BG55" t="s">
        <v>337</v>
      </c>
      <c r="BI55" s="15">
        <f t="shared" si="448"/>
        <v>10833333.333333334</v>
      </c>
      <c r="BJ55" s="15">
        <f t="shared" si="448"/>
        <v>10833333.333333334</v>
      </c>
      <c r="BK55" s="15">
        <f t="shared" si="448"/>
        <v>10833333.333333334</v>
      </c>
      <c r="BL55" s="15">
        <f t="shared" si="448"/>
        <v>10833333.333333334</v>
      </c>
      <c r="BM55" s="15">
        <f t="shared" si="448"/>
        <v>10833333.333333334</v>
      </c>
      <c r="BN55" s="15">
        <f t="shared" si="448"/>
        <v>10833333.333333334</v>
      </c>
      <c r="BO55" s="15">
        <f t="shared" si="448"/>
        <v>10833333.333333334</v>
      </c>
      <c r="BP55" s="15">
        <f t="shared" si="448"/>
        <v>10833333.333333334</v>
      </c>
      <c r="BQ55" s="15">
        <f t="shared" si="448"/>
        <v>10833333.333333334</v>
      </c>
      <c r="BR55" s="15">
        <f t="shared" si="448"/>
        <v>10833333.333333334</v>
      </c>
      <c r="BS55" s="15">
        <f t="shared" si="448"/>
        <v>10833333.333333334</v>
      </c>
      <c r="BT55" s="15">
        <f t="shared" si="448"/>
        <v>10833333.333333334</v>
      </c>
      <c r="BU55" s="15">
        <f t="shared" si="448"/>
        <v>0</v>
      </c>
      <c r="BV55" s="15">
        <f t="shared" si="448"/>
        <v>0</v>
      </c>
      <c r="BW55" s="15">
        <f t="shared" si="448"/>
        <v>0</v>
      </c>
      <c r="BX55" s="15">
        <f t="shared" ref="BX55:CL58" si="469">IF($G55&gt;=BX$8,$J55,0)</f>
        <v>0</v>
      </c>
      <c r="BY55" s="15">
        <f t="shared" si="469"/>
        <v>0</v>
      </c>
      <c r="BZ55" s="15">
        <f t="shared" si="469"/>
        <v>0</v>
      </c>
      <c r="CA55" s="15">
        <f t="shared" si="469"/>
        <v>0</v>
      </c>
      <c r="CB55" s="15">
        <f t="shared" si="469"/>
        <v>0</v>
      </c>
      <c r="CC55" s="15">
        <f t="shared" si="469"/>
        <v>0</v>
      </c>
      <c r="CD55" s="15">
        <f t="shared" si="469"/>
        <v>0</v>
      </c>
      <c r="CE55" s="15">
        <f t="shared" si="469"/>
        <v>0</v>
      </c>
      <c r="CF55" s="15">
        <f t="shared" si="469"/>
        <v>0</v>
      </c>
      <c r="CG55" s="15">
        <f t="shared" si="469"/>
        <v>0</v>
      </c>
      <c r="CH55" s="15">
        <f t="shared" si="469"/>
        <v>0</v>
      </c>
      <c r="CI55" s="15">
        <f t="shared" si="469"/>
        <v>0</v>
      </c>
      <c r="CJ55" s="15">
        <f t="shared" si="469"/>
        <v>0</v>
      </c>
      <c r="CK55" s="15">
        <f t="shared" si="469"/>
        <v>0</v>
      </c>
      <c r="CL55" s="15">
        <f t="shared" si="469"/>
        <v>0</v>
      </c>
      <c r="CN55" s="15">
        <f t="shared" si="450"/>
        <v>10833333.333333334</v>
      </c>
      <c r="CO55" s="15">
        <f t="shared" si="450"/>
        <v>10833333.333333334</v>
      </c>
      <c r="CP55" s="15">
        <f t="shared" si="450"/>
        <v>10833333.333333334</v>
      </c>
      <c r="CQ55" s="15">
        <f t="shared" si="450"/>
        <v>10833333.333333334</v>
      </c>
      <c r="CR55" s="15">
        <f t="shared" si="450"/>
        <v>10833333.333333334</v>
      </c>
      <c r="CS55" s="15">
        <f t="shared" si="450"/>
        <v>10833333.333333334</v>
      </c>
      <c r="CT55" s="15">
        <f t="shared" si="450"/>
        <v>10833333.333333334</v>
      </c>
      <c r="CU55" s="15">
        <f t="shared" si="450"/>
        <v>10833333.333333334</v>
      </c>
      <c r="CV55" s="15">
        <f t="shared" si="450"/>
        <v>10833333.333333334</v>
      </c>
      <c r="CW55" s="15">
        <f t="shared" si="450"/>
        <v>10833333.333333334</v>
      </c>
      <c r="CX55" s="15">
        <f t="shared" si="450"/>
        <v>10833333.333333334</v>
      </c>
      <c r="CY55" s="15">
        <f t="shared" si="450"/>
        <v>10833333.333333334</v>
      </c>
      <c r="CZ55" s="15">
        <f t="shared" si="450"/>
        <v>0</v>
      </c>
      <c r="DA55" s="15">
        <f t="shared" si="450"/>
        <v>0</v>
      </c>
      <c r="DB55" s="15">
        <f t="shared" si="450"/>
        <v>0</v>
      </c>
      <c r="DC55" s="15">
        <f t="shared" ref="DC55:DQ58" si="470">IF($L55&gt;=DC$8,$O55,0)</f>
        <v>0</v>
      </c>
      <c r="DD55" s="15">
        <f t="shared" si="470"/>
        <v>0</v>
      </c>
      <c r="DE55" s="15">
        <f t="shared" si="470"/>
        <v>0</v>
      </c>
      <c r="DF55" s="15">
        <f t="shared" si="470"/>
        <v>0</v>
      </c>
      <c r="DG55" s="15">
        <f t="shared" si="470"/>
        <v>0</v>
      </c>
      <c r="DH55" s="15">
        <f t="shared" si="470"/>
        <v>0</v>
      </c>
      <c r="DI55" s="15">
        <f t="shared" si="470"/>
        <v>0</v>
      </c>
      <c r="DJ55" s="15">
        <f t="shared" si="470"/>
        <v>0</v>
      </c>
      <c r="DK55" s="15">
        <f t="shared" si="470"/>
        <v>0</v>
      </c>
      <c r="DL55" s="15">
        <f t="shared" si="470"/>
        <v>0</v>
      </c>
      <c r="DM55" s="15">
        <f t="shared" si="470"/>
        <v>0</v>
      </c>
      <c r="DN55" s="15">
        <f t="shared" si="470"/>
        <v>0</v>
      </c>
      <c r="DO55" s="15">
        <f t="shared" si="470"/>
        <v>0</v>
      </c>
      <c r="DP55" s="15">
        <f t="shared" si="470"/>
        <v>0</v>
      </c>
      <c r="DQ55" s="15">
        <f t="shared" si="470"/>
        <v>0</v>
      </c>
      <c r="DS55" s="15">
        <f t="shared" si="452"/>
        <v>10833333.333333334</v>
      </c>
      <c r="DT55" s="15">
        <f t="shared" si="452"/>
        <v>10833333.333333334</v>
      </c>
      <c r="DU55" s="15">
        <f t="shared" si="452"/>
        <v>10833333.333333334</v>
      </c>
      <c r="DV55" s="15">
        <f t="shared" si="452"/>
        <v>10833333.333333334</v>
      </c>
      <c r="DW55" s="15">
        <f t="shared" si="452"/>
        <v>10833333.333333334</v>
      </c>
      <c r="DX55" s="15">
        <f t="shared" si="452"/>
        <v>10833333.333333334</v>
      </c>
      <c r="DY55" s="15">
        <f t="shared" si="452"/>
        <v>10833333.333333334</v>
      </c>
      <c r="DZ55" s="15">
        <f t="shared" si="452"/>
        <v>10833333.333333334</v>
      </c>
      <c r="EA55" s="15">
        <f t="shared" si="452"/>
        <v>10833333.333333334</v>
      </c>
      <c r="EB55" s="15">
        <f t="shared" si="452"/>
        <v>10833333.333333334</v>
      </c>
      <c r="EC55" s="15">
        <f t="shared" si="452"/>
        <v>10833333.333333334</v>
      </c>
      <c r="ED55" s="15">
        <f t="shared" si="452"/>
        <v>10833333.333333334</v>
      </c>
      <c r="EE55" s="15">
        <f t="shared" si="452"/>
        <v>0</v>
      </c>
      <c r="EF55" s="15">
        <f t="shared" si="452"/>
        <v>0</v>
      </c>
      <c r="EG55" s="15">
        <f t="shared" si="452"/>
        <v>0</v>
      </c>
      <c r="EH55" s="15">
        <f t="shared" ref="EH55:EI58" si="471">IF($Q55&gt;=EH$8,$T55,0)</f>
        <v>0</v>
      </c>
      <c r="EI55" s="15">
        <f t="shared" si="471"/>
        <v>0</v>
      </c>
      <c r="EJ55" s="15">
        <f t="shared" si="453"/>
        <v>0</v>
      </c>
      <c r="EK55" s="15">
        <f t="shared" si="453"/>
        <v>0</v>
      </c>
      <c r="EL55" s="15">
        <f t="shared" si="453"/>
        <v>0</v>
      </c>
      <c r="EM55" s="15">
        <f t="shared" si="453"/>
        <v>0</v>
      </c>
      <c r="EN55" s="15">
        <f t="shared" si="453"/>
        <v>0</v>
      </c>
      <c r="EO55" s="15">
        <f t="shared" si="453"/>
        <v>0</v>
      </c>
      <c r="EP55" s="15">
        <f t="shared" si="453"/>
        <v>0</v>
      </c>
      <c r="EQ55" s="15">
        <f t="shared" si="453"/>
        <v>0</v>
      </c>
      <c r="ER55" s="15">
        <f t="shared" si="453"/>
        <v>0</v>
      </c>
      <c r="ES55" s="15">
        <f t="shared" si="453"/>
        <v>0</v>
      </c>
      <c r="ET55" s="15">
        <f t="shared" si="453"/>
        <v>0</v>
      </c>
      <c r="EU55" s="15">
        <f t="shared" si="453"/>
        <v>0</v>
      </c>
      <c r="EV55" s="15">
        <f t="shared" si="453"/>
        <v>0</v>
      </c>
      <c r="EX55" s="15">
        <f t="shared" si="454"/>
        <v>10833333.333333334</v>
      </c>
      <c r="EY55" s="15">
        <f t="shared" si="454"/>
        <v>10833333.333333334</v>
      </c>
      <c r="EZ55" s="15">
        <f t="shared" si="454"/>
        <v>10833333.333333334</v>
      </c>
      <c r="FA55" s="15">
        <f t="shared" si="454"/>
        <v>10833333.333333334</v>
      </c>
      <c r="FB55" s="15">
        <f t="shared" si="454"/>
        <v>10833333.333333334</v>
      </c>
      <c r="FC55" s="15">
        <f t="shared" si="454"/>
        <v>10833333.333333334</v>
      </c>
      <c r="FD55" s="15">
        <f t="shared" si="454"/>
        <v>10833333.333333334</v>
      </c>
      <c r="FE55" s="15">
        <f t="shared" si="454"/>
        <v>10833333.333333334</v>
      </c>
      <c r="FF55" s="15">
        <f t="shared" si="454"/>
        <v>10833333.333333334</v>
      </c>
      <c r="FG55" s="15">
        <f t="shared" si="454"/>
        <v>10833333.333333334</v>
      </c>
      <c r="FH55" s="15">
        <f t="shared" si="454"/>
        <v>10833333.333333334</v>
      </c>
      <c r="FI55" s="15">
        <f t="shared" si="454"/>
        <v>10833333.333333334</v>
      </c>
      <c r="FJ55" s="15">
        <f t="shared" si="454"/>
        <v>0</v>
      </c>
      <c r="FK55" s="15">
        <f t="shared" si="454"/>
        <v>0</v>
      </c>
      <c r="FL55" s="15">
        <f t="shared" si="454"/>
        <v>0</v>
      </c>
      <c r="FM55" s="15">
        <f t="shared" ref="FM55:GA58" si="472">IF($V55&gt;=FM$8,$Y55,0)</f>
        <v>0</v>
      </c>
      <c r="FN55" s="15">
        <f t="shared" si="472"/>
        <v>0</v>
      </c>
      <c r="FO55" s="15">
        <f t="shared" si="472"/>
        <v>0</v>
      </c>
      <c r="FP55" s="15">
        <f t="shared" si="472"/>
        <v>0</v>
      </c>
      <c r="FQ55" s="15">
        <f t="shared" si="472"/>
        <v>0</v>
      </c>
      <c r="FR55" s="15">
        <f t="shared" si="472"/>
        <v>0</v>
      </c>
      <c r="FS55" s="15">
        <f t="shared" si="472"/>
        <v>0</v>
      </c>
      <c r="FT55" s="15">
        <f t="shared" si="472"/>
        <v>0</v>
      </c>
      <c r="FU55" s="15">
        <f t="shared" si="472"/>
        <v>0</v>
      </c>
      <c r="FV55" s="15">
        <f t="shared" si="472"/>
        <v>0</v>
      </c>
      <c r="FW55" s="15">
        <f t="shared" si="472"/>
        <v>0</v>
      </c>
      <c r="FX55" s="15">
        <f t="shared" si="472"/>
        <v>0</v>
      </c>
      <c r="FY55" s="15">
        <f t="shared" si="472"/>
        <v>0</v>
      </c>
      <c r="FZ55" s="15">
        <f t="shared" si="472"/>
        <v>0</v>
      </c>
      <c r="GA55" s="15">
        <f t="shared" si="472"/>
        <v>0</v>
      </c>
      <c r="GC55" s="15">
        <f t="shared" si="456"/>
        <v>10833333.333333334</v>
      </c>
      <c r="GD55" s="15">
        <f t="shared" si="456"/>
        <v>10833333.333333334</v>
      </c>
      <c r="GE55" s="15">
        <f t="shared" si="456"/>
        <v>10833333.333333334</v>
      </c>
      <c r="GF55" s="15">
        <f t="shared" si="456"/>
        <v>10833333.333333334</v>
      </c>
      <c r="GG55" s="15">
        <f t="shared" si="456"/>
        <v>10833333.333333334</v>
      </c>
      <c r="GH55" s="15">
        <f t="shared" si="456"/>
        <v>10833333.333333334</v>
      </c>
      <c r="GI55" s="15">
        <f t="shared" si="456"/>
        <v>10833333.333333334</v>
      </c>
      <c r="GJ55" s="15">
        <f t="shared" si="456"/>
        <v>10833333.333333334</v>
      </c>
      <c r="GK55" s="15">
        <f t="shared" si="456"/>
        <v>10833333.333333334</v>
      </c>
      <c r="GL55" s="15">
        <f t="shared" si="456"/>
        <v>10833333.333333334</v>
      </c>
      <c r="GM55" s="15">
        <f t="shared" si="456"/>
        <v>10833333.333333334</v>
      </c>
      <c r="GN55" s="15">
        <f t="shared" si="456"/>
        <v>10833333.333333334</v>
      </c>
      <c r="GO55" s="15">
        <f t="shared" si="456"/>
        <v>0</v>
      </c>
      <c r="GP55" s="15">
        <f t="shared" si="456"/>
        <v>0</v>
      </c>
      <c r="GQ55" s="15">
        <f t="shared" si="456"/>
        <v>0</v>
      </c>
      <c r="GR55" s="15">
        <f t="shared" ref="GR55:HF58" si="473">IF($AA55&gt;=GR$8,$AD55,0)</f>
        <v>0</v>
      </c>
      <c r="GS55" s="15">
        <f t="shared" si="473"/>
        <v>0</v>
      </c>
      <c r="GT55" s="15">
        <f t="shared" si="473"/>
        <v>0</v>
      </c>
      <c r="GU55" s="15">
        <f t="shared" si="473"/>
        <v>0</v>
      </c>
      <c r="GV55" s="15">
        <f t="shared" si="473"/>
        <v>0</v>
      </c>
      <c r="GW55" s="15">
        <f t="shared" si="473"/>
        <v>0</v>
      </c>
      <c r="GX55" s="15">
        <f t="shared" si="473"/>
        <v>0</v>
      </c>
      <c r="GY55" s="15">
        <f t="shared" si="473"/>
        <v>0</v>
      </c>
      <c r="GZ55" s="15">
        <f t="shared" si="473"/>
        <v>0</v>
      </c>
      <c r="HA55" s="15">
        <f t="shared" si="473"/>
        <v>0</v>
      </c>
      <c r="HB55" s="15">
        <f t="shared" si="473"/>
        <v>0</v>
      </c>
      <c r="HC55" s="15">
        <f t="shared" si="473"/>
        <v>0</v>
      </c>
      <c r="HD55" s="15">
        <f t="shared" si="473"/>
        <v>0</v>
      </c>
      <c r="HE55" s="15">
        <f t="shared" si="473"/>
        <v>0</v>
      </c>
      <c r="HF55" s="15">
        <f t="shared" si="473"/>
        <v>0</v>
      </c>
      <c r="HH55" s="15">
        <f t="shared" si="458"/>
        <v>10833333.333333334</v>
      </c>
      <c r="HI55" s="15">
        <f t="shared" si="458"/>
        <v>10833333.333333334</v>
      </c>
      <c r="HJ55" s="15">
        <f t="shared" si="458"/>
        <v>10833333.333333334</v>
      </c>
      <c r="HK55" s="15">
        <f t="shared" si="458"/>
        <v>10833333.333333334</v>
      </c>
      <c r="HL55" s="15">
        <f t="shared" si="458"/>
        <v>10833333.333333334</v>
      </c>
      <c r="HM55" s="15">
        <f t="shared" si="458"/>
        <v>10833333.333333334</v>
      </c>
      <c r="HN55" s="15">
        <f t="shared" si="458"/>
        <v>10833333.333333334</v>
      </c>
      <c r="HO55" s="15">
        <f t="shared" si="458"/>
        <v>10833333.333333334</v>
      </c>
      <c r="HP55" s="15">
        <f t="shared" si="458"/>
        <v>10833333.333333334</v>
      </c>
      <c r="HQ55" s="15">
        <f t="shared" si="458"/>
        <v>10833333.333333334</v>
      </c>
      <c r="HR55" s="15">
        <f t="shared" si="458"/>
        <v>10833333.333333334</v>
      </c>
      <c r="HS55" s="15">
        <f t="shared" si="458"/>
        <v>10833333.333333334</v>
      </c>
      <c r="HT55" s="15">
        <f t="shared" si="458"/>
        <v>0</v>
      </c>
      <c r="HU55" s="15">
        <f t="shared" si="458"/>
        <v>0</v>
      </c>
      <c r="HV55" s="15">
        <f t="shared" si="458"/>
        <v>0</v>
      </c>
      <c r="HW55" s="15">
        <f t="shared" ref="HW55:IK58" si="474">IF($AF55&gt;=HW$8,$AI55,0)</f>
        <v>0</v>
      </c>
      <c r="HX55" s="15">
        <f t="shared" si="474"/>
        <v>0</v>
      </c>
      <c r="HY55" s="15">
        <f t="shared" si="474"/>
        <v>0</v>
      </c>
      <c r="HZ55" s="15">
        <f t="shared" si="474"/>
        <v>0</v>
      </c>
      <c r="IA55" s="15">
        <f t="shared" si="474"/>
        <v>0</v>
      </c>
      <c r="IB55" s="15">
        <f t="shared" si="474"/>
        <v>0</v>
      </c>
      <c r="IC55" s="15">
        <f t="shared" si="474"/>
        <v>0</v>
      </c>
      <c r="ID55" s="15">
        <f t="shared" si="474"/>
        <v>0</v>
      </c>
      <c r="IE55" s="15">
        <f t="shared" si="474"/>
        <v>0</v>
      </c>
      <c r="IF55" s="15">
        <f t="shared" si="474"/>
        <v>0</v>
      </c>
      <c r="IG55" s="15">
        <f t="shared" si="474"/>
        <v>0</v>
      </c>
      <c r="IH55" s="15">
        <f t="shared" si="474"/>
        <v>0</v>
      </c>
      <c r="II55" s="15">
        <f t="shared" si="474"/>
        <v>0</v>
      </c>
      <c r="IJ55" s="15">
        <f t="shared" si="474"/>
        <v>0</v>
      </c>
      <c r="IK55" s="15">
        <f t="shared" si="474"/>
        <v>0</v>
      </c>
      <c r="IM55" s="15">
        <f t="shared" si="460"/>
        <v>10833333.333333334</v>
      </c>
      <c r="IN55" s="15">
        <f t="shared" si="460"/>
        <v>10833333.333333334</v>
      </c>
      <c r="IO55" s="15">
        <f t="shared" si="460"/>
        <v>10833333.333333334</v>
      </c>
      <c r="IP55" s="15">
        <f t="shared" si="460"/>
        <v>10833333.333333334</v>
      </c>
      <c r="IQ55" s="15">
        <f t="shared" si="460"/>
        <v>10833333.333333334</v>
      </c>
      <c r="IR55" s="15">
        <f t="shared" si="460"/>
        <v>10833333.333333334</v>
      </c>
      <c r="IS55" s="15">
        <f t="shared" si="460"/>
        <v>10833333.333333334</v>
      </c>
      <c r="IT55" s="15">
        <f t="shared" si="460"/>
        <v>10833333.333333334</v>
      </c>
      <c r="IU55" s="15">
        <f t="shared" si="460"/>
        <v>10833333.333333334</v>
      </c>
      <c r="IV55" s="15">
        <f t="shared" si="460"/>
        <v>10833333.333333334</v>
      </c>
      <c r="IW55" s="15">
        <f t="shared" si="460"/>
        <v>10833333.333333334</v>
      </c>
      <c r="IX55" s="15">
        <f t="shared" si="460"/>
        <v>10833333.333333334</v>
      </c>
      <c r="IY55" s="15">
        <f t="shared" si="460"/>
        <v>0</v>
      </c>
      <c r="IZ55" s="15">
        <f t="shared" si="460"/>
        <v>0</v>
      </c>
      <c r="JA55" s="15">
        <f t="shared" si="460"/>
        <v>0</v>
      </c>
      <c r="JB55" s="15">
        <f t="shared" ref="IN55:JC58" si="475">IF($AK55&gt;=JB$8,$AN55,0)</f>
        <v>0</v>
      </c>
      <c r="JC55" s="15">
        <f t="shared" si="475"/>
        <v>0</v>
      </c>
      <c r="JD55" s="15">
        <f t="shared" si="461"/>
        <v>0</v>
      </c>
      <c r="JE55" s="15">
        <f t="shared" si="461"/>
        <v>0</v>
      </c>
      <c r="JF55" s="15">
        <f t="shared" si="461"/>
        <v>0</v>
      </c>
      <c r="JG55" s="15">
        <f t="shared" si="461"/>
        <v>0</v>
      </c>
      <c r="JH55" s="15">
        <f t="shared" si="461"/>
        <v>0</v>
      </c>
      <c r="JI55" s="15">
        <f t="shared" si="461"/>
        <v>0</v>
      </c>
      <c r="JJ55" s="15">
        <f t="shared" si="461"/>
        <v>0</v>
      </c>
      <c r="JK55" s="15">
        <f t="shared" si="461"/>
        <v>0</v>
      </c>
      <c r="JL55" s="15">
        <f t="shared" si="461"/>
        <v>0</v>
      </c>
      <c r="JM55" s="15">
        <f t="shared" si="461"/>
        <v>0</v>
      </c>
      <c r="JN55" s="15">
        <f t="shared" si="461"/>
        <v>0</v>
      </c>
      <c r="JO55" s="15">
        <f t="shared" si="461"/>
        <v>0</v>
      </c>
      <c r="JP55" s="15">
        <f t="shared" si="461"/>
        <v>0</v>
      </c>
      <c r="JR55" s="15">
        <f t="shared" si="462"/>
        <v>10833333.333333334</v>
      </c>
      <c r="JS55" s="15">
        <f t="shared" si="462"/>
        <v>10833333.333333334</v>
      </c>
      <c r="JT55" s="15">
        <f t="shared" si="462"/>
        <v>10833333.333333334</v>
      </c>
      <c r="JU55" s="15">
        <f t="shared" si="462"/>
        <v>10833333.333333334</v>
      </c>
      <c r="JV55" s="15">
        <f t="shared" si="462"/>
        <v>10833333.333333334</v>
      </c>
      <c r="JW55" s="15">
        <f t="shared" si="462"/>
        <v>10833333.333333334</v>
      </c>
      <c r="JX55" s="15">
        <f t="shared" si="462"/>
        <v>10833333.333333334</v>
      </c>
      <c r="JY55" s="15">
        <f t="shared" si="462"/>
        <v>10833333.333333334</v>
      </c>
      <c r="JZ55" s="15">
        <f t="shared" si="462"/>
        <v>10833333.333333334</v>
      </c>
      <c r="KA55" s="15">
        <f t="shared" si="462"/>
        <v>10833333.333333334</v>
      </c>
      <c r="KB55" s="15">
        <f t="shared" si="462"/>
        <v>10833333.333333334</v>
      </c>
      <c r="KC55" s="15">
        <f t="shared" si="462"/>
        <v>10833333.333333334</v>
      </c>
      <c r="KD55" s="15">
        <f t="shared" si="462"/>
        <v>0</v>
      </c>
      <c r="KE55" s="15">
        <f t="shared" si="462"/>
        <v>0</v>
      </c>
      <c r="KF55" s="15">
        <f t="shared" si="462"/>
        <v>0</v>
      </c>
      <c r="KG55" s="15">
        <f t="shared" ref="KG55:KU58" si="476">IF($AP55&gt;=KG$8,$AS55,0)</f>
        <v>0</v>
      </c>
      <c r="KH55" s="15">
        <f t="shared" si="476"/>
        <v>0</v>
      </c>
      <c r="KI55" s="15">
        <f t="shared" si="476"/>
        <v>0</v>
      </c>
      <c r="KJ55" s="15">
        <f t="shared" si="476"/>
        <v>0</v>
      </c>
      <c r="KK55" s="15">
        <f t="shared" si="476"/>
        <v>0</v>
      </c>
      <c r="KL55" s="15">
        <f t="shared" si="476"/>
        <v>0</v>
      </c>
      <c r="KM55" s="15">
        <f t="shared" si="476"/>
        <v>0</v>
      </c>
      <c r="KN55" s="15">
        <f t="shared" si="476"/>
        <v>0</v>
      </c>
      <c r="KO55" s="15">
        <f t="shared" si="476"/>
        <v>0</v>
      </c>
      <c r="KP55" s="15">
        <f t="shared" si="476"/>
        <v>0</v>
      </c>
      <c r="KQ55" s="15">
        <f t="shared" si="476"/>
        <v>0</v>
      </c>
      <c r="KR55" s="15">
        <f t="shared" si="476"/>
        <v>0</v>
      </c>
      <c r="KS55" s="15">
        <f t="shared" si="476"/>
        <v>0</v>
      </c>
      <c r="KT55" s="15">
        <f t="shared" si="476"/>
        <v>0</v>
      </c>
      <c r="KU55" s="15">
        <f t="shared" si="476"/>
        <v>0</v>
      </c>
      <c r="KW55" s="15">
        <f t="shared" si="464"/>
        <v>10833333.333333334</v>
      </c>
      <c r="KX55" s="15">
        <f t="shared" si="464"/>
        <v>10833333.333333334</v>
      </c>
      <c r="KY55" s="15">
        <f t="shared" si="464"/>
        <v>10833333.333333334</v>
      </c>
      <c r="KZ55" s="15">
        <f t="shared" si="464"/>
        <v>10833333.333333334</v>
      </c>
      <c r="LA55" s="15">
        <f t="shared" si="464"/>
        <v>10833333.333333334</v>
      </c>
      <c r="LB55" s="15">
        <f t="shared" si="464"/>
        <v>10833333.333333334</v>
      </c>
      <c r="LC55" s="15">
        <f t="shared" si="464"/>
        <v>10833333.333333334</v>
      </c>
      <c r="LD55" s="15">
        <f t="shared" si="464"/>
        <v>10833333.333333334</v>
      </c>
      <c r="LE55" s="15">
        <f t="shared" si="464"/>
        <v>10833333.333333334</v>
      </c>
      <c r="LF55" s="15">
        <f t="shared" si="464"/>
        <v>10833333.333333334</v>
      </c>
      <c r="LG55" s="15">
        <f t="shared" si="464"/>
        <v>10833333.333333334</v>
      </c>
      <c r="LH55" s="15">
        <f t="shared" si="464"/>
        <v>10833333.333333334</v>
      </c>
      <c r="LI55" s="15">
        <f t="shared" si="464"/>
        <v>0</v>
      </c>
      <c r="LJ55" s="15">
        <f t="shared" si="464"/>
        <v>0</v>
      </c>
      <c r="LK55" s="15">
        <f t="shared" si="464"/>
        <v>0</v>
      </c>
      <c r="LL55" s="15">
        <f t="shared" ref="KX55:LM58" si="477">IF($AU55&gt;=LL$8,$AX55,0)</f>
        <v>0</v>
      </c>
      <c r="LM55" s="15">
        <f t="shared" si="477"/>
        <v>0</v>
      </c>
      <c r="LN55" s="15">
        <f t="shared" si="465"/>
        <v>0</v>
      </c>
      <c r="LO55" s="15">
        <f t="shared" si="465"/>
        <v>0</v>
      </c>
      <c r="LP55" s="15">
        <f t="shared" si="465"/>
        <v>0</v>
      </c>
      <c r="LQ55" s="15">
        <f t="shared" si="465"/>
        <v>0</v>
      </c>
      <c r="LR55" s="15">
        <f t="shared" si="465"/>
        <v>0</v>
      </c>
      <c r="LS55" s="15">
        <f t="shared" si="465"/>
        <v>0</v>
      </c>
      <c r="LT55" s="15">
        <f t="shared" si="465"/>
        <v>0</v>
      </c>
      <c r="LU55" s="15">
        <f t="shared" si="465"/>
        <v>0</v>
      </c>
      <c r="LV55" s="15">
        <f t="shared" si="465"/>
        <v>0</v>
      </c>
      <c r="LW55" s="15">
        <f t="shared" si="465"/>
        <v>0</v>
      </c>
      <c r="LX55" s="15">
        <f t="shared" si="465"/>
        <v>0</v>
      </c>
      <c r="LY55" s="15">
        <f t="shared" si="465"/>
        <v>0</v>
      </c>
      <c r="LZ55" s="15">
        <f t="shared" si="465"/>
        <v>0</v>
      </c>
      <c r="MB55" s="15">
        <f t="shared" si="466"/>
        <v>10833333.333333334</v>
      </c>
      <c r="MC55" s="15">
        <f t="shared" si="466"/>
        <v>10833333.333333334</v>
      </c>
      <c r="MD55" s="15">
        <f t="shared" si="466"/>
        <v>10833333.333333334</v>
      </c>
      <c r="ME55" s="15">
        <f t="shared" si="466"/>
        <v>10833333.333333334</v>
      </c>
      <c r="MF55" s="15">
        <f t="shared" si="466"/>
        <v>10833333.333333334</v>
      </c>
      <c r="MG55" s="15">
        <f t="shared" si="466"/>
        <v>10833333.333333334</v>
      </c>
      <c r="MH55" s="15">
        <f t="shared" si="466"/>
        <v>10833333.333333334</v>
      </c>
      <c r="MI55" s="15">
        <f t="shared" si="466"/>
        <v>10833333.333333334</v>
      </c>
      <c r="MJ55" s="15">
        <f t="shared" si="466"/>
        <v>10833333.333333334</v>
      </c>
      <c r="MK55" s="15">
        <f t="shared" si="466"/>
        <v>10833333.333333334</v>
      </c>
      <c r="ML55" s="15">
        <f t="shared" si="466"/>
        <v>10833333.333333334</v>
      </c>
      <c r="MM55" s="15">
        <f t="shared" si="466"/>
        <v>10833333.333333334</v>
      </c>
      <c r="MN55" s="15">
        <f t="shared" si="466"/>
        <v>0</v>
      </c>
      <c r="MO55" s="15">
        <f t="shared" si="466"/>
        <v>0</v>
      </c>
      <c r="MP55" s="15">
        <f t="shared" si="466"/>
        <v>0</v>
      </c>
      <c r="MQ55" s="15">
        <f t="shared" ref="MC55:MR58" si="478">IF($AZ55&gt;=MQ$8,$BC55,0)</f>
        <v>0</v>
      </c>
      <c r="MR55" s="15">
        <f t="shared" si="478"/>
        <v>0</v>
      </c>
      <c r="MS55" s="15">
        <f t="shared" si="467"/>
        <v>0</v>
      </c>
      <c r="MT55" s="15">
        <f t="shared" si="467"/>
        <v>0</v>
      </c>
      <c r="MU55" s="15">
        <f t="shared" si="467"/>
        <v>0</v>
      </c>
      <c r="MV55" s="15">
        <f t="shared" si="467"/>
        <v>0</v>
      </c>
      <c r="MW55" s="15">
        <f t="shared" si="467"/>
        <v>0</v>
      </c>
      <c r="MX55" s="15">
        <f t="shared" si="467"/>
        <v>0</v>
      </c>
      <c r="MY55" s="15">
        <f t="shared" si="467"/>
        <v>0</v>
      </c>
      <c r="MZ55" s="15">
        <f t="shared" si="467"/>
        <v>0</v>
      </c>
      <c r="NA55" s="15">
        <f t="shared" si="467"/>
        <v>0</v>
      </c>
      <c r="NB55" s="15">
        <f t="shared" si="467"/>
        <v>0</v>
      </c>
      <c r="NC55" s="15">
        <f t="shared" si="467"/>
        <v>0</v>
      </c>
      <c r="ND55" s="15">
        <f t="shared" si="467"/>
        <v>0</v>
      </c>
      <c r="NE55" s="15">
        <f t="shared" si="467"/>
        <v>0</v>
      </c>
    </row>
    <row r="56" spans="1:369" outlineLevel="1" x14ac:dyDescent="0.25">
      <c r="B56" t="s">
        <v>345</v>
      </c>
      <c r="C56" s="623" t="s">
        <v>259</v>
      </c>
      <c r="D56" s="613" t="s">
        <v>229</v>
      </c>
      <c r="E56" s="468">
        <v>1</v>
      </c>
      <c r="F56" s="221"/>
      <c r="G56" s="457">
        <v>12</v>
      </c>
      <c r="H56" s="468">
        <f>(62500000/$D$6)*1.04</f>
        <v>65000000</v>
      </c>
      <c r="I56" s="457">
        <f t="shared" si="419"/>
        <v>65000000</v>
      </c>
      <c r="J56" s="457">
        <f t="shared" si="420"/>
        <v>5416666.666666667</v>
      </c>
      <c r="K56" s="221"/>
      <c r="L56" s="457">
        <v>12</v>
      </c>
      <c r="M56" s="457">
        <f t="shared" si="421"/>
        <v>65000000</v>
      </c>
      <c r="N56" s="457">
        <f t="shared" si="422"/>
        <v>65000000</v>
      </c>
      <c r="O56" s="457">
        <f t="shared" si="423"/>
        <v>5416666.666666667</v>
      </c>
      <c r="P56" s="221"/>
      <c r="Q56" s="457">
        <v>12</v>
      </c>
      <c r="R56" s="457">
        <f t="shared" si="424"/>
        <v>65000000</v>
      </c>
      <c r="S56" s="457">
        <f t="shared" si="425"/>
        <v>65000000</v>
      </c>
      <c r="T56" s="457">
        <f t="shared" si="426"/>
        <v>5416666.666666667</v>
      </c>
      <c r="U56" s="221"/>
      <c r="V56" s="457">
        <v>12</v>
      </c>
      <c r="W56" s="457">
        <f t="shared" si="427"/>
        <v>65000000</v>
      </c>
      <c r="X56" s="457">
        <f t="shared" si="428"/>
        <v>65000000</v>
      </c>
      <c r="Y56" s="457">
        <f t="shared" si="429"/>
        <v>5416666.666666667</v>
      </c>
      <c r="Z56" s="221"/>
      <c r="AA56" s="457">
        <v>12</v>
      </c>
      <c r="AB56" s="457">
        <f t="shared" si="430"/>
        <v>65000000</v>
      </c>
      <c r="AC56" s="457">
        <f t="shared" si="431"/>
        <v>65000000</v>
      </c>
      <c r="AD56" s="457">
        <f t="shared" si="432"/>
        <v>5416666.666666667</v>
      </c>
      <c r="AE56" s="221"/>
      <c r="AF56" s="457">
        <v>12</v>
      </c>
      <c r="AG56" s="457">
        <f t="shared" si="433"/>
        <v>65000000</v>
      </c>
      <c r="AH56" s="457">
        <f t="shared" si="434"/>
        <v>65000000</v>
      </c>
      <c r="AI56" s="457">
        <f t="shared" si="435"/>
        <v>5416666.666666667</v>
      </c>
      <c r="AJ56" s="221"/>
      <c r="AK56" s="457">
        <v>12</v>
      </c>
      <c r="AL56" s="457">
        <f t="shared" si="436"/>
        <v>65000000</v>
      </c>
      <c r="AM56" s="457">
        <f t="shared" si="437"/>
        <v>65000000</v>
      </c>
      <c r="AN56" s="457">
        <f t="shared" si="438"/>
        <v>5416666.666666667</v>
      </c>
      <c r="AO56" s="221"/>
      <c r="AP56" s="457">
        <v>12</v>
      </c>
      <c r="AQ56" s="457">
        <f t="shared" si="439"/>
        <v>65000000</v>
      </c>
      <c r="AR56" s="457">
        <f t="shared" si="440"/>
        <v>65000000</v>
      </c>
      <c r="AS56" s="457">
        <f t="shared" si="441"/>
        <v>5416666.666666667</v>
      </c>
      <c r="AT56" s="221"/>
      <c r="AU56" s="457">
        <v>12</v>
      </c>
      <c r="AV56" s="457">
        <f t="shared" si="442"/>
        <v>65000000</v>
      </c>
      <c r="AW56" s="457">
        <f t="shared" si="443"/>
        <v>65000000</v>
      </c>
      <c r="AX56" s="457">
        <f t="shared" si="444"/>
        <v>5416666.666666667</v>
      </c>
      <c r="AY56" s="221"/>
      <c r="AZ56" s="457">
        <v>12</v>
      </c>
      <c r="BA56" s="457">
        <f t="shared" si="445"/>
        <v>65000000</v>
      </c>
      <c r="BB56" s="457">
        <f t="shared" si="446"/>
        <v>65000000</v>
      </c>
      <c r="BC56" s="457">
        <f t="shared" si="447"/>
        <v>5416666.666666667</v>
      </c>
      <c r="BD56" s="221"/>
      <c r="BG56" t="s">
        <v>337</v>
      </c>
      <c r="BI56" s="15">
        <f t="shared" ref="BI56:BX58" si="479">IF($G56&gt;=BI$8,$J56,0)</f>
        <v>5416666.666666667</v>
      </c>
      <c r="BJ56" s="15">
        <f t="shared" si="479"/>
        <v>5416666.666666667</v>
      </c>
      <c r="BK56" s="15">
        <f t="shared" si="479"/>
        <v>5416666.666666667</v>
      </c>
      <c r="BL56" s="15">
        <f t="shared" si="479"/>
        <v>5416666.666666667</v>
      </c>
      <c r="BM56" s="15">
        <f t="shared" si="479"/>
        <v>5416666.666666667</v>
      </c>
      <c r="BN56" s="15">
        <f t="shared" si="479"/>
        <v>5416666.666666667</v>
      </c>
      <c r="BO56" s="15">
        <f t="shared" si="479"/>
        <v>5416666.666666667</v>
      </c>
      <c r="BP56" s="15">
        <f t="shared" si="479"/>
        <v>5416666.666666667</v>
      </c>
      <c r="BQ56" s="15">
        <f t="shared" si="479"/>
        <v>5416666.666666667</v>
      </c>
      <c r="BR56" s="15">
        <f t="shared" si="479"/>
        <v>5416666.666666667</v>
      </c>
      <c r="BS56" s="15">
        <f t="shared" si="479"/>
        <v>5416666.666666667</v>
      </c>
      <c r="BT56" s="15">
        <f t="shared" si="479"/>
        <v>5416666.666666667</v>
      </c>
      <c r="BU56" s="15">
        <f t="shared" si="479"/>
        <v>0</v>
      </c>
      <c r="BV56" s="15">
        <f t="shared" si="479"/>
        <v>0</v>
      </c>
      <c r="BW56" s="15">
        <f t="shared" si="479"/>
        <v>0</v>
      </c>
      <c r="BX56" s="15">
        <f t="shared" si="479"/>
        <v>0</v>
      </c>
      <c r="BY56" s="15">
        <f t="shared" si="469"/>
        <v>0</v>
      </c>
      <c r="BZ56" s="15">
        <f t="shared" si="469"/>
        <v>0</v>
      </c>
      <c r="CA56" s="15">
        <f t="shared" si="469"/>
        <v>0</v>
      </c>
      <c r="CB56" s="15">
        <f t="shared" si="469"/>
        <v>0</v>
      </c>
      <c r="CC56" s="15">
        <f t="shared" si="469"/>
        <v>0</v>
      </c>
      <c r="CD56" s="15">
        <f t="shared" si="469"/>
        <v>0</v>
      </c>
      <c r="CE56" s="15">
        <f t="shared" si="469"/>
        <v>0</v>
      </c>
      <c r="CF56" s="15">
        <f t="shared" si="469"/>
        <v>0</v>
      </c>
      <c r="CG56" s="15">
        <f t="shared" si="469"/>
        <v>0</v>
      </c>
      <c r="CH56" s="15">
        <f t="shared" si="469"/>
        <v>0</v>
      </c>
      <c r="CI56" s="15">
        <f t="shared" si="469"/>
        <v>0</v>
      </c>
      <c r="CJ56" s="15">
        <f t="shared" si="469"/>
        <v>0</v>
      </c>
      <c r="CK56" s="15">
        <f t="shared" si="469"/>
        <v>0</v>
      </c>
      <c r="CL56" s="15">
        <f t="shared" si="469"/>
        <v>0</v>
      </c>
      <c r="CN56" s="15">
        <f t="shared" ref="CN56:DC58" si="480">IF($L56&gt;=CN$8,$O56,0)</f>
        <v>5416666.666666667</v>
      </c>
      <c r="CO56" s="15">
        <f t="shared" si="480"/>
        <v>5416666.666666667</v>
      </c>
      <c r="CP56" s="15">
        <f t="shared" si="480"/>
        <v>5416666.666666667</v>
      </c>
      <c r="CQ56" s="15">
        <f t="shared" si="480"/>
        <v>5416666.666666667</v>
      </c>
      <c r="CR56" s="15">
        <f t="shared" si="480"/>
        <v>5416666.666666667</v>
      </c>
      <c r="CS56" s="15">
        <f t="shared" si="480"/>
        <v>5416666.666666667</v>
      </c>
      <c r="CT56" s="15">
        <f t="shared" si="480"/>
        <v>5416666.666666667</v>
      </c>
      <c r="CU56" s="15">
        <f t="shared" si="480"/>
        <v>5416666.666666667</v>
      </c>
      <c r="CV56" s="15">
        <f t="shared" si="480"/>
        <v>5416666.666666667</v>
      </c>
      <c r="CW56" s="15">
        <f t="shared" si="480"/>
        <v>5416666.666666667</v>
      </c>
      <c r="CX56" s="15">
        <f t="shared" si="480"/>
        <v>5416666.666666667</v>
      </c>
      <c r="CY56" s="15">
        <f t="shared" si="480"/>
        <v>5416666.666666667</v>
      </c>
      <c r="CZ56" s="15">
        <f t="shared" si="480"/>
        <v>0</v>
      </c>
      <c r="DA56" s="15">
        <f t="shared" si="480"/>
        <v>0</v>
      </c>
      <c r="DB56" s="15">
        <f t="shared" si="480"/>
        <v>0</v>
      </c>
      <c r="DC56" s="15">
        <f t="shared" si="480"/>
        <v>0</v>
      </c>
      <c r="DD56" s="15">
        <f t="shared" si="470"/>
        <v>0</v>
      </c>
      <c r="DE56" s="15">
        <f t="shared" si="470"/>
        <v>0</v>
      </c>
      <c r="DF56" s="15">
        <f t="shared" si="470"/>
        <v>0</v>
      </c>
      <c r="DG56" s="15">
        <f t="shared" si="470"/>
        <v>0</v>
      </c>
      <c r="DH56" s="15">
        <f t="shared" si="470"/>
        <v>0</v>
      </c>
      <c r="DI56" s="15">
        <f t="shared" si="470"/>
        <v>0</v>
      </c>
      <c r="DJ56" s="15">
        <f t="shared" si="470"/>
        <v>0</v>
      </c>
      <c r="DK56" s="15">
        <f t="shared" si="470"/>
        <v>0</v>
      </c>
      <c r="DL56" s="15">
        <f t="shared" si="470"/>
        <v>0</v>
      </c>
      <c r="DM56" s="15">
        <f t="shared" si="470"/>
        <v>0</v>
      </c>
      <c r="DN56" s="15">
        <f t="shared" si="470"/>
        <v>0</v>
      </c>
      <c r="DO56" s="15">
        <f t="shared" si="470"/>
        <v>0</v>
      </c>
      <c r="DP56" s="15">
        <f t="shared" si="470"/>
        <v>0</v>
      </c>
      <c r="DQ56" s="15">
        <f t="shared" si="470"/>
        <v>0</v>
      </c>
      <c r="DS56" s="15">
        <f t="shared" ref="DS56:EH58" si="481">IF($Q56&gt;=DS$8,$T56,0)</f>
        <v>5416666.666666667</v>
      </c>
      <c r="DT56" s="15">
        <f t="shared" si="481"/>
        <v>5416666.666666667</v>
      </c>
      <c r="DU56" s="15">
        <f t="shared" si="481"/>
        <v>5416666.666666667</v>
      </c>
      <c r="DV56" s="15">
        <f t="shared" si="481"/>
        <v>5416666.666666667</v>
      </c>
      <c r="DW56" s="15">
        <f t="shared" si="481"/>
        <v>5416666.666666667</v>
      </c>
      <c r="DX56" s="15">
        <f t="shared" si="481"/>
        <v>5416666.666666667</v>
      </c>
      <c r="DY56" s="15">
        <f t="shared" si="481"/>
        <v>5416666.666666667</v>
      </c>
      <c r="DZ56" s="15">
        <f t="shared" si="481"/>
        <v>5416666.666666667</v>
      </c>
      <c r="EA56" s="15">
        <f t="shared" si="481"/>
        <v>5416666.666666667</v>
      </c>
      <c r="EB56" s="15">
        <f t="shared" si="481"/>
        <v>5416666.666666667</v>
      </c>
      <c r="EC56" s="15">
        <f t="shared" si="481"/>
        <v>5416666.666666667</v>
      </c>
      <c r="ED56" s="15">
        <f t="shared" si="481"/>
        <v>5416666.666666667</v>
      </c>
      <c r="EE56" s="15">
        <f t="shared" si="481"/>
        <v>0</v>
      </c>
      <c r="EF56" s="15">
        <f t="shared" si="481"/>
        <v>0</v>
      </c>
      <c r="EG56" s="15">
        <f t="shared" si="481"/>
        <v>0</v>
      </c>
      <c r="EH56" s="15">
        <f t="shared" si="481"/>
        <v>0</v>
      </c>
      <c r="EI56" s="15">
        <f t="shared" si="471"/>
        <v>0</v>
      </c>
      <c r="EJ56" s="15">
        <f t="shared" si="453"/>
        <v>0</v>
      </c>
      <c r="EK56" s="15">
        <f t="shared" si="453"/>
        <v>0</v>
      </c>
      <c r="EL56" s="15">
        <f t="shared" si="453"/>
        <v>0</v>
      </c>
      <c r="EM56" s="15">
        <f t="shared" si="453"/>
        <v>0</v>
      </c>
      <c r="EN56" s="15">
        <f t="shared" si="453"/>
        <v>0</v>
      </c>
      <c r="EO56" s="15">
        <f t="shared" si="453"/>
        <v>0</v>
      </c>
      <c r="EP56" s="15">
        <f t="shared" si="453"/>
        <v>0</v>
      </c>
      <c r="EQ56" s="15">
        <f t="shared" si="453"/>
        <v>0</v>
      </c>
      <c r="ER56" s="15">
        <f t="shared" si="453"/>
        <v>0</v>
      </c>
      <c r="ES56" s="15">
        <f t="shared" si="453"/>
        <v>0</v>
      </c>
      <c r="ET56" s="15">
        <f t="shared" si="453"/>
        <v>0</v>
      </c>
      <c r="EU56" s="15">
        <f t="shared" si="453"/>
        <v>0</v>
      </c>
      <c r="EV56" s="15">
        <f t="shared" si="453"/>
        <v>0</v>
      </c>
      <c r="EX56" s="15">
        <f t="shared" ref="EX56:FM58" si="482">IF($V56&gt;=EX$8,$Y56,0)</f>
        <v>5416666.666666667</v>
      </c>
      <c r="EY56" s="15">
        <f t="shared" si="482"/>
        <v>5416666.666666667</v>
      </c>
      <c r="EZ56" s="15">
        <f t="shared" si="482"/>
        <v>5416666.666666667</v>
      </c>
      <c r="FA56" s="15">
        <f t="shared" si="482"/>
        <v>5416666.666666667</v>
      </c>
      <c r="FB56" s="15">
        <f t="shared" si="482"/>
        <v>5416666.666666667</v>
      </c>
      <c r="FC56" s="15">
        <f t="shared" si="482"/>
        <v>5416666.666666667</v>
      </c>
      <c r="FD56" s="15">
        <f t="shared" si="482"/>
        <v>5416666.666666667</v>
      </c>
      <c r="FE56" s="15">
        <f t="shared" si="482"/>
        <v>5416666.666666667</v>
      </c>
      <c r="FF56" s="15">
        <f t="shared" si="482"/>
        <v>5416666.666666667</v>
      </c>
      <c r="FG56" s="15">
        <f t="shared" si="482"/>
        <v>5416666.666666667</v>
      </c>
      <c r="FH56" s="15">
        <f t="shared" si="482"/>
        <v>5416666.666666667</v>
      </c>
      <c r="FI56" s="15">
        <f t="shared" si="482"/>
        <v>5416666.666666667</v>
      </c>
      <c r="FJ56" s="15">
        <f t="shared" si="482"/>
        <v>0</v>
      </c>
      <c r="FK56" s="15">
        <f t="shared" si="482"/>
        <v>0</v>
      </c>
      <c r="FL56" s="15">
        <f t="shared" si="482"/>
        <v>0</v>
      </c>
      <c r="FM56" s="15">
        <f t="shared" si="482"/>
        <v>0</v>
      </c>
      <c r="FN56" s="15">
        <f t="shared" si="472"/>
        <v>0</v>
      </c>
      <c r="FO56" s="15">
        <f t="shared" si="472"/>
        <v>0</v>
      </c>
      <c r="FP56" s="15">
        <f t="shared" si="472"/>
        <v>0</v>
      </c>
      <c r="FQ56" s="15">
        <f t="shared" si="472"/>
        <v>0</v>
      </c>
      <c r="FR56" s="15">
        <f t="shared" si="472"/>
        <v>0</v>
      </c>
      <c r="FS56" s="15">
        <f t="shared" si="472"/>
        <v>0</v>
      </c>
      <c r="FT56" s="15">
        <f t="shared" si="472"/>
        <v>0</v>
      </c>
      <c r="FU56" s="15">
        <f t="shared" si="472"/>
        <v>0</v>
      </c>
      <c r="FV56" s="15">
        <f t="shared" si="472"/>
        <v>0</v>
      </c>
      <c r="FW56" s="15">
        <f t="shared" si="472"/>
        <v>0</v>
      </c>
      <c r="FX56" s="15">
        <f t="shared" si="472"/>
        <v>0</v>
      </c>
      <c r="FY56" s="15">
        <f t="shared" si="472"/>
        <v>0</v>
      </c>
      <c r="FZ56" s="15">
        <f t="shared" si="472"/>
        <v>0</v>
      </c>
      <c r="GA56" s="15">
        <f t="shared" si="472"/>
        <v>0</v>
      </c>
      <c r="GC56" s="15">
        <f t="shared" ref="GC56:GR58" si="483">IF($AA56&gt;=GC$8,$AD56,0)</f>
        <v>5416666.666666667</v>
      </c>
      <c r="GD56" s="15">
        <f t="shared" si="483"/>
        <v>5416666.666666667</v>
      </c>
      <c r="GE56" s="15">
        <f t="shared" si="483"/>
        <v>5416666.666666667</v>
      </c>
      <c r="GF56" s="15">
        <f t="shared" si="483"/>
        <v>5416666.666666667</v>
      </c>
      <c r="GG56" s="15">
        <f t="shared" si="483"/>
        <v>5416666.666666667</v>
      </c>
      <c r="GH56" s="15">
        <f t="shared" si="483"/>
        <v>5416666.666666667</v>
      </c>
      <c r="GI56" s="15">
        <f t="shared" si="483"/>
        <v>5416666.666666667</v>
      </c>
      <c r="GJ56" s="15">
        <f t="shared" si="483"/>
        <v>5416666.666666667</v>
      </c>
      <c r="GK56" s="15">
        <f t="shared" si="483"/>
        <v>5416666.666666667</v>
      </c>
      <c r="GL56" s="15">
        <f t="shared" si="483"/>
        <v>5416666.666666667</v>
      </c>
      <c r="GM56" s="15">
        <f t="shared" si="483"/>
        <v>5416666.666666667</v>
      </c>
      <c r="GN56" s="15">
        <f t="shared" si="483"/>
        <v>5416666.666666667</v>
      </c>
      <c r="GO56" s="15">
        <f t="shared" si="483"/>
        <v>0</v>
      </c>
      <c r="GP56" s="15">
        <f t="shared" si="483"/>
        <v>0</v>
      </c>
      <c r="GQ56" s="15">
        <f t="shared" si="483"/>
        <v>0</v>
      </c>
      <c r="GR56" s="15">
        <f t="shared" si="483"/>
        <v>0</v>
      </c>
      <c r="GS56" s="15">
        <f t="shared" si="473"/>
        <v>0</v>
      </c>
      <c r="GT56" s="15">
        <f t="shared" si="473"/>
        <v>0</v>
      </c>
      <c r="GU56" s="15">
        <f t="shared" si="473"/>
        <v>0</v>
      </c>
      <c r="GV56" s="15">
        <f t="shared" si="473"/>
        <v>0</v>
      </c>
      <c r="GW56" s="15">
        <f t="shared" si="473"/>
        <v>0</v>
      </c>
      <c r="GX56" s="15">
        <f t="shared" si="473"/>
        <v>0</v>
      </c>
      <c r="GY56" s="15">
        <f t="shared" si="473"/>
        <v>0</v>
      </c>
      <c r="GZ56" s="15">
        <f t="shared" si="473"/>
        <v>0</v>
      </c>
      <c r="HA56" s="15">
        <f t="shared" si="473"/>
        <v>0</v>
      </c>
      <c r="HB56" s="15">
        <f t="shared" si="473"/>
        <v>0</v>
      </c>
      <c r="HC56" s="15">
        <f t="shared" si="473"/>
        <v>0</v>
      </c>
      <c r="HD56" s="15">
        <f t="shared" si="473"/>
        <v>0</v>
      </c>
      <c r="HE56" s="15">
        <f t="shared" si="473"/>
        <v>0</v>
      </c>
      <c r="HF56" s="15">
        <f t="shared" si="473"/>
        <v>0</v>
      </c>
      <c r="HH56" s="15">
        <f t="shared" ref="HH56:HW58" si="484">IF($AF56&gt;=HH$8,$AI56,0)</f>
        <v>5416666.666666667</v>
      </c>
      <c r="HI56" s="15">
        <f t="shared" si="484"/>
        <v>5416666.666666667</v>
      </c>
      <c r="HJ56" s="15">
        <f t="shared" si="484"/>
        <v>5416666.666666667</v>
      </c>
      <c r="HK56" s="15">
        <f t="shared" si="484"/>
        <v>5416666.666666667</v>
      </c>
      <c r="HL56" s="15">
        <f t="shared" si="484"/>
        <v>5416666.666666667</v>
      </c>
      <c r="HM56" s="15">
        <f t="shared" si="484"/>
        <v>5416666.666666667</v>
      </c>
      <c r="HN56" s="15">
        <f t="shared" si="484"/>
        <v>5416666.666666667</v>
      </c>
      <c r="HO56" s="15">
        <f t="shared" si="484"/>
        <v>5416666.666666667</v>
      </c>
      <c r="HP56" s="15">
        <f t="shared" si="484"/>
        <v>5416666.666666667</v>
      </c>
      <c r="HQ56" s="15">
        <f t="shared" si="484"/>
        <v>5416666.666666667</v>
      </c>
      <c r="HR56" s="15">
        <f t="shared" si="484"/>
        <v>5416666.666666667</v>
      </c>
      <c r="HS56" s="15">
        <f t="shared" si="484"/>
        <v>5416666.666666667</v>
      </c>
      <c r="HT56" s="15">
        <f t="shared" si="484"/>
        <v>0</v>
      </c>
      <c r="HU56" s="15">
        <f t="shared" si="484"/>
        <v>0</v>
      </c>
      <c r="HV56" s="15">
        <f t="shared" si="484"/>
        <v>0</v>
      </c>
      <c r="HW56" s="15">
        <f t="shared" si="484"/>
        <v>0</v>
      </c>
      <c r="HX56" s="15">
        <f t="shared" si="474"/>
        <v>0</v>
      </c>
      <c r="HY56" s="15">
        <f t="shared" si="474"/>
        <v>0</v>
      </c>
      <c r="HZ56" s="15">
        <f t="shared" si="474"/>
        <v>0</v>
      </c>
      <c r="IA56" s="15">
        <f t="shared" si="474"/>
        <v>0</v>
      </c>
      <c r="IB56" s="15">
        <f t="shared" si="474"/>
        <v>0</v>
      </c>
      <c r="IC56" s="15">
        <f t="shared" si="474"/>
        <v>0</v>
      </c>
      <c r="ID56" s="15">
        <f t="shared" si="474"/>
        <v>0</v>
      </c>
      <c r="IE56" s="15">
        <f t="shared" si="474"/>
        <v>0</v>
      </c>
      <c r="IF56" s="15">
        <f t="shared" si="474"/>
        <v>0</v>
      </c>
      <c r="IG56" s="15">
        <f t="shared" si="474"/>
        <v>0</v>
      </c>
      <c r="IH56" s="15">
        <f t="shared" si="474"/>
        <v>0</v>
      </c>
      <c r="II56" s="15">
        <f t="shared" si="474"/>
        <v>0</v>
      </c>
      <c r="IJ56" s="15">
        <f t="shared" si="474"/>
        <v>0</v>
      </c>
      <c r="IK56" s="15">
        <f t="shared" si="474"/>
        <v>0</v>
      </c>
      <c r="IM56" s="15">
        <f t="shared" ref="IM56:IM58" si="485">IF($AK56&gt;=IM$8,$AN56,0)</f>
        <v>5416666.666666667</v>
      </c>
      <c r="IN56" s="15">
        <f t="shared" si="475"/>
        <v>5416666.666666667</v>
      </c>
      <c r="IO56" s="15">
        <f t="shared" si="475"/>
        <v>5416666.666666667</v>
      </c>
      <c r="IP56" s="15">
        <f t="shared" si="475"/>
        <v>5416666.666666667</v>
      </c>
      <c r="IQ56" s="15">
        <f t="shared" si="475"/>
        <v>5416666.666666667</v>
      </c>
      <c r="IR56" s="15">
        <f t="shared" si="475"/>
        <v>5416666.666666667</v>
      </c>
      <c r="IS56" s="15">
        <f t="shared" si="475"/>
        <v>5416666.666666667</v>
      </c>
      <c r="IT56" s="15">
        <f t="shared" si="475"/>
        <v>5416666.666666667</v>
      </c>
      <c r="IU56" s="15">
        <f t="shared" si="475"/>
        <v>5416666.666666667</v>
      </c>
      <c r="IV56" s="15">
        <f t="shared" si="475"/>
        <v>5416666.666666667</v>
      </c>
      <c r="IW56" s="15">
        <f t="shared" si="475"/>
        <v>5416666.666666667</v>
      </c>
      <c r="IX56" s="15">
        <f t="shared" si="475"/>
        <v>5416666.666666667</v>
      </c>
      <c r="IY56" s="15">
        <f t="shared" si="475"/>
        <v>0</v>
      </c>
      <c r="IZ56" s="15">
        <f t="shared" si="475"/>
        <v>0</v>
      </c>
      <c r="JA56" s="15">
        <f t="shared" si="475"/>
        <v>0</v>
      </c>
      <c r="JB56" s="15">
        <f t="shared" si="475"/>
        <v>0</v>
      </c>
      <c r="JC56" s="15">
        <f t="shared" si="475"/>
        <v>0</v>
      </c>
      <c r="JD56" s="15">
        <f t="shared" si="461"/>
        <v>0</v>
      </c>
      <c r="JE56" s="15">
        <f t="shared" si="461"/>
        <v>0</v>
      </c>
      <c r="JF56" s="15">
        <f t="shared" si="461"/>
        <v>0</v>
      </c>
      <c r="JG56" s="15">
        <f t="shared" si="461"/>
        <v>0</v>
      </c>
      <c r="JH56" s="15">
        <f t="shared" si="461"/>
        <v>0</v>
      </c>
      <c r="JI56" s="15">
        <f t="shared" si="461"/>
        <v>0</v>
      </c>
      <c r="JJ56" s="15">
        <f t="shared" si="461"/>
        <v>0</v>
      </c>
      <c r="JK56" s="15">
        <f t="shared" si="461"/>
        <v>0</v>
      </c>
      <c r="JL56" s="15">
        <f t="shared" si="461"/>
        <v>0</v>
      </c>
      <c r="JM56" s="15">
        <f t="shared" si="461"/>
        <v>0</v>
      </c>
      <c r="JN56" s="15">
        <f t="shared" si="461"/>
        <v>0</v>
      </c>
      <c r="JO56" s="15">
        <f t="shared" si="461"/>
        <v>0</v>
      </c>
      <c r="JP56" s="15">
        <f t="shared" si="461"/>
        <v>0</v>
      </c>
      <c r="JR56" s="15">
        <f t="shared" ref="JR56:KG58" si="486">IF($AP56&gt;=JR$8,$AS56,0)</f>
        <v>5416666.666666667</v>
      </c>
      <c r="JS56" s="15">
        <f t="shared" si="486"/>
        <v>5416666.666666667</v>
      </c>
      <c r="JT56" s="15">
        <f t="shared" si="486"/>
        <v>5416666.666666667</v>
      </c>
      <c r="JU56" s="15">
        <f t="shared" si="486"/>
        <v>5416666.666666667</v>
      </c>
      <c r="JV56" s="15">
        <f t="shared" si="486"/>
        <v>5416666.666666667</v>
      </c>
      <c r="JW56" s="15">
        <f t="shared" si="486"/>
        <v>5416666.666666667</v>
      </c>
      <c r="JX56" s="15">
        <f t="shared" si="486"/>
        <v>5416666.666666667</v>
      </c>
      <c r="JY56" s="15">
        <f t="shared" si="486"/>
        <v>5416666.666666667</v>
      </c>
      <c r="JZ56" s="15">
        <f t="shared" si="486"/>
        <v>5416666.666666667</v>
      </c>
      <c r="KA56" s="15">
        <f t="shared" si="486"/>
        <v>5416666.666666667</v>
      </c>
      <c r="KB56" s="15">
        <f t="shared" si="486"/>
        <v>5416666.666666667</v>
      </c>
      <c r="KC56" s="15">
        <f t="shared" si="486"/>
        <v>5416666.666666667</v>
      </c>
      <c r="KD56" s="15">
        <f t="shared" si="486"/>
        <v>0</v>
      </c>
      <c r="KE56" s="15">
        <f t="shared" si="486"/>
        <v>0</v>
      </c>
      <c r="KF56" s="15">
        <f t="shared" si="486"/>
        <v>0</v>
      </c>
      <c r="KG56" s="15">
        <f t="shared" si="486"/>
        <v>0</v>
      </c>
      <c r="KH56" s="15">
        <f t="shared" si="476"/>
        <v>0</v>
      </c>
      <c r="KI56" s="15">
        <f t="shared" si="476"/>
        <v>0</v>
      </c>
      <c r="KJ56" s="15">
        <f t="shared" si="476"/>
        <v>0</v>
      </c>
      <c r="KK56" s="15">
        <f t="shared" si="476"/>
        <v>0</v>
      </c>
      <c r="KL56" s="15">
        <f t="shared" si="476"/>
        <v>0</v>
      </c>
      <c r="KM56" s="15">
        <f t="shared" si="476"/>
        <v>0</v>
      </c>
      <c r="KN56" s="15">
        <f t="shared" si="476"/>
        <v>0</v>
      </c>
      <c r="KO56" s="15">
        <f t="shared" si="476"/>
        <v>0</v>
      </c>
      <c r="KP56" s="15">
        <f t="shared" si="476"/>
        <v>0</v>
      </c>
      <c r="KQ56" s="15">
        <f t="shared" si="476"/>
        <v>0</v>
      </c>
      <c r="KR56" s="15">
        <f t="shared" si="476"/>
        <v>0</v>
      </c>
      <c r="KS56" s="15">
        <f t="shared" si="476"/>
        <v>0</v>
      </c>
      <c r="KT56" s="15">
        <f t="shared" si="476"/>
        <v>0</v>
      </c>
      <c r="KU56" s="15">
        <f t="shared" si="476"/>
        <v>0</v>
      </c>
      <c r="KW56" s="15">
        <f t="shared" ref="KW56:KW58" si="487">IF($AU56&gt;=KW$8,$AX56,0)</f>
        <v>5416666.666666667</v>
      </c>
      <c r="KX56" s="15">
        <f t="shared" si="477"/>
        <v>5416666.666666667</v>
      </c>
      <c r="KY56" s="15">
        <f t="shared" si="477"/>
        <v>5416666.666666667</v>
      </c>
      <c r="KZ56" s="15">
        <f t="shared" si="477"/>
        <v>5416666.666666667</v>
      </c>
      <c r="LA56" s="15">
        <f t="shared" si="477"/>
        <v>5416666.666666667</v>
      </c>
      <c r="LB56" s="15">
        <f t="shared" si="477"/>
        <v>5416666.666666667</v>
      </c>
      <c r="LC56" s="15">
        <f t="shared" si="477"/>
        <v>5416666.666666667</v>
      </c>
      <c r="LD56" s="15">
        <f t="shared" si="477"/>
        <v>5416666.666666667</v>
      </c>
      <c r="LE56" s="15">
        <f t="shared" si="477"/>
        <v>5416666.666666667</v>
      </c>
      <c r="LF56" s="15">
        <f t="shared" si="477"/>
        <v>5416666.666666667</v>
      </c>
      <c r="LG56" s="15">
        <f t="shared" si="477"/>
        <v>5416666.666666667</v>
      </c>
      <c r="LH56" s="15">
        <f t="shared" si="477"/>
        <v>5416666.666666667</v>
      </c>
      <c r="LI56" s="15">
        <f t="shared" si="477"/>
        <v>0</v>
      </c>
      <c r="LJ56" s="15">
        <f t="shared" si="477"/>
        <v>0</v>
      </c>
      <c r="LK56" s="15">
        <f t="shared" si="477"/>
        <v>0</v>
      </c>
      <c r="LL56" s="15">
        <f t="shared" si="477"/>
        <v>0</v>
      </c>
      <c r="LM56" s="15">
        <f t="shared" si="477"/>
        <v>0</v>
      </c>
      <c r="LN56" s="15">
        <f t="shared" si="465"/>
        <v>0</v>
      </c>
      <c r="LO56" s="15">
        <f t="shared" si="465"/>
        <v>0</v>
      </c>
      <c r="LP56" s="15">
        <f t="shared" si="465"/>
        <v>0</v>
      </c>
      <c r="LQ56" s="15">
        <f t="shared" si="465"/>
        <v>0</v>
      </c>
      <c r="LR56" s="15">
        <f t="shared" si="465"/>
        <v>0</v>
      </c>
      <c r="LS56" s="15">
        <f t="shared" si="465"/>
        <v>0</v>
      </c>
      <c r="LT56" s="15">
        <f t="shared" si="465"/>
        <v>0</v>
      </c>
      <c r="LU56" s="15">
        <f t="shared" si="465"/>
        <v>0</v>
      </c>
      <c r="LV56" s="15">
        <f t="shared" si="465"/>
        <v>0</v>
      </c>
      <c r="LW56" s="15">
        <f t="shared" si="465"/>
        <v>0</v>
      </c>
      <c r="LX56" s="15">
        <f t="shared" si="465"/>
        <v>0</v>
      </c>
      <c r="LY56" s="15">
        <f t="shared" si="465"/>
        <v>0</v>
      </c>
      <c r="LZ56" s="15">
        <f t="shared" si="465"/>
        <v>0</v>
      </c>
      <c r="MB56" s="15">
        <f t="shared" ref="MB56:MB58" si="488">IF($AZ56&gt;=MB$8,$BC56,0)</f>
        <v>5416666.666666667</v>
      </c>
      <c r="MC56" s="15">
        <f t="shared" si="478"/>
        <v>5416666.666666667</v>
      </c>
      <c r="MD56" s="15">
        <f t="shared" si="478"/>
        <v>5416666.666666667</v>
      </c>
      <c r="ME56" s="15">
        <f t="shared" si="478"/>
        <v>5416666.666666667</v>
      </c>
      <c r="MF56" s="15">
        <f t="shared" si="478"/>
        <v>5416666.666666667</v>
      </c>
      <c r="MG56" s="15">
        <f t="shared" si="478"/>
        <v>5416666.666666667</v>
      </c>
      <c r="MH56" s="15">
        <f t="shared" si="478"/>
        <v>5416666.666666667</v>
      </c>
      <c r="MI56" s="15">
        <f t="shared" si="478"/>
        <v>5416666.666666667</v>
      </c>
      <c r="MJ56" s="15">
        <f t="shared" si="478"/>
        <v>5416666.666666667</v>
      </c>
      <c r="MK56" s="15">
        <f t="shared" si="478"/>
        <v>5416666.666666667</v>
      </c>
      <c r="ML56" s="15">
        <f t="shared" si="478"/>
        <v>5416666.666666667</v>
      </c>
      <c r="MM56" s="15">
        <f t="shared" si="478"/>
        <v>5416666.666666667</v>
      </c>
      <c r="MN56" s="15">
        <f t="shared" si="478"/>
        <v>0</v>
      </c>
      <c r="MO56" s="15">
        <f t="shared" si="478"/>
        <v>0</v>
      </c>
      <c r="MP56" s="15">
        <f t="shared" si="478"/>
        <v>0</v>
      </c>
      <c r="MQ56" s="15">
        <f t="shared" si="478"/>
        <v>0</v>
      </c>
      <c r="MR56" s="15">
        <f t="shared" si="478"/>
        <v>0</v>
      </c>
      <c r="MS56" s="15">
        <f t="shared" si="467"/>
        <v>0</v>
      </c>
      <c r="MT56" s="15">
        <f t="shared" si="467"/>
        <v>0</v>
      </c>
      <c r="MU56" s="15">
        <f t="shared" si="467"/>
        <v>0</v>
      </c>
      <c r="MV56" s="15">
        <f t="shared" si="467"/>
        <v>0</v>
      </c>
      <c r="MW56" s="15">
        <f t="shared" si="467"/>
        <v>0</v>
      </c>
      <c r="MX56" s="15">
        <f t="shared" si="467"/>
        <v>0</v>
      </c>
      <c r="MY56" s="15">
        <f t="shared" si="467"/>
        <v>0</v>
      </c>
      <c r="MZ56" s="15">
        <f t="shared" si="467"/>
        <v>0</v>
      </c>
      <c r="NA56" s="15">
        <f t="shared" si="467"/>
        <v>0</v>
      </c>
      <c r="NB56" s="15">
        <f t="shared" si="467"/>
        <v>0</v>
      </c>
      <c r="NC56" s="15">
        <f t="shared" si="467"/>
        <v>0</v>
      </c>
      <c r="ND56" s="15">
        <f t="shared" si="467"/>
        <v>0</v>
      </c>
      <c r="NE56" s="15">
        <f t="shared" si="467"/>
        <v>0</v>
      </c>
    </row>
    <row r="57" spans="1:369" outlineLevel="1" x14ac:dyDescent="0.25">
      <c r="B57" t="s">
        <v>345</v>
      </c>
      <c r="C57" s="623" t="s">
        <v>260</v>
      </c>
      <c r="D57" s="613" t="s">
        <v>226</v>
      </c>
      <c r="E57" s="468">
        <v>1</v>
      </c>
      <c r="F57" s="221"/>
      <c r="G57" s="457">
        <v>12</v>
      </c>
      <c r="H57" s="468">
        <f>(50000000/$D$6)*1.04</f>
        <v>52000000</v>
      </c>
      <c r="I57" s="457">
        <f t="shared" si="419"/>
        <v>52000000</v>
      </c>
      <c r="J57" s="457">
        <f t="shared" si="420"/>
        <v>4333333.333333333</v>
      </c>
      <c r="K57" s="221"/>
      <c r="L57" s="457">
        <v>12</v>
      </c>
      <c r="M57" s="457">
        <f t="shared" si="421"/>
        <v>52000000</v>
      </c>
      <c r="N57" s="457">
        <f t="shared" si="422"/>
        <v>52000000</v>
      </c>
      <c r="O57" s="457">
        <f t="shared" si="423"/>
        <v>4333333.333333333</v>
      </c>
      <c r="P57" s="221"/>
      <c r="Q57" s="457">
        <v>12</v>
      </c>
      <c r="R57" s="457">
        <f t="shared" si="424"/>
        <v>52000000</v>
      </c>
      <c r="S57" s="457">
        <f t="shared" si="425"/>
        <v>52000000</v>
      </c>
      <c r="T57" s="457">
        <f t="shared" si="426"/>
        <v>4333333.333333333</v>
      </c>
      <c r="U57" s="221"/>
      <c r="V57" s="457">
        <v>12</v>
      </c>
      <c r="W57" s="457">
        <f t="shared" si="427"/>
        <v>52000000</v>
      </c>
      <c r="X57" s="457">
        <f t="shared" si="428"/>
        <v>52000000</v>
      </c>
      <c r="Y57" s="457">
        <f t="shared" si="429"/>
        <v>4333333.333333333</v>
      </c>
      <c r="Z57" s="221"/>
      <c r="AA57" s="457">
        <v>12</v>
      </c>
      <c r="AB57" s="457">
        <f t="shared" si="430"/>
        <v>52000000</v>
      </c>
      <c r="AC57" s="457">
        <f t="shared" si="431"/>
        <v>52000000</v>
      </c>
      <c r="AD57" s="457">
        <f t="shared" si="432"/>
        <v>4333333.333333333</v>
      </c>
      <c r="AE57" s="221"/>
      <c r="AF57" s="457">
        <v>12</v>
      </c>
      <c r="AG57" s="457">
        <f t="shared" si="433"/>
        <v>52000000</v>
      </c>
      <c r="AH57" s="457">
        <f t="shared" si="434"/>
        <v>52000000</v>
      </c>
      <c r="AI57" s="457">
        <f t="shared" si="435"/>
        <v>4333333.333333333</v>
      </c>
      <c r="AJ57" s="221"/>
      <c r="AK57" s="457">
        <v>12</v>
      </c>
      <c r="AL57" s="457">
        <f t="shared" si="436"/>
        <v>52000000</v>
      </c>
      <c r="AM57" s="457">
        <f t="shared" si="437"/>
        <v>52000000</v>
      </c>
      <c r="AN57" s="457">
        <f t="shared" si="438"/>
        <v>4333333.333333333</v>
      </c>
      <c r="AO57" s="221"/>
      <c r="AP57" s="457">
        <v>12</v>
      </c>
      <c r="AQ57" s="457">
        <f t="shared" si="439"/>
        <v>52000000</v>
      </c>
      <c r="AR57" s="457">
        <f t="shared" si="440"/>
        <v>52000000</v>
      </c>
      <c r="AS57" s="457">
        <f t="shared" si="441"/>
        <v>4333333.333333333</v>
      </c>
      <c r="AT57" s="221"/>
      <c r="AU57" s="457">
        <v>12</v>
      </c>
      <c r="AV57" s="457">
        <f t="shared" si="442"/>
        <v>52000000</v>
      </c>
      <c r="AW57" s="457">
        <f t="shared" si="443"/>
        <v>52000000</v>
      </c>
      <c r="AX57" s="457">
        <f t="shared" si="444"/>
        <v>4333333.333333333</v>
      </c>
      <c r="AY57" s="221"/>
      <c r="AZ57" s="457">
        <v>12</v>
      </c>
      <c r="BA57" s="457">
        <f t="shared" si="445"/>
        <v>52000000</v>
      </c>
      <c r="BB57" s="457">
        <f t="shared" si="446"/>
        <v>52000000</v>
      </c>
      <c r="BC57" s="457">
        <f t="shared" si="447"/>
        <v>4333333.333333333</v>
      </c>
      <c r="BD57" s="221"/>
      <c r="BG57" t="s">
        <v>337</v>
      </c>
      <c r="BI57" s="15">
        <f t="shared" si="479"/>
        <v>4333333.333333333</v>
      </c>
      <c r="BJ57" s="15">
        <f t="shared" si="479"/>
        <v>4333333.333333333</v>
      </c>
      <c r="BK57" s="15">
        <f t="shared" si="479"/>
        <v>4333333.333333333</v>
      </c>
      <c r="BL57" s="15">
        <f t="shared" si="479"/>
        <v>4333333.333333333</v>
      </c>
      <c r="BM57" s="15">
        <f t="shared" si="479"/>
        <v>4333333.333333333</v>
      </c>
      <c r="BN57" s="15">
        <f t="shared" si="479"/>
        <v>4333333.333333333</v>
      </c>
      <c r="BO57" s="15">
        <f t="shared" si="479"/>
        <v>4333333.333333333</v>
      </c>
      <c r="BP57" s="15">
        <f t="shared" si="479"/>
        <v>4333333.333333333</v>
      </c>
      <c r="BQ57" s="15">
        <f t="shared" si="479"/>
        <v>4333333.333333333</v>
      </c>
      <c r="BR57" s="15">
        <f t="shared" si="479"/>
        <v>4333333.333333333</v>
      </c>
      <c r="BS57" s="15">
        <f t="shared" si="479"/>
        <v>4333333.333333333</v>
      </c>
      <c r="BT57" s="15">
        <f t="shared" si="479"/>
        <v>4333333.333333333</v>
      </c>
      <c r="BU57" s="15">
        <f t="shared" si="479"/>
        <v>0</v>
      </c>
      <c r="BV57" s="15">
        <f t="shared" si="479"/>
        <v>0</v>
      </c>
      <c r="BW57" s="15">
        <f t="shared" si="479"/>
        <v>0</v>
      </c>
      <c r="BX57" s="15">
        <f t="shared" si="479"/>
        <v>0</v>
      </c>
      <c r="BY57" s="15">
        <f t="shared" si="469"/>
        <v>0</v>
      </c>
      <c r="BZ57" s="15">
        <f t="shared" si="469"/>
        <v>0</v>
      </c>
      <c r="CA57" s="15">
        <f t="shared" si="469"/>
        <v>0</v>
      </c>
      <c r="CB57" s="15">
        <f t="shared" si="469"/>
        <v>0</v>
      </c>
      <c r="CC57" s="15">
        <f t="shared" si="469"/>
        <v>0</v>
      </c>
      <c r="CD57" s="15">
        <f t="shared" si="469"/>
        <v>0</v>
      </c>
      <c r="CE57" s="15">
        <f t="shared" si="469"/>
        <v>0</v>
      </c>
      <c r="CF57" s="15">
        <f t="shared" si="469"/>
        <v>0</v>
      </c>
      <c r="CG57" s="15">
        <f t="shared" si="469"/>
        <v>0</v>
      </c>
      <c r="CH57" s="15">
        <f t="shared" si="469"/>
        <v>0</v>
      </c>
      <c r="CI57" s="15">
        <f t="shared" si="469"/>
        <v>0</v>
      </c>
      <c r="CJ57" s="15">
        <f t="shared" si="469"/>
        <v>0</v>
      </c>
      <c r="CK57" s="15">
        <f t="shared" si="469"/>
        <v>0</v>
      </c>
      <c r="CL57" s="15">
        <f t="shared" si="469"/>
        <v>0</v>
      </c>
      <c r="CN57" s="15">
        <f t="shared" si="480"/>
        <v>4333333.333333333</v>
      </c>
      <c r="CO57" s="15">
        <f t="shared" si="480"/>
        <v>4333333.333333333</v>
      </c>
      <c r="CP57" s="15">
        <f t="shared" si="480"/>
        <v>4333333.333333333</v>
      </c>
      <c r="CQ57" s="15">
        <f t="shared" si="480"/>
        <v>4333333.333333333</v>
      </c>
      <c r="CR57" s="15">
        <f t="shared" si="480"/>
        <v>4333333.333333333</v>
      </c>
      <c r="CS57" s="15">
        <f t="shared" si="480"/>
        <v>4333333.333333333</v>
      </c>
      <c r="CT57" s="15">
        <f t="shared" si="480"/>
        <v>4333333.333333333</v>
      </c>
      <c r="CU57" s="15">
        <f t="shared" si="480"/>
        <v>4333333.333333333</v>
      </c>
      <c r="CV57" s="15">
        <f t="shared" si="480"/>
        <v>4333333.333333333</v>
      </c>
      <c r="CW57" s="15">
        <f t="shared" si="480"/>
        <v>4333333.333333333</v>
      </c>
      <c r="CX57" s="15">
        <f t="shared" si="480"/>
        <v>4333333.333333333</v>
      </c>
      <c r="CY57" s="15">
        <f t="shared" si="480"/>
        <v>4333333.333333333</v>
      </c>
      <c r="CZ57" s="15">
        <f t="shared" si="480"/>
        <v>0</v>
      </c>
      <c r="DA57" s="15">
        <f t="shared" si="480"/>
        <v>0</v>
      </c>
      <c r="DB57" s="15">
        <f t="shared" si="480"/>
        <v>0</v>
      </c>
      <c r="DC57" s="15">
        <f t="shared" si="480"/>
        <v>0</v>
      </c>
      <c r="DD57" s="15">
        <f t="shared" si="470"/>
        <v>0</v>
      </c>
      <c r="DE57" s="15">
        <f t="shared" si="470"/>
        <v>0</v>
      </c>
      <c r="DF57" s="15">
        <f t="shared" si="470"/>
        <v>0</v>
      </c>
      <c r="DG57" s="15">
        <f t="shared" si="470"/>
        <v>0</v>
      </c>
      <c r="DH57" s="15">
        <f t="shared" si="470"/>
        <v>0</v>
      </c>
      <c r="DI57" s="15">
        <f t="shared" si="470"/>
        <v>0</v>
      </c>
      <c r="DJ57" s="15">
        <f t="shared" si="470"/>
        <v>0</v>
      </c>
      <c r="DK57" s="15">
        <f t="shared" si="470"/>
        <v>0</v>
      </c>
      <c r="DL57" s="15">
        <f t="shared" si="470"/>
        <v>0</v>
      </c>
      <c r="DM57" s="15">
        <f t="shared" si="470"/>
        <v>0</v>
      </c>
      <c r="DN57" s="15">
        <f t="shared" si="470"/>
        <v>0</v>
      </c>
      <c r="DO57" s="15">
        <f t="shared" si="470"/>
        <v>0</v>
      </c>
      <c r="DP57" s="15">
        <f t="shared" si="470"/>
        <v>0</v>
      </c>
      <c r="DQ57" s="15">
        <f t="shared" si="470"/>
        <v>0</v>
      </c>
      <c r="DS57" s="15">
        <f t="shared" si="481"/>
        <v>4333333.333333333</v>
      </c>
      <c r="DT57" s="15">
        <f t="shared" si="481"/>
        <v>4333333.333333333</v>
      </c>
      <c r="DU57" s="15">
        <f t="shared" si="481"/>
        <v>4333333.333333333</v>
      </c>
      <c r="DV57" s="15">
        <f t="shared" si="481"/>
        <v>4333333.333333333</v>
      </c>
      <c r="DW57" s="15">
        <f t="shared" si="481"/>
        <v>4333333.333333333</v>
      </c>
      <c r="DX57" s="15">
        <f t="shared" si="481"/>
        <v>4333333.333333333</v>
      </c>
      <c r="DY57" s="15">
        <f t="shared" si="481"/>
        <v>4333333.333333333</v>
      </c>
      <c r="DZ57" s="15">
        <f t="shared" si="481"/>
        <v>4333333.333333333</v>
      </c>
      <c r="EA57" s="15">
        <f t="shared" si="481"/>
        <v>4333333.333333333</v>
      </c>
      <c r="EB57" s="15">
        <f t="shared" si="481"/>
        <v>4333333.333333333</v>
      </c>
      <c r="EC57" s="15">
        <f t="shared" si="481"/>
        <v>4333333.333333333</v>
      </c>
      <c r="ED57" s="15">
        <f t="shared" si="481"/>
        <v>4333333.333333333</v>
      </c>
      <c r="EE57" s="15">
        <f t="shared" si="481"/>
        <v>0</v>
      </c>
      <c r="EF57" s="15">
        <f t="shared" si="481"/>
        <v>0</v>
      </c>
      <c r="EG57" s="15">
        <f t="shared" si="481"/>
        <v>0</v>
      </c>
      <c r="EH57" s="15">
        <f t="shared" si="481"/>
        <v>0</v>
      </c>
      <c r="EI57" s="15">
        <f t="shared" si="471"/>
        <v>0</v>
      </c>
      <c r="EJ57" s="15">
        <f t="shared" si="453"/>
        <v>0</v>
      </c>
      <c r="EK57" s="15">
        <f t="shared" si="453"/>
        <v>0</v>
      </c>
      <c r="EL57" s="15">
        <f t="shared" si="453"/>
        <v>0</v>
      </c>
      <c r="EM57" s="15">
        <f t="shared" si="453"/>
        <v>0</v>
      </c>
      <c r="EN57" s="15">
        <f t="shared" si="453"/>
        <v>0</v>
      </c>
      <c r="EO57" s="15">
        <f t="shared" si="453"/>
        <v>0</v>
      </c>
      <c r="EP57" s="15">
        <f t="shared" si="453"/>
        <v>0</v>
      </c>
      <c r="EQ57" s="15">
        <f t="shared" si="453"/>
        <v>0</v>
      </c>
      <c r="ER57" s="15">
        <f t="shared" si="453"/>
        <v>0</v>
      </c>
      <c r="ES57" s="15">
        <f t="shared" si="453"/>
        <v>0</v>
      </c>
      <c r="ET57" s="15">
        <f t="shared" si="453"/>
        <v>0</v>
      </c>
      <c r="EU57" s="15">
        <f t="shared" si="453"/>
        <v>0</v>
      </c>
      <c r="EV57" s="15">
        <f t="shared" si="453"/>
        <v>0</v>
      </c>
      <c r="EX57" s="15">
        <f t="shared" si="482"/>
        <v>4333333.333333333</v>
      </c>
      <c r="EY57" s="15">
        <f t="shared" si="482"/>
        <v>4333333.333333333</v>
      </c>
      <c r="EZ57" s="15">
        <f t="shared" si="482"/>
        <v>4333333.333333333</v>
      </c>
      <c r="FA57" s="15">
        <f t="shared" si="482"/>
        <v>4333333.333333333</v>
      </c>
      <c r="FB57" s="15">
        <f t="shared" si="482"/>
        <v>4333333.333333333</v>
      </c>
      <c r="FC57" s="15">
        <f t="shared" si="482"/>
        <v>4333333.333333333</v>
      </c>
      <c r="FD57" s="15">
        <f t="shared" si="482"/>
        <v>4333333.333333333</v>
      </c>
      <c r="FE57" s="15">
        <f t="shared" si="482"/>
        <v>4333333.333333333</v>
      </c>
      <c r="FF57" s="15">
        <f t="shared" si="482"/>
        <v>4333333.333333333</v>
      </c>
      <c r="FG57" s="15">
        <f t="shared" si="482"/>
        <v>4333333.333333333</v>
      </c>
      <c r="FH57" s="15">
        <f t="shared" si="482"/>
        <v>4333333.333333333</v>
      </c>
      <c r="FI57" s="15">
        <f t="shared" si="482"/>
        <v>4333333.333333333</v>
      </c>
      <c r="FJ57" s="15">
        <f t="shared" si="482"/>
        <v>0</v>
      </c>
      <c r="FK57" s="15">
        <f t="shared" si="482"/>
        <v>0</v>
      </c>
      <c r="FL57" s="15">
        <f t="shared" si="482"/>
        <v>0</v>
      </c>
      <c r="FM57" s="15">
        <f t="shared" si="482"/>
        <v>0</v>
      </c>
      <c r="FN57" s="15">
        <f t="shared" si="472"/>
        <v>0</v>
      </c>
      <c r="FO57" s="15">
        <f t="shared" si="472"/>
        <v>0</v>
      </c>
      <c r="FP57" s="15">
        <f t="shared" si="472"/>
        <v>0</v>
      </c>
      <c r="FQ57" s="15">
        <f t="shared" si="472"/>
        <v>0</v>
      </c>
      <c r="FR57" s="15">
        <f t="shared" si="472"/>
        <v>0</v>
      </c>
      <c r="FS57" s="15">
        <f t="shared" si="472"/>
        <v>0</v>
      </c>
      <c r="FT57" s="15">
        <f t="shared" si="472"/>
        <v>0</v>
      </c>
      <c r="FU57" s="15">
        <f t="shared" si="472"/>
        <v>0</v>
      </c>
      <c r="FV57" s="15">
        <f t="shared" si="472"/>
        <v>0</v>
      </c>
      <c r="FW57" s="15">
        <f t="shared" si="472"/>
        <v>0</v>
      </c>
      <c r="FX57" s="15">
        <f t="shared" si="472"/>
        <v>0</v>
      </c>
      <c r="FY57" s="15">
        <f t="shared" si="472"/>
        <v>0</v>
      </c>
      <c r="FZ57" s="15">
        <f t="shared" si="472"/>
        <v>0</v>
      </c>
      <c r="GA57" s="15">
        <f t="shared" si="472"/>
        <v>0</v>
      </c>
      <c r="GC57" s="15">
        <f t="shared" si="483"/>
        <v>4333333.333333333</v>
      </c>
      <c r="GD57" s="15">
        <f t="shared" si="483"/>
        <v>4333333.333333333</v>
      </c>
      <c r="GE57" s="15">
        <f t="shared" si="483"/>
        <v>4333333.333333333</v>
      </c>
      <c r="GF57" s="15">
        <f t="shared" si="483"/>
        <v>4333333.333333333</v>
      </c>
      <c r="GG57" s="15">
        <f t="shared" si="483"/>
        <v>4333333.333333333</v>
      </c>
      <c r="GH57" s="15">
        <f t="shared" si="483"/>
        <v>4333333.333333333</v>
      </c>
      <c r="GI57" s="15">
        <f t="shared" si="483"/>
        <v>4333333.333333333</v>
      </c>
      <c r="GJ57" s="15">
        <f t="shared" si="483"/>
        <v>4333333.333333333</v>
      </c>
      <c r="GK57" s="15">
        <f t="shared" si="483"/>
        <v>4333333.333333333</v>
      </c>
      <c r="GL57" s="15">
        <f t="shared" si="483"/>
        <v>4333333.333333333</v>
      </c>
      <c r="GM57" s="15">
        <f t="shared" si="483"/>
        <v>4333333.333333333</v>
      </c>
      <c r="GN57" s="15">
        <f t="shared" si="483"/>
        <v>4333333.333333333</v>
      </c>
      <c r="GO57" s="15">
        <f t="shared" si="483"/>
        <v>0</v>
      </c>
      <c r="GP57" s="15">
        <f t="shared" si="483"/>
        <v>0</v>
      </c>
      <c r="GQ57" s="15">
        <f t="shared" si="483"/>
        <v>0</v>
      </c>
      <c r="GR57" s="15">
        <f t="shared" si="483"/>
        <v>0</v>
      </c>
      <c r="GS57" s="15">
        <f t="shared" si="473"/>
        <v>0</v>
      </c>
      <c r="GT57" s="15">
        <f t="shared" si="473"/>
        <v>0</v>
      </c>
      <c r="GU57" s="15">
        <f t="shared" si="473"/>
        <v>0</v>
      </c>
      <c r="GV57" s="15">
        <f t="shared" si="473"/>
        <v>0</v>
      </c>
      <c r="GW57" s="15">
        <f t="shared" si="473"/>
        <v>0</v>
      </c>
      <c r="GX57" s="15">
        <f t="shared" si="473"/>
        <v>0</v>
      </c>
      <c r="GY57" s="15">
        <f t="shared" si="473"/>
        <v>0</v>
      </c>
      <c r="GZ57" s="15">
        <f t="shared" si="473"/>
        <v>0</v>
      </c>
      <c r="HA57" s="15">
        <f t="shared" si="473"/>
        <v>0</v>
      </c>
      <c r="HB57" s="15">
        <f t="shared" si="473"/>
        <v>0</v>
      </c>
      <c r="HC57" s="15">
        <f t="shared" si="473"/>
        <v>0</v>
      </c>
      <c r="HD57" s="15">
        <f t="shared" si="473"/>
        <v>0</v>
      </c>
      <c r="HE57" s="15">
        <f t="shared" si="473"/>
        <v>0</v>
      </c>
      <c r="HF57" s="15">
        <f t="shared" si="473"/>
        <v>0</v>
      </c>
      <c r="HH57" s="15">
        <f t="shared" si="484"/>
        <v>4333333.333333333</v>
      </c>
      <c r="HI57" s="15">
        <f t="shared" si="484"/>
        <v>4333333.333333333</v>
      </c>
      <c r="HJ57" s="15">
        <f t="shared" si="484"/>
        <v>4333333.333333333</v>
      </c>
      <c r="HK57" s="15">
        <f t="shared" si="484"/>
        <v>4333333.333333333</v>
      </c>
      <c r="HL57" s="15">
        <f t="shared" si="484"/>
        <v>4333333.333333333</v>
      </c>
      <c r="HM57" s="15">
        <f t="shared" si="484"/>
        <v>4333333.333333333</v>
      </c>
      <c r="HN57" s="15">
        <f t="shared" si="484"/>
        <v>4333333.333333333</v>
      </c>
      <c r="HO57" s="15">
        <f t="shared" si="484"/>
        <v>4333333.333333333</v>
      </c>
      <c r="HP57" s="15">
        <f t="shared" si="484"/>
        <v>4333333.333333333</v>
      </c>
      <c r="HQ57" s="15">
        <f t="shared" si="484"/>
        <v>4333333.333333333</v>
      </c>
      <c r="HR57" s="15">
        <f t="shared" si="484"/>
        <v>4333333.333333333</v>
      </c>
      <c r="HS57" s="15">
        <f t="shared" si="484"/>
        <v>4333333.333333333</v>
      </c>
      <c r="HT57" s="15">
        <f t="shared" si="484"/>
        <v>0</v>
      </c>
      <c r="HU57" s="15">
        <f t="shared" si="484"/>
        <v>0</v>
      </c>
      <c r="HV57" s="15">
        <f t="shared" si="484"/>
        <v>0</v>
      </c>
      <c r="HW57" s="15">
        <f t="shared" si="484"/>
        <v>0</v>
      </c>
      <c r="HX57" s="15">
        <f t="shared" si="474"/>
        <v>0</v>
      </c>
      <c r="HY57" s="15">
        <f t="shared" si="474"/>
        <v>0</v>
      </c>
      <c r="HZ57" s="15">
        <f t="shared" si="474"/>
        <v>0</v>
      </c>
      <c r="IA57" s="15">
        <f t="shared" si="474"/>
        <v>0</v>
      </c>
      <c r="IB57" s="15">
        <f t="shared" si="474"/>
        <v>0</v>
      </c>
      <c r="IC57" s="15">
        <f t="shared" si="474"/>
        <v>0</v>
      </c>
      <c r="ID57" s="15">
        <f t="shared" si="474"/>
        <v>0</v>
      </c>
      <c r="IE57" s="15">
        <f t="shared" si="474"/>
        <v>0</v>
      </c>
      <c r="IF57" s="15">
        <f t="shared" si="474"/>
        <v>0</v>
      </c>
      <c r="IG57" s="15">
        <f t="shared" si="474"/>
        <v>0</v>
      </c>
      <c r="IH57" s="15">
        <f t="shared" si="474"/>
        <v>0</v>
      </c>
      <c r="II57" s="15">
        <f t="shared" si="474"/>
        <v>0</v>
      </c>
      <c r="IJ57" s="15">
        <f t="shared" si="474"/>
        <v>0</v>
      </c>
      <c r="IK57" s="15">
        <f t="shared" si="474"/>
        <v>0</v>
      </c>
      <c r="IM57" s="15">
        <f t="shared" si="485"/>
        <v>4333333.333333333</v>
      </c>
      <c r="IN57" s="15">
        <f t="shared" si="475"/>
        <v>4333333.333333333</v>
      </c>
      <c r="IO57" s="15">
        <f t="shared" si="475"/>
        <v>4333333.333333333</v>
      </c>
      <c r="IP57" s="15">
        <f t="shared" si="475"/>
        <v>4333333.333333333</v>
      </c>
      <c r="IQ57" s="15">
        <f t="shared" si="475"/>
        <v>4333333.333333333</v>
      </c>
      <c r="IR57" s="15">
        <f t="shared" si="475"/>
        <v>4333333.333333333</v>
      </c>
      <c r="IS57" s="15">
        <f t="shared" si="475"/>
        <v>4333333.333333333</v>
      </c>
      <c r="IT57" s="15">
        <f t="shared" si="475"/>
        <v>4333333.333333333</v>
      </c>
      <c r="IU57" s="15">
        <f t="shared" si="475"/>
        <v>4333333.333333333</v>
      </c>
      <c r="IV57" s="15">
        <f t="shared" si="475"/>
        <v>4333333.333333333</v>
      </c>
      <c r="IW57" s="15">
        <f t="shared" si="475"/>
        <v>4333333.333333333</v>
      </c>
      <c r="IX57" s="15">
        <f t="shared" si="475"/>
        <v>4333333.333333333</v>
      </c>
      <c r="IY57" s="15">
        <f t="shared" si="475"/>
        <v>0</v>
      </c>
      <c r="IZ57" s="15">
        <f t="shared" si="475"/>
        <v>0</v>
      </c>
      <c r="JA57" s="15">
        <f t="shared" si="475"/>
        <v>0</v>
      </c>
      <c r="JB57" s="15">
        <f t="shared" si="475"/>
        <v>0</v>
      </c>
      <c r="JC57" s="15">
        <f t="shared" si="475"/>
        <v>0</v>
      </c>
      <c r="JD57" s="15">
        <f t="shared" si="461"/>
        <v>0</v>
      </c>
      <c r="JE57" s="15">
        <f t="shared" si="461"/>
        <v>0</v>
      </c>
      <c r="JF57" s="15">
        <f t="shared" si="461"/>
        <v>0</v>
      </c>
      <c r="JG57" s="15">
        <f t="shared" si="461"/>
        <v>0</v>
      </c>
      <c r="JH57" s="15">
        <f t="shared" si="461"/>
        <v>0</v>
      </c>
      <c r="JI57" s="15">
        <f t="shared" si="461"/>
        <v>0</v>
      </c>
      <c r="JJ57" s="15">
        <f t="shared" si="461"/>
        <v>0</v>
      </c>
      <c r="JK57" s="15">
        <f t="shared" si="461"/>
        <v>0</v>
      </c>
      <c r="JL57" s="15">
        <f t="shared" si="461"/>
        <v>0</v>
      </c>
      <c r="JM57" s="15">
        <f t="shared" si="461"/>
        <v>0</v>
      </c>
      <c r="JN57" s="15">
        <f t="shared" si="461"/>
        <v>0</v>
      </c>
      <c r="JO57" s="15">
        <f t="shared" si="461"/>
        <v>0</v>
      </c>
      <c r="JP57" s="15">
        <f t="shared" si="461"/>
        <v>0</v>
      </c>
      <c r="JR57" s="15">
        <f t="shared" si="486"/>
        <v>4333333.333333333</v>
      </c>
      <c r="JS57" s="15">
        <f t="shared" si="486"/>
        <v>4333333.333333333</v>
      </c>
      <c r="JT57" s="15">
        <f t="shared" si="486"/>
        <v>4333333.333333333</v>
      </c>
      <c r="JU57" s="15">
        <f t="shared" si="486"/>
        <v>4333333.333333333</v>
      </c>
      <c r="JV57" s="15">
        <f t="shared" si="486"/>
        <v>4333333.333333333</v>
      </c>
      <c r="JW57" s="15">
        <f t="shared" si="486"/>
        <v>4333333.333333333</v>
      </c>
      <c r="JX57" s="15">
        <f t="shared" si="486"/>
        <v>4333333.333333333</v>
      </c>
      <c r="JY57" s="15">
        <f t="shared" si="486"/>
        <v>4333333.333333333</v>
      </c>
      <c r="JZ57" s="15">
        <f t="shared" si="486"/>
        <v>4333333.333333333</v>
      </c>
      <c r="KA57" s="15">
        <f t="shared" si="486"/>
        <v>4333333.333333333</v>
      </c>
      <c r="KB57" s="15">
        <f t="shared" si="486"/>
        <v>4333333.333333333</v>
      </c>
      <c r="KC57" s="15">
        <f t="shared" si="486"/>
        <v>4333333.333333333</v>
      </c>
      <c r="KD57" s="15">
        <f t="shared" si="486"/>
        <v>0</v>
      </c>
      <c r="KE57" s="15">
        <f t="shared" si="486"/>
        <v>0</v>
      </c>
      <c r="KF57" s="15">
        <f t="shared" si="486"/>
        <v>0</v>
      </c>
      <c r="KG57" s="15">
        <f t="shared" si="486"/>
        <v>0</v>
      </c>
      <c r="KH57" s="15">
        <f t="shared" si="476"/>
        <v>0</v>
      </c>
      <c r="KI57" s="15">
        <f t="shared" si="476"/>
        <v>0</v>
      </c>
      <c r="KJ57" s="15">
        <f t="shared" si="476"/>
        <v>0</v>
      </c>
      <c r="KK57" s="15">
        <f t="shared" si="476"/>
        <v>0</v>
      </c>
      <c r="KL57" s="15">
        <f t="shared" si="476"/>
        <v>0</v>
      </c>
      <c r="KM57" s="15">
        <f t="shared" si="476"/>
        <v>0</v>
      </c>
      <c r="KN57" s="15">
        <f t="shared" si="476"/>
        <v>0</v>
      </c>
      <c r="KO57" s="15">
        <f t="shared" si="476"/>
        <v>0</v>
      </c>
      <c r="KP57" s="15">
        <f t="shared" si="476"/>
        <v>0</v>
      </c>
      <c r="KQ57" s="15">
        <f t="shared" si="476"/>
        <v>0</v>
      </c>
      <c r="KR57" s="15">
        <f t="shared" si="476"/>
        <v>0</v>
      </c>
      <c r="KS57" s="15">
        <f t="shared" si="476"/>
        <v>0</v>
      </c>
      <c r="KT57" s="15">
        <f t="shared" si="476"/>
        <v>0</v>
      </c>
      <c r="KU57" s="15">
        <f t="shared" si="476"/>
        <v>0</v>
      </c>
      <c r="KW57" s="15">
        <f t="shared" si="487"/>
        <v>4333333.333333333</v>
      </c>
      <c r="KX57" s="15">
        <f t="shared" si="477"/>
        <v>4333333.333333333</v>
      </c>
      <c r="KY57" s="15">
        <f t="shared" si="477"/>
        <v>4333333.333333333</v>
      </c>
      <c r="KZ57" s="15">
        <f t="shared" si="477"/>
        <v>4333333.333333333</v>
      </c>
      <c r="LA57" s="15">
        <f t="shared" si="477"/>
        <v>4333333.333333333</v>
      </c>
      <c r="LB57" s="15">
        <f t="shared" si="477"/>
        <v>4333333.333333333</v>
      </c>
      <c r="LC57" s="15">
        <f t="shared" si="477"/>
        <v>4333333.333333333</v>
      </c>
      <c r="LD57" s="15">
        <f t="shared" si="477"/>
        <v>4333333.333333333</v>
      </c>
      <c r="LE57" s="15">
        <f t="shared" si="477"/>
        <v>4333333.333333333</v>
      </c>
      <c r="LF57" s="15">
        <f t="shared" si="477"/>
        <v>4333333.333333333</v>
      </c>
      <c r="LG57" s="15">
        <f t="shared" si="477"/>
        <v>4333333.333333333</v>
      </c>
      <c r="LH57" s="15">
        <f t="shared" si="477"/>
        <v>4333333.333333333</v>
      </c>
      <c r="LI57" s="15">
        <f t="shared" si="477"/>
        <v>0</v>
      </c>
      <c r="LJ57" s="15">
        <f t="shared" si="477"/>
        <v>0</v>
      </c>
      <c r="LK57" s="15">
        <f t="shared" si="477"/>
        <v>0</v>
      </c>
      <c r="LL57" s="15">
        <f t="shared" si="477"/>
        <v>0</v>
      </c>
      <c r="LM57" s="15">
        <f t="shared" si="477"/>
        <v>0</v>
      </c>
      <c r="LN57" s="15">
        <f t="shared" si="465"/>
        <v>0</v>
      </c>
      <c r="LO57" s="15">
        <f t="shared" si="465"/>
        <v>0</v>
      </c>
      <c r="LP57" s="15">
        <f t="shared" si="465"/>
        <v>0</v>
      </c>
      <c r="LQ57" s="15">
        <f t="shared" si="465"/>
        <v>0</v>
      </c>
      <c r="LR57" s="15">
        <f t="shared" si="465"/>
        <v>0</v>
      </c>
      <c r="LS57" s="15">
        <f t="shared" si="465"/>
        <v>0</v>
      </c>
      <c r="LT57" s="15">
        <f t="shared" si="465"/>
        <v>0</v>
      </c>
      <c r="LU57" s="15">
        <f t="shared" si="465"/>
        <v>0</v>
      </c>
      <c r="LV57" s="15">
        <f t="shared" si="465"/>
        <v>0</v>
      </c>
      <c r="LW57" s="15">
        <f t="shared" si="465"/>
        <v>0</v>
      </c>
      <c r="LX57" s="15">
        <f t="shared" si="465"/>
        <v>0</v>
      </c>
      <c r="LY57" s="15">
        <f t="shared" si="465"/>
        <v>0</v>
      </c>
      <c r="LZ57" s="15">
        <f t="shared" si="465"/>
        <v>0</v>
      </c>
      <c r="MB57" s="15">
        <f t="shared" si="488"/>
        <v>4333333.333333333</v>
      </c>
      <c r="MC57" s="15">
        <f t="shared" si="478"/>
        <v>4333333.333333333</v>
      </c>
      <c r="MD57" s="15">
        <f t="shared" si="478"/>
        <v>4333333.333333333</v>
      </c>
      <c r="ME57" s="15">
        <f t="shared" si="478"/>
        <v>4333333.333333333</v>
      </c>
      <c r="MF57" s="15">
        <f t="shared" si="478"/>
        <v>4333333.333333333</v>
      </c>
      <c r="MG57" s="15">
        <f t="shared" si="478"/>
        <v>4333333.333333333</v>
      </c>
      <c r="MH57" s="15">
        <f t="shared" si="478"/>
        <v>4333333.333333333</v>
      </c>
      <c r="MI57" s="15">
        <f t="shared" si="478"/>
        <v>4333333.333333333</v>
      </c>
      <c r="MJ57" s="15">
        <f t="shared" si="478"/>
        <v>4333333.333333333</v>
      </c>
      <c r="MK57" s="15">
        <f t="shared" si="478"/>
        <v>4333333.333333333</v>
      </c>
      <c r="ML57" s="15">
        <f t="shared" si="478"/>
        <v>4333333.333333333</v>
      </c>
      <c r="MM57" s="15">
        <f t="shared" si="478"/>
        <v>4333333.333333333</v>
      </c>
      <c r="MN57" s="15">
        <f t="shared" si="478"/>
        <v>0</v>
      </c>
      <c r="MO57" s="15">
        <f t="shared" si="478"/>
        <v>0</v>
      </c>
      <c r="MP57" s="15">
        <f t="shared" si="478"/>
        <v>0</v>
      </c>
      <c r="MQ57" s="15">
        <f t="shared" si="478"/>
        <v>0</v>
      </c>
      <c r="MR57" s="15">
        <f t="shared" si="478"/>
        <v>0</v>
      </c>
      <c r="MS57" s="15">
        <f t="shared" si="467"/>
        <v>0</v>
      </c>
      <c r="MT57" s="15">
        <f t="shared" si="467"/>
        <v>0</v>
      </c>
      <c r="MU57" s="15">
        <f t="shared" si="467"/>
        <v>0</v>
      </c>
      <c r="MV57" s="15">
        <f t="shared" si="467"/>
        <v>0</v>
      </c>
      <c r="MW57" s="15">
        <f t="shared" si="467"/>
        <v>0</v>
      </c>
      <c r="MX57" s="15">
        <f t="shared" si="467"/>
        <v>0</v>
      </c>
      <c r="MY57" s="15">
        <f t="shared" si="467"/>
        <v>0</v>
      </c>
      <c r="MZ57" s="15">
        <f t="shared" si="467"/>
        <v>0</v>
      </c>
      <c r="NA57" s="15">
        <f t="shared" si="467"/>
        <v>0</v>
      </c>
      <c r="NB57" s="15">
        <f t="shared" si="467"/>
        <v>0</v>
      </c>
      <c r="NC57" s="15">
        <f t="shared" si="467"/>
        <v>0</v>
      </c>
      <c r="ND57" s="15">
        <f t="shared" si="467"/>
        <v>0</v>
      </c>
      <c r="NE57" s="15">
        <f t="shared" si="467"/>
        <v>0</v>
      </c>
    </row>
    <row r="58" spans="1:369" outlineLevel="1" x14ac:dyDescent="0.25">
      <c r="B58" t="s">
        <v>345</v>
      </c>
      <c r="C58" s="623" t="s">
        <v>261</v>
      </c>
      <c r="D58" s="613" t="s">
        <v>234</v>
      </c>
      <c r="E58" s="468">
        <v>1</v>
      </c>
      <c r="F58" s="221"/>
      <c r="G58" s="457">
        <v>12</v>
      </c>
      <c r="H58" s="468">
        <f>(25000000/$D$6)*1.04</f>
        <v>26000000</v>
      </c>
      <c r="I58" s="457">
        <f t="shared" si="419"/>
        <v>26000000</v>
      </c>
      <c r="J58" s="457">
        <f t="shared" si="420"/>
        <v>2166666.6666666665</v>
      </c>
      <c r="K58" s="221"/>
      <c r="L58" s="457">
        <v>12</v>
      </c>
      <c r="M58" s="457">
        <f t="shared" si="421"/>
        <v>26000000</v>
      </c>
      <c r="N58" s="457">
        <f t="shared" si="422"/>
        <v>26000000</v>
      </c>
      <c r="O58" s="457">
        <f t="shared" si="423"/>
        <v>2166666.6666666665</v>
      </c>
      <c r="P58" s="221"/>
      <c r="Q58" s="457">
        <v>12</v>
      </c>
      <c r="R58" s="457">
        <f t="shared" si="424"/>
        <v>26000000</v>
      </c>
      <c r="S58" s="457">
        <f t="shared" si="425"/>
        <v>26000000</v>
      </c>
      <c r="T58" s="457">
        <f t="shared" si="426"/>
        <v>2166666.6666666665</v>
      </c>
      <c r="U58" s="221"/>
      <c r="V58" s="457">
        <v>12</v>
      </c>
      <c r="W58" s="457">
        <f t="shared" si="427"/>
        <v>26000000</v>
      </c>
      <c r="X58" s="457">
        <f t="shared" si="428"/>
        <v>26000000</v>
      </c>
      <c r="Y58" s="457">
        <f t="shared" si="429"/>
        <v>2166666.6666666665</v>
      </c>
      <c r="Z58" s="221"/>
      <c r="AA58" s="457">
        <v>12</v>
      </c>
      <c r="AB58" s="457">
        <f t="shared" si="430"/>
        <v>26000000</v>
      </c>
      <c r="AC58" s="457">
        <f t="shared" si="431"/>
        <v>26000000</v>
      </c>
      <c r="AD58" s="457">
        <f t="shared" si="432"/>
        <v>2166666.6666666665</v>
      </c>
      <c r="AE58" s="221"/>
      <c r="AF58" s="457">
        <v>12</v>
      </c>
      <c r="AG58" s="457">
        <f t="shared" si="433"/>
        <v>26000000</v>
      </c>
      <c r="AH58" s="457">
        <f t="shared" si="434"/>
        <v>26000000</v>
      </c>
      <c r="AI58" s="457">
        <f t="shared" si="435"/>
        <v>2166666.6666666665</v>
      </c>
      <c r="AJ58" s="221"/>
      <c r="AK58" s="457">
        <v>12</v>
      </c>
      <c r="AL58" s="457">
        <f t="shared" si="436"/>
        <v>26000000</v>
      </c>
      <c r="AM58" s="457">
        <f t="shared" si="437"/>
        <v>26000000</v>
      </c>
      <c r="AN58" s="457">
        <f t="shared" si="438"/>
        <v>2166666.6666666665</v>
      </c>
      <c r="AO58" s="221"/>
      <c r="AP58" s="457">
        <v>12</v>
      </c>
      <c r="AQ58" s="457">
        <f t="shared" si="439"/>
        <v>26000000</v>
      </c>
      <c r="AR58" s="457">
        <f t="shared" si="440"/>
        <v>26000000</v>
      </c>
      <c r="AS58" s="457">
        <f t="shared" si="441"/>
        <v>2166666.6666666665</v>
      </c>
      <c r="AT58" s="221"/>
      <c r="AU58" s="457">
        <v>12</v>
      </c>
      <c r="AV58" s="457">
        <f t="shared" si="442"/>
        <v>26000000</v>
      </c>
      <c r="AW58" s="457">
        <f t="shared" si="443"/>
        <v>26000000</v>
      </c>
      <c r="AX58" s="457">
        <f t="shared" si="444"/>
        <v>2166666.6666666665</v>
      </c>
      <c r="AY58" s="221"/>
      <c r="AZ58" s="457">
        <v>12</v>
      </c>
      <c r="BA58" s="457">
        <f t="shared" si="445"/>
        <v>26000000</v>
      </c>
      <c r="BB58" s="457">
        <f t="shared" si="446"/>
        <v>26000000</v>
      </c>
      <c r="BC58" s="457">
        <f t="shared" si="447"/>
        <v>2166666.6666666665</v>
      </c>
      <c r="BD58" s="221"/>
      <c r="BG58" t="s">
        <v>337</v>
      </c>
      <c r="BI58" s="15">
        <f t="shared" si="479"/>
        <v>2166666.6666666665</v>
      </c>
      <c r="BJ58" s="15">
        <f t="shared" si="479"/>
        <v>2166666.6666666665</v>
      </c>
      <c r="BK58" s="15">
        <f t="shared" si="479"/>
        <v>2166666.6666666665</v>
      </c>
      <c r="BL58" s="15">
        <f t="shared" si="479"/>
        <v>2166666.6666666665</v>
      </c>
      <c r="BM58" s="15">
        <f t="shared" si="479"/>
        <v>2166666.6666666665</v>
      </c>
      <c r="BN58" s="15">
        <f t="shared" si="479"/>
        <v>2166666.6666666665</v>
      </c>
      <c r="BO58" s="15">
        <f t="shared" si="479"/>
        <v>2166666.6666666665</v>
      </c>
      <c r="BP58" s="15">
        <f t="shared" si="479"/>
        <v>2166666.6666666665</v>
      </c>
      <c r="BQ58" s="15">
        <f t="shared" si="479"/>
        <v>2166666.6666666665</v>
      </c>
      <c r="BR58" s="15">
        <f t="shared" si="479"/>
        <v>2166666.6666666665</v>
      </c>
      <c r="BS58" s="15">
        <f t="shared" si="479"/>
        <v>2166666.6666666665</v>
      </c>
      <c r="BT58" s="15">
        <f t="shared" si="479"/>
        <v>2166666.6666666665</v>
      </c>
      <c r="BU58" s="15">
        <f t="shared" si="479"/>
        <v>0</v>
      </c>
      <c r="BV58" s="15">
        <f t="shared" si="479"/>
        <v>0</v>
      </c>
      <c r="BW58" s="15">
        <f t="shared" si="479"/>
        <v>0</v>
      </c>
      <c r="BX58" s="15">
        <f t="shared" si="479"/>
        <v>0</v>
      </c>
      <c r="BY58" s="15">
        <f t="shared" si="469"/>
        <v>0</v>
      </c>
      <c r="BZ58" s="15">
        <f t="shared" si="469"/>
        <v>0</v>
      </c>
      <c r="CA58" s="15">
        <f t="shared" si="469"/>
        <v>0</v>
      </c>
      <c r="CB58" s="15">
        <f t="shared" si="469"/>
        <v>0</v>
      </c>
      <c r="CC58" s="15">
        <f t="shared" si="469"/>
        <v>0</v>
      </c>
      <c r="CD58" s="15">
        <f t="shared" si="469"/>
        <v>0</v>
      </c>
      <c r="CE58" s="15">
        <f t="shared" si="469"/>
        <v>0</v>
      </c>
      <c r="CF58" s="15">
        <f t="shared" si="469"/>
        <v>0</v>
      </c>
      <c r="CG58" s="15">
        <f t="shared" si="469"/>
        <v>0</v>
      </c>
      <c r="CH58" s="15">
        <f t="shared" si="469"/>
        <v>0</v>
      </c>
      <c r="CI58" s="15">
        <f t="shared" si="469"/>
        <v>0</v>
      </c>
      <c r="CJ58" s="15">
        <f t="shared" si="469"/>
        <v>0</v>
      </c>
      <c r="CK58" s="15">
        <f t="shared" si="469"/>
        <v>0</v>
      </c>
      <c r="CL58" s="15">
        <f t="shared" si="469"/>
        <v>0</v>
      </c>
      <c r="CN58" s="15">
        <f t="shared" si="480"/>
        <v>2166666.6666666665</v>
      </c>
      <c r="CO58" s="15">
        <f t="shared" si="480"/>
        <v>2166666.6666666665</v>
      </c>
      <c r="CP58" s="15">
        <f t="shared" si="480"/>
        <v>2166666.6666666665</v>
      </c>
      <c r="CQ58" s="15">
        <f t="shared" si="480"/>
        <v>2166666.6666666665</v>
      </c>
      <c r="CR58" s="15">
        <f t="shared" si="480"/>
        <v>2166666.6666666665</v>
      </c>
      <c r="CS58" s="15">
        <f t="shared" si="480"/>
        <v>2166666.6666666665</v>
      </c>
      <c r="CT58" s="15">
        <f t="shared" si="480"/>
        <v>2166666.6666666665</v>
      </c>
      <c r="CU58" s="15">
        <f t="shared" si="480"/>
        <v>2166666.6666666665</v>
      </c>
      <c r="CV58" s="15">
        <f t="shared" si="480"/>
        <v>2166666.6666666665</v>
      </c>
      <c r="CW58" s="15">
        <f t="shared" si="480"/>
        <v>2166666.6666666665</v>
      </c>
      <c r="CX58" s="15">
        <f t="shared" si="480"/>
        <v>2166666.6666666665</v>
      </c>
      <c r="CY58" s="15">
        <f t="shared" si="480"/>
        <v>2166666.6666666665</v>
      </c>
      <c r="CZ58" s="15">
        <f t="shared" si="480"/>
        <v>0</v>
      </c>
      <c r="DA58" s="15">
        <f t="shared" si="480"/>
        <v>0</v>
      </c>
      <c r="DB58" s="15">
        <f t="shared" si="480"/>
        <v>0</v>
      </c>
      <c r="DC58" s="15">
        <f t="shared" si="480"/>
        <v>0</v>
      </c>
      <c r="DD58" s="15">
        <f t="shared" si="470"/>
        <v>0</v>
      </c>
      <c r="DE58" s="15">
        <f t="shared" si="470"/>
        <v>0</v>
      </c>
      <c r="DF58" s="15">
        <f t="shared" si="470"/>
        <v>0</v>
      </c>
      <c r="DG58" s="15">
        <f t="shared" si="470"/>
        <v>0</v>
      </c>
      <c r="DH58" s="15">
        <f t="shared" si="470"/>
        <v>0</v>
      </c>
      <c r="DI58" s="15">
        <f t="shared" si="470"/>
        <v>0</v>
      </c>
      <c r="DJ58" s="15">
        <f t="shared" si="470"/>
        <v>0</v>
      </c>
      <c r="DK58" s="15">
        <f t="shared" si="470"/>
        <v>0</v>
      </c>
      <c r="DL58" s="15">
        <f t="shared" si="470"/>
        <v>0</v>
      </c>
      <c r="DM58" s="15">
        <f t="shared" si="470"/>
        <v>0</v>
      </c>
      <c r="DN58" s="15">
        <f t="shared" si="470"/>
        <v>0</v>
      </c>
      <c r="DO58" s="15">
        <f t="shared" si="470"/>
        <v>0</v>
      </c>
      <c r="DP58" s="15">
        <f t="shared" si="470"/>
        <v>0</v>
      </c>
      <c r="DQ58" s="15">
        <f t="shared" si="470"/>
        <v>0</v>
      </c>
      <c r="DS58" s="15">
        <f t="shared" si="481"/>
        <v>2166666.6666666665</v>
      </c>
      <c r="DT58" s="15">
        <f t="shared" si="481"/>
        <v>2166666.6666666665</v>
      </c>
      <c r="DU58" s="15">
        <f t="shared" si="481"/>
        <v>2166666.6666666665</v>
      </c>
      <c r="DV58" s="15">
        <f t="shared" si="481"/>
        <v>2166666.6666666665</v>
      </c>
      <c r="DW58" s="15">
        <f t="shared" si="481"/>
        <v>2166666.6666666665</v>
      </c>
      <c r="DX58" s="15">
        <f t="shared" si="481"/>
        <v>2166666.6666666665</v>
      </c>
      <c r="DY58" s="15">
        <f t="shared" si="481"/>
        <v>2166666.6666666665</v>
      </c>
      <c r="DZ58" s="15">
        <f t="shared" si="481"/>
        <v>2166666.6666666665</v>
      </c>
      <c r="EA58" s="15">
        <f t="shared" si="481"/>
        <v>2166666.6666666665</v>
      </c>
      <c r="EB58" s="15">
        <f t="shared" si="481"/>
        <v>2166666.6666666665</v>
      </c>
      <c r="EC58" s="15">
        <f t="shared" si="481"/>
        <v>2166666.6666666665</v>
      </c>
      <c r="ED58" s="15">
        <f t="shared" si="481"/>
        <v>2166666.6666666665</v>
      </c>
      <c r="EE58" s="15">
        <f t="shared" si="481"/>
        <v>0</v>
      </c>
      <c r="EF58" s="15">
        <f t="shared" si="481"/>
        <v>0</v>
      </c>
      <c r="EG58" s="15">
        <f t="shared" si="481"/>
        <v>0</v>
      </c>
      <c r="EH58" s="15">
        <f t="shared" si="481"/>
        <v>0</v>
      </c>
      <c r="EI58" s="15">
        <f t="shared" si="471"/>
        <v>0</v>
      </c>
      <c r="EJ58" s="15">
        <f t="shared" si="453"/>
        <v>0</v>
      </c>
      <c r="EK58" s="15">
        <f t="shared" si="453"/>
        <v>0</v>
      </c>
      <c r="EL58" s="15">
        <f t="shared" si="453"/>
        <v>0</v>
      </c>
      <c r="EM58" s="15">
        <f t="shared" si="453"/>
        <v>0</v>
      </c>
      <c r="EN58" s="15">
        <f t="shared" si="453"/>
        <v>0</v>
      </c>
      <c r="EO58" s="15">
        <f t="shared" si="453"/>
        <v>0</v>
      </c>
      <c r="EP58" s="15">
        <f t="shared" ref="EP58:EV58" si="489">IF($Q58&gt;=EP$8,$T58,0)</f>
        <v>0</v>
      </c>
      <c r="EQ58" s="15">
        <f t="shared" si="489"/>
        <v>0</v>
      </c>
      <c r="ER58" s="15">
        <f t="shared" si="489"/>
        <v>0</v>
      </c>
      <c r="ES58" s="15">
        <f t="shared" si="489"/>
        <v>0</v>
      </c>
      <c r="ET58" s="15">
        <f t="shared" si="489"/>
        <v>0</v>
      </c>
      <c r="EU58" s="15">
        <f t="shared" si="489"/>
        <v>0</v>
      </c>
      <c r="EV58" s="15">
        <f t="shared" si="489"/>
        <v>0</v>
      </c>
      <c r="EX58" s="15">
        <f t="shared" si="482"/>
        <v>2166666.6666666665</v>
      </c>
      <c r="EY58" s="15">
        <f t="shared" si="482"/>
        <v>2166666.6666666665</v>
      </c>
      <c r="EZ58" s="15">
        <f t="shared" si="482"/>
        <v>2166666.6666666665</v>
      </c>
      <c r="FA58" s="15">
        <f t="shared" si="482"/>
        <v>2166666.6666666665</v>
      </c>
      <c r="FB58" s="15">
        <f t="shared" si="482"/>
        <v>2166666.6666666665</v>
      </c>
      <c r="FC58" s="15">
        <f t="shared" si="482"/>
        <v>2166666.6666666665</v>
      </c>
      <c r="FD58" s="15">
        <f t="shared" si="482"/>
        <v>2166666.6666666665</v>
      </c>
      <c r="FE58" s="15">
        <f t="shared" si="482"/>
        <v>2166666.6666666665</v>
      </c>
      <c r="FF58" s="15">
        <f t="shared" si="482"/>
        <v>2166666.6666666665</v>
      </c>
      <c r="FG58" s="15">
        <f t="shared" si="482"/>
        <v>2166666.6666666665</v>
      </c>
      <c r="FH58" s="15">
        <f t="shared" si="482"/>
        <v>2166666.6666666665</v>
      </c>
      <c r="FI58" s="15">
        <f t="shared" si="482"/>
        <v>2166666.6666666665</v>
      </c>
      <c r="FJ58" s="15">
        <f t="shared" si="482"/>
        <v>0</v>
      </c>
      <c r="FK58" s="15">
        <f t="shared" si="482"/>
        <v>0</v>
      </c>
      <c r="FL58" s="15">
        <f t="shared" si="482"/>
        <v>0</v>
      </c>
      <c r="FM58" s="15">
        <f t="shared" si="482"/>
        <v>0</v>
      </c>
      <c r="FN58" s="15">
        <f t="shared" si="472"/>
        <v>0</v>
      </c>
      <c r="FO58" s="15">
        <f t="shared" si="472"/>
        <v>0</v>
      </c>
      <c r="FP58" s="15">
        <f t="shared" si="472"/>
        <v>0</v>
      </c>
      <c r="FQ58" s="15">
        <f t="shared" si="472"/>
        <v>0</v>
      </c>
      <c r="FR58" s="15">
        <f t="shared" si="472"/>
        <v>0</v>
      </c>
      <c r="FS58" s="15">
        <f t="shared" si="472"/>
        <v>0</v>
      </c>
      <c r="FT58" s="15">
        <f t="shared" si="472"/>
        <v>0</v>
      </c>
      <c r="FU58" s="15">
        <f t="shared" si="472"/>
        <v>0</v>
      </c>
      <c r="FV58" s="15">
        <f t="shared" si="472"/>
        <v>0</v>
      </c>
      <c r="FW58" s="15">
        <f t="shared" si="472"/>
        <v>0</v>
      </c>
      <c r="FX58" s="15">
        <f t="shared" si="472"/>
        <v>0</v>
      </c>
      <c r="FY58" s="15">
        <f t="shared" si="472"/>
        <v>0</v>
      </c>
      <c r="FZ58" s="15">
        <f t="shared" si="472"/>
        <v>0</v>
      </c>
      <c r="GA58" s="15">
        <f t="shared" si="472"/>
        <v>0</v>
      </c>
      <c r="GC58" s="15">
        <f t="shared" si="483"/>
        <v>2166666.6666666665</v>
      </c>
      <c r="GD58" s="15">
        <f t="shared" si="483"/>
        <v>2166666.6666666665</v>
      </c>
      <c r="GE58" s="15">
        <f t="shared" si="483"/>
        <v>2166666.6666666665</v>
      </c>
      <c r="GF58" s="15">
        <f t="shared" si="483"/>
        <v>2166666.6666666665</v>
      </c>
      <c r="GG58" s="15">
        <f t="shared" si="483"/>
        <v>2166666.6666666665</v>
      </c>
      <c r="GH58" s="15">
        <f t="shared" si="483"/>
        <v>2166666.6666666665</v>
      </c>
      <c r="GI58" s="15">
        <f t="shared" si="483"/>
        <v>2166666.6666666665</v>
      </c>
      <c r="GJ58" s="15">
        <f t="shared" si="483"/>
        <v>2166666.6666666665</v>
      </c>
      <c r="GK58" s="15">
        <f t="shared" si="483"/>
        <v>2166666.6666666665</v>
      </c>
      <c r="GL58" s="15">
        <f t="shared" si="483"/>
        <v>2166666.6666666665</v>
      </c>
      <c r="GM58" s="15">
        <f t="shared" si="483"/>
        <v>2166666.6666666665</v>
      </c>
      <c r="GN58" s="15">
        <f t="shared" si="483"/>
        <v>2166666.6666666665</v>
      </c>
      <c r="GO58" s="15">
        <f t="shared" si="483"/>
        <v>0</v>
      </c>
      <c r="GP58" s="15">
        <f t="shared" si="483"/>
        <v>0</v>
      </c>
      <c r="GQ58" s="15">
        <f t="shared" si="483"/>
        <v>0</v>
      </c>
      <c r="GR58" s="15">
        <f t="shared" si="483"/>
        <v>0</v>
      </c>
      <c r="GS58" s="15">
        <f t="shared" si="473"/>
        <v>0</v>
      </c>
      <c r="GT58" s="15">
        <f t="shared" si="473"/>
        <v>0</v>
      </c>
      <c r="GU58" s="15">
        <f t="shared" si="473"/>
        <v>0</v>
      </c>
      <c r="GV58" s="15">
        <f t="shared" si="473"/>
        <v>0</v>
      </c>
      <c r="GW58" s="15">
        <f t="shared" si="473"/>
        <v>0</v>
      </c>
      <c r="GX58" s="15">
        <f t="shared" si="473"/>
        <v>0</v>
      </c>
      <c r="GY58" s="15">
        <f t="shared" si="473"/>
        <v>0</v>
      </c>
      <c r="GZ58" s="15">
        <f t="shared" si="473"/>
        <v>0</v>
      </c>
      <c r="HA58" s="15">
        <f t="shared" si="473"/>
        <v>0</v>
      </c>
      <c r="HB58" s="15">
        <f t="shared" si="473"/>
        <v>0</v>
      </c>
      <c r="HC58" s="15">
        <f t="shared" si="473"/>
        <v>0</v>
      </c>
      <c r="HD58" s="15">
        <f t="shared" si="473"/>
        <v>0</v>
      </c>
      <c r="HE58" s="15">
        <f t="shared" si="473"/>
        <v>0</v>
      </c>
      <c r="HF58" s="15">
        <f t="shared" si="473"/>
        <v>0</v>
      </c>
      <c r="HH58" s="15">
        <f t="shared" si="484"/>
        <v>2166666.6666666665</v>
      </c>
      <c r="HI58" s="15">
        <f t="shared" si="484"/>
        <v>2166666.6666666665</v>
      </c>
      <c r="HJ58" s="15">
        <f t="shared" si="484"/>
        <v>2166666.6666666665</v>
      </c>
      <c r="HK58" s="15">
        <f t="shared" si="484"/>
        <v>2166666.6666666665</v>
      </c>
      <c r="HL58" s="15">
        <f t="shared" si="484"/>
        <v>2166666.6666666665</v>
      </c>
      <c r="HM58" s="15">
        <f t="shared" si="484"/>
        <v>2166666.6666666665</v>
      </c>
      <c r="HN58" s="15">
        <f t="shared" si="484"/>
        <v>2166666.6666666665</v>
      </c>
      <c r="HO58" s="15">
        <f t="shared" si="484"/>
        <v>2166666.6666666665</v>
      </c>
      <c r="HP58" s="15">
        <f t="shared" si="484"/>
        <v>2166666.6666666665</v>
      </c>
      <c r="HQ58" s="15">
        <f t="shared" si="484"/>
        <v>2166666.6666666665</v>
      </c>
      <c r="HR58" s="15">
        <f t="shared" si="484"/>
        <v>2166666.6666666665</v>
      </c>
      <c r="HS58" s="15">
        <f t="shared" si="484"/>
        <v>2166666.6666666665</v>
      </c>
      <c r="HT58" s="15">
        <f t="shared" si="484"/>
        <v>0</v>
      </c>
      <c r="HU58" s="15">
        <f t="shared" si="484"/>
        <v>0</v>
      </c>
      <c r="HV58" s="15">
        <f t="shared" si="484"/>
        <v>0</v>
      </c>
      <c r="HW58" s="15">
        <f t="shared" si="484"/>
        <v>0</v>
      </c>
      <c r="HX58" s="15">
        <f t="shared" si="474"/>
        <v>0</v>
      </c>
      <c r="HY58" s="15">
        <f t="shared" si="474"/>
        <v>0</v>
      </c>
      <c r="HZ58" s="15">
        <f t="shared" si="474"/>
        <v>0</v>
      </c>
      <c r="IA58" s="15">
        <f t="shared" si="474"/>
        <v>0</v>
      </c>
      <c r="IB58" s="15">
        <f t="shared" si="474"/>
        <v>0</v>
      </c>
      <c r="IC58" s="15">
        <f t="shared" si="474"/>
        <v>0</v>
      </c>
      <c r="ID58" s="15">
        <f t="shared" si="474"/>
        <v>0</v>
      </c>
      <c r="IE58" s="15">
        <f t="shared" si="474"/>
        <v>0</v>
      </c>
      <c r="IF58" s="15">
        <f t="shared" si="474"/>
        <v>0</v>
      </c>
      <c r="IG58" s="15">
        <f t="shared" si="474"/>
        <v>0</v>
      </c>
      <c r="IH58" s="15">
        <f t="shared" si="474"/>
        <v>0</v>
      </c>
      <c r="II58" s="15">
        <f t="shared" si="474"/>
        <v>0</v>
      </c>
      <c r="IJ58" s="15">
        <f t="shared" si="474"/>
        <v>0</v>
      </c>
      <c r="IK58" s="15">
        <f t="shared" si="474"/>
        <v>0</v>
      </c>
      <c r="IM58" s="15">
        <f t="shared" si="485"/>
        <v>2166666.6666666665</v>
      </c>
      <c r="IN58" s="15">
        <f t="shared" si="475"/>
        <v>2166666.6666666665</v>
      </c>
      <c r="IO58" s="15">
        <f t="shared" si="475"/>
        <v>2166666.6666666665</v>
      </c>
      <c r="IP58" s="15">
        <f t="shared" si="475"/>
        <v>2166666.6666666665</v>
      </c>
      <c r="IQ58" s="15">
        <f t="shared" si="475"/>
        <v>2166666.6666666665</v>
      </c>
      <c r="IR58" s="15">
        <f t="shared" si="475"/>
        <v>2166666.6666666665</v>
      </c>
      <c r="IS58" s="15">
        <f t="shared" si="475"/>
        <v>2166666.6666666665</v>
      </c>
      <c r="IT58" s="15">
        <f t="shared" si="475"/>
        <v>2166666.6666666665</v>
      </c>
      <c r="IU58" s="15">
        <f t="shared" si="475"/>
        <v>2166666.6666666665</v>
      </c>
      <c r="IV58" s="15">
        <f t="shared" si="475"/>
        <v>2166666.6666666665</v>
      </c>
      <c r="IW58" s="15">
        <f t="shared" si="475"/>
        <v>2166666.6666666665</v>
      </c>
      <c r="IX58" s="15">
        <f t="shared" si="475"/>
        <v>2166666.6666666665</v>
      </c>
      <c r="IY58" s="15">
        <f t="shared" si="475"/>
        <v>0</v>
      </c>
      <c r="IZ58" s="15">
        <f t="shared" si="475"/>
        <v>0</v>
      </c>
      <c r="JA58" s="15">
        <f t="shared" si="475"/>
        <v>0</v>
      </c>
      <c r="JB58" s="15">
        <f t="shared" si="475"/>
        <v>0</v>
      </c>
      <c r="JC58" s="15">
        <f t="shared" si="475"/>
        <v>0</v>
      </c>
      <c r="JD58" s="15">
        <f t="shared" si="461"/>
        <v>0</v>
      </c>
      <c r="JE58" s="15">
        <f t="shared" si="461"/>
        <v>0</v>
      </c>
      <c r="JF58" s="15">
        <f t="shared" si="461"/>
        <v>0</v>
      </c>
      <c r="JG58" s="15">
        <f t="shared" si="461"/>
        <v>0</v>
      </c>
      <c r="JH58" s="15">
        <f t="shared" si="461"/>
        <v>0</v>
      </c>
      <c r="JI58" s="15">
        <f t="shared" si="461"/>
        <v>0</v>
      </c>
      <c r="JJ58" s="15">
        <f t="shared" ref="JJ58:JP58" si="490">IF($AK58&gt;=JJ$8,$AN58,0)</f>
        <v>0</v>
      </c>
      <c r="JK58" s="15">
        <f t="shared" si="490"/>
        <v>0</v>
      </c>
      <c r="JL58" s="15">
        <f t="shared" si="490"/>
        <v>0</v>
      </c>
      <c r="JM58" s="15">
        <f t="shared" si="490"/>
        <v>0</v>
      </c>
      <c r="JN58" s="15">
        <f t="shared" si="490"/>
        <v>0</v>
      </c>
      <c r="JO58" s="15">
        <f t="shared" si="490"/>
        <v>0</v>
      </c>
      <c r="JP58" s="15">
        <f t="shared" si="490"/>
        <v>0</v>
      </c>
      <c r="JR58" s="15">
        <f t="shared" si="486"/>
        <v>2166666.6666666665</v>
      </c>
      <c r="JS58" s="15">
        <f t="shared" si="486"/>
        <v>2166666.6666666665</v>
      </c>
      <c r="JT58" s="15">
        <f t="shared" si="486"/>
        <v>2166666.6666666665</v>
      </c>
      <c r="JU58" s="15">
        <f t="shared" si="486"/>
        <v>2166666.6666666665</v>
      </c>
      <c r="JV58" s="15">
        <f t="shared" si="486"/>
        <v>2166666.6666666665</v>
      </c>
      <c r="JW58" s="15">
        <f t="shared" si="486"/>
        <v>2166666.6666666665</v>
      </c>
      <c r="JX58" s="15">
        <f t="shared" si="486"/>
        <v>2166666.6666666665</v>
      </c>
      <c r="JY58" s="15">
        <f t="shared" si="486"/>
        <v>2166666.6666666665</v>
      </c>
      <c r="JZ58" s="15">
        <f t="shared" si="486"/>
        <v>2166666.6666666665</v>
      </c>
      <c r="KA58" s="15">
        <f t="shared" si="486"/>
        <v>2166666.6666666665</v>
      </c>
      <c r="KB58" s="15">
        <f t="shared" si="486"/>
        <v>2166666.6666666665</v>
      </c>
      <c r="KC58" s="15">
        <f t="shared" si="486"/>
        <v>2166666.6666666665</v>
      </c>
      <c r="KD58" s="15">
        <f t="shared" si="486"/>
        <v>0</v>
      </c>
      <c r="KE58" s="15">
        <f t="shared" si="486"/>
        <v>0</v>
      </c>
      <c r="KF58" s="15">
        <f t="shared" si="486"/>
        <v>0</v>
      </c>
      <c r="KG58" s="15">
        <f t="shared" si="486"/>
        <v>0</v>
      </c>
      <c r="KH58" s="15">
        <f t="shared" si="476"/>
        <v>0</v>
      </c>
      <c r="KI58" s="15">
        <f t="shared" si="476"/>
        <v>0</v>
      </c>
      <c r="KJ58" s="15">
        <f t="shared" si="476"/>
        <v>0</v>
      </c>
      <c r="KK58" s="15">
        <f t="shared" si="476"/>
        <v>0</v>
      </c>
      <c r="KL58" s="15">
        <f t="shared" si="476"/>
        <v>0</v>
      </c>
      <c r="KM58" s="15">
        <f t="shared" si="476"/>
        <v>0</v>
      </c>
      <c r="KN58" s="15">
        <f t="shared" si="476"/>
        <v>0</v>
      </c>
      <c r="KO58" s="15">
        <f t="shared" si="476"/>
        <v>0</v>
      </c>
      <c r="KP58" s="15">
        <f t="shared" si="476"/>
        <v>0</v>
      </c>
      <c r="KQ58" s="15">
        <f t="shared" si="476"/>
        <v>0</v>
      </c>
      <c r="KR58" s="15">
        <f t="shared" si="476"/>
        <v>0</v>
      </c>
      <c r="KS58" s="15">
        <f t="shared" si="476"/>
        <v>0</v>
      </c>
      <c r="KT58" s="15">
        <f t="shared" si="476"/>
        <v>0</v>
      </c>
      <c r="KU58" s="15">
        <f t="shared" si="476"/>
        <v>0</v>
      </c>
      <c r="KW58" s="15">
        <f t="shared" si="487"/>
        <v>2166666.6666666665</v>
      </c>
      <c r="KX58" s="15">
        <f t="shared" si="477"/>
        <v>2166666.6666666665</v>
      </c>
      <c r="KY58" s="15">
        <f t="shared" si="477"/>
        <v>2166666.6666666665</v>
      </c>
      <c r="KZ58" s="15">
        <f t="shared" si="477"/>
        <v>2166666.6666666665</v>
      </c>
      <c r="LA58" s="15">
        <f t="shared" si="477"/>
        <v>2166666.6666666665</v>
      </c>
      <c r="LB58" s="15">
        <f t="shared" si="477"/>
        <v>2166666.6666666665</v>
      </c>
      <c r="LC58" s="15">
        <f t="shared" si="477"/>
        <v>2166666.6666666665</v>
      </c>
      <c r="LD58" s="15">
        <f t="shared" si="477"/>
        <v>2166666.6666666665</v>
      </c>
      <c r="LE58" s="15">
        <f t="shared" si="477"/>
        <v>2166666.6666666665</v>
      </c>
      <c r="LF58" s="15">
        <f t="shared" si="477"/>
        <v>2166666.6666666665</v>
      </c>
      <c r="LG58" s="15">
        <f t="shared" si="477"/>
        <v>2166666.6666666665</v>
      </c>
      <c r="LH58" s="15">
        <f t="shared" si="477"/>
        <v>2166666.6666666665</v>
      </c>
      <c r="LI58" s="15">
        <f t="shared" si="477"/>
        <v>0</v>
      </c>
      <c r="LJ58" s="15">
        <f t="shared" si="477"/>
        <v>0</v>
      </c>
      <c r="LK58" s="15">
        <f t="shared" si="477"/>
        <v>0</v>
      </c>
      <c r="LL58" s="15">
        <f t="shared" si="477"/>
        <v>0</v>
      </c>
      <c r="LM58" s="15">
        <f t="shared" si="477"/>
        <v>0</v>
      </c>
      <c r="LN58" s="15">
        <f t="shared" si="465"/>
        <v>0</v>
      </c>
      <c r="LO58" s="15">
        <f t="shared" si="465"/>
        <v>0</v>
      </c>
      <c r="LP58" s="15">
        <f t="shared" si="465"/>
        <v>0</v>
      </c>
      <c r="LQ58" s="15">
        <f t="shared" si="465"/>
        <v>0</v>
      </c>
      <c r="LR58" s="15">
        <f t="shared" si="465"/>
        <v>0</v>
      </c>
      <c r="LS58" s="15">
        <f t="shared" si="465"/>
        <v>0</v>
      </c>
      <c r="LT58" s="15">
        <f t="shared" ref="LT58:LZ58" si="491">IF($AU58&gt;=LT$8,$AX58,0)</f>
        <v>0</v>
      </c>
      <c r="LU58" s="15">
        <f t="shared" si="491"/>
        <v>0</v>
      </c>
      <c r="LV58" s="15">
        <f t="shared" si="491"/>
        <v>0</v>
      </c>
      <c r="LW58" s="15">
        <f t="shared" si="491"/>
        <v>0</v>
      </c>
      <c r="LX58" s="15">
        <f t="shared" si="491"/>
        <v>0</v>
      </c>
      <c r="LY58" s="15">
        <f t="shared" si="491"/>
        <v>0</v>
      </c>
      <c r="LZ58" s="15">
        <f t="shared" si="491"/>
        <v>0</v>
      </c>
      <c r="MB58" s="15">
        <f t="shared" si="488"/>
        <v>2166666.6666666665</v>
      </c>
      <c r="MC58" s="15">
        <f t="shared" si="478"/>
        <v>2166666.6666666665</v>
      </c>
      <c r="MD58" s="15">
        <f t="shared" si="478"/>
        <v>2166666.6666666665</v>
      </c>
      <c r="ME58" s="15">
        <f t="shared" si="478"/>
        <v>2166666.6666666665</v>
      </c>
      <c r="MF58" s="15">
        <f t="shared" si="478"/>
        <v>2166666.6666666665</v>
      </c>
      <c r="MG58" s="15">
        <f t="shared" si="478"/>
        <v>2166666.6666666665</v>
      </c>
      <c r="MH58" s="15">
        <f t="shared" si="478"/>
        <v>2166666.6666666665</v>
      </c>
      <c r="MI58" s="15">
        <f t="shared" si="478"/>
        <v>2166666.6666666665</v>
      </c>
      <c r="MJ58" s="15">
        <f t="shared" si="478"/>
        <v>2166666.6666666665</v>
      </c>
      <c r="MK58" s="15">
        <f t="shared" si="478"/>
        <v>2166666.6666666665</v>
      </c>
      <c r="ML58" s="15">
        <f t="shared" si="478"/>
        <v>2166666.6666666665</v>
      </c>
      <c r="MM58" s="15">
        <f t="shared" si="478"/>
        <v>2166666.6666666665</v>
      </c>
      <c r="MN58" s="15">
        <f t="shared" si="478"/>
        <v>0</v>
      </c>
      <c r="MO58" s="15">
        <f t="shared" si="478"/>
        <v>0</v>
      </c>
      <c r="MP58" s="15">
        <f t="shared" si="478"/>
        <v>0</v>
      </c>
      <c r="MQ58" s="15">
        <f t="shared" si="478"/>
        <v>0</v>
      </c>
      <c r="MR58" s="15">
        <f t="shared" si="478"/>
        <v>0</v>
      </c>
      <c r="MS58" s="15">
        <f t="shared" si="467"/>
        <v>0</v>
      </c>
      <c r="MT58" s="15">
        <f t="shared" si="467"/>
        <v>0</v>
      </c>
      <c r="MU58" s="15">
        <f t="shared" si="467"/>
        <v>0</v>
      </c>
      <c r="MV58" s="15">
        <f t="shared" si="467"/>
        <v>0</v>
      </c>
      <c r="MW58" s="15">
        <f t="shared" si="467"/>
        <v>0</v>
      </c>
      <c r="MX58" s="15">
        <f t="shared" si="467"/>
        <v>0</v>
      </c>
      <c r="MY58" s="15">
        <f t="shared" ref="MY58:NE58" si="492">IF($AZ58&gt;=MY$8,$BC58,0)</f>
        <v>0</v>
      </c>
      <c r="MZ58" s="15">
        <f t="shared" si="492"/>
        <v>0</v>
      </c>
      <c r="NA58" s="15">
        <f t="shared" si="492"/>
        <v>0</v>
      </c>
      <c r="NB58" s="15">
        <f t="shared" si="492"/>
        <v>0</v>
      </c>
      <c r="NC58" s="15">
        <f t="shared" si="492"/>
        <v>0</v>
      </c>
      <c r="ND58" s="15">
        <f t="shared" si="492"/>
        <v>0</v>
      </c>
      <c r="NE58" s="15">
        <f t="shared" si="492"/>
        <v>0</v>
      </c>
    </row>
    <row r="59" spans="1:369" ht="15.75" thickBot="1" x14ac:dyDescent="0.3">
      <c r="F59" s="221"/>
      <c r="J59" s="15"/>
      <c r="K59" s="221"/>
      <c r="O59" s="15"/>
      <c r="P59" s="221"/>
      <c r="T59" s="15"/>
      <c r="U59" s="221"/>
      <c r="Y59" s="15"/>
      <c r="Z59" s="221"/>
      <c r="AD59" s="15"/>
      <c r="AE59" s="221"/>
      <c r="AI59" s="15"/>
      <c r="AJ59" s="221"/>
      <c r="AN59" s="15"/>
      <c r="AO59" s="221"/>
      <c r="AS59" s="15"/>
      <c r="AT59" s="221"/>
      <c r="AX59" s="15"/>
      <c r="AY59" s="221"/>
      <c r="BC59" s="15"/>
      <c r="BD59" s="221"/>
    </row>
    <row r="60" spans="1:369" ht="20.25" customHeight="1" thickBot="1" x14ac:dyDescent="0.3">
      <c r="A60" t="s">
        <v>173</v>
      </c>
      <c r="C60" s="42" t="s">
        <v>66</v>
      </c>
      <c r="D60" s="42"/>
      <c r="E60" s="42"/>
      <c r="F60" s="225"/>
      <c r="G60" s="141"/>
      <c r="H60" s="42"/>
      <c r="I60" s="43">
        <f>I10+I35+I39</f>
        <v>300749800000</v>
      </c>
      <c r="J60" s="63">
        <f>J10+J35+J39</f>
        <v>25062483333.333336</v>
      </c>
      <c r="K60" s="225"/>
      <c r="L60" s="141"/>
      <c r="M60" s="141"/>
      <c r="N60" s="43">
        <f>N10+N35+N39</f>
        <v>450749800000</v>
      </c>
      <c r="O60" s="63">
        <f>O10+O35+O39</f>
        <v>31062483333.333336</v>
      </c>
      <c r="P60" s="225"/>
      <c r="Q60" s="141"/>
      <c r="R60" s="141"/>
      <c r="S60" s="43">
        <f>S10+S35+S39</f>
        <v>300749800000</v>
      </c>
      <c r="T60" s="63">
        <f>T10+T35+T39</f>
        <v>25062483333.333336</v>
      </c>
      <c r="U60" s="225"/>
      <c r="V60" s="141"/>
      <c r="W60" s="141"/>
      <c r="X60" s="43">
        <f>X10+X35+X39</f>
        <v>450749800000</v>
      </c>
      <c r="Y60" s="63">
        <f>Y10+Y35+Y39</f>
        <v>31062483333.333336</v>
      </c>
      <c r="Z60" s="225"/>
      <c r="AA60" s="141"/>
      <c r="AB60" s="141"/>
      <c r="AC60" s="43">
        <f>AC10+AC35+AC39</f>
        <v>300749800000</v>
      </c>
      <c r="AD60" s="63">
        <f>AD10+AD35+AD39</f>
        <v>25062483333.333336</v>
      </c>
      <c r="AE60" s="225"/>
      <c r="AF60" s="141"/>
      <c r="AG60" s="141"/>
      <c r="AH60" s="43">
        <f>AH10+AH35+AH39</f>
        <v>450749800000</v>
      </c>
      <c r="AI60" s="63">
        <f>AI10+AI35+AI39</f>
        <v>31062483333.333336</v>
      </c>
      <c r="AJ60" s="225"/>
      <c r="AK60" s="141"/>
      <c r="AL60" s="141"/>
      <c r="AM60" s="43">
        <f>AM10+AM35+AM39</f>
        <v>300749800000</v>
      </c>
      <c r="AN60" s="63">
        <f>AN10+AN35+AN39</f>
        <v>25062483333.333336</v>
      </c>
      <c r="AO60" s="225"/>
      <c r="AP60" s="141"/>
      <c r="AQ60" s="141"/>
      <c r="AR60" s="43">
        <f>AR10+AR35+AR39</f>
        <v>450749800000</v>
      </c>
      <c r="AS60" s="63">
        <f>AS10+AS35+AS39</f>
        <v>31062483333.333336</v>
      </c>
      <c r="AT60" s="225"/>
      <c r="AU60" s="141"/>
      <c r="AV60" s="141"/>
      <c r="AW60" s="43">
        <f>AW10+AW35+AW39</f>
        <v>300749800000</v>
      </c>
      <c r="AX60" s="63">
        <f>AX10+AX35+AX39</f>
        <v>25062483333.333336</v>
      </c>
      <c r="AY60" s="225"/>
      <c r="AZ60" s="141"/>
      <c r="BA60" s="141"/>
      <c r="BB60" s="43">
        <f>BB10+BB35+BB39</f>
        <v>450749800000</v>
      </c>
      <c r="BC60" s="63">
        <f>BC10+BC35+BC39</f>
        <v>31062483333.333336</v>
      </c>
      <c r="BD60" s="225"/>
      <c r="BI60" s="43">
        <f t="shared" ref="BI60:CL60" si="493">BI10+BI35+BI39</f>
        <v>25062483333.333336</v>
      </c>
      <c r="BJ60" s="43">
        <f t="shared" si="493"/>
        <v>25062483333.333336</v>
      </c>
      <c r="BK60" s="43">
        <f t="shared" si="493"/>
        <v>25062483333.333336</v>
      </c>
      <c r="BL60" s="43">
        <f t="shared" si="493"/>
        <v>25062483333.333336</v>
      </c>
      <c r="BM60" s="43">
        <f t="shared" si="493"/>
        <v>25062483333.333336</v>
      </c>
      <c r="BN60" s="43">
        <f t="shared" si="493"/>
        <v>25062483333.333336</v>
      </c>
      <c r="BO60" s="43">
        <f t="shared" si="493"/>
        <v>25062483333.333336</v>
      </c>
      <c r="BP60" s="43">
        <f t="shared" si="493"/>
        <v>25062483333.333336</v>
      </c>
      <c r="BQ60" s="43">
        <f t="shared" si="493"/>
        <v>25062483333.333336</v>
      </c>
      <c r="BR60" s="43">
        <f t="shared" si="493"/>
        <v>25062483333.333336</v>
      </c>
      <c r="BS60" s="43">
        <f t="shared" si="493"/>
        <v>25062483333.333336</v>
      </c>
      <c r="BT60" s="43">
        <f t="shared" si="493"/>
        <v>25062483333.333336</v>
      </c>
      <c r="BU60" s="43">
        <f t="shared" si="493"/>
        <v>0</v>
      </c>
      <c r="BV60" s="43">
        <f t="shared" si="493"/>
        <v>0</v>
      </c>
      <c r="BW60" s="43">
        <f t="shared" si="493"/>
        <v>0</v>
      </c>
      <c r="BX60" s="43">
        <f t="shared" si="493"/>
        <v>0</v>
      </c>
      <c r="BY60" s="43">
        <f t="shared" si="493"/>
        <v>0</v>
      </c>
      <c r="BZ60" s="43">
        <f t="shared" si="493"/>
        <v>0</v>
      </c>
      <c r="CA60" s="43">
        <f t="shared" si="493"/>
        <v>0</v>
      </c>
      <c r="CB60" s="43">
        <f t="shared" si="493"/>
        <v>0</v>
      </c>
      <c r="CC60" s="43">
        <f t="shared" si="493"/>
        <v>0</v>
      </c>
      <c r="CD60" s="43">
        <f t="shared" si="493"/>
        <v>0</v>
      </c>
      <c r="CE60" s="43">
        <f t="shared" si="493"/>
        <v>0</v>
      </c>
      <c r="CF60" s="43">
        <f t="shared" si="493"/>
        <v>0</v>
      </c>
      <c r="CG60" s="43">
        <f t="shared" si="493"/>
        <v>0</v>
      </c>
      <c r="CH60" s="43">
        <f t="shared" si="493"/>
        <v>0</v>
      </c>
      <c r="CI60" s="43">
        <f t="shared" si="493"/>
        <v>0</v>
      </c>
      <c r="CJ60" s="43">
        <f t="shared" si="493"/>
        <v>0</v>
      </c>
      <c r="CK60" s="43">
        <f t="shared" si="493"/>
        <v>0</v>
      </c>
      <c r="CL60" s="43">
        <f t="shared" si="493"/>
        <v>0</v>
      </c>
      <c r="CN60" s="43">
        <f t="shared" ref="CN60:DQ60" si="494">CN10+CN35+CN39</f>
        <v>31062483333.333336</v>
      </c>
      <c r="CO60" s="43">
        <f t="shared" si="494"/>
        <v>31062483333.333336</v>
      </c>
      <c r="CP60" s="43">
        <f t="shared" si="494"/>
        <v>31062483333.333336</v>
      </c>
      <c r="CQ60" s="43">
        <f t="shared" si="494"/>
        <v>31062483333.333336</v>
      </c>
      <c r="CR60" s="43">
        <f t="shared" si="494"/>
        <v>31062483333.333336</v>
      </c>
      <c r="CS60" s="43">
        <f t="shared" si="494"/>
        <v>31062483333.333336</v>
      </c>
      <c r="CT60" s="43">
        <f t="shared" si="494"/>
        <v>31062483333.333336</v>
      </c>
      <c r="CU60" s="43">
        <f t="shared" si="494"/>
        <v>31062483333.333336</v>
      </c>
      <c r="CV60" s="43">
        <f t="shared" si="494"/>
        <v>31062483333.333336</v>
      </c>
      <c r="CW60" s="43">
        <f t="shared" si="494"/>
        <v>31062483333.333336</v>
      </c>
      <c r="CX60" s="43">
        <f t="shared" si="494"/>
        <v>31062483333.333336</v>
      </c>
      <c r="CY60" s="43">
        <f t="shared" si="494"/>
        <v>31062483333.333336</v>
      </c>
      <c r="CZ60" s="43">
        <f t="shared" si="494"/>
        <v>6000000000</v>
      </c>
      <c r="DA60" s="43">
        <f t="shared" si="494"/>
        <v>6000000000</v>
      </c>
      <c r="DB60" s="43">
        <f t="shared" si="494"/>
        <v>6000000000</v>
      </c>
      <c r="DC60" s="43">
        <f t="shared" si="494"/>
        <v>6000000000</v>
      </c>
      <c r="DD60" s="43">
        <f t="shared" si="494"/>
        <v>6000000000</v>
      </c>
      <c r="DE60" s="43">
        <f t="shared" si="494"/>
        <v>6000000000</v>
      </c>
      <c r="DF60" s="43">
        <f t="shared" si="494"/>
        <v>6000000000</v>
      </c>
      <c r="DG60" s="43">
        <f t="shared" si="494"/>
        <v>6000000000</v>
      </c>
      <c r="DH60" s="43">
        <f t="shared" si="494"/>
        <v>6000000000</v>
      </c>
      <c r="DI60" s="43">
        <f t="shared" si="494"/>
        <v>6000000000</v>
      </c>
      <c r="DJ60" s="43">
        <f t="shared" si="494"/>
        <v>6000000000</v>
      </c>
      <c r="DK60" s="43">
        <f t="shared" si="494"/>
        <v>6000000000</v>
      </c>
      <c r="DL60" s="43">
        <f t="shared" si="494"/>
        <v>6000000000</v>
      </c>
      <c r="DM60" s="43">
        <f t="shared" si="494"/>
        <v>0</v>
      </c>
      <c r="DN60" s="43">
        <f t="shared" si="494"/>
        <v>0</v>
      </c>
      <c r="DO60" s="43">
        <f t="shared" si="494"/>
        <v>0</v>
      </c>
      <c r="DP60" s="43">
        <f t="shared" si="494"/>
        <v>0</v>
      </c>
      <c r="DQ60" s="43">
        <f t="shared" si="494"/>
        <v>0</v>
      </c>
      <c r="DS60" s="43">
        <f t="shared" ref="DS60:EV60" si="495">DS10+DS35+DS39</f>
        <v>25062483333.333336</v>
      </c>
      <c r="DT60" s="43">
        <f t="shared" si="495"/>
        <v>25062483333.333336</v>
      </c>
      <c r="DU60" s="43">
        <f t="shared" si="495"/>
        <v>25062483333.333336</v>
      </c>
      <c r="DV60" s="43">
        <f t="shared" si="495"/>
        <v>25062483333.333336</v>
      </c>
      <c r="DW60" s="43">
        <f t="shared" si="495"/>
        <v>25062483333.333336</v>
      </c>
      <c r="DX60" s="43">
        <f t="shared" si="495"/>
        <v>25062483333.333336</v>
      </c>
      <c r="DY60" s="43">
        <f t="shared" si="495"/>
        <v>25062483333.333336</v>
      </c>
      <c r="DZ60" s="43">
        <f t="shared" si="495"/>
        <v>25062483333.333336</v>
      </c>
      <c r="EA60" s="43">
        <f t="shared" si="495"/>
        <v>25062483333.333336</v>
      </c>
      <c r="EB60" s="43">
        <f t="shared" si="495"/>
        <v>25062483333.333336</v>
      </c>
      <c r="EC60" s="43">
        <f t="shared" si="495"/>
        <v>25062483333.333336</v>
      </c>
      <c r="ED60" s="43">
        <f t="shared" si="495"/>
        <v>25062483333.333336</v>
      </c>
      <c r="EE60" s="43">
        <f t="shared" si="495"/>
        <v>0</v>
      </c>
      <c r="EF60" s="43">
        <f t="shared" si="495"/>
        <v>0</v>
      </c>
      <c r="EG60" s="43">
        <f t="shared" si="495"/>
        <v>0</v>
      </c>
      <c r="EH60" s="43">
        <f t="shared" si="495"/>
        <v>0</v>
      </c>
      <c r="EI60" s="43">
        <f t="shared" si="495"/>
        <v>0</v>
      </c>
      <c r="EJ60" s="43">
        <f t="shared" si="495"/>
        <v>0</v>
      </c>
      <c r="EK60" s="43">
        <f t="shared" si="495"/>
        <v>0</v>
      </c>
      <c r="EL60" s="43">
        <f t="shared" si="495"/>
        <v>0</v>
      </c>
      <c r="EM60" s="43">
        <f t="shared" si="495"/>
        <v>0</v>
      </c>
      <c r="EN60" s="43">
        <f t="shared" si="495"/>
        <v>0</v>
      </c>
      <c r="EO60" s="43">
        <f t="shared" si="495"/>
        <v>0</v>
      </c>
      <c r="EP60" s="43">
        <f t="shared" si="495"/>
        <v>0</v>
      </c>
      <c r="EQ60" s="43">
        <f t="shared" si="495"/>
        <v>0</v>
      </c>
      <c r="ER60" s="43">
        <f t="shared" si="495"/>
        <v>0</v>
      </c>
      <c r="ES60" s="43">
        <f t="shared" si="495"/>
        <v>0</v>
      </c>
      <c r="ET60" s="43">
        <f t="shared" si="495"/>
        <v>0</v>
      </c>
      <c r="EU60" s="43">
        <f t="shared" si="495"/>
        <v>0</v>
      </c>
      <c r="EV60" s="43">
        <f t="shared" si="495"/>
        <v>0</v>
      </c>
      <c r="EX60" s="43">
        <f t="shared" ref="EX60:GA60" si="496">EX10+EX35+EX39</f>
        <v>31062483333.333336</v>
      </c>
      <c r="EY60" s="43">
        <f t="shared" si="496"/>
        <v>31062483333.333336</v>
      </c>
      <c r="EZ60" s="43">
        <f t="shared" si="496"/>
        <v>31062483333.333336</v>
      </c>
      <c r="FA60" s="43">
        <f t="shared" si="496"/>
        <v>31062483333.333336</v>
      </c>
      <c r="FB60" s="43">
        <f t="shared" si="496"/>
        <v>31062483333.333336</v>
      </c>
      <c r="FC60" s="43">
        <f t="shared" si="496"/>
        <v>31062483333.333336</v>
      </c>
      <c r="FD60" s="43">
        <f t="shared" si="496"/>
        <v>31062483333.333336</v>
      </c>
      <c r="FE60" s="43">
        <f t="shared" si="496"/>
        <v>31062483333.333336</v>
      </c>
      <c r="FF60" s="43">
        <f t="shared" si="496"/>
        <v>31062483333.333336</v>
      </c>
      <c r="FG60" s="43">
        <f t="shared" si="496"/>
        <v>31062483333.333336</v>
      </c>
      <c r="FH60" s="43">
        <f t="shared" si="496"/>
        <v>31062483333.333336</v>
      </c>
      <c r="FI60" s="43">
        <f t="shared" si="496"/>
        <v>31062483333.333336</v>
      </c>
      <c r="FJ60" s="43">
        <f t="shared" si="496"/>
        <v>6000000000</v>
      </c>
      <c r="FK60" s="43">
        <f t="shared" si="496"/>
        <v>6000000000</v>
      </c>
      <c r="FL60" s="43">
        <f t="shared" si="496"/>
        <v>6000000000</v>
      </c>
      <c r="FM60" s="43">
        <f t="shared" si="496"/>
        <v>6000000000</v>
      </c>
      <c r="FN60" s="43">
        <f t="shared" si="496"/>
        <v>6000000000</v>
      </c>
      <c r="FO60" s="43">
        <f t="shared" si="496"/>
        <v>6000000000</v>
      </c>
      <c r="FP60" s="43">
        <f t="shared" si="496"/>
        <v>6000000000</v>
      </c>
      <c r="FQ60" s="43">
        <f t="shared" si="496"/>
        <v>6000000000</v>
      </c>
      <c r="FR60" s="43">
        <f t="shared" si="496"/>
        <v>6000000000</v>
      </c>
      <c r="FS60" s="43">
        <f t="shared" si="496"/>
        <v>6000000000</v>
      </c>
      <c r="FT60" s="43">
        <f t="shared" si="496"/>
        <v>6000000000</v>
      </c>
      <c r="FU60" s="43">
        <f t="shared" si="496"/>
        <v>6000000000</v>
      </c>
      <c r="FV60" s="43">
        <f t="shared" si="496"/>
        <v>6000000000</v>
      </c>
      <c r="FW60" s="43">
        <f t="shared" si="496"/>
        <v>0</v>
      </c>
      <c r="FX60" s="43">
        <f t="shared" si="496"/>
        <v>0</v>
      </c>
      <c r="FY60" s="43">
        <f t="shared" si="496"/>
        <v>0</v>
      </c>
      <c r="FZ60" s="43">
        <f t="shared" si="496"/>
        <v>0</v>
      </c>
      <c r="GA60" s="43">
        <f t="shared" si="496"/>
        <v>0</v>
      </c>
      <c r="GC60" s="43">
        <f t="shared" ref="GC60:HF60" si="497">GC10+GC35+GC39</f>
        <v>25062483333.333336</v>
      </c>
      <c r="GD60" s="43">
        <f t="shared" si="497"/>
        <v>25062483333.333336</v>
      </c>
      <c r="GE60" s="43">
        <f t="shared" si="497"/>
        <v>25062483333.333336</v>
      </c>
      <c r="GF60" s="43">
        <f t="shared" si="497"/>
        <v>25062483333.333336</v>
      </c>
      <c r="GG60" s="43">
        <f t="shared" si="497"/>
        <v>25062483333.333336</v>
      </c>
      <c r="GH60" s="43">
        <f t="shared" si="497"/>
        <v>25062483333.333336</v>
      </c>
      <c r="GI60" s="43">
        <f t="shared" si="497"/>
        <v>25062483333.333336</v>
      </c>
      <c r="GJ60" s="43">
        <f t="shared" si="497"/>
        <v>25062483333.333336</v>
      </c>
      <c r="GK60" s="43">
        <f t="shared" si="497"/>
        <v>25062483333.333336</v>
      </c>
      <c r="GL60" s="43">
        <f t="shared" si="497"/>
        <v>25062483333.333336</v>
      </c>
      <c r="GM60" s="43">
        <f t="shared" si="497"/>
        <v>25062483333.333336</v>
      </c>
      <c r="GN60" s="43">
        <f t="shared" si="497"/>
        <v>25062483333.333336</v>
      </c>
      <c r="GO60" s="43">
        <f t="shared" si="497"/>
        <v>0</v>
      </c>
      <c r="GP60" s="43">
        <f t="shared" si="497"/>
        <v>0</v>
      </c>
      <c r="GQ60" s="43">
        <f t="shared" si="497"/>
        <v>0</v>
      </c>
      <c r="GR60" s="43">
        <f t="shared" si="497"/>
        <v>0</v>
      </c>
      <c r="GS60" s="43">
        <f t="shared" si="497"/>
        <v>0</v>
      </c>
      <c r="GT60" s="43">
        <f t="shared" si="497"/>
        <v>0</v>
      </c>
      <c r="GU60" s="43">
        <f t="shared" si="497"/>
        <v>0</v>
      </c>
      <c r="GV60" s="43">
        <f t="shared" si="497"/>
        <v>0</v>
      </c>
      <c r="GW60" s="43">
        <f t="shared" si="497"/>
        <v>0</v>
      </c>
      <c r="GX60" s="43">
        <f t="shared" si="497"/>
        <v>0</v>
      </c>
      <c r="GY60" s="43">
        <f t="shared" si="497"/>
        <v>0</v>
      </c>
      <c r="GZ60" s="43">
        <f t="shared" si="497"/>
        <v>0</v>
      </c>
      <c r="HA60" s="43">
        <f t="shared" si="497"/>
        <v>0</v>
      </c>
      <c r="HB60" s="43">
        <f t="shared" si="497"/>
        <v>0</v>
      </c>
      <c r="HC60" s="43">
        <f t="shared" si="497"/>
        <v>0</v>
      </c>
      <c r="HD60" s="43">
        <f t="shared" si="497"/>
        <v>0</v>
      </c>
      <c r="HE60" s="43">
        <f t="shared" si="497"/>
        <v>0</v>
      </c>
      <c r="HF60" s="43">
        <f t="shared" si="497"/>
        <v>0</v>
      </c>
      <c r="HH60" s="43">
        <f t="shared" ref="HH60:IK60" si="498">HH10+HH35+HH39</f>
        <v>31062483333.333336</v>
      </c>
      <c r="HI60" s="43">
        <f t="shared" si="498"/>
        <v>31062483333.333336</v>
      </c>
      <c r="HJ60" s="43">
        <f t="shared" si="498"/>
        <v>31062483333.333336</v>
      </c>
      <c r="HK60" s="43">
        <f t="shared" si="498"/>
        <v>31062483333.333336</v>
      </c>
      <c r="HL60" s="43">
        <f t="shared" si="498"/>
        <v>31062483333.333336</v>
      </c>
      <c r="HM60" s="43">
        <f t="shared" si="498"/>
        <v>31062483333.333336</v>
      </c>
      <c r="HN60" s="43">
        <f t="shared" si="498"/>
        <v>31062483333.333336</v>
      </c>
      <c r="HO60" s="43">
        <f t="shared" si="498"/>
        <v>31062483333.333336</v>
      </c>
      <c r="HP60" s="43">
        <f t="shared" si="498"/>
        <v>31062483333.333336</v>
      </c>
      <c r="HQ60" s="43">
        <f t="shared" si="498"/>
        <v>31062483333.333336</v>
      </c>
      <c r="HR60" s="43">
        <f t="shared" si="498"/>
        <v>31062483333.333336</v>
      </c>
      <c r="HS60" s="43">
        <f t="shared" si="498"/>
        <v>31062483333.333336</v>
      </c>
      <c r="HT60" s="43">
        <f t="shared" si="498"/>
        <v>6000000000</v>
      </c>
      <c r="HU60" s="43">
        <f t="shared" si="498"/>
        <v>6000000000</v>
      </c>
      <c r="HV60" s="43">
        <f t="shared" si="498"/>
        <v>6000000000</v>
      </c>
      <c r="HW60" s="43">
        <f t="shared" si="498"/>
        <v>6000000000</v>
      </c>
      <c r="HX60" s="43">
        <f t="shared" si="498"/>
        <v>6000000000</v>
      </c>
      <c r="HY60" s="43">
        <f t="shared" si="498"/>
        <v>6000000000</v>
      </c>
      <c r="HZ60" s="43">
        <f t="shared" si="498"/>
        <v>6000000000</v>
      </c>
      <c r="IA60" s="43">
        <f t="shared" si="498"/>
        <v>6000000000</v>
      </c>
      <c r="IB60" s="43">
        <f t="shared" si="498"/>
        <v>6000000000</v>
      </c>
      <c r="IC60" s="43">
        <f t="shared" si="498"/>
        <v>6000000000</v>
      </c>
      <c r="ID60" s="43">
        <f t="shared" si="498"/>
        <v>6000000000</v>
      </c>
      <c r="IE60" s="43">
        <f t="shared" si="498"/>
        <v>6000000000</v>
      </c>
      <c r="IF60" s="43">
        <f t="shared" si="498"/>
        <v>6000000000</v>
      </c>
      <c r="IG60" s="43">
        <f t="shared" si="498"/>
        <v>0</v>
      </c>
      <c r="IH60" s="43">
        <f t="shared" si="498"/>
        <v>0</v>
      </c>
      <c r="II60" s="43">
        <f t="shared" si="498"/>
        <v>0</v>
      </c>
      <c r="IJ60" s="43">
        <f t="shared" si="498"/>
        <v>0</v>
      </c>
      <c r="IK60" s="43">
        <f t="shared" si="498"/>
        <v>0</v>
      </c>
      <c r="IM60" s="43">
        <f t="shared" ref="IM60:JP60" si="499">IM10+IM35+IM39</f>
        <v>25062483333.333336</v>
      </c>
      <c r="IN60" s="43">
        <f t="shared" si="499"/>
        <v>25062483333.333336</v>
      </c>
      <c r="IO60" s="43">
        <f t="shared" si="499"/>
        <v>25062483333.333336</v>
      </c>
      <c r="IP60" s="43">
        <f t="shared" si="499"/>
        <v>25062483333.333336</v>
      </c>
      <c r="IQ60" s="43">
        <f t="shared" si="499"/>
        <v>25062483333.333336</v>
      </c>
      <c r="IR60" s="43">
        <f t="shared" si="499"/>
        <v>25062483333.333336</v>
      </c>
      <c r="IS60" s="43">
        <f t="shared" si="499"/>
        <v>25062483333.333336</v>
      </c>
      <c r="IT60" s="43">
        <f t="shared" si="499"/>
        <v>25062483333.333336</v>
      </c>
      <c r="IU60" s="43">
        <f t="shared" si="499"/>
        <v>25062483333.333336</v>
      </c>
      <c r="IV60" s="43">
        <f t="shared" si="499"/>
        <v>25062483333.333336</v>
      </c>
      <c r="IW60" s="43">
        <f t="shared" si="499"/>
        <v>25062483333.333336</v>
      </c>
      <c r="IX60" s="43">
        <f t="shared" si="499"/>
        <v>25062483333.333336</v>
      </c>
      <c r="IY60" s="43">
        <f t="shared" si="499"/>
        <v>0</v>
      </c>
      <c r="IZ60" s="43">
        <f t="shared" si="499"/>
        <v>0</v>
      </c>
      <c r="JA60" s="43">
        <f t="shared" si="499"/>
        <v>0</v>
      </c>
      <c r="JB60" s="43">
        <f t="shared" si="499"/>
        <v>0</v>
      </c>
      <c r="JC60" s="43">
        <f t="shared" si="499"/>
        <v>0</v>
      </c>
      <c r="JD60" s="43">
        <f t="shared" si="499"/>
        <v>0</v>
      </c>
      <c r="JE60" s="43">
        <f t="shared" si="499"/>
        <v>0</v>
      </c>
      <c r="JF60" s="43">
        <f t="shared" si="499"/>
        <v>0</v>
      </c>
      <c r="JG60" s="43">
        <f t="shared" si="499"/>
        <v>0</v>
      </c>
      <c r="JH60" s="43">
        <f t="shared" si="499"/>
        <v>0</v>
      </c>
      <c r="JI60" s="43">
        <f t="shared" si="499"/>
        <v>0</v>
      </c>
      <c r="JJ60" s="43">
        <f t="shared" si="499"/>
        <v>0</v>
      </c>
      <c r="JK60" s="43">
        <f t="shared" si="499"/>
        <v>0</v>
      </c>
      <c r="JL60" s="43">
        <f t="shared" si="499"/>
        <v>0</v>
      </c>
      <c r="JM60" s="43">
        <f t="shared" si="499"/>
        <v>0</v>
      </c>
      <c r="JN60" s="43">
        <f t="shared" si="499"/>
        <v>0</v>
      </c>
      <c r="JO60" s="43">
        <f t="shared" si="499"/>
        <v>0</v>
      </c>
      <c r="JP60" s="43">
        <f t="shared" si="499"/>
        <v>0</v>
      </c>
      <c r="JR60" s="43">
        <f t="shared" ref="JR60:KU60" si="500">JR10+JR35+JR39</f>
        <v>31062483333.333336</v>
      </c>
      <c r="JS60" s="43">
        <f t="shared" si="500"/>
        <v>31062483333.333336</v>
      </c>
      <c r="JT60" s="43">
        <f t="shared" si="500"/>
        <v>31062483333.333336</v>
      </c>
      <c r="JU60" s="43">
        <f t="shared" si="500"/>
        <v>31062483333.333336</v>
      </c>
      <c r="JV60" s="43">
        <f t="shared" si="500"/>
        <v>31062483333.333336</v>
      </c>
      <c r="JW60" s="43">
        <f t="shared" si="500"/>
        <v>31062483333.333336</v>
      </c>
      <c r="JX60" s="43">
        <f t="shared" si="500"/>
        <v>31062483333.333336</v>
      </c>
      <c r="JY60" s="43">
        <f t="shared" si="500"/>
        <v>31062483333.333336</v>
      </c>
      <c r="JZ60" s="43">
        <f t="shared" si="500"/>
        <v>31062483333.333336</v>
      </c>
      <c r="KA60" s="43">
        <f t="shared" si="500"/>
        <v>31062483333.333336</v>
      </c>
      <c r="KB60" s="43">
        <f t="shared" si="500"/>
        <v>31062483333.333336</v>
      </c>
      <c r="KC60" s="43">
        <f t="shared" si="500"/>
        <v>31062483333.333336</v>
      </c>
      <c r="KD60" s="43">
        <f t="shared" si="500"/>
        <v>6000000000</v>
      </c>
      <c r="KE60" s="43">
        <f t="shared" si="500"/>
        <v>6000000000</v>
      </c>
      <c r="KF60" s="43">
        <f t="shared" si="500"/>
        <v>6000000000</v>
      </c>
      <c r="KG60" s="43">
        <f t="shared" si="500"/>
        <v>6000000000</v>
      </c>
      <c r="KH60" s="43">
        <f t="shared" si="500"/>
        <v>6000000000</v>
      </c>
      <c r="KI60" s="43">
        <f t="shared" si="500"/>
        <v>6000000000</v>
      </c>
      <c r="KJ60" s="43">
        <f t="shared" si="500"/>
        <v>6000000000</v>
      </c>
      <c r="KK60" s="43">
        <f t="shared" si="500"/>
        <v>6000000000</v>
      </c>
      <c r="KL60" s="43">
        <f t="shared" si="500"/>
        <v>6000000000</v>
      </c>
      <c r="KM60" s="43">
        <f t="shared" si="500"/>
        <v>6000000000</v>
      </c>
      <c r="KN60" s="43">
        <f t="shared" si="500"/>
        <v>6000000000</v>
      </c>
      <c r="KO60" s="43">
        <f t="shared" si="500"/>
        <v>6000000000</v>
      </c>
      <c r="KP60" s="43">
        <f t="shared" si="500"/>
        <v>6000000000</v>
      </c>
      <c r="KQ60" s="43">
        <f t="shared" si="500"/>
        <v>0</v>
      </c>
      <c r="KR60" s="43">
        <f t="shared" si="500"/>
        <v>0</v>
      </c>
      <c r="KS60" s="43">
        <f t="shared" si="500"/>
        <v>0</v>
      </c>
      <c r="KT60" s="43">
        <f t="shared" si="500"/>
        <v>0</v>
      </c>
      <c r="KU60" s="43">
        <f t="shared" si="500"/>
        <v>0</v>
      </c>
      <c r="KW60" s="43">
        <f t="shared" ref="KW60:LZ60" si="501">KW10+KW35+KW39</f>
        <v>25062483333.333336</v>
      </c>
      <c r="KX60" s="43">
        <f t="shared" si="501"/>
        <v>25062483333.333336</v>
      </c>
      <c r="KY60" s="43">
        <f t="shared" si="501"/>
        <v>25062483333.333336</v>
      </c>
      <c r="KZ60" s="43">
        <f t="shared" si="501"/>
        <v>25062483333.333336</v>
      </c>
      <c r="LA60" s="43">
        <f t="shared" si="501"/>
        <v>25062483333.333336</v>
      </c>
      <c r="LB60" s="43">
        <f t="shared" si="501"/>
        <v>25062483333.333336</v>
      </c>
      <c r="LC60" s="43">
        <f t="shared" si="501"/>
        <v>25062483333.333336</v>
      </c>
      <c r="LD60" s="43">
        <f t="shared" si="501"/>
        <v>25062483333.333336</v>
      </c>
      <c r="LE60" s="43">
        <f t="shared" si="501"/>
        <v>25062483333.333336</v>
      </c>
      <c r="LF60" s="43">
        <f t="shared" si="501"/>
        <v>25062483333.333336</v>
      </c>
      <c r="LG60" s="43">
        <f t="shared" si="501"/>
        <v>25062483333.333336</v>
      </c>
      <c r="LH60" s="43">
        <f t="shared" si="501"/>
        <v>25062483333.333336</v>
      </c>
      <c r="LI60" s="43">
        <f t="shared" si="501"/>
        <v>0</v>
      </c>
      <c r="LJ60" s="43">
        <f t="shared" si="501"/>
        <v>0</v>
      </c>
      <c r="LK60" s="43">
        <f t="shared" si="501"/>
        <v>0</v>
      </c>
      <c r="LL60" s="43">
        <f t="shared" si="501"/>
        <v>0</v>
      </c>
      <c r="LM60" s="43">
        <f t="shared" si="501"/>
        <v>0</v>
      </c>
      <c r="LN60" s="43">
        <f t="shared" si="501"/>
        <v>0</v>
      </c>
      <c r="LO60" s="43">
        <f t="shared" si="501"/>
        <v>0</v>
      </c>
      <c r="LP60" s="43">
        <f t="shared" si="501"/>
        <v>0</v>
      </c>
      <c r="LQ60" s="43">
        <f t="shared" si="501"/>
        <v>0</v>
      </c>
      <c r="LR60" s="43">
        <f t="shared" si="501"/>
        <v>0</v>
      </c>
      <c r="LS60" s="43">
        <f t="shared" si="501"/>
        <v>0</v>
      </c>
      <c r="LT60" s="43">
        <f t="shared" si="501"/>
        <v>0</v>
      </c>
      <c r="LU60" s="43">
        <f t="shared" si="501"/>
        <v>0</v>
      </c>
      <c r="LV60" s="43">
        <f t="shared" si="501"/>
        <v>0</v>
      </c>
      <c r="LW60" s="43">
        <f t="shared" si="501"/>
        <v>0</v>
      </c>
      <c r="LX60" s="43">
        <f t="shared" si="501"/>
        <v>0</v>
      </c>
      <c r="LY60" s="43">
        <f t="shared" si="501"/>
        <v>0</v>
      </c>
      <c r="LZ60" s="43">
        <f t="shared" si="501"/>
        <v>0</v>
      </c>
      <c r="MB60" s="43">
        <f t="shared" ref="MB60:NE60" si="502">MB10+MB35+MB39</f>
        <v>31062483333.333336</v>
      </c>
      <c r="MC60" s="43">
        <f t="shared" si="502"/>
        <v>31062483333.333336</v>
      </c>
      <c r="MD60" s="43">
        <f t="shared" si="502"/>
        <v>31062483333.333336</v>
      </c>
      <c r="ME60" s="43">
        <f t="shared" si="502"/>
        <v>31062483333.333336</v>
      </c>
      <c r="MF60" s="43">
        <f t="shared" si="502"/>
        <v>31062483333.333336</v>
      </c>
      <c r="MG60" s="43">
        <f t="shared" si="502"/>
        <v>31062483333.333336</v>
      </c>
      <c r="MH60" s="43">
        <f t="shared" si="502"/>
        <v>31062483333.333336</v>
      </c>
      <c r="MI60" s="43">
        <f t="shared" si="502"/>
        <v>31062483333.333336</v>
      </c>
      <c r="MJ60" s="43">
        <f t="shared" si="502"/>
        <v>31062483333.333336</v>
      </c>
      <c r="MK60" s="43">
        <f t="shared" si="502"/>
        <v>31062483333.333336</v>
      </c>
      <c r="ML60" s="43">
        <f t="shared" si="502"/>
        <v>31062483333.333336</v>
      </c>
      <c r="MM60" s="43">
        <f t="shared" si="502"/>
        <v>31062483333.333336</v>
      </c>
      <c r="MN60" s="43">
        <f t="shared" si="502"/>
        <v>6000000000</v>
      </c>
      <c r="MO60" s="43">
        <f t="shared" si="502"/>
        <v>6000000000</v>
      </c>
      <c r="MP60" s="43">
        <f t="shared" si="502"/>
        <v>6000000000</v>
      </c>
      <c r="MQ60" s="43">
        <f t="shared" si="502"/>
        <v>6000000000</v>
      </c>
      <c r="MR60" s="43">
        <f t="shared" si="502"/>
        <v>6000000000</v>
      </c>
      <c r="MS60" s="43">
        <f t="shared" si="502"/>
        <v>6000000000</v>
      </c>
      <c r="MT60" s="43">
        <f t="shared" si="502"/>
        <v>6000000000</v>
      </c>
      <c r="MU60" s="43">
        <f t="shared" si="502"/>
        <v>6000000000</v>
      </c>
      <c r="MV60" s="43">
        <f t="shared" si="502"/>
        <v>6000000000</v>
      </c>
      <c r="MW60" s="43">
        <f t="shared" si="502"/>
        <v>6000000000</v>
      </c>
      <c r="MX60" s="43">
        <f t="shared" si="502"/>
        <v>6000000000</v>
      </c>
      <c r="MY60" s="43">
        <f t="shared" si="502"/>
        <v>6000000000</v>
      </c>
      <c r="MZ60" s="43">
        <f t="shared" si="502"/>
        <v>6000000000</v>
      </c>
      <c r="NA60" s="43">
        <f t="shared" si="502"/>
        <v>0</v>
      </c>
      <c r="NB60" s="43">
        <f t="shared" si="502"/>
        <v>0</v>
      </c>
      <c r="NC60" s="43">
        <f t="shared" si="502"/>
        <v>0</v>
      </c>
      <c r="ND60" s="43">
        <f t="shared" si="502"/>
        <v>0</v>
      </c>
      <c r="NE60" s="43">
        <f t="shared" si="502"/>
        <v>0</v>
      </c>
    </row>
    <row r="61" spans="1:369" x14ac:dyDescent="0.25">
      <c r="I61" s="15"/>
      <c r="AH61" s="64"/>
    </row>
    <row r="62" spans="1:369" s="380" customFormat="1" hidden="1" x14ac:dyDescent="0.25">
      <c r="D62" s="380" t="s">
        <v>561</v>
      </c>
      <c r="N62" s="381">
        <f>N60-$I$60</f>
        <v>150000000000</v>
      </c>
      <c r="S62" s="381">
        <f>S60-$I$60</f>
        <v>0</v>
      </c>
      <c r="X62" s="381">
        <f>X60-$I$60</f>
        <v>150000000000</v>
      </c>
      <c r="AC62" s="381">
        <f>AC60-$I$60</f>
        <v>0</v>
      </c>
      <c r="AH62" s="381">
        <f>AH60-$I$60</f>
        <v>150000000000</v>
      </c>
    </row>
    <row r="63" spans="1:369" s="245" customFormat="1" hidden="1" x14ac:dyDescent="0.25">
      <c r="D63" s="245" t="s">
        <v>412</v>
      </c>
      <c r="N63" s="246">
        <f>(N60-$I$60)/$I$60</f>
        <v>0.49875344888009898</v>
      </c>
      <c r="S63" s="246">
        <f>(S60-$I$60)/$I$60</f>
        <v>0</v>
      </c>
      <c r="X63" s="246">
        <f>(X60-$I$60)/$I$60</f>
        <v>0.49875344888009898</v>
      </c>
      <c r="AC63" s="246">
        <f>(AC60-$I$60)/$I$60</f>
        <v>0</v>
      </c>
      <c r="AH63" s="246">
        <f>(AH60-$I$60)/$I$60</f>
        <v>0.49875344888009898</v>
      </c>
    </row>
    <row r="64" spans="1:369" hidden="1" x14ac:dyDescent="0.25"/>
    <row r="65" spans="4:35" ht="18" hidden="1" thickBot="1" x14ac:dyDescent="0.3">
      <c r="I65" s="43"/>
      <c r="J65" s="63">
        <v>28918250000.000004</v>
      </c>
      <c r="K65" s="225"/>
      <c r="L65" s="225"/>
      <c r="M65" s="225"/>
      <c r="N65" s="43">
        <v>426343915000</v>
      </c>
      <c r="O65" s="63">
        <v>33634391500</v>
      </c>
      <c r="P65" s="225"/>
      <c r="Q65" s="225"/>
      <c r="R65" s="225"/>
      <c r="S65" s="43">
        <v>276343915000</v>
      </c>
      <c r="T65" s="63">
        <v>27634391500</v>
      </c>
      <c r="V65" s="225"/>
      <c r="W65" s="225"/>
      <c r="X65" s="43">
        <v>276343915000</v>
      </c>
      <c r="Y65" s="63">
        <v>27634391500</v>
      </c>
      <c r="AA65" s="225"/>
      <c r="AB65" s="225"/>
      <c r="AC65" s="43">
        <v>276343915000</v>
      </c>
      <c r="AD65" s="63">
        <v>27634391500</v>
      </c>
      <c r="AF65" s="225"/>
      <c r="AG65" s="225"/>
      <c r="AH65" s="43">
        <v>276343915000</v>
      </c>
      <c r="AI65" s="63">
        <v>27634391500</v>
      </c>
    </row>
    <row r="66" spans="4:35" hidden="1" x14ac:dyDescent="0.25">
      <c r="I66" s="64"/>
      <c r="N66" s="64">
        <f>N65/N60</f>
        <v>0.94585491773928687</v>
      </c>
      <c r="S66" s="64">
        <f>S65/S60</f>
        <v>0.91884987122185946</v>
      </c>
      <c r="X66" s="64">
        <f>X65/X60</f>
        <v>0.61307606792060698</v>
      </c>
      <c r="AC66" s="64">
        <f>AC65/AC60</f>
        <v>0.91884987122185946</v>
      </c>
      <c r="AH66" s="64">
        <f>AH65/AH60</f>
        <v>0.61307606792060698</v>
      </c>
    </row>
    <row r="67" spans="4:35" x14ac:dyDescent="0.25">
      <c r="I67" s="15"/>
    </row>
    <row r="68" spans="4:35" x14ac:dyDescent="0.25">
      <c r="D68" s="15"/>
      <c r="S68" s="15"/>
      <c r="X68" s="15"/>
      <c r="AC68" s="15"/>
      <c r="AH68" s="15"/>
    </row>
  </sheetData>
  <mergeCells count="4">
    <mergeCell ref="C7:C8"/>
    <mergeCell ref="D7:D8"/>
    <mergeCell ref="BE7:BE8"/>
    <mergeCell ref="BF7:BF8"/>
  </mergeCells>
  <phoneticPr fontId="12" type="noConversion"/>
  <dataValidations disablePrompts="1" count="1">
    <dataValidation type="list" allowBlank="1" showInputMessage="1" showErrorMessage="1" sqref="D5:E5" xr:uid="{EA0412D8-7FB8-4DC4-B2F9-619394221867}">
      <formula1>"USD,VND"</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6BCF-4C5D-4383-9A5A-54AA784A6764}">
  <dimension ref="A1:AA113"/>
  <sheetViews>
    <sheetView showGridLines="0" topLeftCell="A5" zoomScale="85" zoomScaleNormal="85" workbookViewId="0">
      <pane ySplit="7" topLeftCell="A21" activePane="bottomLeft" state="frozen"/>
      <selection activeCell="A5" sqref="A5"/>
      <selection pane="bottomLeft" activeCell="N46" sqref="N46:V46"/>
    </sheetView>
  </sheetViews>
  <sheetFormatPr defaultRowHeight="15" outlineLevelRow="1" outlineLevelCol="1" x14ac:dyDescent="0.25"/>
  <cols>
    <col min="1" max="1" width="17.5" customWidth="1" outlineLevel="1"/>
    <col min="2" max="2" width="22.75" customWidth="1" outlineLevel="1"/>
    <col min="3" max="3" width="13.5" customWidth="1" outlineLevel="1"/>
    <col min="4" max="4" width="5.5" customWidth="1"/>
    <col min="5" max="5" width="37.5" bestFit="1" customWidth="1"/>
    <col min="6" max="6" width="15.25" customWidth="1"/>
    <col min="7" max="7" width="1.5" customWidth="1"/>
    <col min="8" max="8" width="11.375" hidden="1" customWidth="1" outlineLevel="1"/>
    <col min="9" max="9" width="17.75" hidden="1" customWidth="1" outlineLevel="1"/>
    <col min="10" max="10" width="1.5" hidden="1" customWidth="1" outlineLevel="1"/>
    <col min="11" max="11" width="13.375" customWidth="1" collapsed="1"/>
    <col min="12" max="12" width="13.75" bestFit="1" customWidth="1"/>
    <col min="13" max="13" width="18.375" customWidth="1"/>
    <col min="14" max="17" width="22.75" customWidth="1"/>
    <col min="18" max="22" width="19.5" customWidth="1"/>
    <col min="23" max="23" width="77.5" bestFit="1" customWidth="1"/>
    <col min="24" max="24" width="16.125" bestFit="1" customWidth="1"/>
    <col min="25" max="25" width="12.5" customWidth="1"/>
    <col min="26" max="26" width="13.25" customWidth="1"/>
  </cols>
  <sheetData>
    <row r="1" spans="1:27" outlineLevel="1" x14ac:dyDescent="0.25">
      <c r="F1" s="45" t="s">
        <v>0</v>
      </c>
      <c r="H1" s="45"/>
      <c r="I1" s="45"/>
    </row>
    <row r="2" spans="1:27" outlineLevel="1" x14ac:dyDescent="0.25">
      <c r="F2" s="45" t="s">
        <v>1</v>
      </c>
      <c r="H2" s="45"/>
      <c r="I2" s="45"/>
    </row>
    <row r="3" spans="1:27" ht="19.5" outlineLevel="1" x14ac:dyDescent="0.3">
      <c r="F3" s="46" t="s">
        <v>44</v>
      </c>
      <c r="H3" s="46"/>
      <c r="I3" s="46"/>
    </row>
    <row r="4" spans="1:27" ht="26.25" outlineLevel="1" x14ac:dyDescent="0.4">
      <c r="F4" s="47" t="s">
        <v>45</v>
      </c>
      <c r="H4" s="47"/>
      <c r="I4" s="47"/>
    </row>
    <row r="5" spans="1:27" x14ac:dyDescent="0.25">
      <c r="E5" s="216" t="str">
        <f>Currency</f>
        <v>VND</v>
      </c>
      <c r="N5" s="15"/>
      <c r="O5" s="15"/>
      <c r="P5" s="15"/>
      <c r="Q5" s="15"/>
      <c r="R5" s="243"/>
      <c r="S5" s="243"/>
      <c r="T5" s="243"/>
      <c r="U5" s="243"/>
      <c r="V5" s="243"/>
      <c r="W5" s="20"/>
      <c r="X5" s="20"/>
    </row>
    <row r="6" spans="1:27" x14ac:dyDescent="0.25">
      <c r="A6" s="15"/>
      <c r="E6" s="15">
        <f>IF(E5="VND",1,EXR)</f>
        <v>1</v>
      </c>
    </row>
    <row r="7" spans="1:27" x14ac:dyDescent="0.25">
      <c r="A7" s="15"/>
      <c r="M7" s="249" t="s">
        <v>404</v>
      </c>
      <c r="N7" s="249" t="s">
        <v>405</v>
      </c>
      <c r="O7" s="249" t="s">
        <v>407</v>
      </c>
      <c r="P7" s="249" t="s">
        <v>692</v>
      </c>
      <c r="Q7" s="249" t="s">
        <v>693</v>
      </c>
      <c r="R7" s="249" t="s">
        <v>694</v>
      </c>
      <c r="S7" s="249" t="s">
        <v>855</v>
      </c>
      <c r="T7" s="249" t="s">
        <v>856</v>
      </c>
      <c r="U7" s="249" t="s">
        <v>857</v>
      </c>
      <c r="V7" s="249" t="s">
        <v>858</v>
      </c>
    </row>
    <row r="8" spans="1:27" x14ac:dyDescent="0.25">
      <c r="I8" s="216"/>
      <c r="M8" s="247"/>
      <c r="N8" s="248">
        <f>Opt2_CPSX</f>
        <v>0</v>
      </c>
      <c r="O8" s="248">
        <f>Opt3_CPSX</f>
        <v>0</v>
      </c>
      <c r="P8" s="248">
        <f>Opt4_CPSX</f>
        <v>0</v>
      </c>
      <c r="Q8" s="248">
        <f>Opt5_CPSX</f>
        <v>0</v>
      </c>
      <c r="R8" s="248">
        <f>Opt6_CPSX</f>
        <v>0</v>
      </c>
      <c r="S8" s="248">
        <f>Opt7_CPSX</f>
        <v>0</v>
      </c>
      <c r="T8" s="248">
        <f>Opt8_CPSX</f>
        <v>0</v>
      </c>
      <c r="U8" s="248">
        <f>Opt9_CPSX</f>
        <v>0</v>
      </c>
      <c r="V8" s="248">
        <f>Opt10_CPSX</f>
        <v>0</v>
      </c>
    </row>
    <row r="9" spans="1:27" s="24" customFormat="1" ht="18.75" customHeight="1" x14ac:dyDescent="0.3">
      <c r="A9"/>
      <c r="B9"/>
      <c r="C9"/>
      <c r="D9" s="1165" t="s">
        <v>2</v>
      </c>
      <c r="E9" s="1142" t="s">
        <v>29</v>
      </c>
      <c r="F9" s="1166" t="s">
        <v>62</v>
      </c>
      <c r="H9" s="543" t="s">
        <v>38</v>
      </c>
      <c r="I9" s="1167" t="s">
        <v>630</v>
      </c>
      <c r="K9" s="23" t="s">
        <v>38</v>
      </c>
      <c r="L9" s="23" t="s">
        <v>39</v>
      </c>
      <c r="M9" s="23" t="s">
        <v>58</v>
      </c>
      <c r="N9" s="23" t="s">
        <v>58</v>
      </c>
      <c r="O9" s="23" t="s">
        <v>58</v>
      </c>
      <c r="P9" s="23" t="s">
        <v>58</v>
      </c>
      <c r="Q9" s="23" t="s">
        <v>58</v>
      </c>
      <c r="R9" s="23" t="s">
        <v>58</v>
      </c>
      <c r="S9" s="23" t="s">
        <v>58</v>
      </c>
      <c r="T9" s="23" t="s">
        <v>58</v>
      </c>
      <c r="U9" s="23" t="s">
        <v>58</v>
      </c>
      <c r="V9" s="23" t="s">
        <v>58</v>
      </c>
      <c r="W9" s="1142" t="s">
        <v>37</v>
      </c>
      <c r="X9"/>
      <c r="Y9"/>
      <c r="Z9" s="1164" t="s">
        <v>629</v>
      </c>
      <c r="AA9"/>
    </row>
    <row r="10" spans="1:27" s="24" customFormat="1" ht="17.25" x14ac:dyDescent="0.3">
      <c r="A10" t="s">
        <v>505</v>
      </c>
      <c r="B10" t="s">
        <v>506</v>
      </c>
      <c r="C10" t="s">
        <v>603</v>
      </c>
      <c r="D10" s="1165"/>
      <c r="E10" s="1142"/>
      <c r="F10" s="1166"/>
      <c r="H10" s="544" t="s">
        <v>628</v>
      </c>
      <c r="I10" s="1167"/>
      <c r="K10" s="25"/>
      <c r="L10" s="25" t="str">
        <f>"("&amp;$E$5&amp;"/đvt)"</f>
        <v>(VND/đvt)</v>
      </c>
      <c r="M10" s="25" t="str">
        <f>"("&amp;$E$5&amp;"/năm)"</f>
        <v>(VND/năm)</v>
      </c>
      <c r="N10" s="25" t="str">
        <f>"("&amp;$E$5&amp;"/năm)"</f>
        <v>(VND/năm)</v>
      </c>
      <c r="O10" s="25" t="str">
        <f t="shared" ref="O10:Q10" si="0">"("&amp;$E$5&amp;"/năm)"</f>
        <v>(VND/năm)</v>
      </c>
      <c r="P10" s="25" t="str">
        <f t="shared" si="0"/>
        <v>(VND/năm)</v>
      </c>
      <c r="Q10" s="25" t="str">
        <f t="shared" si="0"/>
        <v>(VND/năm)</v>
      </c>
      <c r="R10" s="25" t="str">
        <f>"("&amp;$E$5&amp;"/năm)"</f>
        <v>(VND/năm)</v>
      </c>
      <c r="S10" s="25" t="str">
        <f t="shared" ref="S10:V10" si="1">"("&amp;$E$5&amp;"/năm)"</f>
        <v>(VND/năm)</v>
      </c>
      <c r="T10" s="25" t="str">
        <f t="shared" si="1"/>
        <v>(VND/năm)</v>
      </c>
      <c r="U10" s="25" t="str">
        <f t="shared" si="1"/>
        <v>(VND/năm)</v>
      </c>
      <c r="V10" s="25" t="str">
        <f t="shared" si="1"/>
        <v>(VND/năm)</v>
      </c>
      <c r="W10" s="1142"/>
      <c r="X10"/>
      <c r="Y10"/>
      <c r="Z10" s="1164"/>
      <c r="AA10"/>
    </row>
    <row r="11" spans="1:27" s="16" customFormat="1" ht="3.75" customHeight="1" x14ac:dyDescent="0.25">
      <c r="A11"/>
      <c r="B11"/>
      <c r="C11"/>
      <c r="D11" s="19"/>
      <c r="F11" s="40"/>
      <c r="H11" s="40"/>
      <c r="I11" s="40"/>
      <c r="K11"/>
      <c r="L11"/>
      <c r="M11"/>
      <c r="N11"/>
      <c r="O11"/>
      <c r="P11"/>
      <c r="Q11"/>
      <c r="R11"/>
      <c r="S11"/>
      <c r="T11"/>
      <c r="U11"/>
      <c r="V11"/>
      <c r="W11"/>
      <c r="X11"/>
      <c r="Y11"/>
      <c r="Z11"/>
      <c r="AA11"/>
    </row>
    <row r="12" spans="1:27" s="22" customFormat="1" ht="17.25" x14ac:dyDescent="0.3">
      <c r="A12" t="s">
        <v>171</v>
      </c>
      <c r="B12"/>
      <c r="C12" t="s">
        <v>171</v>
      </c>
      <c r="D12" s="478" t="s">
        <v>41</v>
      </c>
      <c r="E12" s="479" t="s">
        <v>52</v>
      </c>
      <c r="F12" s="480" t="s">
        <v>64</v>
      </c>
      <c r="H12" s="481">
        <f>H13+H17</f>
        <v>32.5</v>
      </c>
      <c r="I12" s="481">
        <f>I13+I17</f>
        <v>0</v>
      </c>
      <c r="K12" s="661">
        <f>K13+K17</f>
        <v>32.5</v>
      </c>
      <c r="L12" s="482"/>
      <c r="M12" s="482">
        <f>M13+M17</f>
        <v>6011460000</v>
      </c>
      <c r="N12" s="482">
        <f>N13+N17</f>
        <v>6011460000</v>
      </c>
      <c r="O12" s="482">
        <f t="shared" ref="O12:Q12" si="2">O13+O17</f>
        <v>6011460000</v>
      </c>
      <c r="P12" s="482">
        <f t="shared" si="2"/>
        <v>6011460000</v>
      </c>
      <c r="Q12" s="482">
        <f t="shared" si="2"/>
        <v>6011460000</v>
      </c>
      <c r="R12" s="482">
        <f>R13+R17</f>
        <v>6011460000</v>
      </c>
      <c r="S12" s="482">
        <f t="shared" ref="S12:V12" si="3">S13+S17</f>
        <v>6011460000</v>
      </c>
      <c r="T12" s="482">
        <f t="shared" si="3"/>
        <v>6011460000</v>
      </c>
      <c r="U12" s="482">
        <f t="shared" si="3"/>
        <v>6011460000</v>
      </c>
      <c r="V12" s="482">
        <f t="shared" si="3"/>
        <v>6011460000</v>
      </c>
      <c r="W12" s="479"/>
      <c r="Y12"/>
      <c r="Z12" s="481">
        <f>Z13+Z17</f>
        <v>-8</v>
      </c>
      <c r="AA12"/>
    </row>
    <row r="13" spans="1:27" s="1" customFormat="1" x14ac:dyDescent="0.25">
      <c r="A13" t="s">
        <v>447</v>
      </c>
      <c r="B13"/>
      <c r="C13" t="s">
        <v>171</v>
      </c>
      <c r="D13" s="470"/>
      <c r="E13" s="470" t="s">
        <v>53</v>
      </c>
      <c r="F13" s="476" t="s">
        <v>64</v>
      </c>
      <c r="H13" s="477">
        <f>SUM(H14:H16)</f>
        <v>6</v>
      </c>
      <c r="I13" s="477">
        <f>SUM(I14:I16)</f>
        <v>0</v>
      </c>
      <c r="K13" s="662">
        <f>SUM(K14:K16)</f>
        <v>6</v>
      </c>
      <c r="L13" s="471"/>
      <c r="M13" s="471">
        <f>SUM(M14:M16)</f>
        <v>982800000</v>
      </c>
      <c r="N13" s="471">
        <f>SUM(N14:N16)</f>
        <v>982800000</v>
      </c>
      <c r="O13" s="471">
        <f t="shared" ref="O13:Q13" si="4">SUM(O14:O16)</f>
        <v>982800000</v>
      </c>
      <c r="P13" s="471">
        <f t="shared" si="4"/>
        <v>982800000</v>
      </c>
      <c r="Q13" s="471">
        <f t="shared" si="4"/>
        <v>982800000</v>
      </c>
      <c r="R13" s="471">
        <f>SUM(R14:R16)</f>
        <v>982800000</v>
      </c>
      <c r="S13" s="471">
        <f t="shared" ref="S13:V13" si="5">SUM(S14:S16)</f>
        <v>982800000</v>
      </c>
      <c r="T13" s="471">
        <f t="shared" si="5"/>
        <v>982800000</v>
      </c>
      <c r="U13" s="471">
        <f t="shared" si="5"/>
        <v>982800000</v>
      </c>
      <c r="V13" s="471">
        <f t="shared" si="5"/>
        <v>982800000</v>
      </c>
      <c r="W13" s="470"/>
      <c r="Y13"/>
      <c r="Z13" s="477">
        <f>SUM(Z14:Z16)</f>
        <v>-1</v>
      </c>
      <c r="AA13"/>
    </row>
    <row r="14" spans="1:27" x14ac:dyDescent="0.25">
      <c r="B14" t="s">
        <v>88</v>
      </c>
      <c r="C14" t="s">
        <v>171</v>
      </c>
      <c r="D14" s="453" t="s">
        <v>56</v>
      </c>
      <c r="E14" s="454" t="s">
        <v>204</v>
      </c>
      <c r="F14" s="455" t="s">
        <v>64</v>
      </c>
      <c r="H14" s="456">
        <v>3</v>
      </c>
      <c r="I14" s="456">
        <f>IF($I$8="x",Z14,0)</f>
        <v>0</v>
      </c>
      <c r="K14" s="663">
        <f>H14+I14</f>
        <v>3</v>
      </c>
      <c r="L14" s="457">
        <f>(50000*26*8/$E$6*15/12)*1.05</f>
        <v>13650000</v>
      </c>
      <c r="M14" s="457">
        <f>$K14*$L14*12</f>
        <v>491400000</v>
      </c>
      <c r="N14" s="457">
        <f>$K14*$L14*12*(1+N$8)</f>
        <v>491400000</v>
      </c>
      <c r="O14" s="457">
        <f t="shared" ref="O14:Q14" si="6">$K14*$L14*12*(1+O$8)</f>
        <v>491400000</v>
      </c>
      <c r="P14" s="457">
        <f t="shared" si="6"/>
        <v>491400000</v>
      </c>
      <c r="Q14" s="457">
        <f t="shared" si="6"/>
        <v>491400000</v>
      </c>
      <c r="R14" s="457">
        <f>$K14*$L14*12*(1+R$8)</f>
        <v>491400000</v>
      </c>
      <c r="S14" s="457">
        <f t="shared" ref="S14:V14" si="7">$K14*$L14*12*(1+S$8)</f>
        <v>491400000</v>
      </c>
      <c r="T14" s="457">
        <f t="shared" si="7"/>
        <v>491400000</v>
      </c>
      <c r="U14" s="457">
        <f t="shared" si="7"/>
        <v>491400000</v>
      </c>
      <c r="V14" s="457">
        <f t="shared" si="7"/>
        <v>491400000</v>
      </c>
      <c r="W14" s="454" t="s">
        <v>194</v>
      </c>
      <c r="Z14" s="456">
        <v>-0.5</v>
      </c>
    </row>
    <row r="15" spans="1:27" x14ac:dyDescent="0.25">
      <c r="B15" t="s">
        <v>88</v>
      </c>
      <c r="C15" t="s">
        <v>171</v>
      </c>
      <c r="D15" s="453" t="s">
        <v>57</v>
      </c>
      <c r="E15" s="454" t="s">
        <v>205</v>
      </c>
      <c r="F15" s="455" t="s">
        <v>64</v>
      </c>
      <c r="H15" s="456"/>
      <c r="I15" s="456">
        <f t="shared" ref="I15:I16" si="8">IF($I$8="x",Z15,0)</f>
        <v>0</v>
      </c>
      <c r="K15" s="663">
        <f t="shared" ref="K15:K25" si="9">H15+I15</f>
        <v>0</v>
      </c>
      <c r="L15" s="457">
        <f>(50000*26*8/$E$6*15/12)*1.05</f>
        <v>13650000</v>
      </c>
      <c r="M15" s="457">
        <f t="shared" ref="M15:M16" si="10">$K15*$L15*12</f>
        <v>0</v>
      </c>
      <c r="N15" s="457">
        <f t="shared" ref="N15:V16" si="11">$K15*$L15*12*(1+N$8)</f>
        <v>0</v>
      </c>
      <c r="O15" s="457">
        <f t="shared" si="11"/>
        <v>0</v>
      </c>
      <c r="P15" s="457">
        <f t="shared" si="11"/>
        <v>0</v>
      </c>
      <c r="Q15" s="457">
        <f t="shared" si="11"/>
        <v>0</v>
      </c>
      <c r="R15" s="457">
        <f t="shared" si="11"/>
        <v>0</v>
      </c>
      <c r="S15" s="457">
        <f t="shared" si="11"/>
        <v>0</v>
      </c>
      <c r="T15" s="457">
        <f t="shared" si="11"/>
        <v>0</v>
      </c>
      <c r="U15" s="457">
        <f t="shared" si="11"/>
        <v>0</v>
      </c>
      <c r="V15" s="457">
        <f t="shared" si="11"/>
        <v>0</v>
      </c>
      <c r="W15" s="454" t="s">
        <v>194</v>
      </c>
      <c r="Z15" s="456"/>
    </row>
    <row r="16" spans="1:27" x14ac:dyDescent="0.25">
      <c r="B16" t="s">
        <v>88</v>
      </c>
      <c r="C16" t="s">
        <v>171</v>
      </c>
      <c r="D16" s="453" t="s">
        <v>325</v>
      </c>
      <c r="E16" s="454" t="s">
        <v>27</v>
      </c>
      <c r="F16" s="455" t="s">
        <v>64</v>
      </c>
      <c r="H16" s="456">
        <v>3</v>
      </c>
      <c r="I16" s="456">
        <f t="shared" si="8"/>
        <v>0</v>
      </c>
      <c r="K16" s="663">
        <f t="shared" si="9"/>
        <v>3</v>
      </c>
      <c r="L16" s="457">
        <f>(50000*26*8/$E$6*15/12)*1.05</f>
        <v>13650000</v>
      </c>
      <c r="M16" s="457">
        <f t="shared" si="10"/>
        <v>491400000</v>
      </c>
      <c r="N16" s="457">
        <f t="shared" si="11"/>
        <v>491400000</v>
      </c>
      <c r="O16" s="457">
        <f t="shared" si="11"/>
        <v>491400000</v>
      </c>
      <c r="P16" s="457">
        <f t="shared" si="11"/>
        <v>491400000</v>
      </c>
      <c r="Q16" s="457">
        <f t="shared" si="11"/>
        <v>491400000</v>
      </c>
      <c r="R16" s="457">
        <f t="shared" si="11"/>
        <v>491400000</v>
      </c>
      <c r="S16" s="457">
        <f t="shared" si="11"/>
        <v>491400000</v>
      </c>
      <c r="T16" s="457">
        <f t="shared" si="11"/>
        <v>491400000</v>
      </c>
      <c r="U16" s="457">
        <f t="shared" si="11"/>
        <v>491400000</v>
      </c>
      <c r="V16" s="457">
        <f t="shared" si="11"/>
        <v>491400000</v>
      </c>
      <c r="W16" s="454" t="s">
        <v>194</v>
      </c>
      <c r="Z16" s="456">
        <v>-0.5</v>
      </c>
    </row>
    <row r="17" spans="1:27" s="1" customFormat="1" x14ac:dyDescent="0.25">
      <c r="A17" t="s">
        <v>448</v>
      </c>
      <c r="B17"/>
      <c r="C17" t="s">
        <v>171</v>
      </c>
      <c r="D17" s="449"/>
      <c r="E17" s="449" t="s">
        <v>54</v>
      </c>
      <c r="F17" s="450" t="s">
        <v>64</v>
      </c>
      <c r="H17" s="451">
        <f>SUM(H18:H25)</f>
        <v>26.5</v>
      </c>
      <c r="I17" s="451">
        <f>SUM(I18:I25)</f>
        <v>0</v>
      </c>
      <c r="K17" s="664">
        <f>SUM(K18:K25)</f>
        <v>26.5</v>
      </c>
      <c r="L17" s="452"/>
      <c r="M17" s="452">
        <f>SUM(M18:M25)</f>
        <v>5028660000</v>
      </c>
      <c r="N17" s="452">
        <f>SUM(N18:N25)</f>
        <v>5028660000</v>
      </c>
      <c r="O17" s="451">
        <f t="shared" ref="O17:Q17" si="12">SUM(O18:O25)</f>
        <v>5028660000</v>
      </c>
      <c r="P17" s="451">
        <f t="shared" si="12"/>
        <v>5028660000</v>
      </c>
      <c r="Q17" s="451">
        <f t="shared" si="12"/>
        <v>5028660000</v>
      </c>
      <c r="R17" s="451">
        <f>SUM(R18:R25)</f>
        <v>5028660000</v>
      </c>
      <c r="S17" s="451">
        <f t="shared" ref="S17:V17" si="13">SUM(S18:S25)</f>
        <v>5028660000</v>
      </c>
      <c r="T17" s="451">
        <f t="shared" si="13"/>
        <v>5028660000</v>
      </c>
      <c r="U17" s="451">
        <f t="shared" si="13"/>
        <v>5028660000</v>
      </c>
      <c r="V17" s="451">
        <f t="shared" si="13"/>
        <v>5028660000</v>
      </c>
      <c r="W17" s="449"/>
      <c r="Y17"/>
      <c r="Z17" s="451">
        <f>SUM(Z18:Z25)</f>
        <v>-7</v>
      </c>
      <c r="AA17"/>
    </row>
    <row r="18" spans="1:27" x14ac:dyDescent="0.25">
      <c r="B18" t="s">
        <v>97</v>
      </c>
      <c r="C18" t="s">
        <v>171</v>
      </c>
      <c r="D18" s="453" t="s">
        <v>324</v>
      </c>
      <c r="E18" s="454" t="s">
        <v>279</v>
      </c>
      <c r="F18" s="455" t="s">
        <v>64</v>
      </c>
      <c r="H18" s="456">
        <v>6</v>
      </c>
      <c r="I18" s="456">
        <f t="shared" ref="I18:I25" si="14">IF($I$8="x",Z18,0)</f>
        <v>0</v>
      </c>
      <c r="K18" s="663">
        <f t="shared" si="9"/>
        <v>6</v>
      </c>
      <c r="L18" s="457">
        <f>(50000*26*8/$E$6*15/12)*1.05</f>
        <v>13650000</v>
      </c>
      <c r="M18" s="457">
        <f t="shared" ref="M18:M25" si="15">$K18*$L18*12</f>
        <v>982800000</v>
      </c>
      <c r="N18" s="457">
        <f t="shared" ref="N18:V25" si="16">$K18*$L18*12*(1+N$8)</f>
        <v>982800000</v>
      </c>
      <c r="O18" s="457">
        <f t="shared" si="16"/>
        <v>982800000</v>
      </c>
      <c r="P18" s="457">
        <f t="shared" si="16"/>
        <v>982800000</v>
      </c>
      <c r="Q18" s="457">
        <f t="shared" si="16"/>
        <v>982800000</v>
      </c>
      <c r="R18" s="457">
        <f t="shared" si="16"/>
        <v>982800000</v>
      </c>
      <c r="S18" s="457">
        <f t="shared" si="16"/>
        <v>982800000</v>
      </c>
      <c r="T18" s="457">
        <f t="shared" si="16"/>
        <v>982800000</v>
      </c>
      <c r="U18" s="457">
        <f t="shared" si="16"/>
        <v>982800000</v>
      </c>
      <c r="V18" s="457">
        <f t="shared" si="16"/>
        <v>982800000</v>
      </c>
      <c r="W18" s="454" t="s">
        <v>283</v>
      </c>
      <c r="Z18" s="456">
        <v>-0.5</v>
      </c>
    </row>
    <row r="19" spans="1:27" x14ac:dyDescent="0.25">
      <c r="B19" t="s">
        <v>97</v>
      </c>
      <c r="C19" t="s">
        <v>171</v>
      </c>
      <c r="D19" s="453" t="s">
        <v>327</v>
      </c>
      <c r="E19" s="454" t="s">
        <v>284</v>
      </c>
      <c r="F19" s="455" t="s">
        <v>64</v>
      </c>
      <c r="H19" s="456">
        <v>3</v>
      </c>
      <c r="I19" s="456">
        <f t="shared" si="14"/>
        <v>0</v>
      </c>
      <c r="K19" s="663">
        <f t="shared" si="9"/>
        <v>3</v>
      </c>
      <c r="L19" s="457">
        <f>(50000*26*8/$E$6*15/12)*1.05</f>
        <v>13650000</v>
      </c>
      <c r="M19" s="457">
        <f t="shared" si="15"/>
        <v>491400000</v>
      </c>
      <c r="N19" s="457">
        <f t="shared" si="16"/>
        <v>491400000</v>
      </c>
      <c r="O19" s="457">
        <f t="shared" si="16"/>
        <v>491400000</v>
      </c>
      <c r="P19" s="457">
        <f t="shared" si="16"/>
        <v>491400000</v>
      </c>
      <c r="Q19" s="457">
        <f t="shared" si="16"/>
        <v>491400000</v>
      </c>
      <c r="R19" s="457">
        <f t="shared" si="16"/>
        <v>491400000</v>
      </c>
      <c r="S19" s="457">
        <f t="shared" si="16"/>
        <v>491400000</v>
      </c>
      <c r="T19" s="457">
        <f t="shared" si="16"/>
        <v>491400000</v>
      </c>
      <c r="U19" s="457">
        <f t="shared" si="16"/>
        <v>491400000</v>
      </c>
      <c r="V19" s="457">
        <f t="shared" si="16"/>
        <v>491400000</v>
      </c>
      <c r="W19" s="454" t="s">
        <v>194</v>
      </c>
      <c r="Z19" s="456">
        <v>-0.5</v>
      </c>
    </row>
    <row r="20" spans="1:27" x14ac:dyDescent="0.25">
      <c r="B20" t="s">
        <v>92</v>
      </c>
      <c r="C20" t="s">
        <v>171</v>
      </c>
      <c r="D20" s="453" t="s">
        <v>328</v>
      </c>
      <c r="E20" s="454" t="s">
        <v>281</v>
      </c>
      <c r="F20" s="455" t="s">
        <v>64</v>
      </c>
      <c r="H20" s="456">
        <v>4.5</v>
      </c>
      <c r="I20" s="456">
        <f t="shared" si="14"/>
        <v>0</v>
      </c>
      <c r="K20" s="663">
        <f t="shared" si="9"/>
        <v>4.5</v>
      </c>
      <c r="L20" s="457">
        <f>(50000*26*8/$E$6*15/12)*1.05</f>
        <v>13650000</v>
      </c>
      <c r="M20" s="457">
        <f t="shared" si="15"/>
        <v>737100000</v>
      </c>
      <c r="N20" s="457">
        <f>$K20*$L20*12*(1+N$8)</f>
        <v>737100000</v>
      </c>
      <c r="O20" s="457">
        <f t="shared" si="16"/>
        <v>737100000</v>
      </c>
      <c r="P20" s="457">
        <f t="shared" si="16"/>
        <v>737100000</v>
      </c>
      <c r="Q20" s="457">
        <f t="shared" si="16"/>
        <v>737100000</v>
      </c>
      <c r="R20" s="457">
        <f t="shared" si="16"/>
        <v>737100000</v>
      </c>
      <c r="S20" s="457">
        <f t="shared" si="16"/>
        <v>737100000</v>
      </c>
      <c r="T20" s="457">
        <f t="shared" si="16"/>
        <v>737100000</v>
      </c>
      <c r="U20" s="457">
        <f>$K20*$L20*12*(1+U$8)</f>
        <v>737100000</v>
      </c>
      <c r="V20" s="457">
        <f t="shared" si="16"/>
        <v>737100000</v>
      </c>
      <c r="W20" s="454" t="s">
        <v>289</v>
      </c>
      <c r="Z20" s="456">
        <v>-1.5</v>
      </c>
    </row>
    <row r="21" spans="1:27" x14ac:dyDescent="0.25">
      <c r="B21" t="s">
        <v>91</v>
      </c>
      <c r="C21" t="s">
        <v>171</v>
      </c>
      <c r="D21" s="453" t="s">
        <v>326</v>
      </c>
      <c r="E21" s="454" t="s">
        <v>282</v>
      </c>
      <c r="F21" s="455" t="s">
        <v>64</v>
      </c>
      <c r="H21" s="456">
        <v>3</v>
      </c>
      <c r="I21" s="456">
        <f t="shared" si="14"/>
        <v>0</v>
      </c>
      <c r="K21" s="663">
        <f t="shared" si="9"/>
        <v>3</v>
      </c>
      <c r="L21" s="457">
        <f>(50000*26*8/$E$6*15/12)*1.05</f>
        <v>13650000</v>
      </c>
      <c r="M21" s="457">
        <f t="shared" si="15"/>
        <v>491400000</v>
      </c>
      <c r="N21" s="457">
        <f t="shared" si="16"/>
        <v>491400000</v>
      </c>
      <c r="O21" s="457">
        <f t="shared" si="16"/>
        <v>491400000</v>
      </c>
      <c r="P21" s="457">
        <f t="shared" si="16"/>
        <v>491400000</v>
      </c>
      <c r="Q21" s="457">
        <f t="shared" si="16"/>
        <v>491400000</v>
      </c>
      <c r="R21" s="457">
        <f t="shared" si="16"/>
        <v>491400000</v>
      </c>
      <c r="S21" s="457">
        <f>$K21*$L21*12*(1+S$8)</f>
        <v>491400000</v>
      </c>
      <c r="T21" s="457">
        <f t="shared" si="16"/>
        <v>491400000</v>
      </c>
      <c r="U21" s="457">
        <f t="shared" si="16"/>
        <v>491400000</v>
      </c>
      <c r="V21" s="457">
        <f t="shared" si="16"/>
        <v>491400000</v>
      </c>
      <c r="W21" s="454" t="s">
        <v>194</v>
      </c>
      <c r="Z21" s="456">
        <v>-0.5</v>
      </c>
    </row>
    <row r="22" spans="1:27" x14ac:dyDescent="0.25">
      <c r="B22" t="s">
        <v>95</v>
      </c>
      <c r="C22" t="s">
        <v>171</v>
      </c>
      <c r="D22" s="453" t="s">
        <v>329</v>
      </c>
      <c r="E22" s="454" t="s">
        <v>61</v>
      </c>
      <c r="F22" s="455" t="s">
        <v>64</v>
      </c>
      <c r="H22" s="456">
        <v>3</v>
      </c>
      <c r="I22" s="456">
        <f t="shared" si="14"/>
        <v>0</v>
      </c>
      <c r="K22" s="663">
        <f t="shared" si="9"/>
        <v>3</v>
      </c>
      <c r="L22" s="457">
        <f>(80000*26*8/$E$6*15/12)*1.05</f>
        <v>21840000</v>
      </c>
      <c r="M22" s="457">
        <f t="shared" si="15"/>
        <v>786240000</v>
      </c>
      <c r="N22" s="457">
        <f t="shared" si="16"/>
        <v>786240000</v>
      </c>
      <c r="O22" s="457">
        <f t="shared" si="16"/>
        <v>786240000</v>
      </c>
      <c r="P22" s="457">
        <f t="shared" si="16"/>
        <v>786240000</v>
      </c>
      <c r="Q22" s="457">
        <f t="shared" si="16"/>
        <v>786240000</v>
      </c>
      <c r="R22" s="457">
        <f t="shared" si="16"/>
        <v>786240000</v>
      </c>
      <c r="S22" s="457">
        <f t="shared" si="16"/>
        <v>786240000</v>
      </c>
      <c r="T22" s="457">
        <f t="shared" si="16"/>
        <v>786240000</v>
      </c>
      <c r="U22" s="457">
        <f t="shared" si="16"/>
        <v>786240000</v>
      </c>
      <c r="V22" s="457">
        <f t="shared" si="16"/>
        <v>786240000</v>
      </c>
      <c r="W22" s="454" t="s">
        <v>194</v>
      </c>
      <c r="Z22" s="456">
        <v>-0.5</v>
      </c>
    </row>
    <row r="23" spans="1:27" x14ac:dyDescent="0.25">
      <c r="B23" t="s">
        <v>342</v>
      </c>
      <c r="C23" t="s">
        <v>171</v>
      </c>
      <c r="D23" s="453" t="s">
        <v>330</v>
      </c>
      <c r="E23" s="454" t="s">
        <v>296</v>
      </c>
      <c r="F23" s="455" t="s">
        <v>64</v>
      </c>
      <c r="H23" s="456">
        <v>1</v>
      </c>
      <c r="I23" s="456">
        <f t="shared" si="14"/>
        <v>0</v>
      </c>
      <c r="K23" s="663">
        <f t="shared" si="9"/>
        <v>1</v>
      </c>
      <c r="L23" s="457">
        <f>(80000*26*8/$E$6*15/12)*1.05</f>
        <v>21840000</v>
      </c>
      <c r="M23" s="457">
        <f t="shared" si="15"/>
        <v>262080000</v>
      </c>
      <c r="N23" s="457">
        <f t="shared" si="16"/>
        <v>262080000</v>
      </c>
      <c r="O23" s="457">
        <f t="shared" si="16"/>
        <v>262080000</v>
      </c>
      <c r="P23" s="457">
        <f t="shared" si="16"/>
        <v>262080000</v>
      </c>
      <c r="Q23" s="457">
        <f t="shared" si="16"/>
        <v>262080000</v>
      </c>
      <c r="R23" s="457">
        <f t="shared" si="16"/>
        <v>262080000</v>
      </c>
      <c r="S23" s="457">
        <f t="shared" si="16"/>
        <v>262080000</v>
      </c>
      <c r="T23" s="457">
        <f t="shared" si="16"/>
        <v>262080000</v>
      </c>
      <c r="U23" s="457">
        <f t="shared" si="16"/>
        <v>262080000</v>
      </c>
      <c r="V23" s="457">
        <f t="shared" si="16"/>
        <v>262080000</v>
      </c>
      <c r="W23" s="454" t="s">
        <v>194</v>
      </c>
      <c r="Z23" s="456">
        <v>-0.5</v>
      </c>
    </row>
    <row r="24" spans="1:27" x14ac:dyDescent="0.25">
      <c r="B24" t="s">
        <v>342</v>
      </c>
      <c r="C24" t="s">
        <v>171</v>
      </c>
      <c r="D24" s="453" t="s">
        <v>331</v>
      </c>
      <c r="E24" s="454" t="s">
        <v>60</v>
      </c>
      <c r="F24" s="455" t="s">
        <v>64</v>
      </c>
      <c r="H24" s="456">
        <v>3</v>
      </c>
      <c r="I24" s="456">
        <f t="shared" si="14"/>
        <v>0</v>
      </c>
      <c r="K24" s="663">
        <f t="shared" si="9"/>
        <v>3</v>
      </c>
      <c r="L24" s="457">
        <f>(80000*26*8/$E$6*15/12)*1.05</f>
        <v>21840000</v>
      </c>
      <c r="M24" s="457">
        <f t="shared" si="15"/>
        <v>786240000</v>
      </c>
      <c r="N24" s="457">
        <f t="shared" si="16"/>
        <v>786240000</v>
      </c>
      <c r="O24" s="457">
        <f t="shared" si="16"/>
        <v>786240000</v>
      </c>
      <c r="P24" s="457">
        <f t="shared" si="16"/>
        <v>786240000</v>
      </c>
      <c r="Q24" s="457">
        <f t="shared" si="16"/>
        <v>786240000</v>
      </c>
      <c r="R24" s="457">
        <f t="shared" si="16"/>
        <v>786240000</v>
      </c>
      <c r="S24" s="457">
        <f t="shared" si="16"/>
        <v>786240000</v>
      </c>
      <c r="T24" s="457">
        <f t="shared" si="16"/>
        <v>786240000</v>
      </c>
      <c r="U24" s="457">
        <f t="shared" si="16"/>
        <v>786240000</v>
      </c>
      <c r="V24" s="457">
        <f t="shared" si="16"/>
        <v>786240000</v>
      </c>
      <c r="W24" s="454" t="s">
        <v>194</v>
      </c>
      <c r="Z24" s="456">
        <v>-1</v>
      </c>
    </row>
    <row r="25" spans="1:27" x14ac:dyDescent="0.25">
      <c r="B25" t="s">
        <v>97</v>
      </c>
      <c r="C25" t="s">
        <v>171</v>
      </c>
      <c r="D25" s="453" t="s">
        <v>332</v>
      </c>
      <c r="E25" s="454" t="s">
        <v>293</v>
      </c>
      <c r="F25" s="455" t="s">
        <v>64</v>
      </c>
      <c r="H25" s="456">
        <v>3</v>
      </c>
      <c r="I25" s="456">
        <f t="shared" si="14"/>
        <v>0</v>
      </c>
      <c r="K25" s="663">
        <f t="shared" si="9"/>
        <v>3</v>
      </c>
      <c r="L25" s="457">
        <f>(50000*26*8/$E$6*15/12)*1.05</f>
        <v>13650000</v>
      </c>
      <c r="M25" s="457">
        <f t="shared" si="15"/>
        <v>491400000</v>
      </c>
      <c r="N25" s="457">
        <f t="shared" si="16"/>
        <v>491400000</v>
      </c>
      <c r="O25" s="457">
        <f t="shared" si="16"/>
        <v>491400000</v>
      </c>
      <c r="P25" s="457">
        <f t="shared" si="16"/>
        <v>491400000</v>
      </c>
      <c r="Q25" s="457">
        <f t="shared" si="16"/>
        <v>491400000</v>
      </c>
      <c r="R25" s="457">
        <f t="shared" si="16"/>
        <v>491400000</v>
      </c>
      <c r="S25" s="457">
        <f t="shared" si="16"/>
        <v>491400000</v>
      </c>
      <c r="T25" s="457">
        <f t="shared" si="16"/>
        <v>491400000</v>
      </c>
      <c r="U25" s="457">
        <f t="shared" si="16"/>
        <v>491400000</v>
      </c>
      <c r="V25" s="457">
        <f t="shared" si="16"/>
        <v>491400000</v>
      </c>
      <c r="W25" s="454" t="s">
        <v>194</v>
      </c>
      <c r="Z25" s="456">
        <v>-2</v>
      </c>
    </row>
    <row r="26" spans="1:27" x14ac:dyDescent="0.25">
      <c r="F26" s="41"/>
      <c r="H26" s="41"/>
      <c r="I26" s="41"/>
      <c r="K26" s="15"/>
      <c r="L26" s="15"/>
      <c r="M26" s="15"/>
      <c r="N26" s="15"/>
      <c r="O26" s="15"/>
      <c r="P26" s="15"/>
      <c r="Q26" s="15"/>
      <c r="R26" s="15"/>
      <c r="S26" s="15"/>
      <c r="T26" s="15"/>
      <c r="U26" s="15"/>
      <c r="V26" s="15"/>
    </row>
    <row r="27" spans="1:27" x14ac:dyDescent="0.25">
      <c r="F27" s="41"/>
      <c r="H27" s="41"/>
      <c r="I27" s="41"/>
      <c r="K27" s="15"/>
      <c r="L27" s="15"/>
      <c r="M27" s="355">
        <v>0.03</v>
      </c>
      <c r="N27" s="355">
        <v>0.03</v>
      </c>
      <c r="O27" s="355">
        <v>0.03</v>
      </c>
      <c r="P27" s="355">
        <v>0.03</v>
      </c>
      <c r="Q27" s="355">
        <v>0.03</v>
      </c>
      <c r="R27" s="355">
        <v>0.03</v>
      </c>
      <c r="S27" s="355">
        <v>0.03</v>
      </c>
      <c r="T27" s="355">
        <v>0.03</v>
      </c>
      <c r="U27" s="355">
        <v>0.03</v>
      </c>
      <c r="V27" s="355">
        <v>0.03</v>
      </c>
    </row>
    <row r="28" spans="1:27" s="22" customFormat="1" ht="17.25" x14ac:dyDescent="0.3">
      <c r="A28" t="s">
        <v>452</v>
      </c>
      <c r="B28"/>
      <c r="C28" t="s">
        <v>172</v>
      </c>
      <c r="D28" s="478" t="s">
        <v>42</v>
      </c>
      <c r="E28" s="479" t="s">
        <v>55</v>
      </c>
      <c r="F28" s="480"/>
      <c r="H28" s="480"/>
      <c r="I28" s="480"/>
      <c r="K28" s="482"/>
      <c r="L28" s="479"/>
      <c r="M28" s="482">
        <f t="shared" ref="M28:R28" si="17">SUM(M29:M31)</f>
        <v>9022494000</v>
      </c>
      <c r="N28" s="482">
        <f t="shared" si="17"/>
        <v>9022494000</v>
      </c>
      <c r="O28" s="482">
        <f t="shared" si="17"/>
        <v>9022494000</v>
      </c>
      <c r="P28" s="482">
        <f t="shared" si="17"/>
        <v>9022494000</v>
      </c>
      <c r="Q28" s="482">
        <f t="shared" si="17"/>
        <v>9022494000</v>
      </c>
      <c r="R28" s="482">
        <f t="shared" si="17"/>
        <v>9022494000</v>
      </c>
      <c r="S28" s="482">
        <f t="shared" ref="S28:V28" si="18">SUM(S29:S31)</f>
        <v>9022494000</v>
      </c>
      <c r="T28" s="482">
        <f t="shared" si="18"/>
        <v>9022494000</v>
      </c>
      <c r="U28" s="482">
        <f t="shared" si="18"/>
        <v>9022494000</v>
      </c>
      <c r="V28" s="482">
        <f t="shared" si="18"/>
        <v>9022494000</v>
      </c>
      <c r="W28" s="479"/>
      <c r="X28" s="15"/>
      <c r="Y28"/>
      <c r="Z28"/>
      <c r="AA28"/>
    </row>
    <row r="29" spans="1:27" x14ac:dyDescent="0.25">
      <c r="C29" t="s">
        <v>172</v>
      </c>
      <c r="D29" s="458" t="s">
        <v>333</v>
      </c>
      <c r="E29" s="459" t="s">
        <v>286</v>
      </c>
      <c r="F29" s="460" t="str">
        <f>$E$5&amp;"/năm"</f>
        <v>VND/năm</v>
      </c>
      <c r="H29" s="460"/>
      <c r="I29" s="460"/>
      <c r="K29" s="461"/>
      <c r="L29" s="462"/>
      <c r="M29" s="461">
        <f>M$27*'W1'!I12</f>
        <v>7391670000.000001</v>
      </c>
      <c r="N29" s="461">
        <f>N$27*'W1'!N12</f>
        <v>7391670000.000001</v>
      </c>
      <c r="O29" s="461">
        <f>O$27*'W1'!S12</f>
        <v>7391670000.000001</v>
      </c>
      <c r="P29" s="461">
        <f>P$27*'W1'!X12</f>
        <v>7391670000.000001</v>
      </c>
      <c r="Q29" s="461">
        <f>Q$27*'W1'!AC12</f>
        <v>7391670000.000001</v>
      </c>
      <c r="R29" s="461">
        <f>$R$27*'W1'!AH12</f>
        <v>7391670000.000001</v>
      </c>
      <c r="S29" s="461">
        <f>$S$27*'W1'!AM12</f>
        <v>7391670000.000001</v>
      </c>
      <c r="T29" s="461">
        <f>$S$27*'W1'!AR12</f>
        <v>7391670000.000001</v>
      </c>
      <c r="U29" s="461">
        <f>$S$27*'W1'!AW12</f>
        <v>7391670000.000001</v>
      </c>
      <c r="V29" s="461">
        <f>$S$27*'W1'!BB12</f>
        <v>7391670000.000001</v>
      </c>
      <c r="W29" s="459" t="s">
        <v>550</v>
      </c>
    </row>
    <row r="30" spans="1:27" x14ac:dyDescent="0.25">
      <c r="C30" t="s">
        <v>172</v>
      </c>
      <c r="D30" s="453" t="s">
        <v>334</v>
      </c>
      <c r="E30" s="454" t="s">
        <v>287</v>
      </c>
      <c r="F30" s="455" t="str">
        <f t="shared" ref="F30:F31" si="19">$E$5&amp;"/năm"</f>
        <v>VND/năm</v>
      </c>
      <c r="H30" s="455"/>
      <c r="I30" s="455"/>
      <c r="K30" s="457"/>
      <c r="L30" s="463"/>
      <c r="M30" s="457">
        <f>M$27*'W1'!I20</f>
        <v>1143324000</v>
      </c>
      <c r="N30" s="457">
        <f>N$27*'W1'!N20</f>
        <v>1143324000</v>
      </c>
      <c r="O30" s="457">
        <f>O$27*'W1'!S20</f>
        <v>1143324000</v>
      </c>
      <c r="P30" s="457">
        <f>P$27*'W1'!X20</f>
        <v>1143324000</v>
      </c>
      <c r="Q30" s="457">
        <f>Q$27*'W1'!AC20</f>
        <v>1143324000</v>
      </c>
      <c r="R30" s="457">
        <f>$R$27*'W1'!AH20</f>
        <v>1143324000</v>
      </c>
      <c r="S30" s="457">
        <f>$S$27*'W1'!AM20</f>
        <v>1143324000</v>
      </c>
      <c r="T30" s="457">
        <f>$S$27*'W1'!AR20</f>
        <v>1143324000</v>
      </c>
      <c r="U30" s="457">
        <f>$S$27*'W1'!AW20</f>
        <v>1143324000</v>
      </c>
      <c r="V30" s="457">
        <f>$S$27*'W1'!BB20</f>
        <v>1143324000</v>
      </c>
      <c r="W30" s="454" t="s">
        <v>550</v>
      </c>
    </row>
    <row r="31" spans="1:27" x14ac:dyDescent="0.25">
      <c r="C31" t="s">
        <v>172</v>
      </c>
      <c r="D31" s="453" t="s">
        <v>335</v>
      </c>
      <c r="E31" s="454" t="s">
        <v>288</v>
      </c>
      <c r="F31" s="455" t="str">
        <f t="shared" si="19"/>
        <v>VND/năm</v>
      </c>
      <c r="H31" s="455"/>
      <c r="I31" s="455"/>
      <c r="K31" s="457"/>
      <c r="L31" s="463"/>
      <c r="M31" s="457">
        <f>M$27*'W1'!I39</f>
        <v>487500000</v>
      </c>
      <c r="N31" s="457">
        <f>N$27*'W1'!N39</f>
        <v>487500000</v>
      </c>
      <c r="O31" s="457">
        <f>O$27*'W1'!S39</f>
        <v>487500000</v>
      </c>
      <c r="P31" s="457">
        <f>P$27*'W1'!X39</f>
        <v>487500000</v>
      </c>
      <c r="Q31" s="457">
        <f>Q$27*'W1'!AC39</f>
        <v>487500000</v>
      </c>
      <c r="R31" s="457">
        <f>$R$27*'W1'!AH39</f>
        <v>487500000</v>
      </c>
      <c r="S31" s="457">
        <f>$S$27*'W1'!AM39</f>
        <v>487500000</v>
      </c>
      <c r="T31" s="457">
        <f>$S$27*'W1'!AR39</f>
        <v>487500000</v>
      </c>
      <c r="U31" s="457">
        <f>$S$27*'W1'!AW39</f>
        <v>487500000</v>
      </c>
      <c r="V31" s="457">
        <f>$S$27*'W1'!BB39</f>
        <v>487500000</v>
      </c>
      <c r="W31" s="454" t="s">
        <v>550</v>
      </c>
    </row>
    <row r="32" spans="1:27" x14ac:dyDescent="0.25">
      <c r="F32" s="41"/>
      <c r="H32" s="41"/>
      <c r="I32" s="41"/>
      <c r="K32" s="15"/>
      <c r="L32" s="15"/>
      <c r="M32" s="15"/>
      <c r="N32" s="15"/>
      <c r="O32" s="15"/>
      <c r="P32" s="15"/>
      <c r="Q32" s="15"/>
      <c r="R32" s="15"/>
      <c r="S32" s="15"/>
      <c r="T32" s="15"/>
      <c r="U32" s="15"/>
      <c r="V32" s="15"/>
    </row>
    <row r="33" spans="1:25" ht="17.25" x14ac:dyDescent="0.3">
      <c r="A33" t="s">
        <v>451</v>
      </c>
      <c r="C33" t="s">
        <v>172</v>
      </c>
      <c r="D33" s="478" t="s">
        <v>47</v>
      </c>
      <c r="E33" s="479" t="s">
        <v>640</v>
      </c>
      <c r="F33" s="483"/>
      <c r="H33" s="483"/>
      <c r="I33" s="483"/>
      <c r="K33" s="483"/>
      <c r="L33" s="483"/>
      <c r="M33" s="482">
        <f>K34*L34*12</f>
        <v>2400000000</v>
      </c>
      <c r="N33" s="482">
        <f>$M33*(1+N$8)</f>
        <v>2400000000</v>
      </c>
      <c r="O33" s="482">
        <f t="shared" ref="O33:V33" si="20">$M33*(1+O$8)</f>
        <v>2400000000</v>
      </c>
      <c r="P33" s="482">
        <f t="shared" si="20"/>
        <v>2400000000</v>
      </c>
      <c r="Q33" s="482">
        <f t="shared" si="20"/>
        <v>2400000000</v>
      </c>
      <c r="R33" s="482">
        <f t="shared" si="20"/>
        <v>2400000000</v>
      </c>
      <c r="S33" s="482">
        <f t="shared" si="20"/>
        <v>2400000000</v>
      </c>
      <c r="T33" s="482">
        <f t="shared" si="20"/>
        <v>2400000000</v>
      </c>
      <c r="U33" s="482">
        <f t="shared" si="20"/>
        <v>2400000000</v>
      </c>
      <c r="V33" s="482">
        <f t="shared" si="20"/>
        <v>2400000000</v>
      </c>
      <c r="W33" s="483"/>
    </row>
    <row r="34" spans="1:25" ht="17.25" x14ac:dyDescent="0.3">
      <c r="C34" t="s">
        <v>172</v>
      </c>
      <c r="D34" s="447"/>
      <c r="E34" s="448"/>
      <c r="F34" s="460" t="s">
        <v>768</v>
      </c>
      <c r="H34" s="460"/>
      <c r="I34" s="460"/>
      <c r="K34" s="464">
        <v>2000</v>
      </c>
      <c r="L34" s="465">
        <f>100000/$E$6</f>
        <v>100000</v>
      </c>
      <c r="M34" s="461"/>
      <c r="N34" s="461"/>
      <c r="O34" s="461"/>
      <c r="P34" s="461"/>
      <c r="Q34" s="461"/>
      <c r="R34" s="461"/>
      <c r="S34" s="461"/>
      <c r="T34" s="461"/>
      <c r="U34" s="461"/>
      <c r="V34" s="461"/>
      <c r="W34" s="459"/>
    </row>
    <row r="35" spans="1:25" x14ac:dyDescent="0.25">
      <c r="C35" t="s">
        <v>172</v>
      </c>
    </row>
    <row r="36" spans="1:25" x14ac:dyDescent="0.25">
      <c r="F36" s="41"/>
      <c r="H36" s="41"/>
      <c r="I36" s="41"/>
      <c r="K36" s="15"/>
      <c r="L36" s="15"/>
      <c r="M36" s="15"/>
      <c r="N36" s="15"/>
      <c r="O36" s="15"/>
      <c r="P36" s="15"/>
      <c r="Q36" s="15"/>
      <c r="R36" s="15"/>
      <c r="S36" s="15"/>
      <c r="T36" s="15"/>
      <c r="U36" s="15"/>
      <c r="V36" s="15"/>
    </row>
    <row r="37" spans="1:25" s="22" customFormat="1" ht="17.25" x14ac:dyDescent="0.3">
      <c r="A37" t="s">
        <v>453</v>
      </c>
      <c r="B37"/>
      <c r="C37" t="s">
        <v>172</v>
      </c>
      <c r="D37" s="478">
        <v>4</v>
      </c>
      <c r="E37" s="479" t="s">
        <v>197</v>
      </c>
      <c r="F37" s="480" t="str">
        <f>$E$5</f>
        <v>VND</v>
      </c>
      <c r="H37" s="480"/>
      <c r="I37" s="480"/>
      <c r="K37" s="482"/>
      <c r="L37" s="482"/>
      <c r="M37" s="482">
        <f>(L38*K38+K39*L39)*12</f>
        <v>552000000</v>
      </c>
      <c r="N37" s="482">
        <f>$M37*(1+N$8)</f>
        <v>552000000</v>
      </c>
      <c r="O37" s="482">
        <f t="shared" ref="O37:Q37" si="21">$M37*(1+O$8)</f>
        <v>552000000</v>
      </c>
      <c r="P37" s="482">
        <f t="shared" si="21"/>
        <v>552000000</v>
      </c>
      <c r="Q37" s="482">
        <f t="shared" si="21"/>
        <v>552000000</v>
      </c>
      <c r="R37" s="482">
        <f t="shared" ref="R37:V37" si="22">$M37*(1+R$8)</f>
        <v>552000000</v>
      </c>
      <c r="S37" s="482">
        <f t="shared" si="22"/>
        <v>552000000</v>
      </c>
      <c r="T37" s="482">
        <f t="shared" si="22"/>
        <v>552000000</v>
      </c>
      <c r="U37" s="482">
        <f t="shared" si="22"/>
        <v>552000000</v>
      </c>
      <c r="V37" s="482">
        <f t="shared" si="22"/>
        <v>552000000</v>
      </c>
      <c r="W37" s="479"/>
    </row>
    <row r="38" spans="1:25" x14ac:dyDescent="0.25">
      <c r="C38" t="s">
        <v>172</v>
      </c>
      <c r="D38" s="459"/>
      <c r="E38" s="459" t="s">
        <v>198</v>
      </c>
      <c r="F38" s="459" t="str">
        <f>$E$5</f>
        <v>VND</v>
      </c>
      <c r="H38" s="459"/>
      <c r="I38" s="459"/>
      <c r="K38" s="466">
        <v>2</v>
      </c>
      <c r="L38" s="465">
        <f>20000000/$E$6</f>
        <v>20000000</v>
      </c>
      <c r="M38" s="461"/>
      <c r="N38" s="461"/>
      <c r="O38" s="461"/>
      <c r="P38" s="461"/>
      <c r="Q38" s="461"/>
      <c r="R38" s="461"/>
      <c r="S38" s="461"/>
      <c r="T38" s="461"/>
      <c r="U38" s="461"/>
      <c r="V38" s="461"/>
      <c r="W38" s="459"/>
    </row>
    <row r="39" spans="1:25" x14ac:dyDescent="0.25">
      <c r="C39" t="s">
        <v>172</v>
      </c>
      <c r="D39" s="454"/>
      <c r="E39" s="454" t="s">
        <v>199</v>
      </c>
      <c r="F39" s="454" t="str">
        <f>$E$5</f>
        <v>VND</v>
      </c>
      <c r="H39" s="454"/>
      <c r="I39" s="454"/>
      <c r="K39" s="454">
        <f>K38</f>
        <v>2</v>
      </c>
      <c r="L39" s="468">
        <f>3000000/$E$6</f>
        <v>3000000</v>
      </c>
      <c r="M39" s="457"/>
      <c r="N39" s="457"/>
      <c r="O39" s="457"/>
      <c r="P39" s="457"/>
      <c r="Q39" s="457"/>
      <c r="R39" s="457"/>
      <c r="S39" s="457"/>
      <c r="T39" s="457"/>
      <c r="U39" s="457"/>
      <c r="V39" s="457"/>
      <c r="W39" s="454"/>
    </row>
    <row r="41" spans="1:25" s="251" customFormat="1" ht="17.25" x14ac:dyDescent="0.3">
      <c r="A41" s="250" t="s">
        <v>437</v>
      </c>
      <c r="B41" s="250"/>
      <c r="C41" s="250" t="s">
        <v>537</v>
      </c>
      <c r="D41" s="478" t="s">
        <v>74</v>
      </c>
      <c r="E41" s="479" t="s">
        <v>69</v>
      </c>
      <c r="F41" s="484"/>
      <c r="H41" s="484"/>
      <c r="I41" s="484"/>
      <c r="K41" s="485"/>
      <c r="L41" s="486"/>
      <c r="M41" s="487">
        <v>7.0000000000000007E-2</v>
      </c>
      <c r="N41" s="487">
        <v>7.0000000000000007E-2</v>
      </c>
      <c r="O41" s="487">
        <v>7.0000000000000007E-2</v>
      </c>
      <c r="P41" s="487">
        <v>7.0000000000000007E-2</v>
      </c>
      <c r="Q41" s="487">
        <v>7.0000000000000007E-2</v>
      </c>
      <c r="R41" s="487">
        <v>7.0000000000000007E-2</v>
      </c>
      <c r="S41" s="487">
        <v>7.0000000000000007E-2</v>
      </c>
      <c r="T41" s="487">
        <v>7.0000000000000007E-2</v>
      </c>
      <c r="U41" s="487">
        <v>7.0000000000000007E-2</v>
      </c>
      <c r="V41" s="487">
        <v>7.0000000000000007E-2</v>
      </c>
      <c r="W41" s="486"/>
    </row>
    <row r="42" spans="1:25" x14ac:dyDescent="0.25">
      <c r="C42" t="s">
        <v>537</v>
      </c>
      <c r="D42" s="458" t="s">
        <v>420</v>
      </c>
      <c r="E42" s="459" t="s">
        <v>70</v>
      </c>
      <c r="F42" s="460" t="s">
        <v>71</v>
      </c>
      <c r="H42" s="460"/>
      <c r="I42" s="460"/>
      <c r="K42" s="459"/>
      <c r="L42" s="469">
        <v>7.0000000000000007E-2</v>
      </c>
      <c r="M42" s="459"/>
      <c r="N42" s="459"/>
      <c r="O42" s="459"/>
      <c r="P42" s="459"/>
      <c r="Q42" s="459"/>
      <c r="R42" s="459"/>
      <c r="S42" s="459"/>
      <c r="T42" s="459"/>
      <c r="U42" s="459"/>
      <c r="V42" s="459"/>
      <c r="W42" s="459"/>
    </row>
    <row r="44" spans="1:25" s="22" customFormat="1" ht="17.25" x14ac:dyDescent="0.3">
      <c r="A44" t="s">
        <v>174</v>
      </c>
      <c r="B44"/>
      <c r="C44" t="s">
        <v>174</v>
      </c>
      <c r="D44" s="38" t="s">
        <v>191</v>
      </c>
      <c r="E44" s="22" t="s">
        <v>72</v>
      </c>
      <c r="F44" s="40" t="str">
        <f>$E$5&amp;"/giờ"</f>
        <v>VND/giờ</v>
      </c>
      <c r="H44" s="40"/>
      <c r="I44" s="40"/>
      <c r="K44" s="28"/>
      <c r="L44" s="28"/>
      <c r="M44" s="28">
        <f>M45*M46</f>
        <v>1491750</v>
      </c>
      <c r="N44" s="28">
        <f t="shared" ref="N44:R44" si="23">N45*N46</f>
        <v>1491750</v>
      </c>
      <c r="O44" s="28">
        <f t="shared" si="23"/>
        <v>1491750</v>
      </c>
      <c r="P44" s="28">
        <f t="shared" si="23"/>
        <v>1491750</v>
      </c>
      <c r="Q44" s="28">
        <f t="shared" si="23"/>
        <v>1491750</v>
      </c>
      <c r="R44" s="28">
        <f t="shared" si="23"/>
        <v>1491750</v>
      </c>
      <c r="S44" s="28">
        <f t="shared" ref="S44:V44" si="24">S45*S46</f>
        <v>1491750</v>
      </c>
      <c r="T44" s="28">
        <f t="shared" si="24"/>
        <v>1491750</v>
      </c>
      <c r="U44" s="28">
        <f t="shared" si="24"/>
        <v>1491750</v>
      </c>
      <c r="V44" s="28">
        <f t="shared" si="24"/>
        <v>1491750</v>
      </c>
      <c r="Y44" s="22" t="s">
        <v>551</v>
      </c>
    </row>
    <row r="45" spans="1:25" x14ac:dyDescent="0.25">
      <c r="C45" t="s">
        <v>174</v>
      </c>
      <c r="D45" s="458" t="s">
        <v>563</v>
      </c>
      <c r="E45" s="459" t="s">
        <v>73</v>
      </c>
      <c r="F45" s="460" t="s">
        <v>186</v>
      </c>
      <c r="H45" s="460"/>
      <c r="I45" s="460"/>
      <c r="K45" s="459"/>
      <c r="L45" s="459"/>
      <c r="M45" s="466">
        <v>765</v>
      </c>
      <c r="N45" s="461">
        <f>$M45</f>
        <v>765</v>
      </c>
      <c r="O45" s="461">
        <f t="shared" ref="O45:Q45" si="25">$M45</f>
        <v>765</v>
      </c>
      <c r="P45" s="461">
        <f t="shared" si="25"/>
        <v>765</v>
      </c>
      <c r="Q45" s="461">
        <f t="shared" si="25"/>
        <v>765</v>
      </c>
      <c r="R45" s="461">
        <f>$M45</f>
        <v>765</v>
      </c>
      <c r="S45" s="461">
        <f t="shared" ref="S45:V45" si="26">$M45</f>
        <v>765</v>
      </c>
      <c r="T45" s="461">
        <f t="shared" si="26"/>
        <v>765</v>
      </c>
      <c r="U45" s="461">
        <f t="shared" si="26"/>
        <v>765</v>
      </c>
      <c r="V45" s="461">
        <f t="shared" si="26"/>
        <v>765</v>
      </c>
      <c r="W45" s="459"/>
    </row>
    <row r="46" spans="1:25" x14ac:dyDescent="0.25">
      <c r="C46" t="s">
        <v>174</v>
      </c>
      <c r="D46" s="453" t="s">
        <v>564</v>
      </c>
      <c r="E46" s="454" t="s">
        <v>565</v>
      </c>
      <c r="F46" s="455" t="str">
        <f>$E$5&amp;"/Kwh"</f>
        <v>VND/Kwh</v>
      </c>
      <c r="H46" s="455"/>
      <c r="I46" s="455"/>
      <c r="K46" s="454"/>
      <c r="L46" s="454"/>
      <c r="M46" s="468">
        <f>1950/$E$6</f>
        <v>1950</v>
      </c>
      <c r="N46" s="463">
        <f>$M46*(1+N$8)</f>
        <v>1950</v>
      </c>
      <c r="O46" s="463">
        <f t="shared" ref="O46:V46" si="27">$M46*(1+O$8)</f>
        <v>1950</v>
      </c>
      <c r="P46" s="463">
        <f t="shared" si="27"/>
        <v>1950</v>
      </c>
      <c r="Q46" s="463">
        <f t="shared" si="27"/>
        <v>1950</v>
      </c>
      <c r="R46" s="463">
        <f t="shared" si="27"/>
        <v>1950</v>
      </c>
      <c r="S46" s="463">
        <f t="shared" si="27"/>
        <v>1950</v>
      </c>
      <c r="T46" s="463">
        <f t="shared" si="27"/>
        <v>1950</v>
      </c>
      <c r="U46" s="463">
        <f t="shared" si="27"/>
        <v>1950</v>
      </c>
      <c r="V46" s="463">
        <f t="shared" si="27"/>
        <v>1950</v>
      </c>
      <c r="W46" s="454"/>
    </row>
    <row r="48" spans="1:25" s="22" customFormat="1" ht="17.25" x14ac:dyDescent="0.3">
      <c r="A48" t="s">
        <v>462</v>
      </c>
      <c r="B48"/>
      <c r="C48" t="s">
        <v>306</v>
      </c>
      <c r="D48" s="651" t="s">
        <v>196</v>
      </c>
      <c r="E48" s="652" t="s">
        <v>75</v>
      </c>
      <c r="F48" s="653" t="str">
        <f>$E$5&amp;"/kg thành phẩm"</f>
        <v>VND/kg thành phẩm</v>
      </c>
      <c r="H48" s="40"/>
      <c r="I48" s="40"/>
      <c r="K48" s="654"/>
      <c r="L48" s="654"/>
      <c r="M48" s="654">
        <f>L49</f>
        <v>314.81481481481484</v>
      </c>
      <c r="N48" s="654">
        <f>$M48*(1+N$8)</f>
        <v>314.81481481481484</v>
      </c>
      <c r="O48" s="654">
        <f t="shared" ref="O48:V48" si="28">$M48*(1+O$8)</f>
        <v>314.81481481481484</v>
      </c>
      <c r="P48" s="654">
        <f t="shared" si="28"/>
        <v>314.81481481481484</v>
      </c>
      <c r="Q48" s="654">
        <f t="shared" si="28"/>
        <v>314.81481481481484</v>
      </c>
      <c r="R48" s="654">
        <f t="shared" si="28"/>
        <v>314.81481481481484</v>
      </c>
      <c r="S48" s="654">
        <f t="shared" si="28"/>
        <v>314.81481481481484</v>
      </c>
      <c r="T48" s="654">
        <f t="shared" si="28"/>
        <v>314.81481481481484</v>
      </c>
      <c r="U48" s="654">
        <f t="shared" si="28"/>
        <v>314.81481481481484</v>
      </c>
      <c r="V48" s="654">
        <f t="shared" si="28"/>
        <v>314.81481481481484</v>
      </c>
      <c r="W48" s="652"/>
      <c r="X48" s="262"/>
    </row>
    <row r="49" spans="1:27" s="1" customFormat="1" x14ac:dyDescent="0.25">
      <c r="A49"/>
      <c r="B49"/>
      <c r="C49" t="s">
        <v>306</v>
      </c>
      <c r="D49" s="459"/>
      <c r="E49" s="470" t="s">
        <v>76</v>
      </c>
      <c r="F49" s="470" t="str">
        <f>$E$5&amp;"/kg thành phẩm"</f>
        <v>VND/kg thành phẩm</v>
      </c>
      <c r="H49" s="470"/>
      <c r="I49" s="470"/>
      <c r="K49" s="470"/>
      <c r="L49" s="471">
        <f>(L50/K54)/K52/('Cover Page'!F25/1000)/K53+L51/K52/('Cover Page'!F25/1000)</f>
        <v>314.81481481481484</v>
      </c>
      <c r="M49" s="470"/>
      <c r="N49" s="470"/>
      <c r="O49" s="470"/>
      <c r="P49" s="470"/>
      <c r="Q49" s="470"/>
      <c r="R49" s="470"/>
      <c r="S49" s="470"/>
      <c r="T49" s="470"/>
      <c r="U49" s="470"/>
      <c r="V49" s="470"/>
      <c r="W49" s="470"/>
      <c r="Y49" s="17"/>
    </row>
    <row r="50" spans="1:27" x14ac:dyDescent="0.25">
      <c r="C50" t="s">
        <v>306</v>
      </c>
      <c r="D50" s="454"/>
      <c r="E50" s="454" t="s">
        <v>315</v>
      </c>
      <c r="F50" s="454" t="str">
        <f>$E$5&amp;"/thùng"</f>
        <v>VND/thùng</v>
      </c>
      <c r="H50" s="454"/>
      <c r="I50" s="454"/>
      <c r="K50" s="454"/>
      <c r="L50" s="472">
        <f>3000000/$E$6</f>
        <v>3000000</v>
      </c>
      <c r="M50" s="454"/>
      <c r="N50" s="454"/>
      <c r="O50" s="454"/>
      <c r="P50" s="454"/>
      <c r="Q50" s="454"/>
      <c r="R50" s="454"/>
      <c r="S50" s="454"/>
      <c r="T50" s="454"/>
      <c r="U50" s="454"/>
      <c r="V50" s="454"/>
      <c r="W50" s="454"/>
      <c r="Y50" s="99"/>
    </row>
    <row r="51" spans="1:27" x14ac:dyDescent="0.25">
      <c r="C51" t="s">
        <v>306</v>
      </c>
      <c r="D51" s="454"/>
      <c r="E51" s="454" t="s">
        <v>317</v>
      </c>
      <c r="F51" s="454" t="str">
        <f>$E$5&amp;"/cái"</f>
        <v>VND/cái</v>
      </c>
      <c r="H51" s="454"/>
      <c r="I51" s="454"/>
      <c r="K51" s="454"/>
      <c r="L51" s="472">
        <f>50000/$E$6</f>
        <v>50000</v>
      </c>
      <c r="M51" s="454"/>
      <c r="N51" s="454"/>
      <c r="O51" s="454"/>
      <c r="P51" s="454"/>
      <c r="Q51" s="454"/>
      <c r="R51" s="454"/>
      <c r="S51" s="454"/>
      <c r="T51" s="454"/>
      <c r="U51" s="454"/>
      <c r="V51" s="454"/>
      <c r="W51" s="454"/>
      <c r="Y51" s="99"/>
    </row>
    <row r="52" spans="1:27" x14ac:dyDescent="0.25">
      <c r="C52" t="s">
        <v>306</v>
      </c>
      <c r="D52" s="454"/>
      <c r="E52" s="454" t="s">
        <v>316</v>
      </c>
      <c r="F52" s="454" t="s">
        <v>654</v>
      </c>
      <c r="H52" s="454"/>
      <c r="I52" s="454"/>
      <c r="K52" s="472">
        <v>15000</v>
      </c>
      <c r="L52" s="473"/>
      <c r="M52" s="454"/>
      <c r="N52" s="454"/>
      <c r="O52" s="454"/>
      <c r="P52" s="454"/>
      <c r="Q52" s="454"/>
      <c r="R52" s="454"/>
      <c r="S52" s="454"/>
      <c r="T52" s="454"/>
      <c r="U52" s="454"/>
      <c r="V52" s="454"/>
      <c r="W52" s="457"/>
      <c r="Y52" s="99"/>
    </row>
    <row r="53" spans="1:27" x14ac:dyDescent="0.25">
      <c r="C53" t="s">
        <v>306</v>
      </c>
      <c r="D53" s="454"/>
      <c r="E53" s="454" t="s">
        <v>321</v>
      </c>
      <c r="F53" s="454" t="s">
        <v>653</v>
      </c>
      <c r="H53" s="454"/>
      <c r="I53" s="454"/>
      <c r="K53" s="472">
        <v>4</v>
      </c>
      <c r="L53" s="473"/>
      <c r="M53" s="454"/>
      <c r="N53" s="454"/>
      <c r="O53" s="454"/>
      <c r="P53" s="454"/>
      <c r="Q53" s="454"/>
      <c r="R53" s="454"/>
      <c r="S53" s="454"/>
      <c r="T53" s="454"/>
      <c r="U53" s="454"/>
      <c r="V53" s="454"/>
      <c r="W53" s="454"/>
      <c r="Y53" s="99"/>
    </row>
    <row r="54" spans="1:27" x14ac:dyDescent="0.25">
      <c r="C54" t="s">
        <v>306</v>
      </c>
      <c r="D54" s="454"/>
      <c r="E54" s="454" t="s">
        <v>652</v>
      </c>
      <c r="F54" s="454" t="s">
        <v>627</v>
      </c>
      <c r="H54" s="454"/>
      <c r="I54" s="454"/>
      <c r="K54" s="472">
        <v>36</v>
      </c>
      <c r="L54" s="473"/>
      <c r="M54" s="454"/>
      <c r="N54" s="454"/>
      <c r="O54" s="454"/>
      <c r="P54" s="454"/>
      <c r="Q54" s="454"/>
      <c r="R54" s="454"/>
      <c r="S54" s="454"/>
      <c r="T54" s="454"/>
      <c r="U54" s="454"/>
      <c r="V54" s="454"/>
      <c r="W54" s="454"/>
      <c r="Y54" s="99"/>
    </row>
    <row r="56" spans="1:27" s="22" customFormat="1" ht="17.25" x14ac:dyDescent="0.3">
      <c r="A56" t="s">
        <v>459</v>
      </c>
      <c r="B56"/>
      <c r="C56" t="s">
        <v>536</v>
      </c>
      <c r="D56" s="478" t="s">
        <v>455</v>
      </c>
      <c r="E56" s="479" t="s">
        <v>638</v>
      </c>
      <c r="F56" s="480" t="str">
        <f>$E$5&amp;"/kg"</f>
        <v>VND/kg</v>
      </c>
      <c r="H56" s="480"/>
      <c r="I56" s="480"/>
      <c r="K56" s="482"/>
      <c r="L56" s="482"/>
      <c r="M56" s="490">
        <f>960*26/$E$6</f>
        <v>24960</v>
      </c>
      <c r="N56" s="490">
        <f t="shared" ref="N56:V56" si="29">960*26/$E$6</f>
        <v>24960</v>
      </c>
      <c r="O56" s="490">
        <f t="shared" si="29"/>
        <v>24960</v>
      </c>
      <c r="P56" s="490">
        <f t="shared" si="29"/>
        <v>24960</v>
      </c>
      <c r="Q56" s="490">
        <f t="shared" si="29"/>
        <v>24960</v>
      </c>
      <c r="R56" s="490">
        <f t="shared" si="29"/>
        <v>24960</v>
      </c>
      <c r="S56" s="490">
        <f t="shared" si="29"/>
        <v>24960</v>
      </c>
      <c r="T56" s="490">
        <f t="shared" si="29"/>
        <v>24960</v>
      </c>
      <c r="U56" s="490">
        <f t="shared" si="29"/>
        <v>24960</v>
      </c>
      <c r="V56" s="490">
        <f t="shared" si="29"/>
        <v>24960</v>
      </c>
      <c r="W56" s="479"/>
      <c r="Y56" s="28">
        <f>P56-Q56</f>
        <v>0</v>
      </c>
      <c r="Z56" s="755">
        <f>Y56/26000</f>
        <v>0</v>
      </c>
      <c r="AA56" s="648">
        <f>Y56/P56</f>
        <v>0</v>
      </c>
    </row>
    <row r="57" spans="1:27" x14ac:dyDescent="0.25">
      <c r="M57" s="15"/>
    </row>
    <row r="58" spans="1:27" s="22" customFormat="1" ht="17.25" x14ac:dyDescent="0.3">
      <c r="A58"/>
      <c r="B58"/>
      <c r="C58" t="s">
        <v>177</v>
      </c>
      <c r="D58" s="478" t="s">
        <v>463</v>
      </c>
      <c r="E58" s="479" t="s">
        <v>639</v>
      </c>
      <c r="F58" s="480"/>
      <c r="H58" s="480"/>
      <c r="I58" s="480"/>
      <c r="K58" s="482"/>
      <c r="L58" s="482"/>
      <c r="M58" s="488"/>
      <c r="N58" s="489"/>
      <c r="O58" s="489"/>
      <c r="P58" s="489"/>
      <c r="Q58" s="489"/>
      <c r="R58" s="489"/>
      <c r="S58" s="489"/>
      <c r="T58" s="489"/>
      <c r="U58" s="489"/>
      <c r="V58" s="489"/>
      <c r="W58" s="479"/>
    </row>
    <row r="59" spans="1:27" s="1" customFormat="1" x14ac:dyDescent="0.25">
      <c r="C59" s="1" t="s">
        <v>177</v>
      </c>
      <c r="E59" s="1" t="s">
        <v>637</v>
      </c>
      <c r="M59" s="39"/>
    </row>
    <row r="60" spans="1:27" x14ac:dyDescent="0.25">
      <c r="A60" t="s">
        <v>665</v>
      </c>
      <c r="B60" t="s">
        <v>142</v>
      </c>
      <c r="C60" t="s">
        <v>177</v>
      </c>
      <c r="D60" s="459"/>
      <c r="E60" s="459" t="s">
        <v>634</v>
      </c>
      <c r="F60" s="459" t="s">
        <v>636</v>
      </c>
      <c r="H60" s="459"/>
      <c r="I60" s="459"/>
      <c r="K60" s="459"/>
      <c r="L60" s="459"/>
      <c r="M60" s="754">
        <v>2.0000000000000001E-4</v>
      </c>
      <c r="N60" s="754">
        <v>2.0000000000000001E-4</v>
      </c>
      <c r="O60" s="754">
        <v>2.0000000000000001E-4</v>
      </c>
      <c r="P60" s="754">
        <v>2.0000000000000001E-4</v>
      </c>
      <c r="Q60" s="754">
        <v>2.0000000000000001E-4</v>
      </c>
      <c r="R60" s="754">
        <v>2.0000000000000001E-4</v>
      </c>
      <c r="S60" s="754">
        <v>2.0000000000000001E-4</v>
      </c>
      <c r="T60" s="754">
        <v>2.0000000000000001E-4</v>
      </c>
      <c r="U60" s="754">
        <v>2.0000000000000001E-4</v>
      </c>
      <c r="V60" s="754">
        <v>2.0000000000000001E-4</v>
      </c>
      <c r="W60" s="459"/>
    </row>
    <row r="61" spans="1:27" x14ac:dyDescent="0.25">
      <c r="A61" t="s">
        <v>666</v>
      </c>
      <c r="B61" t="s">
        <v>142</v>
      </c>
      <c r="C61" t="s">
        <v>177</v>
      </c>
      <c r="D61" s="454"/>
      <c r="E61" s="454" t="s">
        <v>635</v>
      </c>
      <c r="F61" s="454" t="s">
        <v>636</v>
      </c>
      <c r="H61" s="454"/>
      <c r="I61" s="454"/>
      <c r="K61" s="454"/>
      <c r="L61" s="454"/>
      <c r="M61" s="546"/>
      <c r="N61" s="546"/>
      <c r="O61" s="546"/>
      <c r="P61" s="546"/>
      <c r="Q61" s="546"/>
      <c r="R61" s="546"/>
      <c r="S61" s="546"/>
      <c r="T61" s="546"/>
      <c r="U61" s="546"/>
      <c r="V61" s="546"/>
      <c r="W61" s="454"/>
    </row>
    <row r="62" spans="1:27" x14ac:dyDescent="0.25">
      <c r="M62" s="15"/>
    </row>
    <row r="63" spans="1:27" s="1" customFormat="1" x14ac:dyDescent="0.25">
      <c r="C63" s="1" t="s">
        <v>177</v>
      </c>
      <c r="E63" s="1" t="s">
        <v>39</v>
      </c>
      <c r="M63" s="39"/>
    </row>
    <row r="64" spans="1:27" x14ac:dyDescent="0.25">
      <c r="A64" t="s">
        <v>667</v>
      </c>
      <c r="C64" t="s">
        <v>177</v>
      </c>
      <c r="D64" s="454"/>
      <c r="E64" s="454" t="s">
        <v>634</v>
      </c>
      <c r="F64" s="454" t="str">
        <f>$E$5&amp;"/Kilogram"</f>
        <v>VND/Kilogram</v>
      </c>
      <c r="H64" s="454"/>
      <c r="I64" s="454"/>
      <c r="K64" s="454"/>
      <c r="L64" s="454"/>
      <c r="M64" s="457">
        <f t="shared" ref="M64:V64" si="30">949542/$E$6</f>
        <v>949542</v>
      </c>
      <c r="N64" s="457">
        <f t="shared" si="30"/>
        <v>949542</v>
      </c>
      <c r="O64" s="457">
        <f t="shared" si="30"/>
        <v>949542</v>
      </c>
      <c r="P64" s="457">
        <f t="shared" si="30"/>
        <v>949542</v>
      </c>
      <c r="Q64" s="457">
        <f t="shared" si="30"/>
        <v>949542</v>
      </c>
      <c r="R64" s="457">
        <f t="shared" si="30"/>
        <v>949542</v>
      </c>
      <c r="S64" s="457">
        <f t="shared" si="30"/>
        <v>949542</v>
      </c>
      <c r="T64" s="457">
        <f t="shared" si="30"/>
        <v>949542</v>
      </c>
      <c r="U64" s="457">
        <f t="shared" si="30"/>
        <v>949542</v>
      </c>
      <c r="V64" s="457">
        <f t="shared" si="30"/>
        <v>949542</v>
      </c>
      <c r="W64" s="454"/>
    </row>
    <row r="65" spans="1:23" x14ac:dyDescent="0.25">
      <c r="A65" t="s">
        <v>668</v>
      </c>
      <c r="C65" t="s">
        <v>177</v>
      </c>
      <c r="D65" s="454"/>
      <c r="E65" s="454" t="s">
        <v>635</v>
      </c>
      <c r="F65" s="454" t="str">
        <f>$E$5&amp;"/Kilogram"</f>
        <v>VND/Kilogram</v>
      </c>
      <c r="H65" s="454"/>
      <c r="I65" s="454"/>
      <c r="K65" s="454"/>
      <c r="L65" s="454"/>
      <c r="M65" s="463">
        <f t="shared" ref="M65:V65" si="31">30*EXR/$E$6*0</f>
        <v>0</v>
      </c>
      <c r="N65" s="457">
        <f t="shared" si="31"/>
        <v>0</v>
      </c>
      <c r="O65" s="457">
        <f t="shared" si="31"/>
        <v>0</v>
      </c>
      <c r="P65" s="457">
        <f t="shared" si="31"/>
        <v>0</v>
      </c>
      <c r="Q65" s="457">
        <f t="shared" si="31"/>
        <v>0</v>
      </c>
      <c r="R65" s="457">
        <f t="shared" si="31"/>
        <v>0</v>
      </c>
      <c r="S65" s="457">
        <f t="shared" si="31"/>
        <v>0</v>
      </c>
      <c r="T65" s="457">
        <f t="shared" si="31"/>
        <v>0</v>
      </c>
      <c r="U65" s="457">
        <f t="shared" si="31"/>
        <v>0</v>
      </c>
      <c r="V65" s="457">
        <f t="shared" si="31"/>
        <v>0</v>
      </c>
      <c r="W65" s="454"/>
    </row>
    <row r="66" spans="1:23" x14ac:dyDescent="0.25">
      <c r="M66" s="15"/>
    </row>
    <row r="67" spans="1:23" s="22" customFormat="1" ht="17.25" x14ac:dyDescent="0.3">
      <c r="A67" t="s">
        <v>140</v>
      </c>
      <c r="B67" t="s">
        <v>534</v>
      </c>
      <c r="C67" t="s">
        <v>172</v>
      </c>
      <c r="D67" s="478" t="s">
        <v>465</v>
      </c>
      <c r="E67" s="479" t="s">
        <v>685</v>
      </c>
      <c r="F67" s="480" t="s">
        <v>466</v>
      </c>
      <c r="H67" s="480"/>
      <c r="I67" s="480"/>
      <c r="K67" s="482"/>
      <c r="L67" s="482"/>
      <c r="M67" s="523">
        <v>0.04</v>
      </c>
      <c r="N67" s="523">
        <v>0.04</v>
      </c>
      <c r="O67" s="523">
        <v>0.04</v>
      </c>
      <c r="P67" s="523">
        <v>0.04</v>
      </c>
      <c r="Q67" s="523">
        <v>0.04</v>
      </c>
      <c r="R67" s="523">
        <v>0.04</v>
      </c>
      <c r="S67" s="523">
        <v>0.04</v>
      </c>
      <c r="T67" s="523">
        <v>0.04</v>
      </c>
      <c r="U67" s="523">
        <v>0.04</v>
      </c>
      <c r="V67" s="523">
        <v>0.04</v>
      </c>
      <c r="W67" s="479"/>
    </row>
    <row r="69" spans="1:23" s="22" customFormat="1" ht="17.25" x14ac:dyDescent="0.3">
      <c r="A69" t="s">
        <v>527</v>
      </c>
      <c r="B69" t="s">
        <v>156</v>
      </c>
      <c r="C69" t="s">
        <v>171</v>
      </c>
      <c r="D69" s="478" t="s">
        <v>467</v>
      </c>
      <c r="E69" s="479" t="s">
        <v>686</v>
      </c>
      <c r="F69" s="480" t="str">
        <f>$E$5&amp;"/kg thành phẩm"</f>
        <v>VND/kg thành phẩm</v>
      </c>
      <c r="H69" s="480"/>
      <c r="I69" s="480"/>
      <c r="K69" s="482"/>
      <c r="L69" s="482"/>
      <c r="M69" s="490"/>
      <c r="N69" s="482"/>
      <c r="O69" s="482"/>
      <c r="P69" s="482"/>
      <c r="Q69" s="482"/>
      <c r="R69" s="482"/>
      <c r="S69" s="482"/>
      <c r="T69" s="482"/>
      <c r="U69" s="482"/>
      <c r="V69" s="482"/>
      <c r="W69" s="969">
        <f>353.211642516825/$E$6</f>
        <v>353.21164251682501</v>
      </c>
    </row>
    <row r="71" spans="1:23" s="22" customFormat="1" ht="17.25" x14ac:dyDescent="0.3">
      <c r="A71" t="s">
        <v>522</v>
      </c>
      <c r="B71" t="s">
        <v>156</v>
      </c>
      <c r="C71" t="s">
        <v>182</v>
      </c>
      <c r="D71" s="478" t="s">
        <v>519</v>
      </c>
      <c r="E71" s="479" t="s">
        <v>678</v>
      </c>
      <c r="F71" s="480" t="str">
        <f>$E$5&amp;"/kg thành phẩm"</f>
        <v>VND/kg thành phẩm</v>
      </c>
      <c r="H71" s="480"/>
      <c r="I71" s="480"/>
      <c r="K71" s="482"/>
      <c r="L71" s="482"/>
      <c r="M71" s="490"/>
      <c r="N71" s="482"/>
      <c r="O71" s="482"/>
      <c r="P71" s="482"/>
      <c r="Q71" s="482"/>
      <c r="R71" s="482"/>
      <c r="S71" s="482"/>
      <c r="T71" s="482"/>
      <c r="U71" s="482"/>
      <c r="V71" s="482"/>
      <c r="W71" s="969">
        <f>118.305377909601/$E$6</f>
        <v>118.30537790960101</v>
      </c>
    </row>
    <row r="73" spans="1:23" s="22" customFormat="1" ht="17.25" x14ac:dyDescent="0.3">
      <c r="A73" t="s">
        <v>521</v>
      </c>
      <c r="B73"/>
      <c r="C73" t="s">
        <v>172</v>
      </c>
      <c r="D73" s="478" t="s">
        <v>617</v>
      </c>
      <c r="E73" s="479" t="s">
        <v>680</v>
      </c>
      <c r="F73" s="480"/>
      <c r="H73" s="480"/>
      <c r="I73" s="480"/>
      <c r="K73" s="482"/>
      <c r="L73" s="491">
        <v>2E-3</v>
      </c>
      <c r="M73" s="490" cm="1">
        <f t="array" ref="M73">$L$73*SUMPRODUCT('W1'!$G$60:$BC$60*('W1'!$G$7:$BC$7="giá trị đầu tư")*('W1'!$G$6:$BC$6='W2'!M$7))</f>
        <v>601499600</v>
      </c>
      <c r="N73" s="490" cm="1">
        <f t="array" ref="N73">$L$73*SUMPRODUCT('W1'!$G$60:$BC$60*('W1'!$G$7:$BC$7="giá trị đầu tư")*('W1'!$G$6:$BC$6='W2'!N$7))</f>
        <v>901499600</v>
      </c>
      <c r="O73" s="490" cm="1">
        <f t="array" ref="O73">$L$73*SUMPRODUCT('W1'!$G$60:$BC$60*('W1'!$G$7:$BC$7="giá trị đầu tư")*('W1'!$G$6:$BC$6='W2'!O$7))</f>
        <v>601499600</v>
      </c>
      <c r="P73" s="490" cm="1">
        <f t="array" ref="P73">$L$73*SUMPRODUCT('W1'!$G$60:$BC$60*('W1'!$G$7:$BC$7="giá trị đầu tư")*('W1'!$G$6:$BC$6='W2'!P$7))</f>
        <v>901499600</v>
      </c>
      <c r="Q73" s="490" cm="1">
        <f t="array" ref="Q73">$L$73*SUMPRODUCT('W1'!$G$60:$BC$60*('W1'!$G$7:$BC$7="giá trị đầu tư")*('W1'!$G$6:$BC$6='W2'!Q$7))</f>
        <v>601499600</v>
      </c>
      <c r="R73" s="490" cm="1">
        <f t="array" ref="R73">$L$73*SUMPRODUCT('W1'!$G$60:$BC$60*('W1'!$G$7:$BC$7="giá trị đầu tư")*('W1'!$G$6:$BC$6='W2'!R$7))</f>
        <v>901499600</v>
      </c>
      <c r="S73" s="490" cm="1">
        <f t="array" ref="S73">$L$73*SUMPRODUCT('W1'!$G$60:$BC$60*('W1'!$G$7:$BC$7="giá trị đầu tư")*('W1'!$G$6:$BC$6='W2'!S$7))</f>
        <v>601499600</v>
      </c>
      <c r="T73" s="490" cm="1">
        <f t="array" ref="T73">$L$73*SUMPRODUCT('W1'!$G$60:$BC$60*('W1'!$G$7:$BC$7="giá trị đầu tư")*('W1'!$G$6:$BC$6='W2'!T$7))</f>
        <v>901499600</v>
      </c>
      <c r="U73" s="490" cm="1">
        <f t="array" ref="U73">$L$73*SUMPRODUCT('W1'!$G$60:$BC$60*('W1'!$G$7:$BC$7="giá trị đầu tư")*('W1'!$G$6:$BC$6='W2'!U$7))</f>
        <v>601499600</v>
      </c>
      <c r="V73" s="490" cm="1">
        <f t="array" ref="V73">$L$73*SUMPRODUCT('W1'!$G$60:$BC$60*('W1'!$G$7:$BC$7="giá trị đầu tư")*('W1'!$G$6:$BC$6='W2'!V$7))</f>
        <v>901499600</v>
      </c>
      <c r="W73" s="479"/>
    </row>
    <row r="75" spans="1:23" ht="17.25" x14ac:dyDescent="0.3">
      <c r="A75" t="s">
        <v>622</v>
      </c>
      <c r="B75" t="s">
        <v>622</v>
      </c>
      <c r="C75" t="s">
        <v>172</v>
      </c>
      <c r="D75" s="478" t="s">
        <v>655</v>
      </c>
      <c r="E75" s="479" t="s">
        <v>679</v>
      </c>
      <c r="F75" s="480" t="str">
        <f>$E$5&amp;"/kg thành phẩm"</f>
        <v>VND/kg thành phẩm</v>
      </c>
      <c r="H75" s="480"/>
      <c r="I75" s="480"/>
      <c r="K75" s="483"/>
      <c r="L75" s="483"/>
      <c r="M75" s="490">
        <f>M77/M79</f>
        <v>888.88888888888891</v>
      </c>
      <c r="N75" s="490">
        <f t="shared" ref="N75:R75" si="32">N77/N79</f>
        <v>888.88888888888891</v>
      </c>
      <c r="O75" s="490">
        <f t="shared" si="32"/>
        <v>888.88888888888891</v>
      </c>
      <c r="P75" s="490">
        <f t="shared" si="32"/>
        <v>888.88888888888891</v>
      </c>
      <c r="Q75" s="490">
        <f t="shared" si="32"/>
        <v>888.88888888888891</v>
      </c>
      <c r="R75" s="490">
        <f t="shared" si="32"/>
        <v>888.88888888888891</v>
      </c>
      <c r="S75" s="490">
        <f t="shared" ref="S75:V75" si="33">S77/S79</f>
        <v>888.88888888888891</v>
      </c>
      <c r="T75" s="490">
        <f t="shared" si="33"/>
        <v>888.88888888888891</v>
      </c>
      <c r="U75" s="490">
        <f t="shared" si="33"/>
        <v>888.88888888888891</v>
      </c>
      <c r="V75" s="490">
        <f t="shared" si="33"/>
        <v>888.88888888888891</v>
      </c>
      <c r="W75" s="483"/>
    </row>
    <row r="76" spans="1:23" x14ac:dyDescent="0.25">
      <c r="C76" t="s">
        <v>172</v>
      </c>
    </row>
    <row r="77" spans="1:23" x14ac:dyDescent="0.25">
      <c r="C77" t="s">
        <v>172</v>
      </c>
      <c r="D77" s="459"/>
      <c r="E77" s="459" t="s">
        <v>166</v>
      </c>
      <c r="F77" s="459" t="str">
        <f>$E$5&amp;"/chuyến"</f>
        <v>VND/chuyến</v>
      </c>
      <c r="H77" s="459"/>
      <c r="I77" s="459"/>
      <c r="K77" s="459"/>
      <c r="L77" s="459"/>
      <c r="M77" s="462">
        <f>4000000/$E$6</f>
        <v>4000000</v>
      </c>
      <c r="N77" s="461">
        <f>$M77*(1+N$8)</f>
        <v>4000000</v>
      </c>
      <c r="O77" s="461">
        <f>$M77*(1+O$8)</f>
        <v>4000000</v>
      </c>
      <c r="P77" s="461">
        <f>$M77*(1+P$8)</f>
        <v>4000000</v>
      </c>
      <c r="Q77" s="461">
        <f>$M77*(1+Q$8)</f>
        <v>4000000</v>
      </c>
      <c r="R77" s="461">
        <f>$M77*(1+R$8)</f>
        <v>4000000</v>
      </c>
      <c r="S77" s="461">
        <f t="shared" ref="S77:V77" si="34">$M77*(1+S$8)</f>
        <v>4000000</v>
      </c>
      <c r="T77" s="461">
        <f t="shared" si="34"/>
        <v>4000000</v>
      </c>
      <c r="U77" s="461">
        <f t="shared" si="34"/>
        <v>4000000</v>
      </c>
      <c r="V77" s="461">
        <f t="shared" si="34"/>
        <v>4000000</v>
      </c>
      <c r="W77" s="459"/>
    </row>
    <row r="78" spans="1:23" x14ac:dyDescent="0.25">
      <c r="C78" t="s">
        <v>172</v>
      </c>
      <c r="D78" s="454"/>
      <c r="E78" s="454" t="s">
        <v>618</v>
      </c>
      <c r="F78" s="454" t="s">
        <v>619</v>
      </c>
      <c r="H78" s="454"/>
      <c r="I78" s="454"/>
      <c r="K78" s="454"/>
      <c r="L78" s="454"/>
      <c r="M78" s="457">
        <v>20</v>
      </c>
      <c r="N78" s="457">
        <v>20</v>
      </c>
      <c r="O78" s="457">
        <v>20</v>
      </c>
      <c r="P78" s="457">
        <v>20</v>
      </c>
      <c r="Q78" s="457">
        <v>20</v>
      </c>
      <c r="R78" s="457">
        <v>20</v>
      </c>
      <c r="S78" s="457">
        <v>20</v>
      </c>
      <c r="T78" s="457">
        <v>20</v>
      </c>
      <c r="U78" s="457">
        <v>20</v>
      </c>
      <c r="V78" s="457">
        <v>20</v>
      </c>
      <c r="W78" s="454"/>
    </row>
    <row r="79" spans="1:23" x14ac:dyDescent="0.25">
      <c r="C79" t="s">
        <v>172</v>
      </c>
      <c r="D79" s="454"/>
      <c r="E79" s="454" t="s">
        <v>620</v>
      </c>
      <c r="F79" s="454" t="s">
        <v>621</v>
      </c>
      <c r="H79" s="454"/>
      <c r="I79" s="454"/>
      <c r="K79" s="454"/>
      <c r="L79" s="454"/>
      <c r="M79" s="457">
        <f>M78*$K52*'Cover Page'!$F$25/10^3</f>
        <v>4500</v>
      </c>
      <c r="N79" s="457">
        <f>N78*$K52*'Cover Page'!$F$25/10^3</f>
        <v>4500</v>
      </c>
      <c r="O79" s="457">
        <f>O78*$K52*'Cover Page'!$F$25/10^3</f>
        <v>4500</v>
      </c>
      <c r="P79" s="457">
        <f>P78*$K52*'Cover Page'!$F$25/10^3</f>
        <v>4500</v>
      </c>
      <c r="Q79" s="457">
        <f>Q78*$K52*'Cover Page'!$F$25/10^3</f>
        <v>4500</v>
      </c>
      <c r="R79" s="457">
        <f>R78*$K52*'Cover Page'!$F$25/10^3</f>
        <v>4500</v>
      </c>
      <c r="S79" s="457">
        <f>S78*$K52*'Cover Page'!$F$25/10^3</f>
        <v>4500</v>
      </c>
      <c r="T79" s="457">
        <f>T78*$K52*'Cover Page'!$F$25/10^3</f>
        <v>4500</v>
      </c>
      <c r="U79" s="457">
        <f>U78*$K52*'Cover Page'!$F$25/10^3</f>
        <v>4500</v>
      </c>
      <c r="V79" s="457">
        <f>V78*$K52*'Cover Page'!$F$25/10^3</f>
        <v>4500</v>
      </c>
      <c r="W79" s="454"/>
    </row>
    <row r="80" spans="1:23" x14ac:dyDescent="0.25">
      <c r="C80" t="s">
        <v>172</v>
      </c>
      <c r="D80" s="454"/>
      <c r="E80" s="454"/>
      <c r="F80" s="454"/>
      <c r="H80" s="454"/>
      <c r="I80" s="454"/>
      <c r="K80" s="454"/>
      <c r="L80" s="474"/>
      <c r="M80" s="454"/>
      <c r="N80" s="475"/>
      <c r="O80" s="475"/>
      <c r="P80" s="475"/>
      <c r="Q80" s="475"/>
      <c r="R80" s="475"/>
      <c r="S80" s="475"/>
      <c r="T80" s="475"/>
      <c r="U80" s="475"/>
      <c r="V80" s="475"/>
      <c r="W80" s="454"/>
    </row>
    <row r="81" spans="3:23" s="250" customFormat="1" x14ac:dyDescent="0.25">
      <c r="C81" s="250" t="s">
        <v>172</v>
      </c>
      <c r="D81" s="536"/>
      <c r="E81" s="536" t="s">
        <v>166</v>
      </c>
      <c r="F81" s="536" t="str">
        <f>$E$5&amp;"/phôi"</f>
        <v>VND/phôi</v>
      </c>
      <c r="H81" s="536"/>
      <c r="I81" s="536"/>
      <c r="K81" s="536"/>
      <c r="L81" s="536"/>
      <c r="M81" s="545">
        <f>M75/(1/0.015)</f>
        <v>13.333333333333332</v>
      </c>
      <c r="N81" s="545">
        <f>N75/(1/0.015)</f>
        <v>13.333333333333332</v>
      </c>
      <c r="O81" s="545">
        <f t="shared" ref="O81:Q81" si="35">O75/(1/0.015)</f>
        <v>13.333333333333332</v>
      </c>
      <c r="P81" s="545">
        <f t="shared" si="35"/>
        <v>13.333333333333332</v>
      </c>
      <c r="Q81" s="545">
        <f t="shared" si="35"/>
        <v>13.333333333333332</v>
      </c>
      <c r="R81" s="545">
        <f>R75/(1/0.015)</f>
        <v>13.333333333333332</v>
      </c>
      <c r="S81" s="545">
        <f t="shared" ref="S81:V81" si="36">S75/(1/0.015)</f>
        <v>13.333333333333332</v>
      </c>
      <c r="T81" s="545">
        <f t="shared" si="36"/>
        <v>13.333333333333332</v>
      </c>
      <c r="U81" s="545">
        <f t="shared" si="36"/>
        <v>13.333333333333332</v>
      </c>
      <c r="V81" s="545">
        <f t="shared" si="36"/>
        <v>13.333333333333332</v>
      </c>
      <c r="W81" s="536"/>
    </row>
    <row r="82" spans="3:23" x14ac:dyDescent="0.25">
      <c r="M82" s="70"/>
      <c r="N82" s="70"/>
      <c r="O82" s="70"/>
      <c r="P82" s="70"/>
      <c r="Q82" s="70"/>
      <c r="R82" s="70"/>
      <c r="S82" s="70"/>
      <c r="T82" s="70"/>
      <c r="U82" s="70"/>
      <c r="V82" s="70"/>
    </row>
    <row r="83" spans="3:23" x14ac:dyDescent="0.25">
      <c r="M83" s="64"/>
    </row>
    <row r="84" spans="3:23" x14ac:dyDescent="0.25">
      <c r="M84" s="64"/>
    </row>
    <row r="85" spans="3:23" x14ac:dyDescent="0.25">
      <c r="M85" s="64"/>
    </row>
    <row r="88" spans="3:23" x14ac:dyDescent="0.25">
      <c r="M88" s="948"/>
    </row>
    <row r="89" spans="3:23" x14ac:dyDescent="0.25">
      <c r="E89" s="948"/>
    </row>
    <row r="112" ht="15.75" thickBot="1" x14ac:dyDescent="0.3"/>
    <row r="113" s="214" customFormat="1" x14ac:dyDescent="0.25"/>
  </sheetData>
  <mergeCells count="6">
    <mergeCell ref="Z9:Z10"/>
    <mergeCell ref="D9:D10"/>
    <mergeCell ref="W9:W10"/>
    <mergeCell ref="F9:F10"/>
    <mergeCell ref="E9:E10"/>
    <mergeCell ref="I9:I10"/>
  </mergeCells>
  <phoneticPr fontId="12" type="noConversion"/>
  <dataValidations disablePrompts="1" count="1">
    <dataValidation type="list" allowBlank="1" showInputMessage="1" showErrorMessage="1" sqref="E5" xr:uid="{D1CD41A5-CD9C-4643-B7C9-F768F66288B8}">
      <formula1>"USD,VND"</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5C339-B9D2-4F39-8A73-0DF85329D33E}">
  <dimension ref="A9:AQ1671"/>
  <sheetViews>
    <sheetView showGridLines="0" topLeftCell="A9" zoomScale="85" zoomScaleNormal="85" workbookViewId="0">
      <pane xSplit="10" ySplit="9" topLeftCell="K127" activePane="bottomRight" state="frozen"/>
      <selection activeCell="A9" sqref="A9"/>
      <selection pane="topRight" activeCell="F9" sqref="F9"/>
      <selection pane="bottomLeft" activeCell="A12" sqref="A12"/>
      <selection pane="bottomRight" activeCell="K156" activeCellId="1" sqref="K153:Z154 K156:Z157"/>
    </sheetView>
  </sheetViews>
  <sheetFormatPr defaultRowHeight="15" outlineLevelRow="1" outlineLevelCol="1" x14ac:dyDescent="0.25"/>
  <cols>
    <col min="1" max="1" width="9" customWidth="1"/>
    <col min="2" max="2" width="19.5" hidden="1" customWidth="1" outlineLevel="1"/>
    <col min="3" max="3" width="11.125" hidden="1" customWidth="1" outlineLevel="1"/>
    <col min="4" max="6" width="18.375" hidden="1" customWidth="1" outlineLevel="1"/>
    <col min="7" max="7" width="3.75" bestFit="1" customWidth="1" collapsed="1"/>
    <col min="8" max="8" width="28" customWidth="1"/>
    <col min="9" max="9" width="11" style="65" bestFit="1" customWidth="1"/>
    <col min="10" max="10" width="1.5" customWidth="1"/>
    <col min="11" max="11" width="15.75" customWidth="1"/>
    <col min="12" max="12" width="16.375" customWidth="1"/>
    <col min="13" max="13" width="13" customWidth="1" outlineLevel="1"/>
    <col min="14" max="35" width="13.75" customWidth="1" outlineLevel="1"/>
    <col min="36" max="36" width="13.75" bestFit="1" customWidth="1"/>
    <col min="38" max="38" width="11.875" bestFit="1" customWidth="1"/>
    <col min="39" max="39" width="10.625" bestFit="1" customWidth="1"/>
    <col min="40" max="40" width="15.25" bestFit="1" customWidth="1"/>
    <col min="42" max="43" width="14.25" bestFit="1" customWidth="1"/>
  </cols>
  <sheetData>
    <row r="9" spans="1:36" x14ac:dyDescent="0.25">
      <c r="A9">
        <v>0.81444097305669105</v>
      </c>
      <c r="H9" s="216" t="str">
        <f>Currency</f>
        <v>VND</v>
      </c>
      <c r="L9" s="537"/>
      <c r="M9" s="64"/>
      <c r="N9" s="64"/>
    </row>
    <row r="10" spans="1:36" x14ac:dyDescent="0.25">
      <c r="H10">
        <f>IF(H9="USD",1,1/1000000)</f>
        <v>9.9999999999999995E-7</v>
      </c>
      <c r="AC10" s="70"/>
    </row>
    <row r="11" spans="1:36" s="69" customFormat="1" outlineLevel="1" x14ac:dyDescent="0.25">
      <c r="H11" s="69" t="s">
        <v>744</v>
      </c>
      <c r="I11" s="68"/>
      <c r="L11" s="69">
        <v>-1</v>
      </c>
      <c r="M11" s="69">
        <v>-1</v>
      </c>
      <c r="N11" s="69">
        <f>M11+1</f>
        <v>0</v>
      </c>
      <c r="O11" s="69">
        <f t="shared" ref="O11:AJ11" si="0">N11+1</f>
        <v>1</v>
      </c>
      <c r="P11" s="69">
        <f t="shared" si="0"/>
        <v>2</v>
      </c>
      <c r="Q11" s="69">
        <f t="shared" si="0"/>
        <v>3</v>
      </c>
      <c r="R11" s="69">
        <f t="shared" si="0"/>
        <v>4</v>
      </c>
      <c r="S11" s="69">
        <f t="shared" si="0"/>
        <v>5</v>
      </c>
      <c r="T11" s="69">
        <f t="shared" si="0"/>
        <v>6</v>
      </c>
      <c r="U11" s="69">
        <f t="shared" si="0"/>
        <v>7</v>
      </c>
      <c r="V11" s="69">
        <f t="shared" si="0"/>
        <v>8</v>
      </c>
      <c r="W11" s="69">
        <f t="shared" si="0"/>
        <v>9</v>
      </c>
      <c r="X11" s="69">
        <f t="shared" si="0"/>
        <v>10</v>
      </c>
      <c r="Y11" s="69">
        <f t="shared" si="0"/>
        <v>11</v>
      </c>
      <c r="Z11" s="69">
        <f t="shared" si="0"/>
        <v>12</v>
      </c>
    </row>
    <row r="12" spans="1:36" s="69" customFormat="1" outlineLevel="1" x14ac:dyDescent="0.25">
      <c r="H12" s="69" t="s">
        <v>742</v>
      </c>
      <c r="I12" s="68"/>
      <c r="L12" s="69">
        <v>-1</v>
      </c>
      <c r="M12" s="69">
        <v>0</v>
      </c>
      <c r="N12" s="69">
        <f>M12+1</f>
        <v>1</v>
      </c>
      <c r="O12" s="69">
        <f>N12+1</f>
        <v>2</v>
      </c>
      <c r="P12" s="69">
        <f t="shared" ref="P12:AJ13" si="1">O12+1</f>
        <v>3</v>
      </c>
      <c r="Q12" s="69">
        <f t="shared" si="1"/>
        <v>4</v>
      </c>
      <c r="R12" s="69">
        <f t="shared" si="1"/>
        <v>5</v>
      </c>
      <c r="S12" s="69">
        <f t="shared" si="1"/>
        <v>6</v>
      </c>
      <c r="T12" s="69">
        <f t="shared" si="1"/>
        <v>7</v>
      </c>
      <c r="U12" s="69">
        <f t="shared" si="1"/>
        <v>8</v>
      </c>
      <c r="V12" s="69">
        <f t="shared" si="1"/>
        <v>9</v>
      </c>
      <c r="W12" s="69">
        <f t="shared" si="1"/>
        <v>10</v>
      </c>
      <c r="X12" s="69">
        <f t="shared" si="1"/>
        <v>11</v>
      </c>
      <c r="Y12" s="69">
        <f t="shared" si="1"/>
        <v>12</v>
      </c>
      <c r="Z12" s="69">
        <f t="shared" si="1"/>
        <v>13</v>
      </c>
    </row>
    <row r="13" spans="1:36" s="69" customFormat="1" outlineLevel="1" x14ac:dyDescent="0.25">
      <c r="H13" s="69" t="s">
        <v>615</v>
      </c>
      <c r="I13" s="68"/>
      <c r="L13" s="69">
        <v>-1</v>
      </c>
      <c r="M13" s="69">
        <v>-1</v>
      </c>
      <c r="N13" s="69">
        <f>M13+1</f>
        <v>0</v>
      </c>
      <c r="O13" s="69">
        <f t="shared" ref="O13" si="2">N13+1</f>
        <v>1</v>
      </c>
      <c r="P13" s="69">
        <f t="shared" si="1"/>
        <v>2</v>
      </c>
      <c r="Q13" s="69">
        <f t="shared" si="1"/>
        <v>3</v>
      </c>
      <c r="R13" s="69">
        <f t="shared" si="1"/>
        <v>4</v>
      </c>
      <c r="S13" s="69">
        <f t="shared" si="1"/>
        <v>5</v>
      </c>
      <c r="T13" s="69">
        <f t="shared" si="1"/>
        <v>6</v>
      </c>
      <c r="U13" s="69">
        <f t="shared" si="1"/>
        <v>7</v>
      </c>
      <c r="V13" s="69">
        <f t="shared" si="1"/>
        <v>8</v>
      </c>
      <c r="W13" s="69">
        <f t="shared" si="1"/>
        <v>9</v>
      </c>
      <c r="X13" s="69">
        <f t="shared" si="1"/>
        <v>10</v>
      </c>
      <c r="Y13" s="69">
        <f t="shared" si="1"/>
        <v>11</v>
      </c>
      <c r="Z13" s="69">
        <f t="shared" si="1"/>
        <v>12</v>
      </c>
    </row>
    <row r="14" spans="1:36" s="69" customFormat="1" outlineLevel="1" x14ac:dyDescent="0.25">
      <c r="H14" s="69" t="s">
        <v>502</v>
      </c>
      <c r="I14" s="68"/>
      <c r="K14" s="69">
        <v>0</v>
      </c>
      <c r="L14" s="69">
        <f>K14+1</f>
        <v>1</v>
      </c>
      <c r="M14" s="69">
        <f t="shared" ref="M14:AJ14" si="3">L14+1</f>
        <v>2</v>
      </c>
      <c r="N14" s="69">
        <f t="shared" si="3"/>
        <v>3</v>
      </c>
      <c r="O14" s="69">
        <f t="shared" si="3"/>
        <v>4</v>
      </c>
      <c r="P14" s="69">
        <f t="shared" si="3"/>
        <v>5</v>
      </c>
      <c r="Q14" s="69">
        <f t="shared" si="3"/>
        <v>6</v>
      </c>
      <c r="R14" s="69">
        <f t="shared" si="3"/>
        <v>7</v>
      </c>
      <c r="S14" s="69">
        <f t="shared" si="3"/>
        <v>8</v>
      </c>
      <c r="T14" s="69">
        <f t="shared" si="3"/>
        <v>9</v>
      </c>
      <c r="U14" s="69">
        <f t="shared" si="3"/>
        <v>10</v>
      </c>
      <c r="V14" s="69">
        <f t="shared" si="3"/>
        <v>11</v>
      </c>
      <c r="W14" s="69">
        <f t="shared" si="3"/>
        <v>12</v>
      </c>
      <c r="X14" s="69">
        <f t="shared" si="3"/>
        <v>13</v>
      </c>
      <c r="Y14" s="69">
        <f t="shared" si="3"/>
        <v>14</v>
      </c>
      <c r="Z14" s="69">
        <f t="shared" si="3"/>
        <v>15</v>
      </c>
    </row>
    <row r="15" spans="1:36" x14ac:dyDescent="0.25">
      <c r="N15" s="70"/>
    </row>
    <row r="16" spans="1:36" s="215" customFormat="1" ht="22.15" customHeight="1" x14ac:dyDescent="0.25">
      <c r="B16" s="284" t="s">
        <v>485</v>
      </c>
      <c r="C16" s="284" t="s">
        <v>486</v>
      </c>
      <c r="D16" s="284" t="s">
        <v>514</v>
      </c>
      <c r="E16" s="284" t="s">
        <v>535</v>
      </c>
      <c r="F16" s="284" t="s">
        <v>569</v>
      </c>
      <c r="G16" s="285" t="s">
        <v>2</v>
      </c>
      <c r="H16" s="285" t="s">
        <v>428</v>
      </c>
      <c r="I16" s="285" t="s">
        <v>62</v>
      </c>
      <c r="K16" s="285">
        <v>2026</v>
      </c>
      <c r="L16" s="285">
        <f>K16+1</f>
        <v>2027</v>
      </c>
      <c r="M16" s="285">
        <f t="shared" ref="M16:AJ16" si="4">L16+1</f>
        <v>2028</v>
      </c>
      <c r="N16" s="285">
        <f t="shared" si="4"/>
        <v>2029</v>
      </c>
      <c r="O16" s="285">
        <f t="shared" si="4"/>
        <v>2030</v>
      </c>
      <c r="P16" s="285">
        <f t="shared" si="4"/>
        <v>2031</v>
      </c>
      <c r="Q16" s="285">
        <f t="shared" si="4"/>
        <v>2032</v>
      </c>
      <c r="R16" s="285">
        <f t="shared" si="4"/>
        <v>2033</v>
      </c>
      <c r="S16" s="285">
        <f t="shared" si="4"/>
        <v>2034</v>
      </c>
      <c r="T16" s="285">
        <f t="shared" si="4"/>
        <v>2035</v>
      </c>
      <c r="U16" s="285">
        <f t="shared" si="4"/>
        <v>2036</v>
      </c>
      <c r="V16" s="285">
        <f t="shared" si="4"/>
        <v>2037</v>
      </c>
      <c r="W16" s="285">
        <f t="shared" si="4"/>
        <v>2038</v>
      </c>
      <c r="X16" s="285">
        <f t="shared" si="4"/>
        <v>2039</v>
      </c>
      <c r="Y16" s="285">
        <f t="shared" si="4"/>
        <v>2040</v>
      </c>
      <c r="Z16" s="285">
        <f t="shared" si="4"/>
        <v>2041</v>
      </c>
      <c r="AA16" s="285"/>
      <c r="AB16" s="285"/>
      <c r="AC16" s="285"/>
      <c r="AD16" s="285"/>
      <c r="AE16" s="285"/>
      <c r="AF16" s="285"/>
      <c r="AG16" s="285"/>
      <c r="AH16" s="285"/>
      <c r="AI16" s="285"/>
      <c r="AJ16" s="285"/>
    </row>
    <row r="17" spans="1:36" ht="3.75" customHeight="1" x14ac:dyDescent="0.25">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row>
    <row r="18" spans="1:36" s="631" customFormat="1" ht="19.5" x14ac:dyDescent="0.3">
      <c r="A18" s="631" t="s">
        <v>422</v>
      </c>
      <c r="H18" s="632" t="s">
        <v>422</v>
      </c>
      <c r="K18" s="633"/>
      <c r="L18" s="633"/>
      <c r="M18" s="633"/>
      <c r="N18" s="633"/>
      <c r="O18" s="633"/>
      <c r="P18" s="633"/>
      <c r="Q18" s="633"/>
      <c r="R18" s="633"/>
      <c r="S18" s="633"/>
      <c r="T18" s="633"/>
      <c r="U18" s="633"/>
      <c r="V18" s="633"/>
      <c r="W18" s="633"/>
      <c r="X18" s="633"/>
      <c r="Y18" s="633"/>
      <c r="Z18" s="633"/>
      <c r="AA18" s="633"/>
      <c r="AB18" s="633"/>
      <c r="AC18" s="633"/>
      <c r="AD18" s="633"/>
      <c r="AE18" s="633"/>
      <c r="AF18" s="633"/>
      <c r="AG18" s="633"/>
      <c r="AH18" s="633"/>
      <c r="AI18" s="633"/>
      <c r="AJ18" s="633"/>
    </row>
    <row r="19" spans="1:36" x14ac:dyDescent="0.25">
      <c r="A19" t="s">
        <v>422</v>
      </c>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row>
    <row r="20" spans="1:36" s="24" customFormat="1" ht="17.25" x14ac:dyDescent="0.3">
      <c r="A20" s="24" t="s">
        <v>422</v>
      </c>
      <c r="H20" s="24" t="s">
        <v>669</v>
      </c>
      <c r="K20" s="634"/>
      <c r="L20" s="634"/>
      <c r="M20" s="634"/>
      <c r="N20" s="634"/>
      <c r="O20" s="634"/>
      <c r="P20" s="634"/>
      <c r="Q20" s="634"/>
      <c r="R20" s="634"/>
      <c r="S20" s="634"/>
      <c r="T20" s="634"/>
      <c r="U20" s="634"/>
      <c r="V20" s="634"/>
      <c r="W20" s="634"/>
      <c r="X20" s="634"/>
      <c r="Y20" s="634"/>
      <c r="Z20" s="634"/>
      <c r="AA20" s="634"/>
      <c r="AB20" s="634"/>
      <c r="AC20" s="634"/>
      <c r="AD20" s="634"/>
      <c r="AE20" s="634"/>
      <c r="AF20" s="634"/>
      <c r="AG20" s="634"/>
      <c r="AH20" s="634"/>
      <c r="AI20" s="634"/>
      <c r="AJ20" s="634"/>
    </row>
    <row r="21" spans="1:36" x14ac:dyDescent="0.25">
      <c r="A21" t="s">
        <v>422</v>
      </c>
      <c r="H21" s="459" t="s">
        <v>427</v>
      </c>
      <c r="I21" s="493" t="s">
        <v>436</v>
      </c>
      <c r="K21" s="548"/>
      <c r="L21" s="548">
        <f t="shared" ref="L21:AA22" si="5">Capacity*24*365</f>
        <v>7568640</v>
      </c>
      <c r="M21" s="548">
        <f t="shared" si="5"/>
        <v>7568640</v>
      </c>
      <c r="N21" s="548">
        <f t="shared" si="5"/>
        <v>7568640</v>
      </c>
      <c r="O21" s="548">
        <f t="shared" si="5"/>
        <v>7568640</v>
      </c>
      <c r="P21" s="548">
        <f t="shared" si="5"/>
        <v>7568640</v>
      </c>
      <c r="Q21" s="548">
        <f t="shared" si="5"/>
        <v>7568640</v>
      </c>
      <c r="R21" s="548">
        <f t="shared" si="5"/>
        <v>7568640</v>
      </c>
      <c r="S21" s="548">
        <f t="shared" si="5"/>
        <v>7568640</v>
      </c>
      <c r="T21" s="548">
        <f t="shared" si="5"/>
        <v>7568640</v>
      </c>
      <c r="U21" s="548">
        <f t="shared" si="5"/>
        <v>7568640</v>
      </c>
      <c r="V21" s="548">
        <f t="shared" si="5"/>
        <v>7568640</v>
      </c>
      <c r="W21" s="548">
        <f t="shared" si="5"/>
        <v>7568640</v>
      </c>
      <c r="X21" s="548">
        <f t="shared" si="5"/>
        <v>7568640</v>
      </c>
      <c r="Y21" s="548">
        <f t="shared" si="5"/>
        <v>7568640</v>
      </c>
      <c r="Z21" s="548">
        <f t="shared" si="5"/>
        <v>7568640</v>
      </c>
      <c r="AA21" s="548"/>
      <c r="AB21" s="548"/>
      <c r="AC21" s="548"/>
      <c r="AD21" s="548"/>
      <c r="AE21" s="548"/>
      <c r="AF21" s="548"/>
      <c r="AG21" s="548"/>
      <c r="AH21" s="548"/>
      <c r="AI21" s="548"/>
      <c r="AJ21" s="548"/>
    </row>
    <row r="22" spans="1:36" x14ac:dyDescent="0.25">
      <c r="A22" t="s">
        <v>422</v>
      </c>
      <c r="H22" s="454" t="s">
        <v>427</v>
      </c>
      <c r="I22" s="496" t="s">
        <v>320</v>
      </c>
      <c r="K22" s="549"/>
      <c r="L22" s="549">
        <f t="shared" si="5"/>
        <v>7568640</v>
      </c>
      <c r="M22" s="549">
        <f t="shared" si="5"/>
        <v>7568640</v>
      </c>
      <c r="N22" s="549">
        <f t="shared" si="5"/>
        <v>7568640</v>
      </c>
      <c r="O22" s="549">
        <f t="shared" si="5"/>
        <v>7568640</v>
      </c>
      <c r="P22" s="549">
        <f t="shared" si="5"/>
        <v>7568640</v>
      </c>
      <c r="Q22" s="549">
        <f t="shared" si="5"/>
        <v>7568640</v>
      </c>
      <c r="R22" s="549">
        <f t="shared" si="5"/>
        <v>7568640</v>
      </c>
      <c r="S22" s="549">
        <f t="shared" si="5"/>
        <v>7568640</v>
      </c>
      <c r="T22" s="549">
        <f t="shared" si="5"/>
        <v>7568640</v>
      </c>
      <c r="U22" s="549">
        <f t="shared" si="5"/>
        <v>7568640</v>
      </c>
      <c r="V22" s="549">
        <f t="shared" si="5"/>
        <v>7568640</v>
      </c>
      <c r="W22" s="549">
        <f t="shared" si="5"/>
        <v>7568640</v>
      </c>
      <c r="X22" s="549">
        <f t="shared" si="5"/>
        <v>7568640</v>
      </c>
      <c r="Y22" s="549">
        <f t="shared" si="5"/>
        <v>7568640</v>
      </c>
      <c r="Z22" s="549">
        <f t="shared" si="5"/>
        <v>7568640</v>
      </c>
      <c r="AA22" s="549"/>
      <c r="AB22" s="549"/>
      <c r="AC22" s="549"/>
      <c r="AD22" s="549"/>
      <c r="AE22" s="549"/>
      <c r="AF22" s="549"/>
      <c r="AG22" s="549"/>
      <c r="AH22" s="549"/>
      <c r="AI22" s="549"/>
      <c r="AJ22" s="549"/>
    </row>
    <row r="23" spans="1:36" s="250" customFormat="1" x14ac:dyDescent="0.25">
      <c r="A23" s="250" t="s">
        <v>422</v>
      </c>
      <c r="H23" s="536" t="s">
        <v>460</v>
      </c>
      <c r="I23" s="547"/>
      <c r="K23" s="550"/>
      <c r="L23" s="551">
        <v>0.88</v>
      </c>
      <c r="M23" s="551">
        <v>0.88</v>
      </c>
      <c r="N23" s="551">
        <v>0.88</v>
      </c>
      <c r="O23" s="551">
        <v>0.88</v>
      </c>
      <c r="P23" s="551">
        <v>0.88</v>
      </c>
      <c r="Q23" s="551">
        <v>0.88</v>
      </c>
      <c r="R23" s="551">
        <v>0.88</v>
      </c>
      <c r="S23" s="551">
        <v>0.88</v>
      </c>
      <c r="T23" s="551">
        <v>0.88</v>
      </c>
      <c r="U23" s="551">
        <v>0.88</v>
      </c>
      <c r="V23" s="551">
        <v>0.88</v>
      </c>
      <c r="W23" s="551">
        <v>0.88</v>
      </c>
      <c r="X23" s="551">
        <v>0.88</v>
      </c>
      <c r="Y23" s="551">
        <v>0.88</v>
      </c>
      <c r="Z23" s="551">
        <v>0.88</v>
      </c>
      <c r="AA23" s="551"/>
      <c r="AB23" s="551"/>
      <c r="AC23" s="551"/>
      <c r="AD23" s="551"/>
      <c r="AE23" s="551"/>
      <c r="AF23" s="551"/>
      <c r="AG23" s="551"/>
      <c r="AH23" s="551"/>
      <c r="AI23" s="551"/>
      <c r="AJ23" s="551"/>
    </row>
    <row r="24" spans="1:36" s="250" customFormat="1" x14ac:dyDescent="0.25">
      <c r="A24" s="250" t="s">
        <v>422</v>
      </c>
      <c r="H24" s="536" t="s">
        <v>461</v>
      </c>
      <c r="I24" s="547"/>
      <c r="K24" s="550"/>
      <c r="L24" s="551">
        <v>0.5</v>
      </c>
      <c r="M24" s="551">
        <v>0.7</v>
      </c>
      <c r="N24" s="551">
        <v>1</v>
      </c>
      <c r="O24" s="551">
        <v>1</v>
      </c>
      <c r="P24" s="551">
        <v>1</v>
      </c>
      <c r="Q24" s="551">
        <v>1</v>
      </c>
      <c r="R24" s="551">
        <v>1</v>
      </c>
      <c r="S24" s="551">
        <v>1</v>
      </c>
      <c r="T24" s="551">
        <v>1</v>
      </c>
      <c r="U24" s="551">
        <v>1</v>
      </c>
      <c r="V24" s="551">
        <v>1</v>
      </c>
      <c r="W24" s="551">
        <v>1</v>
      </c>
      <c r="X24" s="551">
        <v>1</v>
      </c>
      <c r="Y24" s="551">
        <v>1</v>
      </c>
      <c r="Z24" s="551">
        <v>1</v>
      </c>
      <c r="AA24" s="551"/>
      <c r="AB24" s="551"/>
      <c r="AC24" s="551"/>
      <c r="AD24" s="551"/>
      <c r="AE24" s="551"/>
      <c r="AF24" s="551"/>
      <c r="AG24" s="551"/>
      <c r="AH24" s="551"/>
      <c r="AI24" s="551"/>
      <c r="AJ24" s="551"/>
    </row>
    <row r="25" spans="1:36" x14ac:dyDescent="0.25">
      <c r="A25" t="s">
        <v>422</v>
      </c>
      <c r="B25" t="s">
        <v>437</v>
      </c>
      <c r="H25" s="454" t="s">
        <v>70</v>
      </c>
      <c r="I25" s="496"/>
      <c r="K25" s="549"/>
      <c r="L25" s="552" cm="1">
        <f t="array" ref="L25">SUMPRODUCT('W2'!$M$12:$V$112*('W2'!$M$7:$V$7=$A25)*('W2'!$A$12:$A$112=$B25))</f>
        <v>7.0000000000000007E-2</v>
      </c>
      <c r="M25" s="552">
        <f>L25</f>
        <v>7.0000000000000007E-2</v>
      </c>
      <c r="N25" s="552">
        <f t="shared" ref="N25:Z25" si="6">M25</f>
        <v>7.0000000000000007E-2</v>
      </c>
      <c r="O25" s="552">
        <f t="shared" si="6"/>
        <v>7.0000000000000007E-2</v>
      </c>
      <c r="P25" s="552">
        <f t="shared" si="6"/>
        <v>7.0000000000000007E-2</v>
      </c>
      <c r="Q25" s="552">
        <f t="shared" si="6"/>
        <v>7.0000000000000007E-2</v>
      </c>
      <c r="R25" s="552">
        <f t="shared" si="6"/>
        <v>7.0000000000000007E-2</v>
      </c>
      <c r="S25" s="552">
        <f t="shared" si="6"/>
        <v>7.0000000000000007E-2</v>
      </c>
      <c r="T25" s="552">
        <f t="shared" si="6"/>
        <v>7.0000000000000007E-2</v>
      </c>
      <c r="U25" s="552">
        <f t="shared" si="6"/>
        <v>7.0000000000000007E-2</v>
      </c>
      <c r="V25" s="552">
        <f t="shared" si="6"/>
        <v>7.0000000000000007E-2</v>
      </c>
      <c r="W25" s="552">
        <f t="shared" si="6"/>
        <v>7.0000000000000007E-2</v>
      </c>
      <c r="X25" s="552">
        <f t="shared" si="6"/>
        <v>7.0000000000000007E-2</v>
      </c>
      <c r="Y25" s="552">
        <f t="shared" si="6"/>
        <v>7.0000000000000007E-2</v>
      </c>
      <c r="Z25" s="552">
        <f t="shared" si="6"/>
        <v>7.0000000000000007E-2</v>
      </c>
      <c r="AA25" s="552"/>
      <c r="AB25" s="552"/>
      <c r="AC25" s="552"/>
      <c r="AD25" s="552"/>
      <c r="AE25" s="552"/>
      <c r="AF25" s="552"/>
      <c r="AG25" s="552"/>
      <c r="AH25" s="552"/>
      <c r="AI25" s="552"/>
      <c r="AJ25" s="552"/>
    </row>
    <row r="26" spans="1:36" x14ac:dyDescent="0.25">
      <c r="A26" t="s">
        <v>422</v>
      </c>
      <c r="H26" s="454" t="s">
        <v>59</v>
      </c>
      <c r="I26" s="496"/>
      <c r="K26" s="549"/>
      <c r="L26" s="549">
        <f>365*L23*L24</f>
        <v>160.6</v>
      </c>
      <c r="M26" s="549">
        <f t="shared" ref="M26:Z26" si="7">365*M23*M24</f>
        <v>224.83999999999997</v>
      </c>
      <c r="N26" s="549">
        <f t="shared" si="7"/>
        <v>321.2</v>
      </c>
      <c r="O26" s="549">
        <f t="shared" si="7"/>
        <v>321.2</v>
      </c>
      <c r="P26" s="549">
        <f t="shared" si="7"/>
        <v>321.2</v>
      </c>
      <c r="Q26" s="549">
        <f t="shared" si="7"/>
        <v>321.2</v>
      </c>
      <c r="R26" s="549">
        <f t="shared" si="7"/>
        <v>321.2</v>
      </c>
      <c r="S26" s="549">
        <f t="shared" si="7"/>
        <v>321.2</v>
      </c>
      <c r="T26" s="549">
        <f t="shared" si="7"/>
        <v>321.2</v>
      </c>
      <c r="U26" s="549">
        <f t="shared" si="7"/>
        <v>321.2</v>
      </c>
      <c r="V26" s="549">
        <f t="shared" si="7"/>
        <v>321.2</v>
      </c>
      <c r="W26" s="549">
        <f t="shared" si="7"/>
        <v>321.2</v>
      </c>
      <c r="X26" s="549">
        <f t="shared" si="7"/>
        <v>321.2</v>
      </c>
      <c r="Y26" s="549">
        <f t="shared" si="7"/>
        <v>321.2</v>
      </c>
      <c r="Z26" s="549">
        <f t="shared" si="7"/>
        <v>321.2</v>
      </c>
      <c r="AA26" s="549"/>
      <c r="AB26" s="549"/>
      <c r="AC26" s="549"/>
      <c r="AD26" s="549"/>
      <c r="AE26" s="549"/>
      <c r="AF26" s="549"/>
      <c r="AG26" s="549"/>
      <c r="AH26" s="549"/>
      <c r="AI26" s="549"/>
      <c r="AJ26" s="549"/>
    </row>
    <row r="27" spans="1:36" x14ac:dyDescent="0.25">
      <c r="A27" t="s">
        <v>422</v>
      </c>
      <c r="C27" t="s">
        <v>574</v>
      </c>
      <c r="H27" s="454" t="s">
        <v>202</v>
      </c>
      <c r="I27" s="496" t="s">
        <v>436</v>
      </c>
      <c r="K27" s="549"/>
      <c r="L27" s="549">
        <f>L21*L23*(1-L25)*L24</f>
        <v>3097087.4879999999</v>
      </c>
      <c r="M27" s="549">
        <f t="shared" ref="M27:Z27" si="8">M21*M23*(1-M25)*M24</f>
        <v>4335922.4831999997</v>
      </c>
      <c r="N27" s="549">
        <f t="shared" si="8"/>
        <v>6194174.9759999998</v>
      </c>
      <c r="O27" s="549">
        <f t="shared" si="8"/>
        <v>6194174.9759999998</v>
      </c>
      <c r="P27" s="549">
        <f t="shared" si="8"/>
        <v>6194174.9759999998</v>
      </c>
      <c r="Q27" s="549">
        <f t="shared" si="8"/>
        <v>6194174.9759999998</v>
      </c>
      <c r="R27" s="549">
        <f t="shared" si="8"/>
        <v>6194174.9759999998</v>
      </c>
      <c r="S27" s="549">
        <f t="shared" si="8"/>
        <v>6194174.9759999998</v>
      </c>
      <c r="T27" s="549">
        <f t="shared" si="8"/>
        <v>6194174.9759999998</v>
      </c>
      <c r="U27" s="549">
        <f t="shared" si="8"/>
        <v>6194174.9759999998</v>
      </c>
      <c r="V27" s="549">
        <f t="shared" si="8"/>
        <v>6194174.9759999998</v>
      </c>
      <c r="W27" s="549">
        <f t="shared" si="8"/>
        <v>6194174.9759999998</v>
      </c>
      <c r="X27" s="549">
        <f t="shared" si="8"/>
        <v>6194174.9759999998</v>
      </c>
      <c r="Y27" s="549">
        <f t="shared" si="8"/>
        <v>6194174.9759999998</v>
      </c>
      <c r="Z27" s="549">
        <f t="shared" si="8"/>
        <v>6194174.9759999998</v>
      </c>
      <c r="AA27" s="549"/>
      <c r="AB27" s="549"/>
      <c r="AC27" s="549"/>
      <c r="AD27" s="549"/>
      <c r="AE27" s="549"/>
      <c r="AF27" s="549"/>
      <c r="AG27" s="549"/>
      <c r="AH27" s="549"/>
      <c r="AI27" s="549"/>
      <c r="AJ27" s="549"/>
    </row>
    <row r="28" spans="1:36" x14ac:dyDescent="0.25">
      <c r="A28" t="s">
        <v>422</v>
      </c>
      <c r="C28" t="s">
        <v>575</v>
      </c>
      <c r="H28" s="454" t="s">
        <v>202</v>
      </c>
      <c r="I28" s="496" t="s">
        <v>320</v>
      </c>
      <c r="K28" s="549"/>
      <c r="L28" s="549">
        <f t="shared" ref="L28:Z28" si="9">L27*PHOI_KG</f>
        <v>206472499.20000002</v>
      </c>
      <c r="M28" s="549">
        <f t="shared" si="9"/>
        <v>289061498.88</v>
      </c>
      <c r="N28" s="549">
        <f t="shared" si="9"/>
        <v>412944998.40000004</v>
      </c>
      <c r="O28" s="549">
        <f t="shared" si="9"/>
        <v>412944998.40000004</v>
      </c>
      <c r="P28" s="549">
        <f t="shared" si="9"/>
        <v>412944998.40000004</v>
      </c>
      <c r="Q28" s="549">
        <f t="shared" si="9"/>
        <v>412944998.40000004</v>
      </c>
      <c r="R28" s="549">
        <f t="shared" si="9"/>
        <v>412944998.40000004</v>
      </c>
      <c r="S28" s="549">
        <f t="shared" si="9"/>
        <v>412944998.40000004</v>
      </c>
      <c r="T28" s="549">
        <f t="shared" si="9"/>
        <v>412944998.40000004</v>
      </c>
      <c r="U28" s="549">
        <f t="shared" si="9"/>
        <v>412944998.40000004</v>
      </c>
      <c r="V28" s="549">
        <f t="shared" si="9"/>
        <v>412944998.40000004</v>
      </c>
      <c r="W28" s="549">
        <f t="shared" si="9"/>
        <v>412944998.40000004</v>
      </c>
      <c r="X28" s="549">
        <f t="shared" si="9"/>
        <v>412944998.40000004</v>
      </c>
      <c r="Y28" s="549">
        <f t="shared" si="9"/>
        <v>412944998.40000004</v>
      </c>
      <c r="Z28" s="549">
        <f t="shared" si="9"/>
        <v>412944998.40000004</v>
      </c>
      <c r="AA28" s="549"/>
      <c r="AB28" s="549"/>
      <c r="AC28" s="549"/>
      <c r="AD28" s="549"/>
      <c r="AE28" s="549"/>
      <c r="AF28" s="549"/>
      <c r="AG28" s="549"/>
      <c r="AH28" s="549"/>
      <c r="AI28" s="549"/>
      <c r="AJ28" s="549"/>
    </row>
    <row r="29" spans="1:36" x14ac:dyDescent="0.25">
      <c r="A29" t="s">
        <v>422</v>
      </c>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243"/>
      <c r="AI29" s="243"/>
      <c r="AJ29" s="243"/>
    </row>
    <row r="30" spans="1:36" s="24" customFormat="1" ht="17.25" x14ac:dyDescent="0.3">
      <c r="A30" s="24" t="s">
        <v>422</v>
      </c>
      <c r="H30" s="24" t="s">
        <v>670</v>
      </c>
      <c r="K30" s="635"/>
      <c r="L30" s="635"/>
      <c r="M30" s="635"/>
      <c r="N30" s="635"/>
      <c r="O30" s="635"/>
      <c r="P30" s="635"/>
      <c r="Q30" s="635"/>
      <c r="R30" s="635"/>
      <c r="S30" s="635"/>
      <c r="T30" s="635"/>
      <c r="U30" s="635"/>
      <c r="V30" s="635"/>
      <c r="W30" s="635"/>
      <c r="X30" s="635"/>
      <c r="Y30" s="635"/>
      <c r="Z30" s="635"/>
      <c r="AA30" s="635"/>
      <c r="AB30" s="635"/>
      <c r="AC30" s="635"/>
      <c r="AD30" s="635"/>
      <c r="AE30" s="635"/>
      <c r="AF30" s="635"/>
      <c r="AG30" s="635"/>
      <c r="AH30" s="635"/>
      <c r="AI30" s="635"/>
      <c r="AJ30" s="635"/>
    </row>
    <row r="31" spans="1:36" s="250" customFormat="1" x14ac:dyDescent="0.25">
      <c r="A31" s="250" t="s">
        <v>422</v>
      </c>
      <c r="B31" s="250" t="s">
        <v>665</v>
      </c>
      <c r="H31" s="625" t="s">
        <v>663</v>
      </c>
      <c r="I31" s="626" t="s">
        <v>71</v>
      </c>
      <c r="K31" s="627"/>
      <c r="L31" s="630" cm="1">
        <f t="array" ref="L31">SUMPRODUCT('W2'!$M$12:$V$112*('W2'!$M$7:$V$7=$A31)*('W2'!$A$12:$A$112=$B31))</f>
        <v>2.0000000000000001E-4</v>
      </c>
      <c r="M31" s="629">
        <f>L31</f>
        <v>2.0000000000000001E-4</v>
      </c>
      <c r="N31" s="629">
        <f t="shared" ref="N31:AJ32" si="10">M31</f>
        <v>2.0000000000000001E-4</v>
      </c>
      <c r="O31" s="629">
        <f t="shared" si="10"/>
        <v>2.0000000000000001E-4</v>
      </c>
      <c r="P31" s="629">
        <f t="shared" si="10"/>
        <v>2.0000000000000001E-4</v>
      </c>
      <c r="Q31" s="629">
        <f t="shared" si="10"/>
        <v>2.0000000000000001E-4</v>
      </c>
      <c r="R31" s="629">
        <f t="shared" si="10"/>
        <v>2.0000000000000001E-4</v>
      </c>
      <c r="S31" s="629">
        <f t="shared" si="10"/>
        <v>2.0000000000000001E-4</v>
      </c>
      <c r="T31" s="629">
        <f t="shared" si="10"/>
        <v>2.0000000000000001E-4</v>
      </c>
      <c r="U31" s="629">
        <f t="shared" si="10"/>
        <v>2.0000000000000001E-4</v>
      </c>
      <c r="V31" s="629">
        <f t="shared" si="10"/>
        <v>2.0000000000000001E-4</v>
      </c>
      <c r="W31" s="629">
        <f t="shared" si="10"/>
        <v>2.0000000000000001E-4</v>
      </c>
      <c r="X31" s="629">
        <f t="shared" si="10"/>
        <v>2.0000000000000001E-4</v>
      </c>
      <c r="Y31" s="629">
        <f t="shared" si="10"/>
        <v>2.0000000000000001E-4</v>
      </c>
      <c r="Z31" s="629">
        <f t="shared" si="10"/>
        <v>2.0000000000000001E-4</v>
      </c>
      <c r="AA31" s="629"/>
      <c r="AB31" s="629"/>
      <c r="AC31" s="629"/>
      <c r="AD31" s="629"/>
      <c r="AE31" s="629"/>
      <c r="AF31" s="629"/>
      <c r="AG31" s="629"/>
      <c r="AH31" s="629"/>
      <c r="AI31" s="629"/>
      <c r="AJ31" s="629"/>
    </row>
    <row r="32" spans="1:36" s="250" customFormat="1" x14ac:dyDescent="0.25">
      <c r="A32" s="250" t="s">
        <v>422</v>
      </c>
      <c r="B32" s="250" t="s">
        <v>666</v>
      </c>
      <c r="H32" s="536" t="s">
        <v>664</v>
      </c>
      <c r="I32" s="547" t="s">
        <v>71</v>
      </c>
      <c r="K32" s="628"/>
      <c r="L32" s="630" cm="1">
        <f t="array" ref="L32">SUMPRODUCT('W2'!$M$12:$V$112*('W2'!$M$7:$V$7=$A32)*('W2'!$A$12:$A$112=$B32))</f>
        <v>0</v>
      </c>
      <c r="M32" s="629">
        <f>L32</f>
        <v>0</v>
      </c>
      <c r="N32" s="629">
        <f t="shared" si="10"/>
        <v>0</v>
      </c>
      <c r="O32" s="629">
        <f t="shared" si="10"/>
        <v>0</v>
      </c>
      <c r="P32" s="629">
        <f t="shared" si="10"/>
        <v>0</v>
      </c>
      <c r="Q32" s="629">
        <f t="shared" si="10"/>
        <v>0</v>
      </c>
      <c r="R32" s="629">
        <f t="shared" si="10"/>
        <v>0</v>
      </c>
      <c r="S32" s="629">
        <f t="shared" si="10"/>
        <v>0</v>
      </c>
      <c r="T32" s="629">
        <f t="shared" si="10"/>
        <v>0</v>
      </c>
      <c r="U32" s="629">
        <f t="shared" si="10"/>
        <v>0</v>
      </c>
      <c r="V32" s="629">
        <f t="shared" si="10"/>
        <v>0</v>
      </c>
      <c r="W32" s="629">
        <f t="shared" si="10"/>
        <v>0</v>
      </c>
      <c r="X32" s="629">
        <f t="shared" si="10"/>
        <v>0</v>
      </c>
      <c r="Y32" s="629">
        <f t="shared" si="10"/>
        <v>0</v>
      </c>
      <c r="Z32" s="629">
        <f t="shared" si="10"/>
        <v>0</v>
      </c>
      <c r="AA32" s="629"/>
      <c r="AB32" s="629"/>
      <c r="AC32" s="629"/>
      <c r="AD32" s="629"/>
      <c r="AE32" s="629"/>
      <c r="AF32" s="629"/>
      <c r="AG32" s="629"/>
      <c r="AH32" s="629"/>
      <c r="AI32" s="629"/>
      <c r="AJ32" s="629"/>
    </row>
    <row r="33" spans="1:36" x14ac:dyDescent="0.25">
      <c r="A33" t="s">
        <v>422</v>
      </c>
      <c r="H33" s="454" t="s">
        <v>671</v>
      </c>
      <c r="I33" s="496" t="s">
        <v>436</v>
      </c>
      <c r="K33" s="549"/>
      <c r="L33" s="549">
        <f>L31*L27/(1-L25)</f>
        <v>666.04032000000007</v>
      </c>
      <c r="M33" s="549">
        <f>M31*M27/(1-M25)</f>
        <v>932.45644800000014</v>
      </c>
      <c r="N33" s="549">
        <f t="shared" ref="N33:AJ33" si="11">N31*N27/(1-N25)</f>
        <v>1332.0806400000001</v>
      </c>
      <c r="O33" s="549">
        <f t="shared" si="11"/>
        <v>1332.0806400000001</v>
      </c>
      <c r="P33" s="549">
        <f t="shared" si="11"/>
        <v>1332.0806400000001</v>
      </c>
      <c r="Q33" s="549">
        <f t="shared" si="11"/>
        <v>1332.0806400000001</v>
      </c>
      <c r="R33" s="549">
        <f t="shared" si="11"/>
        <v>1332.0806400000001</v>
      </c>
      <c r="S33" s="549">
        <f t="shared" si="11"/>
        <v>1332.0806400000001</v>
      </c>
      <c r="T33" s="549">
        <f t="shared" si="11"/>
        <v>1332.0806400000001</v>
      </c>
      <c r="U33" s="549">
        <f t="shared" si="11"/>
        <v>1332.0806400000001</v>
      </c>
      <c r="V33" s="549">
        <f t="shared" si="11"/>
        <v>1332.0806400000001</v>
      </c>
      <c r="W33" s="549">
        <f t="shared" si="11"/>
        <v>1332.0806400000001</v>
      </c>
      <c r="X33" s="549">
        <f t="shared" si="11"/>
        <v>1332.0806400000001</v>
      </c>
      <c r="Y33" s="549">
        <f t="shared" si="11"/>
        <v>1332.0806400000001</v>
      </c>
      <c r="Z33" s="549">
        <f t="shared" si="11"/>
        <v>1332.0806400000001</v>
      </c>
      <c r="AA33" s="549"/>
      <c r="AB33" s="549"/>
      <c r="AC33" s="549"/>
      <c r="AD33" s="549"/>
      <c r="AE33" s="549"/>
      <c r="AF33" s="549"/>
      <c r="AG33" s="549"/>
      <c r="AH33" s="549"/>
      <c r="AI33" s="549"/>
      <c r="AJ33" s="549"/>
    </row>
    <row r="34" spans="1:36" x14ac:dyDescent="0.25">
      <c r="A34" t="s">
        <v>422</v>
      </c>
      <c r="H34" s="454" t="s">
        <v>675</v>
      </c>
      <c r="I34" s="496" t="s">
        <v>436</v>
      </c>
      <c r="K34" s="549"/>
      <c r="L34" s="549">
        <f>L32*L27/(1-L25)</f>
        <v>0</v>
      </c>
      <c r="M34" s="549">
        <f t="shared" ref="M34:AJ34" si="12">M32*M27/(1-M25)</f>
        <v>0</v>
      </c>
      <c r="N34" s="549">
        <f t="shared" si="12"/>
        <v>0</v>
      </c>
      <c r="O34" s="549">
        <f t="shared" si="12"/>
        <v>0</v>
      </c>
      <c r="P34" s="549">
        <f t="shared" si="12"/>
        <v>0</v>
      </c>
      <c r="Q34" s="549">
        <f t="shared" si="12"/>
        <v>0</v>
      </c>
      <c r="R34" s="549">
        <f t="shared" si="12"/>
        <v>0</v>
      </c>
      <c r="S34" s="549">
        <f t="shared" si="12"/>
        <v>0</v>
      </c>
      <c r="T34" s="549">
        <f t="shared" si="12"/>
        <v>0</v>
      </c>
      <c r="U34" s="549">
        <f t="shared" si="12"/>
        <v>0</v>
      </c>
      <c r="V34" s="549">
        <f t="shared" si="12"/>
        <v>0</v>
      </c>
      <c r="W34" s="549">
        <f t="shared" si="12"/>
        <v>0</v>
      </c>
      <c r="X34" s="549">
        <f t="shared" si="12"/>
        <v>0</v>
      </c>
      <c r="Y34" s="549">
        <f t="shared" si="12"/>
        <v>0</v>
      </c>
      <c r="Z34" s="549">
        <f t="shared" si="12"/>
        <v>0</v>
      </c>
      <c r="AA34" s="549"/>
      <c r="AB34" s="549"/>
      <c r="AC34" s="549"/>
      <c r="AD34" s="549"/>
      <c r="AE34" s="549"/>
      <c r="AF34" s="549"/>
      <c r="AG34" s="549"/>
      <c r="AH34" s="549"/>
      <c r="AI34" s="549"/>
      <c r="AJ34" s="549"/>
    </row>
    <row r="35" spans="1:36" x14ac:dyDescent="0.25">
      <c r="A35" t="s">
        <v>422</v>
      </c>
      <c r="K35" s="243"/>
      <c r="L35" s="243"/>
      <c r="M35" s="243"/>
      <c r="N35" s="243"/>
      <c r="O35" s="243"/>
      <c r="P35" s="243"/>
      <c r="Q35" s="243"/>
      <c r="R35" s="243"/>
      <c r="S35" s="243"/>
      <c r="T35" s="243"/>
      <c r="U35" s="243"/>
      <c r="V35" s="243"/>
      <c r="W35" s="243"/>
      <c r="X35" s="243"/>
      <c r="Y35" s="243"/>
      <c r="Z35" s="243"/>
      <c r="AA35" s="243"/>
      <c r="AB35" s="243"/>
      <c r="AC35" s="243"/>
      <c r="AD35" s="243"/>
      <c r="AE35" s="243"/>
      <c r="AF35" s="243"/>
      <c r="AG35" s="243"/>
      <c r="AH35" s="243"/>
      <c r="AI35" s="243"/>
      <c r="AJ35" s="243"/>
    </row>
    <row r="36" spans="1:36" x14ac:dyDescent="0.25">
      <c r="A36" t="s">
        <v>422</v>
      </c>
      <c r="K36" s="243"/>
      <c r="L36" s="243"/>
      <c r="M36" s="243"/>
      <c r="N36" s="243"/>
      <c r="O36" s="243"/>
      <c r="P36" s="243"/>
      <c r="Q36" s="243"/>
      <c r="R36" s="243"/>
      <c r="S36" s="243"/>
      <c r="T36" s="243"/>
      <c r="U36" s="243"/>
      <c r="V36" s="243"/>
      <c r="W36" s="243"/>
      <c r="X36" s="243"/>
      <c r="Y36" s="243"/>
      <c r="Z36" s="243"/>
      <c r="AA36" s="243"/>
      <c r="AB36" s="243"/>
      <c r="AC36" s="243"/>
      <c r="AD36" s="243"/>
      <c r="AE36" s="243"/>
      <c r="AF36" s="243"/>
      <c r="AG36" s="243"/>
      <c r="AH36" s="243"/>
      <c r="AI36" s="243"/>
      <c r="AJ36" s="243"/>
    </row>
    <row r="37" spans="1:36" x14ac:dyDescent="0.25">
      <c r="A37" t="s">
        <v>422</v>
      </c>
      <c r="K37" s="243"/>
      <c r="L37" s="243"/>
      <c r="M37" s="243"/>
      <c r="N37" s="243"/>
      <c r="O37" s="243"/>
      <c r="P37" s="243"/>
      <c r="Q37" s="243"/>
      <c r="R37" s="243"/>
      <c r="S37" s="243"/>
      <c r="T37" s="243"/>
      <c r="U37" s="243"/>
      <c r="V37" s="243"/>
      <c r="W37" s="243"/>
      <c r="X37" s="243"/>
      <c r="Y37" s="243"/>
      <c r="Z37" s="243"/>
      <c r="AA37" s="243"/>
      <c r="AB37" s="243"/>
      <c r="AC37" s="243"/>
      <c r="AD37" s="243"/>
      <c r="AE37" s="243"/>
      <c r="AF37" s="243"/>
      <c r="AG37" s="243"/>
      <c r="AH37" s="243"/>
      <c r="AI37" s="243"/>
      <c r="AJ37" s="243"/>
    </row>
    <row r="38" spans="1:36" s="1" customFormat="1" x14ac:dyDescent="0.25">
      <c r="A38" s="1" t="s">
        <v>422</v>
      </c>
      <c r="H38" s="266" t="s">
        <v>434</v>
      </c>
      <c r="I38" s="267" t="str">
        <f t="shared" ref="I38:I46" si="13">IF($H$9="USD","USD","tr. VND")</f>
        <v>tr. VND</v>
      </c>
      <c r="K38" s="268">
        <f t="shared" ref="K38" si="14">SUM(K39:K40,K43:K46,)</f>
        <v>0</v>
      </c>
      <c r="L38" s="268">
        <f>SUM(L39:L40,L43:L46,)</f>
        <v>-43649.936933333331</v>
      </c>
      <c r="M38" s="268">
        <f t="shared" ref="M38:AJ38" si="15">SUM(M39:M40,M43:M46,)</f>
        <v>-43649.936933333331</v>
      </c>
      <c r="N38" s="268">
        <f t="shared" si="15"/>
        <v>-44549.234633333333</v>
      </c>
      <c r="O38" s="268">
        <f t="shared" si="15"/>
        <v>-45493.497218333338</v>
      </c>
      <c r="P38" s="268">
        <f t="shared" si="15"/>
        <v>-46484.97293258334</v>
      </c>
      <c r="Q38" s="268">
        <f t="shared" si="15"/>
        <v>-47526.022432545833</v>
      </c>
      <c r="R38" s="268">
        <f t="shared" si="15"/>
        <v>-48619.124407506461</v>
      </c>
      <c r="S38" s="268">
        <f t="shared" si="15"/>
        <v>-49766.881481215125</v>
      </c>
      <c r="T38" s="268">
        <f t="shared" si="15"/>
        <v>-50972.026408609207</v>
      </c>
      <c r="U38" s="268">
        <f t="shared" si="15"/>
        <v>-52237.428582373002</v>
      </c>
      <c r="V38" s="268">
        <f t="shared" si="15"/>
        <v>-53566.100864824984</v>
      </c>
      <c r="W38" s="268">
        <f t="shared" si="15"/>
        <v>-54961.20676139956</v>
      </c>
      <c r="X38" s="268">
        <f t="shared" si="15"/>
        <v>-31363.584619469544</v>
      </c>
      <c r="Y38" s="268">
        <f t="shared" si="15"/>
        <v>-32901.688870443017</v>
      </c>
      <c r="Z38" s="268">
        <f t="shared" si="15"/>
        <v>-34516.698333965178</v>
      </c>
      <c r="AA38" s="268"/>
      <c r="AB38" s="268"/>
      <c r="AC38" s="268"/>
      <c r="AD38" s="268"/>
      <c r="AE38" s="268"/>
      <c r="AF38" s="268"/>
      <c r="AG38" s="268"/>
      <c r="AH38" s="268"/>
      <c r="AI38" s="268"/>
      <c r="AJ38" s="268"/>
    </row>
    <row r="39" spans="1:36" x14ac:dyDescent="0.25">
      <c r="A39" t="s">
        <v>422</v>
      </c>
      <c r="B39" t="s">
        <v>173</v>
      </c>
      <c r="H39" s="459" t="s">
        <v>190</v>
      </c>
      <c r="I39" s="493" t="str">
        <f t="shared" si="13"/>
        <v>tr. VND</v>
      </c>
      <c r="K39" s="492"/>
      <c r="L39" s="548" cm="1">
        <f t="array" ref="L39">-SUMPRODUCT('W1'!$BI$10:$NE$60*('W1'!$BI$7:$NE$7=$A39)*('W1'!$BI$8:$NE$8=L$14)*('W1'!$A$10:$A$60=$B39))*$H$10</f>
        <v>-25062.483333333334</v>
      </c>
      <c r="M39" s="548" cm="1">
        <f t="array" ref="M39">-SUMPRODUCT('W1'!$BI$10:$NE$60*('W1'!$BI$7:$NE$7=$A39)*('W1'!$BI$8:$NE$8=M$14)*('W1'!$A$10:$A$60=$B39))*$H$10</f>
        <v>-25062.483333333334</v>
      </c>
      <c r="N39" s="548" cm="1">
        <f t="array" ref="N39">-SUMPRODUCT('W1'!$BI$10:$NE$60*('W1'!$BI$7:$NE$7=$A39)*('W1'!$BI$8:$NE$8=N$14)*('W1'!$A$10:$A$60=$B39))*$H$10</f>
        <v>-25062.483333333334</v>
      </c>
      <c r="O39" s="548" cm="1">
        <f t="array" ref="O39">-SUMPRODUCT('W1'!$BI$10:$NE$60*('W1'!$BI$7:$NE$7=$A39)*('W1'!$BI$8:$NE$8=O$14)*('W1'!$A$10:$A$60=$B39))*$H$10</f>
        <v>-25062.483333333334</v>
      </c>
      <c r="P39" s="548" cm="1">
        <f t="array" ref="P39">-SUMPRODUCT('W1'!$BI$10:$NE$60*('W1'!$BI$7:$NE$7=$A39)*('W1'!$BI$8:$NE$8=P$14)*('W1'!$A$10:$A$60=$B39))*$H$10</f>
        <v>-25062.483333333334</v>
      </c>
      <c r="Q39" s="548" cm="1">
        <f t="array" ref="Q39">-SUMPRODUCT('W1'!$BI$10:$NE$60*('W1'!$BI$7:$NE$7=$A39)*('W1'!$BI$8:$NE$8=Q$14)*('W1'!$A$10:$A$60=$B39))*$H$10</f>
        <v>-25062.483333333334</v>
      </c>
      <c r="R39" s="548" cm="1">
        <f t="array" ref="R39">-SUMPRODUCT('W1'!$BI$10:$NE$60*('W1'!$BI$7:$NE$7=$A39)*('W1'!$BI$8:$NE$8=R$14)*('W1'!$A$10:$A$60=$B39))*$H$10</f>
        <v>-25062.483333333334</v>
      </c>
      <c r="S39" s="548" cm="1">
        <f t="array" ref="S39">-SUMPRODUCT('W1'!$BI$10:$NE$60*('W1'!$BI$7:$NE$7=$A39)*('W1'!$BI$8:$NE$8=S$14)*('W1'!$A$10:$A$60=$B39))*$H$10</f>
        <v>-25062.483333333334</v>
      </c>
      <c r="T39" s="548" cm="1">
        <f t="array" ref="T39">-SUMPRODUCT('W1'!$BI$10:$NE$60*('W1'!$BI$7:$NE$7=$A39)*('W1'!$BI$8:$NE$8=T$14)*('W1'!$A$10:$A$60=$B39))*$H$10</f>
        <v>-25062.483333333334</v>
      </c>
      <c r="U39" s="548" cm="1">
        <f t="array" ref="U39">-SUMPRODUCT('W1'!$BI$10:$NE$60*('W1'!$BI$7:$NE$7=$A39)*('W1'!$BI$8:$NE$8=U$14)*('W1'!$A$10:$A$60=$B39))*$H$10</f>
        <v>-25062.483333333334</v>
      </c>
      <c r="V39" s="548" cm="1">
        <f t="array" ref="V39">-SUMPRODUCT('W1'!$BI$10:$NE$60*('W1'!$BI$7:$NE$7=$A39)*('W1'!$BI$8:$NE$8=V$14)*('W1'!$A$10:$A$60=$B39))*$H$10</f>
        <v>-25062.483333333334</v>
      </c>
      <c r="W39" s="548" cm="1">
        <f t="array" ref="W39">-SUMPRODUCT('W1'!$BI$10:$NE$60*('W1'!$BI$7:$NE$7=$A39)*('W1'!$BI$8:$NE$8=W$14)*('W1'!$A$10:$A$60=$B39))*$H$10</f>
        <v>-25062.483333333334</v>
      </c>
      <c r="X39" s="548" cm="1">
        <f t="array" ref="X39">-SUMPRODUCT('W1'!$BI$10:$NE$60*('W1'!$BI$7:$NE$7=$A39)*('W1'!$BI$8:$NE$8=X$14)*('W1'!$A$10:$A$60=$B39))*$H$10</f>
        <v>0</v>
      </c>
      <c r="Y39" s="548" cm="1">
        <f t="array" ref="Y39">-SUMPRODUCT('W1'!$BI$10:$NE$60*('W1'!$BI$7:$NE$7=$A39)*('W1'!$BI$8:$NE$8=Y$14)*('W1'!$A$10:$A$60=$B39))*$H$10</f>
        <v>0</v>
      </c>
      <c r="Z39" s="548" cm="1">
        <f t="array" ref="Z39">-SUMPRODUCT('W1'!$BI$10:$NE$60*('W1'!$BI$7:$NE$7=$A39)*('W1'!$BI$8:$NE$8=Z$14)*('W1'!$A$10:$A$60=$B39))*$H$10</f>
        <v>0</v>
      </c>
      <c r="AA39" s="548"/>
      <c r="AB39" s="548"/>
      <c r="AC39" s="548"/>
      <c r="AD39" s="548"/>
      <c r="AE39" s="548"/>
      <c r="AF39" s="548"/>
      <c r="AG39" s="548"/>
      <c r="AH39" s="548"/>
      <c r="AI39" s="548"/>
      <c r="AJ39" s="548"/>
    </row>
    <row r="40" spans="1:36" x14ac:dyDescent="0.25">
      <c r="A40" t="s">
        <v>422</v>
      </c>
      <c r="H40" s="454" t="s">
        <v>429</v>
      </c>
      <c r="I40" s="496" t="str">
        <f t="shared" si="13"/>
        <v>tr. VND</v>
      </c>
      <c r="K40" s="549">
        <f>SUM(K41:K42)</f>
        <v>0</v>
      </c>
      <c r="L40" s="549">
        <f t="shared" ref="L40:Z40" si="16">SUM(L41:L42)</f>
        <v>-6011.46</v>
      </c>
      <c r="M40" s="549">
        <f t="shared" si="16"/>
        <v>-6011.46</v>
      </c>
      <c r="N40" s="549">
        <f t="shared" si="16"/>
        <v>-6312.0329999999994</v>
      </c>
      <c r="O40" s="549">
        <f t="shared" si="16"/>
        <v>-6627.63465</v>
      </c>
      <c r="P40" s="549">
        <f t="shared" si="16"/>
        <v>-6959.0163825000009</v>
      </c>
      <c r="Q40" s="549">
        <f t="shared" si="16"/>
        <v>-7306.9672016249997</v>
      </c>
      <c r="R40" s="549">
        <f t="shared" si="16"/>
        <v>-7672.3155617062503</v>
      </c>
      <c r="S40" s="549">
        <f t="shared" si="16"/>
        <v>-8055.931339791563</v>
      </c>
      <c r="T40" s="549">
        <f t="shared" si="16"/>
        <v>-8458.7279067811414</v>
      </c>
      <c r="U40" s="549">
        <f t="shared" si="16"/>
        <v>-8881.664302120198</v>
      </c>
      <c r="V40" s="549">
        <f t="shared" si="16"/>
        <v>-9325.7475172262075</v>
      </c>
      <c r="W40" s="549">
        <f t="shared" si="16"/>
        <v>-9792.0348930875189</v>
      </c>
      <c r="X40" s="549">
        <f t="shared" si="16"/>
        <v>-10281.636637741896</v>
      </c>
      <c r="Y40" s="549">
        <f t="shared" si="16"/>
        <v>-10795.718469628988</v>
      </c>
      <c r="Z40" s="549">
        <f t="shared" si="16"/>
        <v>-11335.504393110441</v>
      </c>
      <c r="AA40" s="549"/>
      <c r="AB40" s="549"/>
      <c r="AC40" s="549"/>
      <c r="AD40" s="549"/>
      <c r="AE40" s="549"/>
      <c r="AF40" s="549"/>
      <c r="AG40" s="549"/>
      <c r="AH40" s="549"/>
      <c r="AI40" s="549"/>
      <c r="AJ40" s="549"/>
    </row>
    <row r="41" spans="1:36" s="299" customFormat="1" x14ac:dyDescent="0.25">
      <c r="A41" s="299" t="s">
        <v>422</v>
      </c>
      <c r="B41" s="299" t="s">
        <v>449</v>
      </c>
      <c r="H41" s="553" t="s">
        <v>430</v>
      </c>
      <c r="I41" s="554" t="str">
        <f t="shared" si="13"/>
        <v>tr. VND</v>
      </c>
      <c r="K41" s="555"/>
      <c r="L41" s="555" cm="1">
        <f t="array" ref="L41">-SUMPRODUCT('W2'!$M$12:$V$112*('W2'!$M$7:$V$7=$A41)*('W2'!$A$12:$A$112=$B41))*$H$10*POWER(1+Inflation,L$11+1)</f>
        <v>-982.8</v>
      </c>
      <c r="M41" s="555" cm="1">
        <f t="array" ref="M41">-SUMPRODUCT('W2'!$M$12:$V$112*('W2'!$M$7:$V$7=$A41)*('W2'!$A$12:$A$112=$B41))*$H$10*POWER(1+Inflation,M$11+1)</f>
        <v>-982.8</v>
      </c>
      <c r="N41" s="555" cm="1">
        <f t="array" ref="N41">-SUMPRODUCT('W2'!$M$12:$V$112*('W2'!$M$7:$V$7=$A41)*('W2'!$A$12:$A$112=$B41))*$H$10*POWER(1+Inflation,N$11+1)</f>
        <v>-1031.94</v>
      </c>
      <c r="O41" s="555" cm="1">
        <f t="array" ref="O41">-SUMPRODUCT('W2'!$M$12:$V$112*('W2'!$M$7:$V$7=$A41)*('W2'!$A$12:$A$112=$B41))*$H$10*POWER(1+Inflation,O$11+1)</f>
        <v>-1083.537</v>
      </c>
      <c r="P41" s="555" cm="1">
        <f t="array" ref="P41">-SUMPRODUCT('W2'!$M$12:$V$112*('W2'!$M$7:$V$7=$A41)*('W2'!$A$12:$A$112=$B41))*$H$10*POWER(1+Inflation,P$11+1)</f>
        <v>-1137.7138500000001</v>
      </c>
      <c r="Q41" s="555" cm="1">
        <f t="array" ref="Q41">-SUMPRODUCT('W2'!$M$12:$V$112*('W2'!$M$7:$V$7=$A41)*('W2'!$A$12:$A$112=$B41))*$H$10*POWER(1+Inflation,Q$11+1)</f>
        <v>-1194.5995424999999</v>
      </c>
      <c r="R41" s="555" cm="1">
        <f t="array" ref="R41">-SUMPRODUCT('W2'!$M$12:$V$112*('W2'!$M$7:$V$7=$A41)*('W2'!$A$12:$A$112=$B41))*$H$10*POWER(1+Inflation,R$11+1)</f>
        <v>-1254.3295196250001</v>
      </c>
      <c r="S41" s="555" cm="1">
        <f t="array" ref="S41">-SUMPRODUCT('W2'!$M$12:$V$112*('W2'!$M$7:$V$7=$A41)*('W2'!$A$12:$A$112=$B41))*$H$10*POWER(1+Inflation,S$11+1)</f>
        <v>-1317.04599560625</v>
      </c>
      <c r="T41" s="555" cm="1">
        <f t="array" ref="T41">-SUMPRODUCT('W2'!$M$12:$V$112*('W2'!$M$7:$V$7=$A41)*('W2'!$A$12:$A$112=$B41))*$H$10*POWER(1+Inflation,T$11+1)</f>
        <v>-1382.8982953865627</v>
      </c>
      <c r="U41" s="555" cm="1">
        <f t="array" ref="U41">-SUMPRODUCT('W2'!$M$12:$V$112*('W2'!$M$7:$V$7=$A41)*('W2'!$A$12:$A$112=$B41))*$H$10*POWER(1+Inflation,U$11+1)</f>
        <v>-1452.0432101558906</v>
      </c>
      <c r="V41" s="555" cm="1">
        <f t="array" ref="V41">-SUMPRODUCT('W2'!$M$12:$V$112*('W2'!$M$7:$V$7=$A41)*('W2'!$A$12:$A$112=$B41))*$H$10*POWER(1+Inflation,V$11+1)</f>
        <v>-1524.6453706636853</v>
      </c>
      <c r="W41" s="555" cm="1">
        <f t="array" ref="W41">-SUMPRODUCT('W2'!$M$12:$V$112*('W2'!$M$7:$V$7=$A41)*('W2'!$A$12:$A$112=$B41))*$H$10*POWER(1+Inflation,W$11+1)</f>
        <v>-1600.8776391968695</v>
      </c>
      <c r="X41" s="555" cm="1">
        <f t="array" ref="X41">-SUMPRODUCT('W2'!$M$12:$V$112*('W2'!$M$7:$V$7=$A41)*('W2'!$A$12:$A$112=$B41))*$H$10*POWER(1+Inflation,X$11+1)</f>
        <v>-1680.9215211567132</v>
      </c>
      <c r="Y41" s="555" cm="1">
        <f t="array" ref="Y41">-SUMPRODUCT('W2'!$M$12:$V$112*('W2'!$M$7:$V$7=$A41)*('W2'!$A$12:$A$112=$B41))*$H$10*POWER(1+Inflation,Y$11+1)</f>
        <v>-1764.9675972145485</v>
      </c>
      <c r="Z41" s="555" cm="1">
        <f t="array" ref="Z41">-SUMPRODUCT('W2'!$M$12:$V$112*('W2'!$M$7:$V$7=$A41)*('W2'!$A$12:$A$112=$B41))*$H$10*POWER(1+Inflation,Z$11+1)</f>
        <v>-1853.2159770752762</v>
      </c>
      <c r="AA41" s="555"/>
      <c r="AB41" s="555"/>
      <c r="AC41" s="555"/>
      <c r="AD41" s="555"/>
      <c r="AE41" s="555"/>
      <c r="AF41" s="555"/>
      <c r="AG41" s="555"/>
      <c r="AH41" s="555"/>
      <c r="AI41" s="555"/>
      <c r="AJ41" s="555"/>
    </row>
    <row r="42" spans="1:36" s="299" customFormat="1" x14ac:dyDescent="0.25">
      <c r="A42" s="299" t="s">
        <v>422</v>
      </c>
      <c r="B42" s="299" t="s">
        <v>450</v>
      </c>
      <c r="H42" s="553" t="s">
        <v>431</v>
      </c>
      <c r="I42" s="554" t="str">
        <f t="shared" si="13"/>
        <v>tr. VND</v>
      </c>
      <c r="K42" s="555"/>
      <c r="L42" s="555" cm="1">
        <f t="array" ref="L42">-SUMPRODUCT('W2'!$M$12:$V$112*('W2'!$M$7:$V$7=$A42)*('W2'!$A$12:$A$112=$B42))*$H$10*POWER(1+Inflation,L$11+1)</f>
        <v>-5028.66</v>
      </c>
      <c r="M42" s="555" cm="1">
        <f t="array" ref="M42">-SUMPRODUCT('W2'!$M$12:$V$112*('W2'!$M$7:$V$7=$A42)*('W2'!$A$12:$A$112=$B42))*$H$10*POWER(1+Inflation,M$11+1)</f>
        <v>-5028.66</v>
      </c>
      <c r="N42" s="555" cm="1">
        <f t="array" ref="N42">-SUMPRODUCT('W2'!$M$12:$V$112*('W2'!$M$7:$V$7=$A42)*('W2'!$A$12:$A$112=$B42))*$H$10*POWER(1+Inflation,N$11+1)</f>
        <v>-5280.0929999999998</v>
      </c>
      <c r="O42" s="555" cm="1">
        <f t="array" ref="O42">-SUMPRODUCT('W2'!$M$12:$V$112*('W2'!$M$7:$V$7=$A42)*('W2'!$A$12:$A$112=$B42))*$H$10*POWER(1+Inflation,O$11+1)</f>
        <v>-5544.0976499999997</v>
      </c>
      <c r="P42" s="555" cm="1">
        <f t="array" ref="P42">-SUMPRODUCT('W2'!$M$12:$V$112*('W2'!$M$7:$V$7=$A42)*('W2'!$A$12:$A$112=$B42))*$H$10*POWER(1+Inflation,P$11+1)</f>
        <v>-5821.3025325000008</v>
      </c>
      <c r="Q42" s="555" cm="1">
        <f t="array" ref="Q42">-SUMPRODUCT('W2'!$M$12:$V$112*('W2'!$M$7:$V$7=$A42)*('W2'!$A$12:$A$112=$B42))*$H$10*POWER(1+Inflation,Q$11+1)</f>
        <v>-6112.3676591249996</v>
      </c>
      <c r="R42" s="555" cm="1">
        <f t="array" ref="R42">-SUMPRODUCT('W2'!$M$12:$V$112*('W2'!$M$7:$V$7=$A42)*('W2'!$A$12:$A$112=$B42))*$H$10*POWER(1+Inflation,R$11+1)</f>
        <v>-6417.9860420812502</v>
      </c>
      <c r="S42" s="555" cm="1">
        <f t="array" ref="S42">-SUMPRODUCT('W2'!$M$12:$V$112*('W2'!$M$7:$V$7=$A42)*('W2'!$A$12:$A$112=$B42))*$H$10*POWER(1+Inflation,S$11+1)</f>
        <v>-6738.8853441853125</v>
      </c>
      <c r="T42" s="555" cm="1">
        <f t="array" ref="T42">-SUMPRODUCT('W2'!$M$12:$V$112*('W2'!$M$7:$V$7=$A42)*('W2'!$A$12:$A$112=$B42))*$H$10*POWER(1+Inflation,T$11+1)</f>
        <v>-7075.8296113945789</v>
      </c>
      <c r="U42" s="555" cm="1">
        <f t="array" ref="U42">-SUMPRODUCT('W2'!$M$12:$V$112*('W2'!$M$7:$V$7=$A42)*('W2'!$A$12:$A$112=$B42))*$H$10*POWER(1+Inflation,U$11+1)</f>
        <v>-7429.6210919643072</v>
      </c>
      <c r="V42" s="555" cm="1">
        <f t="array" ref="V42">-SUMPRODUCT('W2'!$M$12:$V$112*('W2'!$M$7:$V$7=$A42)*('W2'!$A$12:$A$112=$B42))*$H$10*POWER(1+Inflation,V$11+1)</f>
        <v>-7801.1021465625226</v>
      </c>
      <c r="W42" s="555" cm="1">
        <f t="array" ref="W42">-SUMPRODUCT('W2'!$M$12:$V$112*('W2'!$M$7:$V$7=$A42)*('W2'!$A$12:$A$112=$B42))*$H$10*POWER(1+Inflation,W$11+1)</f>
        <v>-8191.1572538906494</v>
      </c>
      <c r="X42" s="555" cm="1">
        <f t="array" ref="X42">-SUMPRODUCT('W2'!$M$12:$V$112*('W2'!$M$7:$V$7=$A42)*('W2'!$A$12:$A$112=$B42))*$H$10*POWER(1+Inflation,X$11+1)</f>
        <v>-8600.7151165851828</v>
      </c>
      <c r="Y42" s="555" cm="1">
        <f t="array" ref="Y42">-SUMPRODUCT('W2'!$M$12:$V$112*('W2'!$M$7:$V$7=$A42)*('W2'!$A$12:$A$112=$B42))*$H$10*POWER(1+Inflation,Y$11+1)</f>
        <v>-9030.7508724144391</v>
      </c>
      <c r="Z42" s="555" cm="1">
        <f t="array" ref="Z42">-SUMPRODUCT('W2'!$M$12:$V$112*('W2'!$M$7:$V$7=$A42)*('W2'!$A$12:$A$112=$B42))*$H$10*POWER(1+Inflation,Z$11+1)</f>
        <v>-9482.2884160351641</v>
      </c>
      <c r="AA42" s="555"/>
      <c r="AB42" s="555"/>
      <c r="AC42" s="555"/>
      <c r="AD42" s="555"/>
      <c r="AE42" s="555"/>
      <c r="AF42" s="555"/>
      <c r="AG42" s="555"/>
      <c r="AH42" s="555"/>
      <c r="AI42" s="555"/>
      <c r="AJ42" s="555"/>
    </row>
    <row r="43" spans="1:36" x14ac:dyDescent="0.25">
      <c r="A43" t="s">
        <v>422</v>
      </c>
      <c r="B43" t="s">
        <v>451</v>
      </c>
      <c r="H43" s="454" t="s">
        <v>656</v>
      </c>
      <c r="I43" s="496" t="str">
        <f t="shared" si="13"/>
        <v>tr. VND</v>
      </c>
      <c r="K43" s="549"/>
      <c r="L43" s="549" cm="1">
        <f t="array" ref="L43">-SUMPRODUCT('W2'!$M$12:$V$112*('W2'!$M$7:$V$7=$A43)*('W2'!$A$12:$A$112=$B43))*$H$10*POWER(1+Inflation,L$11+1)</f>
        <v>-2400</v>
      </c>
      <c r="M43" s="549" cm="1">
        <f t="array" ref="M43">-SUMPRODUCT('W2'!$M$12:$V$112*('W2'!$M$7:$V$7=$A43)*('W2'!$A$12:$A$112=$B43))*$H$10*POWER(1+Inflation,M$11+1)</f>
        <v>-2400</v>
      </c>
      <c r="N43" s="549" cm="1">
        <f t="array" ref="N43">-SUMPRODUCT('W2'!$M$12:$V$112*('W2'!$M$7:$V$7=$A43)*('W2'!$A$12:$A$112=$B43))*$H$10*POWER(1+Inflation,N$11+1)</f>
        <v>-2520</v>
      </c>
      <c r="O43" s="549" cm="1">
        <f t="array" ref="O43">-SUMPRODUCT('W2'!$M$12:$V$112*('W2'!$M$7:$V$7=$A43)*('W2'!$A$12:$A$112=$B43))*$H$10*POWER(1+Inflation,O$11+1)</f>
        <v>-2646</v>
      </c>
      <c r="P43" s="549" cm="1">
        <f t="array" ref="P43">-SUMPRODUCT('W2'!$M$12:$V$112*('W2'!$M$7:$V$7=$A43)*('W2'!$A$12:$A$112=$B43))*$H$10*POWER(1+Inflation,P$11+1)</f>
        <v>-2778.3</v>
      </c>
      <c r="Q43" s="549" cm="1">
        <f t="array" ref="Q43">-SUMPRODUCT('W2'!$M$12:$V$112*('W2'!$M$7:$V$7=$A43)*('W2'!$A$12:$A$112=$B43))*$H$10*POWER(1+Inflation,Q$11+1)</f>
        <v>-2917.2150000000001</v>
      </c>
      <c r="R43" s="549" cm="1">
        <f t="array" ref="R43">-SUMPRODUCT('W2'!$M$12:$V$112*('W2'!$M$7:$V$7=$A43)*('W2'!$A$12:$A$112=$B43))*$H$10*POWER(1+Inflation,R$11+1)</f>
        <v>-3063.0757500000004</v>
      </c>
      <c r="S43" s="549" cm="1">
        <f t="array" ref="S43">-SUMPRODUCT('W2'!$M$12:$V$112*('W2'!$M$7:$V$7=$A43)*('W2'!$A$12:$A$112=$B43))*$H$10*POWER(1+Inflation,S$11+1)</f>
        <v>-3216.2295374999999</v>
      </c>
      <c r="T43" s="549" cm="1">
        <f t="array" ref="T43">-SUMPRODUCT('W2'!$M$12:$V$112*('W2'!$M$7:$V$7=$A43)*('W2'!$A$12:$A$112=$B43))*$H$10*POWER(1+Inflation,T$11+1)</f>
        <v>-3377.0410143750005</v>
      </c>
      <c r="U43" s="549" cm="1">
        <f t="array" ref="U43">-SUMPRODUCT('W2'!$M$12:$V$112*('W2'!$M$7:$V$7=$A43)*('W2'!$A$12:$A$112=$B43))*$H$10*POWER(1+Inflation,U$11+1)</f>
        <v>-3545.89306509375</v>
      </c>
      <c r="V43" s="549" cm="1">
        <f t="array" ref="V43">-SUMPRODUCT('W2'!$M$12:$V$112*('W2'!$M$7:$V$7=$A43)*('W2'!$A$12:$A$112=$B43))*$H$10*POWER(1+Inflation,V$11+1)</f>
        <v>-3723.187718348438</v>
      </c>
      <c r="W43" s="549" cm="1">
        <f t="array" ref="W43">-SUMPRODUCT('W2'!$M$12:$V$112*('W2'!$M$7:$V$7=$A43)*('W2'!$A$12:$A$112=$B43))*$H$10*POWER(1+Inflation,W$11+1)</f>
        <v>-3909.3471042658598</v>
      </c>
      <c r="X43" s="549" cm="1">
        <f t="array" ref="X43">-SUMPRODUCT('W2'!$M$12:$V$112*('W2'!$M$7:$V$7=$A43)*('W2'!$A$12:$A$112=$B43))*$H$10*POWER(1+Inflation,X$11+1)</f>
        <v>-4104.8144594791529</v>
      </c>
      <c r="Y43" s="549" cm="1">
        <f t="array" ref="Y43">-SUMPRODUCT('W2'!$M$12:$V$112*('W2'!$M$7:$V$7=$A43)*('W2'!$A$12:$A$112=$B43))*$H$10*POWER(1+Inflation,Y$11+1)</f>
        <v>-4310.0551824531103</v>
      </c>
      <c r="Z43" s="549" cm="1">
        <f t="array" ref="Z43">-SUMPRODUCT('W2'!$M$12:$V$112*('W2'!$M$7:$V$7=$A43)*('W2'!$A$12:$A$112=$B43))*$H$10*POWER(1+Inflation,Z$11+1)</f>
        <v>-4525.5579415757666</v>
      </c>
      <c r="AA43" s="549"/>
      <c r="AB43" s="549"/>
      <c r="AC43" s="549"/>
      <c r="AD43" s="549"/>
      <c r="AE43" s="549"/>
      <c r="AF43" s="549"/>
      <c r="AG43" s="549"/>
      <c r="AH43" s="549"/>
      <c r="AI43" s="549"/>
      <c r="AJ43" s="549"/>
    </row>
    <row r="44" spans="1:36" x14ac:dyDescent="0.25">
      <c r="A44" t="s">
        <v>422</v>
      </c>
      <c r="B44" t="s">
        <v>452</v>
      </c>
      <c r="H44" s="454" t="s">
        <v>432</v>
      </c>
      <c r="I44" s="496" t="str">
        <f t="shared" si="13"/>
        <v>tr. VND</v>
      </c>
      <c r="K44" s="549"/>
      <c r="L44" s="549" cm="1">
        <f t="array" ref="L44">-SUMPRODUCT('W2'!$M$12:$V$112*('W2'!$M$7:$V$7=$A44)*('W2'!$A$12:$A$112=$B44))*$H$10*POWER(1+Inflation,L$11+1)</f>
        <v>-9022.4939999999988</v>
      </c>
      <c r="M44" s="549" cm="1">
        <f t="array" ref="M44">-SUMPRODUCT('W2'!$M$12:$V$112*('W2'!$M$7:$V$7=$A44)*('W2'!$A$12:$A$112=$B44))*$H$10*POWER(1+Inflation,M$11+1)</f>
        <v>-9022.4939999999988</v>
      </c>
      <c r="N44" s="549" cm="1">
        <f t="array" ref="N44">-SUMPRODUCT('W2'!$M$12:$V$112*('W2'!$M$7:$V$7=$A44)*('W2'!$A$12:$A$112=$B44))*$H$10*POWER(1+Inflation,N$11+1)</f>
        <v>-9473.6186999999991</v>
      </c>
      <c r="O44" s="549" cm="1">
        <f t="array" ref="O44">-SUMPRODUCT('W2'!$M$12:$V$112*('W2'!$M$7:$V$7=$A44)*('W2'!$A$12:$A$112=$B44))*$H$10*POWER(1+Inflation,O$11+1)</f>
        <v>-9947.2996349999994</v>
      </c>
      <c r="P44" s="549" cm="1">
        <f t="array" ref="P44">-SUMPRODUCT('W2'!$M$12:$V$112*('W2'!$M$7:$V$7=$A44)*('W2'!$A$12:$A$112=$B44))*$H$10*POWER(1+Inflation,P$11+1)</f>
        <v>-10444.66461675</v>
      </c>
      <c r="Q44" s="549" cm="1">
        <f t="array" ref="Q44">-SUMPRODUCT('W2'!$M$12:$V$112*('W2'!$M$7:$V$7=$A44)*('W2'!$A$12:$A$112=$B44))*$H$10*POWER(1+Inflation,Q$11+1)</f>
        <v>-10966.897847587499</v>
      </c>
      <c r="R44" s="549" cm="1">
        <f t="array" ref="R44">-SUMPRODUCT('W2'!$M$12:$V$112*('W2'!$M$7:$V$7=$A44)*('W2'!$A$12:$A$112=$B44))*$H$10*POWER(1+Inflation,R$11+1)</f>
        <v>-11515.242739966874</v>
      </c>
      <c r="S44" s="549" cm="1">
        <f t="array" ref="S44">-SUMPRODUCT('W2'!$M$12:$V$112*('W2'!$M$7:$V$7=$A44)*('W2'!$A$12:$A$112=$B44))*$H$10*POWER(1+Inflation,S$11+1)</f>
        <v>-12091.004876965217</v>
      </c>
      <c r="T44" s="549" cm="1">
        <f t="array" ref="T44">-SUMPRODUCT('W2'!$M$12:$V$112*('W2'!$M$7:$V$7=$A44)*('W2'!$A$12:$A$112=$B44))*$H$10*POWER(1+Inflation,T$11+1)</f>
        <v>-12695.55512081348</v>
      </c>
      <c r="U44" s="549" cm="1">
        <f t="array" ref="U44">-SUMPRODUCT('W2'!$M$12:$V$112*('W2'!$M$7:$V$7=$A44)*('W2'!$A$12:$A$112=$B44))*$H$10*POWER(1+Inflation,U$11+1)</f>
        <v>-13330.332876854152</v>
      </c>
      <c r="V44" s="549" cm="1">
        <f t="array" ref="V44">-SUMPRODUCT('W2'!$M$12:$V$112*('W2'!$M$7:$V$7=$A44)*('W2'!$A$12:$A$112=$B44))*$H$10*POWER(1+Inflation,V$11+1)</f>
        <v>-13996.84952069686</v>
      </c>
      <c r="W44" s="549" cm="1">
        <f t="array" ref="W44">-SUMPRODUCT('W2'!$M$12:$V$112*('W2'!$M$7:$V$7=$A44)*('W2'!$A$12:$A$112=$B44))*$H$10*POWER(1+Inflation,W$11+1)</f>
        <v>-14696.691996731704</v>
      </c>
      <c r="X44" s="549" cm="1">
        <f t="array" ref="X44">-SUMPRODUCT('W2'!$M$12:$V$112*('W2'!$M$7:$V$7=$A44)*('W2'!$A$12:$A$112=$B44))*$H$10*POWER(1+Inflation,X$11+1)</f>
        <v>-15431.52659656829</v>
      </c>
      <c r="Y44" s="549" cm="1">
        <f t="array" ref="Y44">-SUMPRODUCT('W2'!$M$12:$V$112*('W2'!$M$7:$V$7=$A44)*('W2'!$A$12:$A$112=$B44))*$H$10*POWER(1+Inflation,Y$11+1)</f>
        <v>-16203.102926396703</v>
      </c>
      <c r="Z44" s="549" cm="1">
        <f t="array" ref="Z44">-SUMPRODUCT('W2'!$M$12:$V$112*('W2'!$M$7:$V$7=$A44)*('W2'!$A$12:$A$112=$B44))*$H$10*POWER(1+Inflation,Z$11+1)</f>
        <v>-17013.25807271654</v>
      </c>
      <c r="AA44" s="549"/>
      <c r="AB44" s="549"/>
      <c r="AC44" s="549"/>
      <c r="AD44" s="549"/>
      <c r="AE44" s="549"/>
      <c r="AF44" s="549"/>
      <c r="AG44" s="549"/>
      <c r="AH44" s="549"/>
      <c r="AI44" s="549"/>
      <c r="AJ44" s="549"/>
    </row>
    <row r="45" spans="1:36" x14ac:dyDescent="0.25">
      <c r="A45" t="s">
        <v>422</v>
      </c>
      <c r="B45" t="s">
        <v>453</v>
      </c>
      <c r="H45" s="454" t="s">
        <v>433</v>
      </c>
      <c r="I45" s="496" t="str">
        <f t="shared" si="13"/>
        <v>tr. VND</v>
      </c>
      <c r="K45" s="549"/>
      <c r="L45" s="549" cm="1">
        <f t="array" ref="L45">-SUMPRODUCT('W2'!$M$12:$V$112*('W2'!$M$7:$V$7=$A45)*('W2'!$A$12:$A$112=$B45))*$H$10*POWER(1+Inflation,L$11+1)</f>
        <v>-552</v>
      </c>
      <c r="M45" s="549" cm="1">
        <f t="array" ref="M45">-SUMPRODUCT('W2'!$M$12:$V$112*('W2'!$M$7:$V$7=$A45)*('W2'!$A$12:$A$112=$B45))*$H$10*POWER(1+Inflation,M$11+1)</f>
        <v>-552</v>
      </c>
      <c r="N45" s="549" cm="1">
        <f t="array" ref="N45">-SUMPRODUCT('W2'!$M$12:$V$112*('W2'!$M$7:$V$7=$A45)*('W2'!$A$12:$A$112=$B45))*$H$10*POWER(1+Inflation,N$11+1)</f>
        <v>-579.6</v>
      </c>
      <c r="O45" s="549" cm="1">
        <f t="array" ref="O45">-SUMPRODUCT('W2'!$M$12:$V$112*('W2'!$M$7:$V$7=$A45)*('W2'!$A$12:$A$112=$B45))*$H$10*POWER(1+Inflation,O$11+1)</f>
        <v>-608.58000000000004</v>
      </c>
      <c r="P45" s="549" cm="1">
        <f t="array" ref="P45">-SUMPRODUCT('W2'!$M$12:$V$112*('W2'!$M$7:$V$7=$A45)*('W2'!$A$12:$A$112=$B45))*$H$10*POWER(1+Inflation,P$11+1)</f>
        <v>-639.00900000000001</v>
      </c>
      <c r="Q45" s="549" cm="1">
        <f t="array" ref="Q45">-SUMPRODUCT('W2'!$M$12:$V$112*('W2'!$M$7:$V$7=$A45)*('W2'!$A$12:$A$112=$B45))*$H$10*POWER(1+Inflation,Q$11+1)</f>
        <v>-670.95945000000006</v>
      </c>
      <c r="R45" s="549" cm="1">
        <f t="array" ref="R45">-SUMPRODUCT('W2'!$M$12:$V$112*('W2'!$M$7:$V$7=$A45)*('W2'!$A$12:$A$112=$B45))*$H$10*POWER(1+Inflation,R$11+1)</f>
        <v>-704.50742250000008</v>
      </c>
      <c r="S45" s="549" cm="1">
        <f t="array" ref="S45">-SUMPRODUCT('W2'!$M$12:$V$112*('W2'!$M$7:$V$7=$A45)*('W2'!$A$12:$A$112=$B45))*$H$10*POWER(1+Inflation,S$11+1)</f>
        <v>-739.732793625</v>
      </c>
      <c r="T45" s="549" cm="1">
        <f t="array" ref="T45">-SUMPRODUCT('W2'!$M$12:$V$112*('W2'!$M$7:$V$7=$A45)*('W2'!$A$12:$A$112=$B45))*$H$10*POWER(1+Inflation,T$11+1)</f>
        <v>-776.71943330625015</v>
      </c>
      <c r="U45" s="549" cm="1">
        <f t="array" ref="U45">-SUMPRODUCT('W2'!$M$12:$V$112*('W2'!$M$7:$V$7=$A45)*('W2'!$A$12:$A$112=$B45))*$H$10*POWER(1+Inflation,U$11+1)</f>
        <v>-815.55540497156255</v>
      </c>
      <c r="V45" s="549" cm="1">
        <f t="array" ref="V45">-SUMPRODUCT('W2'!$M$12:$V$112*('W2'!$M$7:$V$7=$A45)*('W2'!$A$12:$A$112=$B45))*$H$10*POWER(1+Inflation,V$11+1)</f>
        <v>-856.33317522014067</v>
      </c>
      <c r="W45" s="549" cm="1">
        <f t="array" ref="W45">-SUMPRODUCT('W2'!$M$12:$V$112*('W2'!$M$7:$V$7=$A45)*('W2'!$A$12:$A$112=$B45))*$H$10*POWER(1+Inflation,W$11+1)</f>
        <v>-899.14983398114771</v>
      </c>
      <c r="X45" s="549" cm="1">
        <f t="array" ref="X45">-SUMPRODUCT('W2'!$M$12:$V$112*('W2'!$M$7:$V$7=$A45)*('W2'!$A$12:$A$112=$B45))*$H$10*POWER(1+Inflation,X$11+1)</f>
        <v>-944.10732568020524</v>
      </c>
      <c r="Y45" s="549" cm="1">
        <f t="array" ref="Y45">-SUMPRODUCT('W2'!$M$12:$V$112*('W2'!$M$7:$V$7=$A45)*('W2'!$A$12:$A$112=$B45))*$H$10*POWER(1+Inflation,Y$11+1)</f>
        <v>-991.31269196421533</v>
      </c>
      <c r="Z45" s="549" cm="1">
        <f t="array" ref="Z45">-SUMPRODUCT('W2'!$M$12:$V$112*('W2'!$M$7:$V$7=$A45)*('W2'!$A$12:$A$112=$B45))*$H$10*POWER(1+Inflation,Z$11+1)</f>
        <v>-1040.8783265624263</v>
      </c>
      <c r="AA45" s="549"/>
      <c r="AB45" s="549"/>
      <c r="AC45" s="549"/>
      <c r="AD45" s="549"/>
      <c r="AE45" s="549"/>
      <c r="AF45" s="549"/>
      <c r="AG45" s="549"/>
      <c r="AH45" s="549"/>
      <c r="AI45" s="549"/>
      <c r="AJ45" s="549"/>
    </row>
    <row r="46" spans="1:36" x14ac:dyDescent="0.25">
      <c r="A46" t="s">
        <v>422</v>
      </c>
      <c r="B46" t="s">
        <v>521</v>
      </c>
      <c r="H46" s="454" t="s">
        <v>520</v>
      </c>
      <c r="I46" s="496" t="str">
        <f t="shared" si="13"/>
        <v>tr. VND</v>
      </c>
      <c r="K46" s="549"/>
      <c r="L46" s="549" cm="1">
        <f t="array" ref="L46">-SUMPRODUCT('W2'!$M$12:$V$112*('W2'!$M$7:$V$7=$A46)*('W2'!$A$12:$A$112=$B46))*$H$10</f>
        <v>-601.49959999999999</v>
      </c>
      <c r="M46" s="549" cm="1">
        <f t="array" ref="M46">-SUMPRODUCT('W2'!$M$12:$V$112*('W2'!$M$7:$V$7=$A46)*('W2'!$A$12:$A$112=$B46))*$H$10</f>
        <v>-601.49959999999999</v>
      </c>
      <c r="N46" s="549" cm="1">
        <f t="array" ref="N46">-SUMPRODUCT('W2'!$M$12:$V$112*('W2'!$M$7:$V$7=$A46)*('W2'!$A$12:$A$112=$B46))*$H$10</f>
        <v>-601.49959999999999</v>
      </c>
      <c r="O46" s="549" cm="1">
        <f t="array" ref="O46">-SUMPRODUCT('W2'!$M$12:$V$112*('W2'!$M$7:$V$7=$A46)*('W2'!$A$12:$A$112=$B46))*$H$10</f>
        <v>-601.49959999999999</v>
      </c>
      <c r="P46" s="549" cm="1">
        <f t="array" ref="P46">-SUMPRODUCT('W2'!$M$12:$V$112*('W2'!$M$7:$V$7=$A46)*('W2'!$A$12:$A$112=$B46))*$H$10</f>
        <v>-601.49959999999999</v>
      </c>
      <c r="Q46" s="549" cm="1">
        <f t="array" ref="Q46">-SUMPRODUCT('W2'!$M$12:$V$112*('W2'!$M$7:$V$7=$A46)*('W2'!$A$12:$A$112=$B46))*$H$10</f>
        <v>-601.49959999999999</v>
      </c>
      <c r="R46" s="549" cm="1">
        <f t="array" ref="R46">-SUMPRODUCT('W2'!$M$12:$V$112*('W2'!$M$7:$V$7=$A46)*('W2'!$A$12:$A$112=$B46))*$H$10</f>
        <v>-601.49959999999999</v>
      </c>
      <c r="S46" s="549" cm="1">
        <f t="array" ref="S46">-SUMPRODUCT('W2'!$M$12:$V$112*('W2'!$M$7:$V$7=$A46)*('W2'!$A$12:$A$112=$B46))*$H$10</f>
        <v>-601.49959999999999</v>
      </c>
      <c r="T46" s="549" cm="1">
        <f t="array" ref="T46">-SUMPRODUCT('W2'!$M$12:$V$112*('W2'!$M$7:$V$7=$A46)*('W2'!$A$12:$A$112=$B46))*$H$10</f>
        <v>-601.49959999999999</v>
      </c>
      <c r="U46" s="549" cm="1">
        <f t="array" ref="U46">-SUMPRODUCT('W2'!$M$12:$V$112*('W2'!$M$7:$V$7=$A46)*('W2'!$A$12:$A$112=$B46))*$H$10</f>
        <v>-601.49959999999999</v>
      </c>
      <c r="V46" s="549" cm="1">
        <f t="array" ref="V46">-SUMPRODUCT('W2'!$M$12:$V$112*('W2'!$M$7:$V$7=$A46)*('W2'!$A$12:$A$112=$B46))*$H$10</f>
        <v>-601.49959999999999</v>
      </c>
      <c r="W46" s="549" cm="1">
        <f t="array" ref="W46">-SUMPRODUCT('W2'!$M$12:$V$112*('W2'!$M$7:$V$7=$A46)*('W2'!$A$12:$A$112=$B46))*$H$10</f>
        <v>-601.49959999999999</v>
      </c>
      <c r="X46" s="549" cm="1">
        <f t="array" ref="X46">-SUMPRODUCT('W2'!$M$12:$V$112*('W2'!$M$7:$V$7=$A46)*('W2'!$A$12:$A$112=$B46))*$H$10</f>
        <v>-601.49959999999999</v>
      </c>
      <c r="Y46" s="549" cm="1">
        <f t="array" ref="Y46">-SUMPRODUCT('W2'!$M$12:$V$112*('W2'!$M$7:$V$7=$A46)*('W2'!$A$12:$A$112=$B46))*$H$10</f>
        <v>-601.49959999999999</v>
      </c>
      <c r="Z46" s="549" cm="1">
        <f t="array" ref="Z46">-SUMPRODUCT('W2'!$M$12:$V$112*('W2'!$M$7:$V$7=$A46)*('W2'!$A$12:$A$112=$B46))*$H$10</f>
        <v>-601.49959999999999</v>
      </c>
      <c r="AA46" s="549"/>
      <c r="AB46" s="549"/>
      <c r="AC46" s="549"/>
      <c r="AD46" s="549"/>
      <c r="AE46" s="549"/>
      <c r="AF46" s="549"/>
      <c r="AG46" s="549"/>
      <c r="AH46" s="549"/>
      <c r="AI46" s="549"/>
      <c r="AJ46" s="549"/>
    </row>
    <row r="47" spans="1:36" x14ac:dyDescent="0.25">
      <c r="A47" t="s">
        <v>422</v>
      </c>
      <c r="K47" s="243"/>
      <c r="L47" s="243"/>
      <c r="M47" s="243"/>
      <c r="N47" s="243"/>
      <c r="O47" s="243"/>
      <c r="P47" s="243"/>
      <c r="Q47" s="243"/>
      <c r="R47" s="243"/>
      <c r="S47" s="243"/>
      <c r="T47" s="243"/>
      <c r="U47" s="243"/>
      <c r="V47" s="243"/>
      <c r="W47" s="243"/>
      <c r="X47" s="243"/>
      <c r="Y47" s="243"/>
      <c r="Z47" s="243"/>
      <c r="AA47" s="243"/>
      <c r="AB47" s="243"/>
      <c r="AC47" s="243"/>
      <c r="AD47" s="243"/>
      <c r="AE47" s="243"/>
      <c r="AF47" s="243"/>
      <c r="AG47" s="243"/>
      <c r="AH47" s="243"/>
      <c r="AI47" s="243"/>
      <c r="AJ47" s="243"/>
    </row>
    <row r="48" spans="1:36" s="1" customFormat="1" x14ac:dyDescent="0.25">
      <c r="A48" s="1" t="s">
        <v>422</v>
      </c>
      <c r="H48" s="266" t="s">
        <v>435</v>
      </c>
      <c r="I48" s="267" t="str">
        <f t="shared" ref="I48:I58" si="17">IF($H$9="USD","USD","tr. VND")</f>
        <v>tr. VND</v>
      </c>
      <c r="K48" s="269">
        <f>K49+K52+K55</f>
        <v>0</v>
      </c>
      <c r="L48" s="269">
        <f t="shared" ref="L48:AJ48" si="18">L49+L52+L55</f>
        <v>-92494.065303826777</v>
      </c>
      <c r="M48" s="269">
        <f t="shared" si="18"/>
        <v>-128793.29243442416</v>
      </c>
      <c r="N48" s="269">
        <f t="shared" si="18"/>
        <v>-187365.60190480959</v>
      </c>
      <c r="O48" s="269">
        <f t="shared" si="18"/>
        <v>-191595.4979197002</v>
      </c>
      <c r="P48" s="269">
        <f t="shared" si="18"/>
        <v>-195935.14761304564</v>
      </c>
      <c r="Q48" s="269">
        <f t="shared" si="18"/>
        <v>-200388.00384632294</v>
      </c>
      <c r="R48" s="269">
        <f t="shared" si="18"/>
        <v>-204957.65142763397</v>
      </c>
      <c r="S48" s="269">
        <f t="shared" si="18"/>
        <v>-209647.81289510772</v>
      </c>
      <c r="T48" s="269">
        <f t="shared" si="18"/>
        <v>-214462.35457319432</v>
      </c>
      <c r="U48" s="269">
        <f t="shared" si="18"/>
        <v>-219405.29291516927</v>
      </c>
      <c r="V48" s="269">
        <f t="shared" si="18"/>
        <v>-224480.80114582658</v>
      </c>
      <c r="W48" s="269">
        <f t="shared" si="18"/>
        <v>-229693.21621903207</v>
      </c>
      <c r="X48" s="269">
        <f t="shared" si="18"/>
        <v>-234044.54677220009</v>
      </c>
      <c r="Y48" s="269">
        <f t="shared" si="18"/>
        <v>-239544.47809385488</v>
      </c>
      <c r="Z48" s="269">
        <f t="shared" si="18"/>
        <v>-245195.38412123729</v>
      </c>
      <c r="AA48" s="269"/>
      <c r="AB48" s="269"/>
      <c r="AC48" s="269"/>
      <c r="AD48" s="269"/>
      <c r="AE48" s="269"/>
      <c r="AF48" s="269"/>
      <c r="AG48" s="269"/>
      <c r="AH48" s="269"/>
      <c r="AI48" s="269"/>
      <c r="AJ48" s="269"/>
    </row>
    <row r="49" spans="1:36" x14ac:dyDescent="0.25">
      <c r="A49" t="s">
        <v>422</v>
      </c>
      <c r="H49" s="636" t="s">
        <v>454</v>
      </c>
      <c r="I49" s="637" t="str">
        <f t="shared" si="17"/>
        <v>tr. VND</v>
      </c>
      <c r="K49" s="638">
        <f>SUM(K50:K51)</f>
        <v>0</v>
      </c>
      <c r="L49" s="638">
        <f t="shared" ref="L49:Z49" si="19">SUM(L50:L51)</f>
        <v>-83121.831936000002</v>
      </c>
      <c r="M49" s="638">
        <f t="shared" si="19"/>
        <v>-116370.56471040001</v>
      </c>
      <c r="N49" s="638">
        <f t="shared" si="19"/>
        <v>-169568.53714944003</v>
      </c>
      <c r="O49" s="638">
        <f t="shared" si="19"/>
        <v>-172959.90789242883</v>
      </c>
      <c r="P49" s="638">
        <f t="shared" si="19"/>
        <v>-176419.10605027739</v>
      </c>
      <c r="Q49" s="638">
        <f t="shared" si="19"/>
        <v>-179947.48817128292</v>
      </c>
      <c r="R49" s="638">
        <f t="shared" si="19"/>
        <v>-183546.43793470861</v>
      </c>
      <c r="S49" s="638">
        <f t="shared" si="19"/>
        <v>-187217.36669340279</v>
      </c>
      <c r="T49" s="638">
        <f t="shared" si="19"/>
        <v>-190961.71402727079</v>
      </c>
      <c r="U49" s="638">
        <f t="shared" si="19"/>
        <v>-194780.9483078162</v>
      </c>
      <c r="V49" s="638">
        <f t="shared" si="19"/>
        <v>-198676.56727397256</v>
      </c>
      <c r="W49" s="638">
        <f t="shared" si="19"/>
        <v>-202650.09861945201</v>
      </c>
      <c r="X49" s="638">
        <f t="shared" si="19"/>
        <v>-206703.10059184101</v>
      </c>
      <c r="Y49" s="638">
        <f t="shared" si="19"/>
        <v>-210837.16260367786</v>
      </c>
      <c r="Z49" s="638">
        <f t="shared" si="19"/>
        <v>-215053.90585575142</v>
      </c>
      <c r="AA49" s="638"/>
      <c r="AB49" s="638"/>
      <c r="AC49" s="638"/>
      <c r="AD49" s="638"/>
      <c r="AE49" s="638"/>
      <c r="AF49" s="638"/>
      <c r="AG49" s="638"/>
      <c r="AH49" s="638"/>
      <c r="AI49" s="638"/>
      <c r="AJ49" s="638"/>
    </row>
    <row r="50" spans="1:36" s="299" customFormat="1" x14ac:dyDescent="0.25">
      <c r="A50" s="299" t="s">
        <v>422</v>
      </c>
      <c r="B50" s="299" t="s">
        <v>459</v>
      </c>
      <c r="H50" s="553" t="s">
        <v>167</v>
      </c>
      <c r="I50" s="554" t="str">
        <f t="shared" si="17"/>
        <v>tr. VND</v>
      </c>
      <c r="K50" s="555"/>
      <c r="L50" s="555" cm="1">
        <f t="array" ref="L50">-SUMPRODUCT('W2'!$M$12:$V$112*('W2'!$M$7:$V$7=$A50)*('W2'!$A$12:$A$112=$B50))*L27*$H$10*POWER(1+INDEX('Cover Page'!$H$8:$AJ$8,MATCH($A50,'Cover Page'!$H$5:$AJ$5,0)),1+L$13)</f>
        <v>-77303.303700479999</v>
      </c>
      <c r="M50" s="555" cm="1">
        <f t="array" ref="M50">-SUMPRODUCT('W2'!$M$12:$V$112*('W2'!$M$7:$V$7=$A50)*('W2'!$A$12:$A$112=$B50))*M27*$H$10*POWER(1+INDEX('Cover Page'!$H$8:$AJ$8,MATCH($A50,'Cover Page'!$H$5:$AJ$5,0)),1+M$13)</f>
        <v>-108224.625180672</v>
      </c>
      <c r="N50" s="555" cm="1">
        <f t="array" ref="N50">-SUMPRODUCT('W2'!$M$12:$V$112*('W2'!$M$7:$V$7=$A50)*('W2'!$A$12:$A$112=$B50))*N27*$H$10*POWER(1+INDEX('Cover Page'!$H$8:$AJ$8,MATCH($A50,'Cover Page'!$H$5:$AJ$5,0)),1+N$13)</f>
        <v>-157698.73954897921</v>
      </c>
      <c r="O50" s="555" cm="1">
        <f t="array" ref="O50">-SUMPRODUCT('W2'!$M$12:$V$112*('W2'!$M$7:$V$7=$A50)*('W2'!$A$12:$A$112=$B50))*O27*$H$10*POWER(1+INDEX('Cover Page'!$H$8:$AJ$8,MATCH($A50,'Cover Page'!$H$5:$AJ$5,0)),1+O$13)</f>
        <v>-160852.71433995879</v>
      </c>
      <c r="P50" s="555" cm="1">
        <f t="array" ref="P50">-SUMPRODUCT('W2'!$M$12:$V$112*('W2'!$M$7:$V$7=$A50)*('W2'!$A$12:$A$112=$B50))*P27*$H$10*POWER(1+INDEX('Cover Page'!$H$8:$AJ$8,MATCH($A50,'Cover Page'!$H$5:$AJ$5,0)),1+P$13)</f>
        <v>-164069.76862675796</v>
      </c>
      <c r="Q50" s="555" cm="1">
        <f t="array" ref="Q50">-SUMPRODUCT('W2'!$M$12:$V$112*('W2'!$M$7:$V$7=$A50)*('W2'!$A$12:$A$112=$B50))*Q27*$H$10*POWER(1+INDEX('Cover Page'!$H$8:$AJ$8,MATCH($A50,'Cover Page'!$H$5:$AJ$5,0)),1+Q$13)</f>
        <v>-167351.16399929312</v>
      </c>
      <c r="R50" s="555" cm="1">
        <f t="array" ref="R50">-SUMPRODUCT('W2'!$M$12:$V$112*('W2'!$M$7:$V$7=$A50)*('W2'!$A$12:$A$112=$B50))*R27*$H$10*POWER(1+INDEX('Cover Page'!$H$8:$AJ$8,MATCH($A50,'Cover Page'!$H$5:$AJ$5,0)),1+R$13)</f>
        <v>-170698.18727927899</v>
      </c>
      <c r="S50" s="555" cm="1">
        <f t="array" ref="S50">-SUMPRODUCT('W2'!$M$12:$V$112*('W2'!$M$7:$V$7=$A50)*('W2'!$A$12:$A$112=$B50))*S27*$H$10*POWER(1+INDEX('Cover Page'!$H$8:$AJ$8,MATCH($A50,'Cover Page'!$H$5:$AJ$5,0)),1+S$13)</f>
        <v>-174112.15102486458</v>
      </c>
      <c r="T50" s="555" cm="1">
        <f t="array" ref="T50">-SUMPRODUCT('W2'!$M$12:$V$112*('W2'!$M$7:$V$7=$A50)*('W2'!$A$12:$A$112=$B50))*T27*$H$10*POWER(1+INDEX('Cover Page'!$H$8:$AJ$8,MATCH($A50,'Cover Page'!$H$5:$AJ$5,0)),1+T$13)</f>
        <v>-177594.39404536181</v>
      </c>
      <c r="U50" s="555" cm="1">
        <f t="array" ref="U50">-SUMPRODUCT('W2'!$M$12:$V$112*('W2'!$M$7:$V$7=$A50)*('W2'!$A$12:$A$112=$B50))*U27*$H$10*POWER(1+INDEX('Cover Page'!$H$8:$AJ$8,MATCH($A50,'Cover Page'!$H$5:$AJ$5,0)),1+U$13)</f>
        <v>-181146.28192626906</v>
      </c>
      <c r="V50" s="555" cm="1">
        <f t="array" ref="V50">-SUMPRODUCT('W2'!$M$12:$V$112*('W2'!$M$7:$V$7=$A50)*('W2'!$A$12:$A$112=$B50))*V27*$H$10*POWER(1+INDEX('Cover Page'!$H$8:$AJ$8,MATCH($A50,'Cover Page'!$H$5:$AJ$5,0)),1+V$13)</f>
        <v>-184769.20756479446</v>
      </c>
      <c r="W50" s="555" cm="1">
        <f t="array" ref="W50">-SUMPRODUCT('W2'!$M$12:$V$112*('W2'!$M$7:$V$7=$A50)*('W2'!$A$12:$A$112=$B50))*W27*$H$10*POWER(1+INDEX('Cover Page'!$H$8:$AJ$8,MATCH($A50,'Cover Page'!$H$5:$AJ$5,0)),1+W$13)</f>
        <v>-188464.59171609036</v>
      </c>
      <c r="X50" s="555" cm="1">
        <f t="array" ref="X50">-SUMPRODUCT('W2'!$M$12:$V$112*('W2'!$M$7:$V$7=$A50)*('W2'!$A$12:$A$112=$B50))*X27*$H$10*POWER(1+INDEX('Cover Page'!$H$8:$AJ$8,MATCH($A50,'Cover Page'!$H$5:$AJ$5,0)),1+X$13)</f>
        <v>-192233.88355041214</v>
      </c>
      <c r="Y50" s="555" cm="1">
        <f t="array" ref="Y50">-SUMPRODUCT('W2'!$M$12:$V$112*('W2'!$M$7:$V$7=$A50)*('W2'!$A$12:$A$112=$B50))*Y27*$H$10*POWER(1+INDEX('Cover Page'!$H$8:$AJ$8,MATCH($A50,'Cover Page'!$H$5:$AJ$5,0)),1+Y$13)</f>
        <v>-196078.56122142039</v>
      </c>
      <c r="Z50" s="555" cm="1">
        <f t="array" ref="Z50">-SUMPRODUCT('W2'!$M$12:$V$112*('W2'!$M$7:$V$7=$A50)*('W2'!$A$12:$A$112=$B50))*Z27*$H$10*POWER(1+INDEX('Cover Page'!$H$8:$AJ$8,MATCH($A50,'Cover Page'!$H$5:$AJ$5,0)),1+Z$13)</f>
        <v>-200000.13244584881</v>
      </c>
      <c r="AA50" s="555"/>
      <c r="AB50" s="555"/>
      <c r="AC50" s="555"/>
      <c r="AD50" s="555"/>
      <c r="AE50" s="555"/>
      <c r="AF50" s="555"/>
      <c r="AG50" s="555"/>
      <c r="AH50" s="555"/>
      <c r="AI50" s="555"/>
      <c r="AJ50" s="555"/>
    </row>
    <row r="51" spans="1:36" s="299" customFormat="1" x14ac:dyDescent="0.25">
      <c r="A51" s="299" t="s">
        <v>422</v>
      </c>
      <c r="H51" s="553" t="s">
        <v>203</v>
      </c>
      <c r="I51" s="554" t="str">
        <f t="shared" si="17"/>
        <v>tr. VND</v>
      </c>
      <c r="K51" s="639"/>
      <c r="L51" s="639">
        <f>L50/(1-L25)-L50</f>
        <v>-5818.5282355200034</v>
      </c>
      <c r="M51" s="639">
        <f t="shared" ref="M51:AJ51" si="20">M50/(1-M25)-M50</f>
        <v>-8145.9395297280134</v>
      </c>
      <c r="N51" s="639">
        <f t="shared" si="20"/>
        <v>-11869.797600460821</v>
      </c>
      <c r="O51" s="639">
        <f t="shared" si="20"/>
        <v>-12107.193552470038</v>
      </c>
      <c r="P51" s="639">
        <f t="shared" si="20"/>
        <v>-12349.337423519435</v>
      </c>
      <c r="Q51" s="639">
        <f t="shared" si="20"/>
        <v>-12596.324171989807</v>
      </c>
      <c r="R51" s="639">
        <f t="shared" si="20"/>
        <v>-12848.250655429612</v>
      </c>
      <c r="S51" s="639">
        <f t="shared" si="20"/>
        <v>-13105.215668538207</v>
      </c>
      <c r="T51" s="639">
        <f t="shared" si="20"/>
        <v>-13367.319981908979</v>
      </c>
      <c r="U51" s="639">
        <f t="shared" si="20"/>
        <v>-13634.66638154714</v>
      </c>
      <c r="V51" s="639">
        <f t="shared" si="20"/>
        <v>-13907.359709178098</v>
      </c>
      <c r="W51" s="639">
        <f t="shared" si="20"/>
        <v>-14185.506903361646</v>
      </c>
      <c r="X51" s="639">
        <f t="shared" si="20"/>
        <v>-14469.21704142887</v>
      </c>
      <c r="Y51" s="639">
        <f t="shared" si="20"/>
        <v>-14758.601382257475</v>
      </c>
      <c r="Z51" s="639">
        <f t="shared" si="20"/>
        <v>-15053.773409902613</v>
      </c>
      <c r="AA51" s="639"/>
      <c r="AB51" s="639"/>
      <c r="AC51" s="639"/>
      <c r="AD51" s="639"/>
      <c r="AE51" s="639"/>
      <c r="AF51" s="639"/>
      <c r="AG51" s="639"/>
      <c r="AH51" s="639"/>
      <c r="AI51" s="639"/>
      <c r="AJ51" s="639"/>
    </row>
    <row r="52" spans="1:36" x14ac:dyDescent="0.25">
      <c r="A52" t="s">
        <v>422</v>
      </c>
      <c r="H52" s="454" t="s">
        <v>676</v>
      </c>
      <c r="I52" s="496" t="s">
        <v>672</v>
      </c>
      <c r="K52" s="616">
        <f t="shared" ref="K52:AJ52" si="21">SUM(K53:K54)</f>
        <v>0</v>
      </c>
      <c r="L52" s="616">
        <f t="shared" si="21"/>
        <v>-632.43325753344004</v>
      </c>
      <c r="M52" s="616">
        <f t="shared" si="21"/>
        <v>-885.40656054681608</v>
      </c>
      <c r="N52" s="616">
        <f t="shared" si="21"/>
        <v>-1328.1098408202242</v>
      </c>
      <c r="O52" s="616">
        <f t="shared" si="21"/>
        <v>-1394.5153328612353</v>
      </c>
      <c r="P52" s="616">
        <f t="shared" si="21"/>
        <v>-1464.2410995042972</v>
      </c>
      <c r="Q52" s="616">
        <f t="shared" si="21"/>
        <v>-1537.453154479512</v>
      </c>
      <c r="R52" s="616">
        <f t="shared" si="21"/>
        <v>-1614.3258122034877</v>
      </c>
      <c r="S52" s="616">
        <f t="shared" si="21"/>
        <v>-1695.0421028136618</v>
      </c>
      <c r="T52" s="616">
        <f t="shared" si="21"/>
        <v>-1779.7942079543452</v>
      </c>
      <c r="U52" s="616">
        <f t="shared" si="21"/>
        <v>-1868.7839183520623</v>
      </c>
      <c r="V52" s="616">
        <f t="shared" si="21"/>
        <v>-1962.2231142696655</v>
      </c>
      <c r="W52" s="616">
        <f t="shared" si="21"/>
        <v>-2060.3342699831487</v>
      </c>
      <c r="X52" s="616">
        <f t="shared" si="21"/>
        <v>-2163.3509834823062</v>
      </c>
      <c r="Y52" s="616">
        <f t="shared" si="21"/>
        <v>-2271.5185326564215</v>
      </c>
      <c r="Z52" s="616">
        <f t="shared" si="21"/>
        <v>-2385.0944592892429</v>
      </c>
      <c r="AA52" s="616"/>
      <c r="AB52" s="616"/>
      <c r="AC52" s="616"/>
      <c r="AD52" s="616"/>
      <c r="AE52" s="616"/>
      <c r="AF52" s="616"/>
      <c r="AG52" s="616"/>
      <c r="AH52" s="616"/>
      <c r="AI52" s="616"/>
      <c r="AJ52" s="616"/>
    </row>
    <row r="53" spans="1:36" s="299" customFormat="1" x14ac:dyDescent="0.25">
      <c r="A53" s="299" t="s">
        <v>422</v>
      </c>
      <c r="B53" s="299" t="s">
        <v>667</v>
      </c>
      <c r="H53" s="553" t="s">
        <v>673</v>
      </c>
      <c r="I53" s="554" t="s">
        <v>672</v>
      </c>
      <c r="K53" s="555"/>
      <c r="L53" s="555" cm="1">
        <f t="array" ref="L53">-SUMPRODUCT('W2'!$M$12:$V$112*('W2'!$M$7:$V$7=$A53)*('W2'!$A$12:$A$112=$B53))*L33*$H$10*POWER(1+Inflation,L$11+1)</f>
        <v>-632.43325753344004</v>
      </c>
      <c r="M53" s="555" cm="1">
        <f t="array" ref="M53">-SUMPRODUCT('W2'!$M$12:$V$112*('W2'!$M$7:$V$7=$A53)*('W2'!$A$12:$A$112=$B53))*M33*$H$10*POWER(1+Inflation,M$11+1)</f>
        <v>-885.40656054681608</v>
      </c>
      <c r="N53" s="555" cm="1">
        <f t="array" ref="N53">-SUMPRODUCT('W2'!$M$12:$V$112*('W2'!$M$7:$V$7=$A53)*('W2'!$A$12:$A$112=$B53))*N33*$H$10*POWER(1+Inflation,N$11+1)</f>
        <v>-1328.1098408202242</v>
      </c>
      <c r="O53" s="555" cm="1">
        <f t="array" ref="O53">-SUMPRODUCT('W2'!$M$12:$V$112*('W2'!$M$7:$V$7=$A53)*('W2'!$A$12:$A$112=$B53))*O33*$H$10*POWER(1+Inflation,O$11+1)</f>
        <v>-1394.5153328612353</v>
      </c>
      <c r="P53" s="555" cm="1">
        <f t="array" ref="P53">-SUMPRODUCT('W2'!$M$12:$V$112*('W2'!$M$7:$V$7=$A53)*('W2'!$A$12:$A$112=$B53))*P33*$H$10*POWER(1+Inflation,P$11+1)</f>
        <v>-1464.2410995042972</v>
      </c>
      <c r="Q53" s="555" cm="1">
        <f t="array" ref="Q53">-SUMPRODUCT('W2'!$M$12:$V$112*('W2'!$M$7:$V$7=$A53)*('W2'!$A$12:$A$112=$B53))*Q33*$H$10*POWER(1+Inflation,Q$11+1)</f>
        <v>-1537.453154479512</v>
      </c>
      <c r="R53" s="555" cm="1">
        <f t="array" ref="R53">-SUMPRODUCT('W2'!$M$12:$V$112*('W2'!$M$7:$V$7=$A53)*('W2'!$A$12:$A$112=$B53))*R33*$H$10*POWER(1+Inflation,R$11+1)</f>
        <v>-1614.3258122034877</v>
      </c>
      <c r="S53" s="555" cm="1">
        <f t="array" ref="S53">-SUMPRODUCT('W2'!$M$12:$V$112*('W2'!$M$7:$V$7=$A53)*('W2'!$A$12:$A$112=$B53))*S33*$H$10*POWER(1+Inflation,S$11+1)</f>
        <v>-1695.0421028136618</v>
      </c>
      <c r="T53" s="555" cm="1">
        <f t="array" ref="T53">-SUMPRODUCT('W2'!$M$12:$V$112*('W2'!$M$7:$V$7=$A53)*('W2'!$A$12:$A$112=$B53))*T33*$H$10*POWER(1+Inflation,T$11+1)</f>
        <v>-1779.7942079543452</v>
      </c>
      <c r="U53" s="555" cm="1">
        <f t="array" ref="U53">-SUMPRODUCT('W2'!$M$12:$V$112*('W2'!$M$7:$V$7=$A53)*('W2'!$A$12:$A$112=$B53))*U33*$H$10*POWER(1+Inflation,U$11+1)</f>
        <v>-1868.7839183520623</v>
      </c>
      <c r="V53" s="555" cm="1">
        <f t="array" ref="V53">-SUMPRODUCT('W2'!$M$12:$V$112*('W2'!$M$7:$V$7=$A53)*('W2'!$A$12:$A$112=$B53))*V33*$H$10*POWER(1+Inflation,V$11+1)</f>
        <v>-1962.2231142696655</v>
      </c>
      <c r="W53" s="555" cm="1">
        <f t="array" ref="W53">-SUMPRODUCT('W2'!$M$12:$V$112*('W2'!$M$7:$V$7=$A53)*('W2'!$A$12:$A$112=$B53))*W33*$H$10*POWER(1+Inflation,W$11+1)</f>
        <v>-2060.3342699831487</v>
      </c>
      <c r="X53" s="555" cm="1">
        <f t="array" ref="X53">-SUMPRODUCT('W2'!$M$12:$V$112*('W2'!$M$7:$V$7=$A53)*('W2'!$A$12:$A$112=$B53))*X33*$H$10*POWER(1+Inflation,X$11+1)</f>
        <v>-2163.3509834823062</v>
      </c>
      <c r="Y53" s="555" cm="1">
        <f t="array" ref="Y53">-SUMPRODUCT('W2'!$M$12:$V$112*('W2'!$M$7:$V$7=$A53)*('W2'!$A$12:$A$112=$B53))*Y33*$H$10*POWER(1+Inflation,Y$11+1)</f>
        <v>-2271.5185326564215</v>
      </c>
      <c r="Z53" s="555" cm="1">
        <f t="array" ref="Z53">-SUMPRODUCT('W2'!$M$12:$V$112*('W2'!$M$7:$V$7=$A53)*('W2'!$A$12:$A$112=$B53))*Z33*$H$10*POWER(1+Inflation,Z$11+1)</f>
        <v>-2385.0944592892429</v>
      </c>
      <c r="AA53" s="555"/>
      <c r="AB53" s="555"/>
      <c r="AC53" s="555"/>
      <c r="AD53" s="555"/>
      <c r="AE53" s="555"/>
      <c r="AF53" s="555"/>
      <c r="AG53" s="555"/>
      <c r="AH53" s="555"/>
      <c r="AI53" s="555"/>
      <c r="AJ53" s="555"/>
    </row>
    <row r="54" spans="1:36" s="299" customFormat="1" x14ac:dyDescent="0.25">
      <c r="A54" s="299" t="s">
        <v>422</v>
      </c>
      <c r="B54" s="299" t="s">
        <v>668</v>
      </c>
      <c r="H54" s="553" t="s">
        <v>674</v>
      </c>
      <c r="I54" s="554" t="s">
        <v>672</v>
      </c>
      <c r="K54" s="555"/>
      <c r="L54" s="555" cm="1">
        <f t="array" ref="L54">-SUMPRODUCT('W2'!$M$12:$V$112*('W2'!$M$7:$V$7=$A54)*('W2'!$A$12:$A$112=$B54))*L34*$H$10*POWER(1+Inflation,L$11+1)</f>
        <v>0</v>
      </c>
      <c r="M54" s="555" cm="1">
        <f t="array" ref="M54">-SUMPRODUCT('W2'!$M$12:$V$112*('W2'!$M$7:$V$7=$A54)*('W2'!$A$12:$A$112=$B54))*M34*$H$10*POWER(1+Inflation,M$11+1)</f>
        <v>0</v>
      </c>
      <c r="N54" s="555" cm="1">
        <f t="array" ref="N54">-SUMPRODUCT('W2'!$M$12:$V$112*('W2'!$M$7:$V$7=$A54)*('W2'!$A$12:$A$112=$B54))*N34*$H$10*POWER(1+Inflation,N$11+1)</f>
        <v>0</v>
      </c>
      <c r="O54" s="555" cm="1">
        <f t="array" ref="O54">-SUMPRODUCT('W2'!$M$12:$V$112*('W2'!$M$7:$V$7=$A54)*('W2'!$A$12:$A$112=$B54))*O34*$H$10*POWER(1+Inflation,O$11+1)</f>
        <v>0</v>
      </c>
      <c r="P54" s="555" cm="1">
        <f t="array" ref="P54">-SUMPRODUCT('W2'!$M$12:$V$112*('W2'!$M$7:$V$7=$A54)*('W2'!$A$12:$A$112=$B54))*P34*$H$10*POWER(1+Inflation,P$11+1)</f>
        <v>0</v>
      </c>
      <c r="Q54" s="555" cm="1">
        <f t="array" ref="Q54">-SUMPRODUCT('W2'!$M$12:$V$112*('W2'!$M$7:$V$7=$A54)*('W2'!$A$12:$A$112=$B54))*Q34*$H$10*POWER(1+Inflation,Q$11+1)</f>
        <v>0</v>
      </c>
      <c r="R54" s="555" cm="1">
        <f t="array" ref="R54">-SUMPRODUCT('W2'!$M$12:$V$112*('W2'!$M$7:$V$7=$A54)*('W2'!$A$12:$A$112=$B54))*R34*$H$10*POWER(1+Inflation,R$11+1)</f>
        <v>0</v>
      </c>
      <c r="S54" s="555" cm="1">
        <f t="array" ref="S54">-SUMPRODUCT('W2'!$M$12:$V$112*('W2'!$M$7:$V$7=$A54)*('W2'!$A$12:$A$112=$B54))*S34*$H$10*POWER(1+Inflation,S$11+1)</f>
        <v>0</v>
      </c>
      <c r="T54" s="555" cm="1">
        <f t="array" ref="T54">-SUMPRODUCT('W2'!$M$12:$V$112*('W2'!$M$7:$V$7=$A54)*('W2'!$A$12:$A$112=$B54))*T34*$H$10*POWER(1+Inflation,T$11+1)</f>
        <v>0</v>
      </c>
      <c r="U54" s="555" cm="1">
        <f t="array" ref="U54">-SUMPRODUCT('W2'!$M$12:$V$112*('W2'!$M$7:$V$7=$A54)*('W2'!$A$12:$A$112=$B54))*U34*$H$10*POWER(1+Inflation,U$11+1)</f>
        <v>0</v>
      </c>
      <c r="V54" s="555" cm="1">
        <f t="array" ref="V54">-SUMPRODUCT('W2'!$M$12:$V$112*('W2'!$M$7:$V$7=$A54)*('W2'!$A$12:$A$112=$B54))*V34*$H$10*POWER(1+Inflation,V$11+1)</f>
        <v>0</v>
      </c>
      <c r="W54" s="555" cm="1">
        <f t="array" ref="W54">-SUMPRODUCT('W2'!$M$12:$V$112*('W2'!$M$7:$V$7=$A54)*('W2'!$A$12:$A$112=$B54))*W34*$H$10*POWER(1+Inflation,W$11+1)</f>
        <v>0</v>
      </c>
      <c r="X54" s="555" cm="1">
        <f t="array" ref="X54">-SUMPRODUCT('W2'!$M$12:$V$112*('W2'!$M$7:$V$7=$A54)*('W2'!$A$12:$A$112=$B54))*X34*$H$10*POWER(1+Inflation,X$11+1)</f>
        <v>0</v>
      </c>
      <c r="Y54" s="555" cm="1">
        <f t="array" ref="Y54">-SUMPRODUCT('W2'!$M$12:$V$112*('W2'!$M$7:$V$7=$A54)*('W2'!$A$12:$A$112=$B54))*Y34*$H$10*POWER(1+Inflation,Y$11+1)</f>
        <v>0</v>
      </c>
      <c r="Z54" s="555" cm="1">
        <f t="array" ref="Z54">-SUMPRODUCT('W2'!$M$12:$V$112*('W2'!$M$7:$V$7=$A54)*('W2'!$A$12:$A$112=$B54))*Z34*$H$10*POWER(1+Inflation,Z$11+1)</f>
        <v>0</v>
      </c>
      <c r="AA54" s="555"/>
      <c r="AB54" s="555"/>
      <c r="AC54" s="555"/>
      <c r="AD54" s="555"/>
      <c r="AE54" s="555"/>
      <c r="AF54" s="555"/>
      <c r="AG54" s="555"/>
      <c r="AH54" s="555"/>
      <c r="AI54" s="555"/>
      <c r="AJ54" s="555"/>
    </row>
    <row r="55" spans="1:36" x14ac:dyDescent="0.25">
      <c r="A55" t="s">
        <v>422</v>
      </c>
      <c r="H55" s="454" t="s">
        <v>180</v>
      </c>
      <c r="I55" s="496" t="str">
        <f t="shared" si="17"/>
        <v>tr. VND</v>
      </c>
      <c r="K55" s="616">
        <f>SUM(K56:K58)</f>
        <v>0</v>
      </c>
      <c r="L55" s="616">
        <f>SUM(L56:L58)</f>
        <v>-8739.800110293334</v>
      </c>
      <c r="M55" s="616">
        <f t="shared" ref="M55:Z55" si="22">SUM(M56:M58)</f>
        <v>-11537.321163477332</v>
      </c>
      <c r="N55" s="616">
        <f t="shared" si="22"/>
        <v>-16468.954914549333</v>
      </c>
      <c r="O55" s="616">
        <f t="shared" si="22"/>
        <v>-17241.074694410134</v>
      </c>
      <c r="P55" s="616">
        <f t="shared" si="22"/>
        <v>-18051.800463263975</v>
      </c>
      <c r="Q55" s="616">
        <f t="shared" si="22"/>
        <v>-18903.062520560507</v>
      </c>
      <c r="R55" s="616">
        <f t="shared" si="22"/>
        <v>-19796.887680721866</v>
      </c>
      <c r="S55" s="616">
        <f t="shared" si="22"/>
        <v>-20735.404098891289</v>
      </c>
      <c r="T55" s="616">
        <f t="shared" si="22"/>
        <v>-21720.846337969193</v>
      </c>
      <c r="U55" s="616">
        <f t="shared" si="22"/>
        <v>-22755.560689000984</v>
      </c>
      <c r="V55" s="616">
        <f t="shared" si="22"/>
        <v>-23842.010757584365</v>
      </c>
      <c r="W55" s="616">
        <f t="shared" si="22"/>
        <v>-24982.783329596918</v>
      </c>
      <c r="X55" s="616">
        <f t="shared" si="22"/>
        <v>-25178.095196876766</v>
      </c>
      <c r="Y55" s="616">
        <f t="shared" si="22"/>
        <v>-26435.796957520601</v>
      </c>
      <c r="Z55" s="616">
        <f t="shared" si="22"/>
        <v>-27756.383806196634</v>
      </c>
      <c r="AA55" s="616"/>
      <c r="AB55" s="616"/>
      <c r="AC55" s="616"/>
      <c r="AD55" s="616"/>
      <c r="AE55" s="616"/>
      <c r="AF55" s="616"/>
      <c r="AG55" s="616"/>
      <c r="AH55" s="616"/>
      <c r="AI55" s="616"/>
      <c r="AJ55" s="616"/>
    </row>
    <row r="56" spans="1:36" s="299" customFormat="1" x14ac:dyDescent="0.25">
      <c r="A56" s="299" t="s">
        <v>422</v>
      </c>
      <c r="B56" s="299" t="s">
        <v>174</v>
      </c>
      <c r="H56" s="553" t="s">
        <v>73</v>
      </c>
      <c r="I56" s="554" t="str">
        <f t="shared" si="17"/>
        <v>tr. VND</v>
      </c>
      <c r="K56" s="555"/>
      <c r="L56" s="555" cm="1">
        <f t="array" ref="L56">-SUMPRODUCT('W2'!$M$12:$V$112*('W2'!$M$7:$V$7=$A56)*('W2'!$A$12:$A$112=$B56))*L26*24*$H$10*POWER(1+Inflation,L$11+1)</f>
        <v>-5749.8011999999999</v>
      </c>
      <c r="M56" s="555" cm="1">
        <f t="array" ref="M56">-SUMPRODUCT('W2'!$M$12:$V$112*('W2'!$M$7:$V$7=$A56)*('W2'!$A$12:$A$112=$B56))*M26*24*$H$10*POWER(1+Inflation,M$11+1)</f>
        <v>-8049.7216799999978</v>
      </c>
      <c r="N56" s="555" cm="1">
        <f t="array" ref="N56">-SUMPRODUCT('W2'!$M$12:$V$112*('W2'!$M$7:$V$7=$A56)*('W2'!$A$12:$A$112=$B56))*N26*24*$H$10*POWER(1+Inflation,N$11+1)</f>
        <v>-12074.58252</v>
      </c>
      <c r="O56" s="555" cm="1">
        <f t="array" ref="O56">-SUMPRODUCT('W2'!$M$12:$V$112*('W2'!$M$7:$V$7=$A56)*('W2'!$A$12:$A$112=$B56))*O26*24*$H$10*POWER(1+Inflation,O$11+1)</f>
        <v>-12678.311646</v>
      </c>
      <c r="P56" s="555" cm="1">
        <f t="array" ref="P56">-SUMPRODUCT('W2'!$M$12:$V$112*('W2'!$M$7:$V$7=$A56)*('W2'!$A$12:$A$112=$B56))*P26*24*$H$10*POWER(1+Inflation,P$11+1)</f>
        <v>-13312.227228300002</v>
      </c>
      <c r="Q56" s="555" cm="1">
        <f t="array" ref="Q56">-SUMPRODUCT('W2'!$M$12:$V$112*('W2'!$M$7:$V$7=$A56)*('W2'!$A$12:$A$112=$B56))*Q26*24*$H$10*POWER(1+Inflation,Q$11+1)</f>
        <v>-13977.838589715</v>
      </c>
      <c r="R56" s="555" cm="1">
        <f t="array" ref="R56">-SUMPRODUCT('W2'!$M$12:$V$112*('W2'!$M$7:$V$7=$A56)*('W2'!$A$12:$A$112=$B56))*R26*24*$H$10*POWER(1+Inflation,R$11+1)</f>
        <v>-14676.730519200752</v>
      </c>
      <c r="S56" s="555" cm="1">
        <f t="array" ref="S56">-SUMPRODUCT('W2'!$M$12:$V$112*('W2'!$M$7:$V$7=$A56)*('W2'!$A$12:$A$112=$B56))*S26*24*$H$10*POWER(1+Inflation,S$11+1)</f>
        <v>-15410.567045160788</v>
      </c>
      <c r="T56" s="555" cm="1">
        <f t="array" ref="T56">-SUMPRODUCT('W2'!$M$12:$V$112*('W2'!$M$7:$V$7=$A56)*('W2'!$A$12:$A$112=$B56))*T26*24*$H$10*POWER(1+Inflation,T$11+1)</f>
        <v>-16181.095397418829</v>
      </c>
      <c r="U56" s="555" cm="1">
        <f t="array" ref="U56">-SUMPRODUCT('W2'!$M$12:$V$112*('W2'!$M$7:$V$7=$A56)*('W2'!$A$12:$A$112=$B56))*U26*24*$H$10*POWER(1+Inflation,U$11+1)</f>
        <v>-16990.150167289768</v>
      </c>
      <c r="V56" s="555" cm="1">
        <f t="array" ref="V56">-SUMPRODUCT('W2'!$M$12:$V$112*('W2'!$M$7:$V$7=$A56)*('W2'!$A$12:$A$112=$B56))*V26*24*$H$10*POWER(1+Inflation,V$11+1)</f>
        <v>-17839.657675654256</v>
      </c>
      <c r="W56" s="555" cm="1">
        <f t="array" ref="W56">-SUMPRODUCT('W2'!$M$12:$V$112*('W2'!$M$7:$V$7=$A56)*('W2'!$A$12:$A$112=$B56))*W26*24*$H$10*POWER(1+Inflation,W$11+1)</f>
        <v>-18731.640559436972</v>
      </c>
      <c r="X56" s="555" cm="1">
        <f t="array" ref="X56">-SUMPRODUCT('W2'!$M$12:$V$112*('W2'!$M$7:$V$7=$A56)*('W2'!$A$12:$A$112=$B56))*X26*24*$H$10*POWER(1+Inflation,X$11+1)</f>
        <v>-19668.222587408822</v>
      </c>
      <c r="Y56" s="555" cm="1">
        <f t="array" ref="Y56">-SUMPRODUCT('W2'!$M$12:$V$112*('W2'!$M$7:$V$7=$A56)*('W2'!$A$12:$A$112=$B56))*Y26*24*$H$10*POWER(1+Inflation,Y$11+1)</f>
        <v>-20651.633716779259</v>
      </c>
      <c r="Z56" s="555" cm="1">
        <f t="array" ref="Z56">-SUMPRODUCT('W2'!$M$12:$V$112*('W2'!$M$7:$V$7=$A56)*('W2'!$A$12:$A$112=$B56))*Z26*24*$H$10*POWER(1+Inflation,Z$11+1)</f>
        <v>-21684.215402618225</v>
      </c>
      <c r="AA56" s="555"/>
      <c r="AB56" s="555"/>
      <c r="AC56" s="555"/>
      <c r="AD56" s="555"/>
      <c r="AE56" s="555"/>
      <c r="AF56" s="555"/>
      <c r="AG56" s="555"/>
      <c r="AH56" s="555"/>
      <c r="AI56" s="555"/>
      <c r="AJ56" s="555"/>
    </row>
    <row r="57" spans="1:36" s="299" customFormat="1" x14ac:dyDescent="0.25">
      <c r="A57" s="299" t="s">
        <v>422</v>
      </c>
      <c r="B57" s="299" t="s">
        <v>462</v>
      </c>
      <c r="H57" s="553" t="s">
        <v>192</v>
      </c>
      <c r="I57" s="554" t="str">
        <f t="shared" si="17"/>
        <v>tr. VND</v>
      </c>
      <c r="K57" s="555"/>
      <c r="L57" s="555" cm="1">
        <f t="array" ref="L57">-SUMPRODUCT('W2'!$M$12:$V$112*('W2'!$M$7:$V$7=$A57)*('W2'!$A$12:$A$112=$B57))*L27*$H$10*POWER(1+Inflation,L$11+1)</f>
        <v>-975.00902399999995</v>
      </c>
      <c r="M57" s="555" cm="1">
        <f t="array" ref="M57">-SUMPRODUCT('W2'!$M$12:$V$112*('W2'!$M$7:$V$7=$A57)*('W2'!$A$12:$A$112=$B57))*M27*$H$10*POWER(1+Inflation,M$11+1)</f>
        <v>-1365.0126335999998</v>
      </c>
      <c r="N57" s="555" cm="1">
        <f t="array" ref="N57">-SUMPRODUCT('W2'!$M$12:$V$112*('W2'!$M$7:$V$7=$A57)*('W2'!$A$12:$A$112=$B57))*N27*$H$10*POWER(1+Inflation,N$11+1)</f>
        <v>-2047.5189504</v>
      </c>
      <c r="O57" s="555" cm="1">
        <f t="array" ref="O57">-SUMPRODUCT('W2'!$M$12:$V$112*('W2'!$M$7:$V$7=$A57)*('W2'!$A$12:$A$112=$B57))*O27*$H$10*POWER(1+Inflation,O$11+1)</f>
        <v>-2149.8948979199999</v>
      </c>
      <c r="P57" s="555" cm="1">
        <f t="array" ref="P57">-SUMPRODUCT('W2'!$M$12:$V$112*('W2'!$M$7:$V$7=$A57)*('W2'!$A$12:$A$112=$B57))*P27*$H$10*POWER(1+Inflation,P$11+1)</f>
        <v>-2257.3896428160001</v>
      </c>
      <c r="Q57" s="555" cm="1">
        <f t="array" ref="Q57">-SUMPRODUCT('W2'!$M$12:$V$112*('W2'!$M$7:$V$7=$A57)*('W2'!$A$12:$A$112=$B57))*Q27*$H$10*POWER(1+Inflation,Q$11+1)</f>
        <v>-2370.2591249568</v>
      </c>
      <c r="R57" s="555" cm="1">
        <f t="array" ref="R57">-SUMPRODUCT('W2'!$M$12:$V$112*('W2'!$M$7:$V$7=$A57)*('W2'!$A$12:$A$112=$B57))*R27*$H$10*POWER(1+Inflation,R$11+1)</f>
        <v>-2488.77208120464</v>
      </c>
      <c r="S57" s="555" cm="1">
        <f t="array" ref="S57">-SUMPRODUCT('W2'!$M$12:$V$112*('W2'!$M$7:$V$7=$A57)*('W2'!$A$12:$A$112=$B57))*S27*$H$10*POWER(1+Inflation,S$11+1)</f>
        <v>-2613.2106852648717</v>
      </c>
      <c r="T57" s="555" cm="1">
        <f t="array" ref="T57">-SUMPRODUCT('W2'!$M$12:$V$112*('W2'!$M$7:$V$7=$A57)*('W2'!$A$12:$A$112=$B57))*T27*$H$10*POWER(1+Inflation,T$11+1)</f>
        <v>-2743.8712195281159</v>
      </c>
      <c r="U57" s="555" cm="1">
        <f t="array" ref="U57">-SUMPRODUCT('W2'!$M$12:$V$112*('W2'!$M$7:$V$7=$A57)*('W2'!$A$12:$A$112=$B57))*U27*$H$10*POWER(1+Inflation,U$11+1)</f>
        <v>-2881.0647805045214</v>
      </c>
      <c r="V57" s="555" cm="1">
        <f t="array" ref="V57">-SUMPRODUCT('W2'!$M$12:$V$112*('W2'!$M$7:$V$7=$A57)*('W2'!$A$12:$A$112=$B57))*V27*$H$10*POWER(1+Inflation,V$11+1)</f>
        <v>-3025.1180195297475</v>
      </c>
      <c r="W57" s="555" cm="1">
        <f t="array" ref="W57">-SUMPRODUCT('W2'!$M$12:$V$112*('W2'!$M$7:$V$7=$A57)*('W2'!$A$12:$A$112=$B57))*W27*$H$10*POWER(1+Inflation,W$11+1)</f>
        <v>-3176.3739205062352</v>
      </c>
      <c r="X57" s="555" cm="1">
        <f t="array" ref="X57">-SUMPRODUCT('W2'!$M$12:$V$112*('W2'!$M$7:$V$7=$A57)*('W2'!$A$12:$A$112=$B57))*X27*$H$10*POWER(1+Inflation,X$11+1)</f>
        <v>-3335.1926165315472</v>
      </c>
      <c r="Y57" s="555" cm="1">
        <f t="array" ref="Y57">-SUMPRODUCT('W2'!$M$12:$V$112*('W2'!$M$7:$V$7=$A57)*('W2'!$A$12:$A$112=$B57))*Y27*$H$10*POWER(1+Inflation,Y$11+1)</f>
        <v>-3501.9522473581237</v>
      </c>
      <c r="Z57" s="555" cm="1">
        <f t="array" ref="Z57">-SUMPRODUCT('W2'!$M$12:$V$112*('W2'!$M$7:$V$7=$A57)*('W2'!$A$12:$A$112=$B57))*Z27*$H$10*POWER(1+Inflation,Z$11+1)</f>
        <v>-3677.0498597260307</v>
      </c>
      <c r="AA57" s="555"/>
      <c r="AB57" s="555"/>
      <c r="AC57" s="555"/>
      <c r="AD57" s="555"/>
      <c r="AE57" s="555"/>
      <c r="AF57" s="555"/>
      <c r="AG57" s="555"/>
      <c r="AH57" s="555"/>
      <c r="AI57" s="555"/>
      <c r="AJ57" s="555"/>
    </row>
    <row r="58" spans="1:36" s="299" customFormat="1" x14ac:dyDescent="0.25">
      <c r="A58" s="299" t="s">
        <v>422</v>
      </c>
      <c r="B58" s="299" t="s">
        <v>140</v>
      </c>
      <c r="H58" s="553" t="s">
        <v>175</v>
      </c>
      <c r="I58" s="554" t="str">
        <f t="shared" si="17"/>
        <v>tr. VND</v>
      </c>
      <c r="K58" s="555"/>
      <c r="L58" s="555" cm="1">
        <f t="array" ref="L58">SUMPRODUCT('W2'!$M$12:$V$112*('W2'!$M$7:$V$7=$A58)*('W2'!$A$12:$A$112=$B58))*(SUM(L38,L56:L57))</f>
        <v>-2014.9898862933333</v>
      </c>
      <c r="M58" s="555" cm="1">
        <f t="array" ref="M58">SUMPRODUCT('W2'!$M$12:$V$112*('W2'!$M$7:$V$7=$A58)*('W2'!$A$12:$A$112=$B58))*(SUM(M38,M56:M57))</f>
        <v>-2122.5868498773334</v>
      </c>
      <c r="N58" s="555" cm="1">
        <f t="array" ref="N58">SUMPRODUCT('W2'!$M$12:$V$112*('W2'!$M$7:$V$7=$A58)*('W2'!$A$12:$A$112=$B58))*(SUM(N38,N56:N57))</f>
        <v>-2346.8534441493334</v>
      </c>
      <c r="O58" s="555" cm="1">
        <f t="array" ref="O58">SUMPRODUCT('W2'!$M$12:$V$112*('W2'!$M$7:$V$7=$A58)*('W2'!$A$12:$A$112=$B58))*(SUM(O38,O56:O57))</f>
        <v>-2412.8681504901338</v>
      </c>
      <c r="P58" s="555" cm="1">
        <f t="array" ref="P58">SUMPRODUCT('W2'!$M$12:$V$112*('W2'!$M$7:$V$7=$A58)*('W2'!$A$12:$A$112=$B58))*(SUM(P38,P56:P57))</f>
        <v>-2482.1835921479737</v>
      </c>
      <c r="Q58" s="555" cm="1">
        <f t="array" ref="Q58">SUMPRODUCT('W2'!$M$12:$V$112*('W2'!$M$7:$V$7=$A58)*('W2'!$A$12:$A$112=$B58))*(SUM(Q38,Q56:Q57))</f>
        <v>-2554.9648058887055</v>
      </c>
      <c r="R58" s="555" cm="1">
        <f t="array" ref="R58">SUMPRODUCT('W2'!$M$12:$V$112*('W2'!$M$7:$V$7=$A58)*('W2'!$A$12:$A$112=$B58))*(SUM(R38,R56:R57))</f>
        <v>-2631.3850803164742</v>
      </c>
      <c r="S58" s="555" cm="1">
        <f t="array" ref="S58">SUMPRODUCT('W2'!$M$12:$V$112*('W2'!$M$7:$V$7=$A58)*('W2'!$A$12:$A$112=$B58))*(SUM(S38,S56:S57))</f>
        <v>-2711.6263684656315</v>
      </c>
      <c r="T58" s="555" cm="1">
        <f t="array" ref="T58">SUMPRODUCT('W2'!$M$12:$V$112*('W2'!$M$7:$V$7=$A58)*('W2'!$A$12:$A$112=$B58))*(SUM(T38,T56:T57))</f>
        <v>-2795.879721022246</v>
      </c>
      <c r="U58" s="555" cm="1">
        <f t="array" ref="U58">SUMPRODUCT('W2'!$M$12:$V$112*('W2'!$M$7:$V$7=$A58)*('W2'!$A$12:$A$112=$B58))*(SUM(U38,U56:U57))</f>
        <v>-2884.3457412066919</v>
      </c>
      <c r="V58" s="555" cm="1">
        <f t="array" ref="V58">SUMPRODUCT('W2'!$M$12:$V$112*('W2'!$M$7:$V$7=$A58)*('W2'!$A$12:$A$112=$B58))*(SUM(V38,V56:V57))</f>
        <v>-2977.2350624003593</v>
      </c>
      <c r="W58" s="555" cm="1">
        <f t="array" ref="W58">SUMPRODUCT('W2'!$M$12:$V$112*('W2'!$M$7:$V$7=$A58)*('W2'!$A$12:$A$112=$B58))*(SUM(W38,W56:W57))</f>
        <v>-3074.7688496537107</v>
      </c>
      <c r="X58" s="555" cm="1">
        <f t="array" ref="X58">SUMPRODUCT('W2'!$M$12:$V$112*('W2'!$M$7:$V$7=$A58)*('W2'!$A$12:$A$112=$B58))*(SUM(X38,X56:X57))</f>
        <v>-2174.6799929363965</v>
      </c>
      <c r="Y58" s="555" cm="1">
        <f t="array" ref="Y58">SUMPRODUCT('W2'!$M$12:$V$112*('W2'!$M$7:$V$7=$A58)*('W2'!$A$12:$A$112=$B58))*(SUM(Y38,Y56:Y57))</f>
        <v>-2282.2109933832162</v>
      </c>
      <c r="Z58" s="555" cm="1">
        <f t="array" ref="Z58">SUMPRODUCT('W2'!$M$12:$V$112*('W2'!$M$7:$V$7=$A58)*('W2'!$A$12:$A$112=$B58))*(SUM(Z38,Z56:Z57))</f>
        <v>-2395.1185438523776</v>
      </c>
      <c r="AA58" s="555"/>
      <c r="AB58" s="555"/>
      <c r="AC58" s="555"/>
      <c r="AD58" s="555"/>
      <c r="AE58" s="555"/>
      <c r="AF58" s="555"/>
      <c r="AG58" s="555"/>
      <c r="AH58" s="555"/>
      <c r="AI58" s="555"/>
      <c r="AJ58" s="555"/>
    </row>
    <row r="59" spans="1:36" x14ac:dyDescent="0.25">
      <c r="A59" t="s">
        <v>422</v>
      </c>
      <c r="K59" s="15"/>
      <c r="L59" s="263"/>
      <c r="M59" s="15"/>
      <c r="N59" s="15"/>
      <c r="O59" s="15"/>
      <c r="P59" s="15"/>
      <c r="Q59" s="15"/>
      <c r="R59" s="15"/>
      <c r="S59" s="15"/>
      <c r="T59" s="15"/>
      <c r="U59" s="15"/>
      <c r="V59" s="15"/>
      <c r="W59" s="15"/>
      <c r="X59" s="15"/>
      <c r="Y59" s="15"/>
      <c r="Z59" s="15"/>
      <c r="AA59" s="15"/>
      <c r="AB59" s="15"/>
      <c r="AC59" s="15"/>
      <c r="AD59" s="15"/>
      <c r="AE59" s="15"/>
      <c r="AF59" s="15"/>
      <c r="AG59" s="15"/>
      <c r="AH59" s="15"/>
      <c r="AI59" s="15"/>
      <c r="AJ59" s="15"/>
    </row>
    <row r="60" spans="1:36" s="300" customFormat="1" x14ac:dyDescent="0.25">
      <c r="A60" s="300" t="s">
        <v>422</v>
      </c>
      <c r="H60" s="301" t="s">
        <v>464</v>
      </c>
      <c r="I60" s="302" t="str">
        <f>IF($H$9="USD","USD","tr. VND")</f>
        <v>tr. VND</v>
      </c>
      <c r="K60" s="303">
        <f>K38+K48</f>
        <v>0</v>
      </c>
      <c r="L60" s="303">
        <f t="shared" ref="L60:Z60" si="23">L38+L48</f>
        <v>-136144.00223716011</v>
      </c>
      <c r="M60" s="303">
        <f t="shared" si="23"/>
        <v>-172443.22936775751</v>
      </c>
      <c r="N60" s="303">
        <f t="shared" si="23"/>
        <v>-231914.83653814293</v>
      </c>
      <c r="O60" s="303">
        <f t="shared" si="23"/>
        <v>-237088.99513803353</v>
      </c>
      <c r="P60" s="303">
        <f t="shared" si="23"/>
        <v>-242420.12054562898</v>
      </c>
      <c r="Q60" s="303">
        <f t="shared" si="23"/>
        <v>-247914.02627886878</v>
      </c>
      <c r="R60" s="303">
        <f t="shared" si="23"/>
        <v>-253576.77583514043</v>
      </c>
      <c r="S60" s="303">
        <f t="shared" si="23"/>
        <v>-259414.69437632285</v>
      </c>
      <c r="T60" s="303">
        <f t="shared" si="23"/>
        <v>-265434.38098180352</v>
      </c>
      <c r="U60" s="303">
        <f t="shared" si="23"/>
        <v>-271642.72149754228</v>
      </c>
      <c r="V60" s="303">
        <f t="shared" si="23"/>
        <v>-278046.90201065154</v>
      </c>
      <c r="W60" s="303">
        <f t="shared" si="23"/>
        <v>-284654.42298043164</v>
      </c>
      <c r="X60" s="303">
        <f t="shared" si="23"/>
        <v>-265408.13139166962</v>
      </c>
      <c r="Y60" s="303">
        <f t="shared" si="23"/>
        <v>-272446.16696429788</v>
      </c>
      <c r="Z60" s="303">
        <f t="shared" si="23"/>
        <v>-279712.08245520247</v>
      </c>
      <c r="AA60" s="303"/>
      <c r="AB60" s="303"/>
      <c r="AC60" s="303"/>
      <c r="AD60" s="303"/>
      <c r="AE60" s="303"/>
      <c r="AF60" s="303"/>
      <c r="AG60" s="303"/>
      <c r="AH60" s="303"/>
      <c r="AI60" s="303"/>
      <c r="AJ60" s="303"/>
    </row>
    <row r="61" spans="1:36" x14ac:dyDescent="0.25">
      <c r="A61" t="s">
        <v>422</v>
      </c>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row>
    <row r="62" spans="1:36" x14ac:dyDescent="0.25">
      <c r="A62" t="s">
        <v>422</v>
      </c>
      <c r="B62" t="s">
        <v>622</v>
      </c>
      <c r="H62" s="459" t="s">
        <v>166</v>
      </c>
      <c r="I62" s="493" t="str">
        <f>IF($H$9="USD","USD","tr. VND")</f>
        <v>tr. VND</v>
      </c>
      <c r="K62" s="461"/>
      <c r="L62" s="461" cm="1">
        <f t="array" ref="L62">-SUMPRODUCT('W2'!$M$12:$V$112*('W2'!$M$7:$V$7=$A62)*('W2'!$A$12:$A$112=$B62))*L27*$H$10*POWER(1+Inflation,L$11+1)</f>
        <v>-2752.9666560000001</v>
      </c>
      <c r="M62" s="461" cm="1">
        <f t="array" ref="M62">-SUMPRODUCT('W2'!$M$12:$V$112*('W2'!$M$7:$V$7=$A62)*('W2'!$A$12:$A$112=$B62))*M27*$H$10*POWER(1+Inflation,M$11+1)</f>
        <v>-3854.1533183999995</v>
      </c>
      <c r="N62" s="461" cm="1">
        <f t="array" ref="N62">-SUMPRODUCT('W2'!$M$12:$V$112*('W2'!$M$7:$V$7=$A62)*('W2'!$A$12:$A$112=$B62))*N27*$H$10*POWER(1+Inflation,N$11+1)</f>
        <v>-5781.2299776</v>
      </c>
      <c r="O62" s="461" cm="1">
        <f t="array" ref="O62">-SUMPRODUCT('W2'!$M$12:$V$112*('W2'!$M$7:$V$7=$A62)*('W2'!$A$12:$A$112=$B62))*O27*$H$10*POWER(1+Inflation,O$11+1)</f>
        <v>-6070.2914764800007</v>
      </c>
      <c r="P62" s="461" cm="1">
        <f t="array" ref="P62">-SUMPRODUCT('W2'!$M$12:$V$112*('W2'!$M$7:$V$7=$A62)*('W2'!$A$12:$A$112=$B62))*P27*$H$10*POWER(1+Inflation,P$11+1)</f>
        <v>-6373.8060503040006</v>
      </c>
      <c r="Q62" s="461" cm="1">
        <f t="array" ref="Q62">-SUMPRODUCT('W2'!$M$12:$V$112*('W2'!$M$7:$V$7=$A62)*('W2'!$A$12:$A$112=$B62))*Q27*$H$10*POWER(1+Inflation,Q$11+1)</f>
        <v>-6692.4963528192002</v>
      </c>
      <c r="R62" s="461" cm="1">
        <f t="array" ref="R62">-SUMPRODUCT('W2'!$M$12:$V$112*('W2'!$M$7:$V$7=$A62)*('W2'!$A$12:$A$112=$B62))*R27*$H$10*POWER(1+Inflation,R$11+1)</f>
        <v>-7027.121170460161</v>
      </c>
      <c r="S62" s="461" cm="1">
        <f t="array" ref="S62">-SUMPRODUCT('W2'!$M$12:$V$112*('W2'!$M$7:$V$7=$A62)*('W2'!$A$12:$A$112=$B62))*S27*$H$10*POWER(1+Inflation,S$11+1)</f>
        <v>-7378.4772289831681</v>
      </c>
      <c r="T62" s="461" cm="1">
        <f t="array" ref="T62">-SUMPRODUCT('W2'!$M$12:$V$112*('W2'!$M$7:$V$7=$A62)*('W2'!$A$12:$A$112=$B62))*T27*$H$10*POWER(1+Inflation,T$11+1)</f>
        <v>-7747.4010904323277</v>
      </c>
      <c r="U62" s="461" cm="1">
        <f t="array" ref="U62">-SUMPRODUCT('W2'!$M$12:$V$112*('W2'!$M$7:$V$7=$A62)*('W2'!$A$12:$A$112=$B62))*U27*$H$10*POWER(1+Inflation,U$11+1)</f>
        <v>-8134.7711449539429</v>
      </c>
      <c r="V62" s="461" cm="1">
        <f t="array" ref="V62">-SUMPRODUCT('W2'!$M$12:$V$112*('W2'!$M$7:$V$7=$A62)*('W2'!$A$12:$A$112=$B62))*V27*$H$10*POWER(1+Inflation,V$11+1)</f>
        <v>-8541.5097022016416</v>
      </c>
      <c r="W62" s="461" cm="1">
        <f t="array" ref="W62">-SUMPRODUCT('W2'!$M$12:$V$112*('W2'!$M$7:$V$7=$A62)*('W2'!$A$12:$A$112=$B62))*W27*$H$10*POWER(1+Inflation,W$11+1)</f>
        <v>-8968.5851873117226</v>
      </c>
      <c r="X62" s="461" cm="1">
        <f t="array" ref="X62">-SUMPRODUCT('W2'!$M$12:$V$112*('W2'!$M$7:$V$7=$A62)*('W2'!$A$12:$A$112=$B62))*X27*$H$10*POWER(1+Inflation,X$11+1)</f>
        <v>-9417.014446677309</v>
      </c>
      <c r="Y62" s="461" cm="1">
        <f t="array" ref="Y62">-SUMPRODUCT('W2'!$M$12:$V$112*('W2'!$M$7:$V$7=$A62)*('W2'!$A$12:$A$112=$B62))*Y27*$H$10*POWER(1+Inflation,Y$11+1)</f>
        <v>-9887.8651690111747</v>
      </c>
      <c r="Z62" s="461" cm="1">
        <f t="array" ref="Z62">-SUMPRODUCT('W2'!$M$12:$V$112*('W2'!$M$7:$V$7=$A62)*('W2'!$A$12:$A$112=$B62))*Z27*$H$10*POWER(1+Inflation,Z$11+1)</f>
        <v>-10382.258427461735</v>
      </c>
      <c r="AA62" s="461"/>
      <c r="AB62" s="461"/>
      <c r="AC62" s="461"/>
      <c r="AD62" s="461"/>
      <c r="AE62" s="461"/>
      <c r="AF62" s="461"/>
      <c r="AG62" s="461"/>
      <c r="AH62" s="461"/>
      <c r="AI62" s="461"/>
      <c r="AJ62" s="461"/>
    </row>
    <row r="63" spans="1:36" x14ac:dyDescent="0.25">
      <c r="A63" t="s">
        <v>422</v>
      </c>
      <c r="B63" t="s">
        <v>527</v>
      </c>
      <c r="H63" s="454" t="s">
        <v>469</v>
      </c>
      <c r="I63" s="496" t="str">
        <f>IF($H$9="USD","USD","tr. VND")</f>
        <v>tr. VND</v>
      </c>
      <c r="K63" s="457"/>
      <c r="L63" s="457" cm="1">
        <f t="array" ref="L63">-SUMPRODUCT('W2'!$M$12:$V$112*('W2'!$M$7:$V$7=$A63)*('W2'!$A$12:$A$112=$B63))*L27*$H$10*POWER(1+Inflation,L$11+1)</f>
        <v>0</v>
      </c>
      <c r="M63" s="457" cm="1">
        <f t="array" ref="M63">-SUMPRODUCT('W2'!$M$12:$V$112*('W2'!$M$7:$V$7=$A63)*('W2'!$A$12:$A$112=$B63))*M27*$H$10*POWER(1+Inflation,M$11+1)</f>
        <v>0</v>
      </c>
      <c r="N63" s="457" cm="1">
        <f t="array" ref="N63">-SUMPRODUCT('W2'!$M$12:$V$112*('W2'!$M$7:$V$7=$A63)*('W2'!$A$12:$A$112=$B63))*N27*$H$10*POWER(1+Inflation,N$11+1)</f>
        <v>0</v>
      </c>
      <c r="O63" s="457" cm="1">
        <f t="array" ref="O63">-SUMPRODUCT('W2'!$M$12:$V$112*('W2'!$M$7:$V$7=$A63)*('W2'!$A$12:$A$112=$B63))*O27*$H$10*POWER(1+Inflation,O$11+1)</f>
        <v>0</v>
      </c>
      <c r="P63" s="457" cm="1">
        <f t="array" ref="P63">-SUMPRODUCT('W2'!$M$12:$V$112*('W2'!$M$7:$V$7=$A63)*('W2'!$A$12:$A$112=$B63))*P27*$H$10*POWER(1+Inflation,P$11+1)</f>
        <v>0</v>
      </c>
      <c r="Q63" s="457" cm="1">
        <f t="array" ref="Q63">-SUMPRODUCT('W2'!$M$12:$V$112*('W2'!$M$7:$V$7=$A63)*('W2'!$A$12:$A$112=$B63))*Q27*$H$10*POWER(1+Inflation,Q$11+1)</f>
        <v>0</v>
      </c>
      <c r="R63" s="457" cm="1">
        <f t="array" ref="R63">-SUMPRODUCT('W2'!$M$12:$V$112*('W2'!$M$7:$V$7=$A63)*('W2'!$A$12:$A$112=$B63))*R27*$H$10*POWER(1+Inflation,R$11+1)</f>
        <v>0</v>
      </c>
      <c r="S63" s="457" cm="1">
        <f t="array" ref="S63">-SUMPRODUCT('W2'!$M$12:$V$112*('W2'!$M$7:$V$7=$A63)*('W2'!$A$12:$A$112=$B63))*S27*$H$10*POWER(1+Inflation,S$11+1)</f>
        <v>0</v>
      </c>
      <c r="T63" s="457" cm="1">
        <f t="array" ref="T63">-SUMPRODUCT('W2'!$M$12:$V$112*('W2'!$M$7:$V$7=$A63)*('W2'!$A$12:$A$112=$B63))*T27*$H$10*POWER(1+Inflation,T$11+1)</f>
        <v>0</v>
      </c>
      <c r="U63" s="457" cm="1">
        <f t="array" ref="U63">-SUMPRODUCT('W2'!$M$12:$V$112*('W2'!$M$7:$V$7=$A63)*('W2'!$A$12:$A$112=$B63))*U27*$H$10*POWER(1+Inflation,U$11+1)</f>
        <v>0</v>
      </c>
      <c r="V63" s="457" cm="1">
        <f t="array" ref="V63">-SUMPRODUCT('W2'!$M$12:$V$112*('W2'!$M$7:$V$7=$A63)*('W2'!$A$12:$A$112=$B63))*V27*$H$10*POWER(1+Inflation,V$11+1)</f>
        <v>0</v>
      </c>
      <c r="W63" s="457" cm="1">
        <f t="array" ref="W63">-SUMPRODUCT('W2'!$M$12:$V$112*('W2'!$M$7:$V$7=$A63)*('W2'!$A$12:$A$112=$B63))*W27*$H$10*POWER(1+Inflation,W$11+1)</f>
        <v>0</v>
      </c>
      <c r="X63" s="457" cm="1">
        <f t="array" ref="X63">-SUMPRODUCT('W2'!$M$12:$V$112*('W2'!$M$7:$V$7=$A63)*('W2'!$A$12:$A$112=$B63))*X27*$H$10*POWER(1+Inflation,X$11+1)</f>
        <v>0</v>
      </c>
      <c r="Y63" s="457" cm="1">
        <f t="array" ref="Y63">-SUMPRODUCT('W2'!$M$12:$V$112*('W2'!$M$7:$V$7=$A63)*('W2'!$A$12:$A$112=$B63))*Y27*$H$10*POWER(1+Inflation,Y$11+1)</f>
        <v>0</v>
      </c>
      <c r="Z63" s="457" cm="1">
        <f t="array" ref="Z63">-SUMPRODUCT('W2'!$M$12:$V$112*('W2'!$M$7:$V$7=$A63)*('W2'!$A$12:$A$112=$B63))*Z27*$H$10*POWER(1+Inflation,Z$11+1)</f>
        <v>0</v>
      </c>
      <c r="AA63" s="457"/>
      <c r="AB63" s="457"/>
      <c r="AC63" s="457"/>
      <c r="AD63" s="457"/>
      <c r="AE63" s="457"/>
      <c r="AF63" s="457"/>
      <c r="AG63" s="457"/>
      <c r="AH63" s="457"/>
      <c r="AI63" s="457"/>
      <c r="AJ63" s="457"/>
    </row>
    <row r="64" spans="1:36" x14ac:dyDescent="0.25">
      <c r="A64" t="s">
        <v>422</v>
      </c>
      <c r="B64" t="s">
        <v>522</v>
      </c>
      <c r="H64" s="454" t="s">
        <v>468</v>
      </c>
      <c r="I64" s="496" t="str">
        <f>IF($H$9="USD","USD","tr. VND")</f>
        <v>tr. VND</v>
      </c>
      <c r="K64" s="454"/>
      <c r="L64" s="457" cm="1">
        <f t="array" ref="L64">-SUMPRODUCT('W2'!$M$12:$V$112*('W2'!$M$7:$V$7=$A64)*('W2'!$A$12:$A$112=$B64))*L27*$H$10*POWER(1+Inflation,L$11+1)</f>
        <v>0</v>
      </c>
      <c r="M64" s="457" cm="1">
        <f t="array" ref="M64">-SUMPRODUCT('W2'!$M$12:$V$112*('W2'!$M$7:$V$7=$A64)*('W2'!$A$12:$A$112=$B64))*M27*$H$10*POWER(1+Inflation,M$11+1)</f>
        <v>0</v>
      </c>
      <c r="N64" s="457" cm="1">
        <f t="array" ref="N64">-SUMPRODUCT('W2'!$M$12:$V$112*('W2'!$M$7:$V$7=$A64)*('W2'!$A$12:$A$112=$B64))*N27*$H$10*POWER(1+Inflation,N$11+1)</f>
        <v>0</v>
      </c>
      <c r="O64" s="457" cm="1">
        <f t="array" ref="O64">-SUMPRODUCT('W2'!$M$12:$V$112*('W2'!$M$7:$V$7=$A64)*('W2'!$A$12:$A$112=$B64))*O27*$H$10*POWER(1+Inflation,O$11+1)</f>
        <v>0</v>
      </c>
      <c r="P64" s="457" cm="1">
        <f t="array" ref="P64">-SUMPRODUCT('W2'!$M$12:$V$112*('W2'!$M$7:$V$7=$A64)*('W2'!$A$12:$A$112=$B64))*P27*$H$10*POWER(1+Inflation,P$11+1)</f>
        <v>0</v>
      </c>
      <c r="Q64" s="457" cm="1">
        <f t="array" ref="Q64">-SUMPRODUCT('W2'!$M$12:$V$112*('W2'!$M$7:$V$7=$A64)*('W2'!$A$12:$A$112=$B64))*Q27*$H$10*POWER(1+Inflation,Q$11+1)</f>
        <v>0</v>
      </c>
      <c r="R64" s="457" cm="1">
        <f t="array" ref="R64">-SUMPRODUCT('W2'!$M$12:$V$112*('W2'!$M$7:$V$7=$A64)*('W2'!$A$12:$A$112=$B64))*R27*$H$10*POWER(1+Inflation,R$11+1)</f>
        <v>0</v>
      </c>
      <c r="S64" s="457" cm="1">
        <f t="array" ref="S64">-SUMPRODUCT('W2'!$M$12:$V$112*('W2'!$M$7:$V$7=$A64)*('W2'!$A$12:$A$112=$B64))*S27*$H$10*POWER(1+Inflation,S$11+1)</f>
        <v>0</v>
      </c>
      <c r="T64" s="457" cm="1">
        <f t="array" ref="T64">-SUMPRODUCT('W2'!$M$12:$V$112*('W2'!$M$7:$V$7=$A64)*('W2'!$A$12:$A$112=$B64))*T27*$H$10*POWER(1+Inflation,T$11+1)</f>
        <v>0</v>
      </c>
      <c r="U64" s="457" cm="1">
        <f t="array" ref="U64">-SUMPRODUCT('W2'!$M$12:$V$112*('W2'!$M$7:$V$7=$A64)*('W2'!$A$12:$A$112=$B64))*U27*$H$10*POWER(1+Inflation,U$11+1)</f>
        <v>0</v>
      </c>
      <c r="V64" s="457" cm="1">
        <f t="array" ref="V64">-SUMPRODUCT('W2'!$M$12:$V$112*('W2'!$M$7:$V$7=$A64)*('W2'!$A$12:$A$112=$B64))*V27*$H$10*POWER(1+Inflation,V$11+1)</f>
        <v>0</v>
      </c>
      <c r="W64" s="457" cm="1">
        <f t="array" ref="W64">-SUMPRODUCT('W2'!$M$12:$V$112*('W2'!$M$7:$V$7=$A64)*('W2'!$A$12:$A$112=$B64))*W27*$H$10*POWER(1+Inflation,W$11+1)</f>
        <v>0</v>
      </c>
      <c r="X64" s="457" cm="1">
        <f t="array" ref="X64">-SUMPRODUCT('W2'!$M$12:$V$112*('W2'!$M$7:$V$7=$A64)*('W2'!$A$12:$A$112=$B64))*X27*$H$10*POWER(1+Inflation,X$11+1)</f>
        <v>0</v>
      </c>
      <c r="Y64" s="457" cm="1">
        <f t="array" ref="Y64">-SUMPRODUCT('W2'!$M$12:$V$112*('W2'!$M$7:$V$7=$A64)*('W2'!$A$12:$A$112=$B64))*Y27*$H$10*POWER(1+Inflation,Y$11+1)</f>
        <v>0</v>
      </c>
      <c r="Z64" s="457" cm="1">
        <f t="array" ref="Z64">-SUMPRODUCT('W2'!$M$12:$V$112*('W2'!$M$7:$V$7=$A64)*('W2'!$A$12:$A$112=$B64))*Z27*$H$10*POWER(1+Inflation,Z$11+1)</f>
        <v>0</v>
      </c>
      <c r="AA64" s="457"/>
      <c r="AB64" s="457"/>
      <c r="AC64" s="457"/>
      <c r="AD64" s="457"/>
      <c r="AE64" s="457"/>
      <c r="AF64" s="457"/>
      <c r="AG64" s="457"/>
      <c r="AH64" s="457"/>
      <c r="AI64" s="457"/>
      <c r="AJ64" s="457"/>
    </row>
    <row r="65" spans="1:36" x14ac:dyDescent="0.25">
      <c r="A65" t="s">
        <v>422</v>
      </c>
      <c r="H65" s="454" t="s">
        <v>470</v>
      </c>
      <c r="I65" s="496" t="str">
        <f>IF($H$9="USD","USD","tr. VND")</f>
        <v>tr. VND</v>
      </c>
      <c r="K65" s="454"/>
      <c r="L65" s="457" cm="1">
        <f t="array" ref="L65">-SUMPRODUCT('Lãi vay'!$E$5:$AI$54*('Lãi vay'!$A$5:$A$54=$A65)*('Lãi vay'!$B$5:$B$54="Lãi vay")*('Lãi vay'!$E$3:$AI$3=L$14))*$H$10</f>
        <v>-14736.740200000002</v>
      </c>
      <c r="M65" s="457" cm="1">
        <f t="array" ref="M65">-SUMPRODUCT('Lãi vay'!$E$5:$AI$54*('Lãi vay'!$A$5:$A$54=$A65)*('Lãi vay'!$B$5:$B$54="Lãi vay")*('Lãi vay'!$E$3:$AI$3=M$14))*$H$10</f>
        <v>-14150.297154424765</v>
      </c>
      <c r="N65" s="457" cm="1">
        <f t="array" ref="N65">-SUMPRODUCT('Lãi vay'!$E$5:$AI$54*('Lãi vay'!$A$5:$A$54=$A65)*('Lãi vay'!$B$5:$B$54="Lãi vay")*('Lãi vay'!$E$3:$AI$3=N$14))*$H$10</f>
        <v>-13522.803095659263</v>
      </c>
      <c r="O65" s="457" cm="1">
        <f t="array" ref="O65">-SUMPRODUCT('Lãi vay'!$E$5:$AI$54*('Lãi vay'!$A$5:$A$54=$A65)*('Lãi vay'!$B$5:$B$54="Lãi vay")*('Lãi vay'!$E$3:$AI$3=O$14))*$H$10</f>
        <v>-12851.384452780176</v>
      </c>
      <c r="P65" s="457" cm="1">
        <f t="array" ref="P65">-SUMPRODUCT('Lãi vay'!$E$5:$AI$54*('Lãi vay'!$A$5:$A$54=$A65)*('Lãi vay'!$B$5:$B$54="Lãi vay")*('Lãi vay'!$E$3:$AI$3=P$14))*$H$10</f>
        <v>-12132.96650489955</v>
      </c>
      <c r="Q65" s="457" cm="1">
        <f t="array" ref="Q65">-SUMPRODUCT('Lãi vay'!$E$5:$AI$54*('Lãi vay'!$A$5:$A$54=$A65)*('Lãi vay'!$B$5:$B$54="Lãi vay")*('Lãi vay'!$E$3:$AI$3=Q$14))*$H$10</f>
        <v>-11364.259300667285</v>
      </c>
      <c r="R65" s="457" cm="1">
        <f t="array" ref="R65">-SUMPRODUCT('Lãi vay'!$E$5:$AI$54*('Lãi vay'!$A$5:$A$54=$A65)*('Lãi vay'!$B$5:$B$54="Lãi vay")*('Lãi vay'!$E$3:$AI$3=R$14))*$H$10</f>
        <v>-10541.742592138758</v>
      </c>
      <c r="S65" s="457" cm="1">
        <f t="array" ref="S65">-SUMPRODUCT('Lãi vay'!$E$5:$AI$54*('Lãi vay'!$A$5:$A$54=$A65)*('Lãi vay'!$B$5:$B$54="Lãi vay")*('Lãi vay'!$E$3:$AI$3=S$14))*$H$10</f>
        <v>-9661.649714013236</v>
      </c>
      <c r="T65" s="457" cm="1">
        <f t="array" ref="T65">-SUMPRODUCT('Lãi vay'!$E$5:$AI$54*('Lãi vay'!$A$5:$A$54=$A65)*('Lãi vay'!$B$5:$B$54="Lãi vay")*('Lãi vay'!$E$3:$AI$3=T$14))*$H$10</f>
        <v>-8719.950334418927</v>
      </c>
      <c r="U65" s="457" cm="1">
        <f t="array" ref="U65">-SUMPRODUCT('Lãi vay'!$E$5:$AI$54*('Lãi vay'!$A$5:$A$54=$A65)*('Lãi vay'!$B$5:$B$54="Lãi vay")*('Lãi vay'!$E$3:$AI$3=U$14))*$H$10</f>
        <v>-7712.3319982530165</v>
      </c>
      <c r="V65" s="457" cm="1">
        <f t="array" ref="V65">-SUMPRODUCT('Lãi vay'!$E$5:$AI$54*('Lãi vay'!$A$5:$A$54=$A65)*('Lãi vay'!$B$5:$B$54="Lãi vay")*('Lãi vay'!$E$3:$AI$3=V$14))*$H$10</f>
        <v>-6634.1803785554921</v>
      </c>
      <c r="W65" s="457" cm="1">
        <f t="array" ref="W65">-SUMPRODUCT('Lãi vay'!$E$5:$AI$54*('Lãi vay'!$A$5:$A$54=$A65)*('Lãi vay'!$B$5:$B$54="Lãi vay")*('Lãi vay'!$E$3:$AI$3=W$14))*$H$10</f>
        <v>-5480.55814547914</v>
      </c>
      <c r="X65" s="457" cm="1">
        <f t="array" ref="X65">-SUMPRODUCT('Lãi vay'!$E$5:$AI$54*('Lãi vay'!$A$5:$A$54=$A65)*('Lãi vay'!$B$5:$B$54="Lãi vay")*('Lãi vay'!$E$3:$AI$3=X$14))*$H$10</f>
        <v>-4246.1823560874445</v>
      </c>
      <c r="Y65" s="457" cm="1">
        <f t="array" ref="Y65">-SUMPRODUCT('Lãi vay'!$E$5:$AI$54*('Lãi vay'!$A$5:$A$54=$A65)*('Lãi vay'!$B$5:$B$54="Lãi vay")*('Lãi vay'!$E$3:$AI$3=Y$14))*$H$10</f>
        <v>-2925.4002614383289</v>
      </c>
      <c r="Z65" s="457" cm="1">
        <f t="array" ref="Z65">-SUMPRODUCT('Lãi vay'!$E$5:$AI$54*('Lãi vay'!$A$5:$A$54=$A65)*('Lãi vay'!$B$5:$B$54="Lãi vay")*('Lãi vay'!$E$3:$AI$3=Z$14))*$H$10</f>
        <v>-1512.1634201637758</v>
      </c>
      <c r="AA65" s="457"/>
      <c r="AB65" s="457"/>
      <c r="AC65" s="457"/>
      <c r="AD65" s="457"/>
      <c r="AE65" s="457"/>
      <c r="AF65" s="457"/>
      <c r="AG65" s="457"/>
      <c r="AH65" s="457"/>
      <c r="AI65" s="457"/>
      <c r="AJ65" s="457"/>
    </row>
    <row r="66" spans="1:36" x14ac:dyDescent="0.25">
      <c r="A66" t="s">
        <v>422</v>
      </c>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row>
    <row r="67" spans="1:36" s="16" customFormat="1" x14ac:dyDescent="0.25">
      <c r="A67" s="16" t="s">
        <v>422</v>
      </c>
      <c r="H67" s="270" t="s">
        <v>472</v>
      </c>
      <c r="I67" s="271" t="str">
        <f>IF($H$9="USD","USD","tr. VND")</f>
        <v>tr. VND</v>
      </c>
      <c r="K67" s="272">
        <f t="shared" ref="K67" si="24">K60+SUM(K62:K65)</f>
        <v>0</v>
      </c>
      <c r="L67" s="272">
        <f>L60+SUM(L62:L65)</f>
        <v>-153633.70909316011</v>
      </c>
      <c r="M67" s="272">
        <f t="shared" ref="M67:AJ67" si="25">M60+SUM(M62:M65)</f>
        <v>-190447.67984058228</v>
      </c>
      <c r="N67" s="272">
        <f t="shared" si="25"/>
        <v>-251218.86961140219</v>
      </c>
      <c r="O67" s="272">
        <f t="shared" si="25"/>
        <v>-256010.6710672937</v>
      </c>
      <c r="P67" s="272">
        <f t="shared" si="25"/>
        <v>-260926.89310083253</v>
      </c>
      <c r="Q67" s="272">
        <f t="shared" si="25"/>
        <v>-265970.78193235525</v>
      </c>
      <c r="R67" s="272">
        <f t="shared" si="25"/>
        <v>-271145.63959773933</v>
      </c>
      <c r="S67" s="272">
        <f t="shared" si="25"/>
        <v>-276454.82131931925</v>
      </c>
      <c r="T67" s="272">
        <f t="shared" si="25"/>
        <v>-281901.7324066548</v>
      </c>
      <c r="U67" s="272">
        <f t="shared" si="25"/>
        <v>-287489.82464074926</v>
      </c>
      <c r="V67" s="272">
        <f t="shared" si="25"/>
        <v>-293222.59209140867</v>
      </c>
      <c r="W67" s="272">
        <f t="shared" si="25"/>
        <v>-299103.56631322252</v>
      </c>
      <c r="X67" s="272">
        <f t="shared" si="25"/>
        <v>-279071.32819443441</v>
      </c>
      <c r="Y67" s="272">
        <f t="shared" si="25"/>
        <v>-285259.43239474739</v>
      </c>
      <c r="Z67" s="272">
        <f t="shared" si="25"/>
        <v>-291606.50430282799</v>
      </c>
      <c r="AA67" s="272"/>
      <c r="AB67" s="272"/>
      <c r="AC67" s="272"/>
      <c r="AD67" s="272"/>
      <c r="AE67" s="272"/>
      <c r="AF67" s="272"/>
      <c r="AG67" s="272"/>
      <c r="AH67" s="272"/>
      <c r="AI67" s="272"/>
      <c r="AJ67" s="272"/>
    </row>
    <row r="68" spans="1:36" x14ac:dyDescent="0.25">
      <c r="A68" t="s">
        <v>422</v>
      </c>
    </row>
    <row r="69" spans="1:36" s="24" customFormat="1" ht="17.25" x14ac:dyDescent="0.3">
      <c r="A69" s="24" t="s">
        <v>422</v>
      </c>
      <c r="H69" s="643" t="s">
        <v>473</v>
      </c>
      <c r="I69" s="643"/>
      <c r="K69" s="643"/>
      <c r="L69" s="643"/>
      <c r="M69" s="643"/>
      <c r="N69" s="643"/>
      <c r="O69" s="643"/>
      <c r="P69" s="643"/>
      <c r="Q69" s="643"/>
      <c r="R69" s="643"/>
      <c r="S69" s="643"/>
      <c r="T69" s="643"/>
      <c r="U69" s="643"/>
      <c r="V69" s="643"/>
      <c r="W69" s="643"/>
      <c r="X69" s="643"/>
      <c r="Y69" s="643"/>
      <c r="Z69" s="643"/>
      <c r="AA69" s="643"/>
      <c r="AB69" s="643"/>
      <c r="AC69" s="643"/>
      <c r="AD69" s="643"/>
      <c r="AE69" s="643"/>
      <c r="AF69" s="643"/>
      <c r="AG69" s="643"/>
      <c r="AH69" s="643"/>
      <c r="AI69" s="643"/>
      <c r="AJ69" s="643"/>
    </row>
    <row r="70" spans="1:36" s="1" customFormat="1" x14ac:dyDescent="0.25">
      <c r="A70" s="1" t="s">
        <v>422</v>
      </c>
      <c r="H70" s="273" t="s">
        <v>434</v>
      </c>
      <c r="I70" s="274" t="str">
        <f>IF($H$9="USD","USD/tấn","tr. VND/tấn")</f>
        <v>tr. VND/tấn</v>
      </c>
      <c r="K70" s="278">
        <f t="shared" ref="K70" si="26">SUM(K71:K72,K75:K78,)</f>
        <v>0</v>
      </c>
      <c r="L70" s="278">
        <f>SUM(L71:L72,L75:L78,)</f>
        <v>14.093866286457756</v>
      </c>
      <c r="M70" s="278">
        <f t="shared" ref="M70:AJ70" si="27">SUM(M71:M72,M75:M78,)</f>
        <v>10.067047347469824</v>
      </c>
      <c r="N70" s="278">
        <f t="shared" si="27"/>
        <v>7.1921175630239942</v>
      </c>
      <c r="O70" s="278">
        <f t="shared" si="27"/>
        <v>7.3445612038088699</v>
      </c>
      <c r="P70" s="278">
        <f t="shared" si="27"/>
        <v>7.5046270266329884</v>
      </c>
      <c r="Q70" s="278">
        <f t="shared" si="27"/>
        <v>7.672696140598311</v>
      </c>
      <c r="R70" s="278">
        <f t="shared" si="27"/>
        <v>7.8491687102619006</v>
      </c>
      <c r="S70" s="278">
        <f t="shared" si="27"/>
        <v>8.034464908408669</v>
      </c>
      <c r="T70" s="278">
        <f t="shared" si="27"/>
        <v>8.2290259164627795</v>
      </c>
      <c r="U70" s="278">
        <f t="shared" si="27"/>
        <v>8.4333149749195915</v>
      </c>
      <c r="V70" s="278">
        <f t="shared" si="27"/>
        <v>8.6478184862992435</v>
      </c>
      <c r="W70" s="278">
        <f t="shared" si="27"/>
        <v>8.8730471732478833</v>
      </c>
      <c r="X70" s="278">
        <f t="shared" si="27"/>
        <v>5.0633998459829019</v>
      </c>
      <c r="Y70" s="278">
        <f t="shared" si="27"/>
        <v>5.3117144733437733</v>
      </c>
      <c r="Z70" s="278">
        <f t="shared" si="27"/>
        <v>5.5724448320726889</v>
      </c>
      <c r="AA70" s="278"/>
      <c r="AB70" s="278"/>
      <c r="AC70" s="278"/>
      <c r="AD70" s="278"/>
      <c r="AE70" s="278"/>
      <c r="AF70" s="278"/>
      <c r="AG70" s="278"/>
      <c r="AH70" s="278"/>
      <c r="AI70" s="278"/>
      <c r="AJ70" s="278"/>
    </row>
    <row r="71" spans="1:36" x14ac:dyDescent="0.25">
      <c r="A71" t="s">
        <v>422</v>
      </c>
      <c r="C71" t="s">
        <v>367</v>
      </c>
      <c r="H71" s="556" t="s">
        <v>190</v>
      </c>
      <c r="I71" s="557" t="str">
        <f t="shared" ref="I71:I104" si="28">IF($H$9="USD","USD/tấn","tr. VND/tấn")</f>
        <v>tr. VND/tấn</v>
      </c>
      <c r="K71" s="562"/>
      <c r="L71" s="563">
        <f t="shared" ref="L71:AJ71" si="29">-IF($H$9="VND",L39/L27/$H$10/10^3,L39/L27/$H$10*10^3)</f>
        <v>8.0922748971220972</v>
      </c>
      <c r="M71" s="563">
        <f t="shared" si="29"/>
        <v>5.7801963550872131</v>
      </c>
      <c r="N71" s="563">
        <f t="shared" si="29"/>
        <v>4.0461374485610486</v>
      </c>
      <c r="O71" s="563">
        <f t="shared" si="29"/>
        <v>4.0461374485610486</v>
      </c>
      <c r="P71" s="563">
        <f t="shared" si="29"/>
        <v>4.0461374485610486</v>
      </c>
      <c r="Q71" s="563">
        <f t="shared" si="29"/>
        <v>4.0461374485610486</v>
      </c>
      <c r="R71" s="563">
        <f t="shared" si="29"/>
        <v>4.0461374485610486</v>
      </c>
      <c r="S71" s="563">
        <f t="shared" si="29"/>
        <v>4.0461374485610486</v>
      </c>
      <c r="T71" s="563">
        <f t="shared" si="29"/>
        <v>4.0461374485610486</v>
      </c>
      <c r="U71" s="563">
        <f t="shared" si="29"/>
        <v>4.0461374485610486</v>
      </c>
      <c r="V71" s="563">
        <f t="shared" si="29"/>
        <v>4.0461374485610486</v>
      </c>
      <c r="W71" s="563">
        <f t="shared" si="29"/>
        <v>4.0461374485610486</v>
      </c>
      <c r="X71" s="563">
        <f t="shared" si="29"/>
        <v>0</v>
      </c>
      <c r="Y71" s="563">
        <f t="shared" si="29"/>
        <v>0</v>
      </c>
      <c r="Z71" s="563">
        <f t="shared" si="29"/>
        <v>0</v>
      </c>
      <c r="AA71" s="563"/>
      <c r="AB71" s="563"/>
      <c r="AC71" s="563"/>
      <c r="AD71" s="563"/>
      <c r="AE71" s="563"/>
      <c r="AF71" s="563"/>
      <c r="AG71" s="563"/>
      <c r="AH71" s="563"/>
      <c r="AI71" s="563"/>
      <c r="AJ71" s="563"/>
    </row>
    <row r="72" spans="1:36" x14ac:dyDescent="0.25">
      <c r="A72" t="s">
        <v>422</v>
      </c>
      <c r="H72" s="558" t="s">
        <v>429</v>
      </c>
      <c r="I72" s="559" t="str">
        <f t="shared" si="28"/>
        <v>tr. VND/tấn</v>
      </c>
      <c r="K72" s="564">
        <f>SUM(K73:K74)</f>
        <v>0</v>
      </c>
      <c r="L72" s="564">
        <f t="shared" ref="L72:Z72" si="30">SUM(L73:L74)</f>
        <v>1.9410042574812794</v>
      </c>
      <c r="M72" s="564">
        <f t="shared" si="30"/>
        <v>1.3864316124866283</v>
      </c>
      <c r="N72" s="564">
        <f t="shared" si="30"/>
        <v>1.0190272351776717</v>
      </c>
      <c r="O72" s="564">
        <f t="shared" si="30"/>
        <v>1.0699785969365552</v>
      </c>
      <c r="P72" s="564">
        <f t="shared" si="30"/>
        <v>1.1234775267833832</v>
      </c>
      <c r="Q72" s="564">
        <f t="shared" si="30"/>
        <v>1.179651403122552</v>
      </c>
      <c r="R72" s="564">
        <f t="shared" si="30"/>
        <v>1.2386339732786797</v>
      </c>
      <c r="S72" s="564">
        <f t="shared" si="30"/>
        <v>1.3005656719426137</v>
      </c>
      <c r="T72" s="564">
        <f t="shared" si="30"/>
        <v>1.3655939555397447</v>
      </c>
      <c r="U72" s="564">
        <f t="shared" si="30"/>
        <v>1.4338736533167316</v>
      </c>
      <c r="V72" s="564">
        <f t="shared" si="30"/>
        <v>1.5055673359825681</v>
      </c>
      <c r="W72" s="564">
        <f t="shared" si="30"/>
        <v>1.5808457027816967</v>
      </c>
      <c r="X72" s="564">
        <f t="shared" si="30"/>
        <v>1.6598879879207817</v>
      </c>
      <c r="Y72" s="564">
        <f t="shared" si="30"/>
        <v>1.7428823873168202</v>
      </c>
      <c r="Z72" s="564">
        <f t="shared" si="30"/>
        <v>1.8300265066826618</v>
      </c>
      <c r="AA72" s="564"/>
      <c r="AB72" s="564"/>
      <c r="AC72" s="564"/>
      <c r="AD72" s="564"/>
      <c r="AE72" s="564"/>
      <c r="AF72" s="564"/>
      <c r="AG72" s="564"/>
      <c r="AH72" s="564"/>
      <c r="AI72" s="564"/>
      <c r="AJ72" s="564"/>
    </row>
    <row r="73" spans="1:36" s="299" customFormat="1" x14ac:dyDescent="0.25">
      <c r="A73" s="299" t="s">
        <v>422</v>
      </c>
      <c r="C73" s="299" t="s">
        <v>367</v>
      </c>
      <c r="H73" s="560" t="s">
        <v>430</v>
      </c>
      <c r="I73" s="561" t="str">
        <f t="shared" si="28"/>
        <v>tr. VND/tấn</v>
      </c>
      <c r="K73" s="565"/>
      <c r="L73" s="565">
        <f t="shared" ref="L73:AJ73" si="31">-IF($H$9="VND",L41/L27/$H$10/10^3,L41/L27/$H$10*10^3)</f>
        <v>0.31733039631846527</v>
      </c>
      <c r="M73" s="565">
        <f t="shared" si="31"/>
        <v>0.22666456879890379</v>
      </c>
      <c r="N73" s="565">
        <f t="shared" si="31"/>
        <v>0.16659845806719425</v>
      </c>
      <c r="O73" s="565">
        <f t="shared" si="31"/>
        <v>0.17492838097055399</v>
      </c>
      <c r="P73" s="565">
        <f t="shared" si="31"/>
        <v>0.18367480001908168</v>
      </c>
      <c r="Q73" s="565">
        <f t="shared" si="31"/>
        <v>0.19285854002003575</v>
      </c>
      <c r="R73" s="565">
        <f t="shared" si="31"/>
        <v>0.20250146702103758</v>
      </c>
      <c r="S73" s="565">
        <f t="shared" si="31"/>
        <v>0.21262654037208945</v>
      </c>
      <c r="T73" s="565">
        <f t="shared" si="31"/>
        <v>0.22325786739069392</v>
      </c>
      <c r="U73" s="565">
        <f t="shared" si="31"/>
        <v>0.23442076076022861</v>
      </c>
      <c r="V73" s="565">
        <f t="shared" si="31"/>
        <v>0.24614179879824005</v>
      </c>
      <c r="W73" s="565">
        <f t="shared" si="31"/>
        <v>0.25844888873815203</v>
      </c>
      <c r="X73" s="565">
        <f t="shared" si="31"/>
        <v>0.27137133317505963</v>
      </c>
      <c r="Y73" s="565">
        <f t="shared" si="31"/>
        <v>0.28493989983381263</v>
      </c>
      <c r="Z73" s="565">
        <f t="shared" si="31"/>
        <v>0.29918689482550326</v>
      </c>
      <c r="AA73" s="565"/>
      <c r="AB73" s="565"/>
      <c r="AC73" s="565"/>
      <c r="AD73" s="565"/>
      <c r="AE73" s="565"/>
      <c r="AF73" s="565"/>
      <c r="AG73" s="565"/>
      <c r="AH73" s="565"/>
      <c r="AI73" s="565"/>
      <c r="AJ73" s="565"/>
    </row>
    <row r="74" spans="1:36" s="299" customFormat="1" x14ac:dyDescent="0.25">
      <c r="A74" s="299" t="s">
        <v>422</v>
      </c>
      <c r="C74" s="299" t="s">
        <v>367</v>
      </c>
      <c r="H74" s="560" t="s">
        <v>431</v>
      </c>
      <c r="I74" s="561" t="str">
        <f t="shared" si="28"/>
        <v>tr. VND/tấn</v>
      </c>
      <c r="K74" s="565"/>
      <c r="L74" s="565">
        <f t="shared" ref="L74:AJ74" si="32">-IF($H$9="VND",L42/L27/$H$10/10^3,L42/L27/$H$10*10^3)</f>
        <v>1.6236738611628141</v>
      </c>
      <c r="M74" s="565">
        <f t="shared" si="32"/>
        <v>1.1597670436877245</v>
      </c>
      <c r="N74" s="565">
        <f t="shared" si="32"/>
        <v>0.85242877711047738</v>
      </c>
      <c r="O74" s="565">
        <f t="shared" si="32"/>
        <v>0.89505021596600121</v>
      </c>
      <c r="P74" s="565">
        <f t="shared" si="32"/>
        <v>0.93980272676430154</v>
      </c>
      <c r="Q74" s="565">
        <f t="shared" si="32"/>
        <v>0.98679286310251635</v>
      </c>
      <c r="R74" s="565">
        <f t="shared" si="32"/>
        <v>1.0361325062576421</v>
      </c>
      <c r="S74" s="565">
        <f t="shared" si="32"/>
        <v>1.0879391315705242</v>
      </c>
      <c r="T74" s="565">
        <f t="shared" si="32"/>
        <v>1.1423360881490507</v>
      </c>
      <c r="U74" s="565">
        <f t="shared" si="32"/>
        <v>1.1994528925565029</v>
      </c>
      <c r="V74" s="565">
        <f t="shared" si="32"/>
        <v>1.2594255371843281</v>
      </c>
      <c r="W74" s="565">
        <f t="shared" si="32"/>
        <v>1.3223968140435447</v>
      </c>
      <c r="X74" s="565">
        <f t="shared" si="32"/>
        <v>1.3885166547457222</v>
      </c>
      <c r="Y74" s="565">
        <f t="shared" si="32"/>
        <v>1.4579424874830076</v>
      </c>
      <c r="Z74" s="565">
        <f t="shared" si="32"/>
        <v>1.5308396118571586</v>
      </c>
      <c r="AA74" s="565"/>
      <c r="AB74" s="565"/>
      <c r="AC74" s="565"/>
      <c r="AD74" s="565"/>
      <c r="AE74" s="565"/>
      <c r="AF74" s="565"/>
      <c r="AG74" s="565"/>
      <c r="AH74" s="565"/>
      <c r="AI74" s="565"/>
      <c r="AJ74" s="565"/>
    </row>
    <row r="75" spans="1:36" x14ac:dyDescent="0.25">
      <c r="A75" t="s">
        <v>422</v>
      </c>
      <c r="C75" t="s">
        <v>367</v>
      </c>
      <c r="H75" s="558" t="s">
        <v>656</v>
      </c>
      <c r="I75" s="559" t="str">
        <f t="shared" si="28"/>
        <v>tr. VND/tấn</v>
      </c>
      <c r="K75" s="564"/>
      <c r="L75" s="564">
        <f t="shared" ref="L75:AJ75" si="33">-IF($H$9="VND",L43/L27/$H$10/10^3,L43/L27/$H$10*10^3)</f>
        <v>0.77492160273129496</v>
      </c>
      <c r="M75" s="564">
        <f t="shared" si="33"/>
        <v>0.55351543052235352</v>
      </c>
      <c r="N75" s="564">
        <f t="shared" si="33"/>
        <v>0.40683384143392981</v>
      </c>
      <c r="O75" s="564">
        <f t="shared" si="33"/>
        <v>0.42717553350562631</v>
      </c>
      <c r="P75" s="564">
        <f t="shared" si="33"/>
        <v>0.44853431018090767</v>
      </c>
      <c r="Q75" s="564">
        <f t="shared" si="33"/>
        <v>0.47096102568995302</v>
      </c>
      <c r="R75" s="564">
        <f t="shared" si="33"/>
        <v>0.49450907697445079</v>
      </c>
      <c r="S75" s="564">
        <f t="shared" si="33"/>
        <v>0.51923453082317328</v>
      </c>
      <c r="T75" s="564">
        <f t="shared" si="33"/>
        <v>0.54519625736433197</v>
      </c>
      <c r="U75" s="564">
        <f t="shared" si="33"/>
        <v>0.57245607023254841</v>
      </c>
      <c r="V75" s="564">
        <f t="shared" si="33"/>
        <v>0.60107887374417601</v>
      </c>
      <c r="W75" s="564">
        <f t="shared" si="33"/>
        <v>0.63113281743138472</v>
      </c>
      <c r="X75" s="564">
        <f t="shared" si="33"/>
        <v>0.662689458302954</v>
      </c>
      <c r="Y75" s="564">
        <f t="shared" si="33"/>
        <v>0.69582393121810171</v>
      </c>
      <c r="Z75" s="564">
        <f t="shared" si="33"/>
        <v>0.73061512777900695</v>
      </c>
      <c r="AA75" s="564"/>
      <c r="AB75" s="564"/>
      <c r="AC75" s="564"/>
      <c r="AD75" s="564"/>
      <c r="AE75" s="564"/>
      <c r="AF75" s="564"/>
      <c r="AG75" s="564"/>
      <c r="AH75" s="564"/>
      <c r="AI75" s="564"/>
      <c r="AJ75" s="564"/>
    </row>
    <row r="76" spans="1:36" x14ac:dyDescent="0.25">
      <c r="A76" t="s">
        <v>422</v>
      </c>
      <c r="C76" t="s">
        <v>367</v>
      </c>
      <c r="H76" s="558" t="s">
        <v>432</v>
      </c>
      <c r="I76" s="559" t="str">
        <f t="shared" si="28"/>
        <v>tr. VND/tấn</v>
      </c>
      <c r="K76" s="564"/>
      <c r="L76" s="564">
        <f t="shared" ref="L76:AJ76" si="34">-IF($H$9="VND",L44/L27/$H$10/10^3,L44/L27/$H$10*10^3)</f>
        <v>2.9132189629639549</v>
      </c>
      <c r="M76" s="564">
        <f t="shared" si="34"/>
        <v>2.0808706878313963</v>
      </c>
      <c r="N76" s="564">
        <f t="shared" si="34"/>
        <v>1.5294399555560763</v>
      </c>
      <c r="O76" s="564">
        <f t="shared" si="34"/>
        <v>1.6059119533338804</v>
      </c>
      <c r="P76" s="564">
        <f t="shared" si="34"/>
        <v>1.6862075510005743</v>
      </c>
      <c r="Q76" s="564">
        <f t="shared" si="34"/>
        <v>1.7705179285506027</v>
      </c>
      <c r="R76" s="564">
        <f t="shared" si="34"/>
        <v>1.8590438249781329</v>
      </c>
      <c r="S76" s="564">
        <f t="shared" si="34"/>
        <v>1.9519960162270396</v>
      </c>
      <c r="T76" s="564">
        <f t="shared" si="34"/>
        <v>2.0495958170383921</v>
      </c>
      <c r="U76" s="564">
        <f t="shared" si="34"/>
        <v>2.1520756078903109</v>
      </c>
      <c r="V76" s="564">
        <f t="shared" si="34"/>
        <v>2.2596793882848267</v>
      </c>
      <c r="W76" s="564">
        <f t="shared" si="34"/>
        <v>2.3726633576990679</v>
      </c>
      <c r="X76" s="564">
        <f t="shared" si="34"/>
        <v>2.4912965255840218</v>
      </c>
      <c r="Y76" s="564">
        <f t="shared" si="34"/>
        <v>2.6158613518632223</v>
      </c>
      <c r="Z76" s="564">
        <f t="shared" si="34"/>
        <v>2.7466544194563838</v>
      </c>
      <c r="AA76" s="564"/>
      <c r="AB76" s="564"/>
      <c r="AC76" s="564"/>
      <c r="AD76" s="564"/>
      <c r="AE76" s="564"/>
      <c r="AF76" s="564"/>
      <c r="AG76" s="564"/>
      <c r="AH76" s="564"/>
      <c r="AI76" s="564"/>
      <c r="AJ76" s="564"/>
    </row>
    <row r="77" spans="1:36" x14ac:dyDescent="0.25">
      <c r="A77" t="s">
        <v>422</v>
      </c>
      <c r="C77" t="s">
        <v>367</v>
      </c>
      <c r="H77" s="558" t="s">
        <v>433</v>
      </c>
      <c r="I77" s="559" t="str">
        <f t="shared" si="28"/>
        <v>tr. VND/tấn</v>
      </c>
      <c r="K77" s="564"/>
      <c r="L77" s="564">
        <f t="shared" ref="L77:AJ77" si="35">-IF($H$9="VND",L45/L27/$H$10/10^3,L45/L27/$H$10*10^3)</f>
        <v>0.17823196862819785</v>
      </c>
      <c r="M77" s="564">
        <f t="shared" si="35"/>
        <v>0.12730854902014133</v>
      </c>
      <c r="N77" s="564">
        <f t="shared" si="35"/>
        <v>9.3571783529803873E-2</v>
      </c>
      <c r="O77" s="564">
        <f t="shared" si="35"/>
        <v>9.8250372706294054E-2</v>
      </c>
      <c r="P77" s="564">
        <f t="shared" si="35"/>
        <v>0.10316289134160876</v>
      </c>
      <c r="Q77" s="564">
        <f t="shared" si="35"/>
        <v>0.1083210359086892</v>
      </c>
      <c r="R77" s="564">
        <f t="shared" si="35"/>
        <v>0.11373708770412366</v>
      </c>
      <c r="S77" s="564">
        <f t="shared" si="35"/>
        <v>0.11942394208932984</v>
      </c>
      <c r="T77" s="564">
        <f t="shared" si="35"/>
        <v>0.12539513919379636</v>
      </c>
      <c r="U77" s="564">
        <f t="shared" si="35"/>
        <v>0.13166489615348614</v>
      </c>
      <c r="V77" s="564">
        <f t="shared" si="35"/>
        <v>0.13824814096116045</v>
      </c>
      <c r="W77" s="564">
        <f t="shared" si="35"/>
        <v>0.14516054800921852</v>
      </c>
      <c r="X77" s="564">
        <f t="shared" si="35"/>
        <v>0.15241857540967946</v>
      </c>
      <c r="Y77" s="564">
        <f t="shared" si="35"/>
        <v>0.16003950418016336</v>
      </c>
      <c r="Z77" s="564">
        <f t="shared" si="35"/>
        <v>0.16804147938917158</v>
      </c>
      <c r="AA77" s="564"/>
      <c r="AB77" s="564"/>
      <c r="AC77" s="564"/>
      <c r="AD77" s="564"/>
      <c r="AE77" s="564"/>
      <c r="AF77" s="564"/>
      <c r="AG77" s="564"/>
      <c r="AH77" s="564"/>
      <c r="AI77" s="564"/>
      <c r="AJ77" s="564"/>
    </row>
    <row r="78" spans="1:36" x14ac:dyDescent="0.25">
      <c r="A78" t="s">
        <v>422</v>
      </c>
      <c r="C78" t="s">
        <v>367</v>
      </c>
      <c r="H78" s="558" t="s">
        <v>520</v>
      </c>
      <c r="I78" s="559" t="str">
        <f t="shared" si="28"/>
        <v>tr. VND/tấn</v>
      </c>
      <c r="K78" s="564"/>
      <c r="L78" s="564">
        <f t="shared" ref="L78:AJ78" si="36">-IF($H$9="VND",L46/L27/$H$10/10^3,L46/L27/$H$10*10^3)</f>
        <v>0.19421459753093032</v>
      </c>
      <c r="M78" s="564">
        <f t="shared" si="36"/>
        <v>0.13872471252209312</v>
      </c>
      <c r="N78" s="564">
        <f t="shared" si="36"/>
        <v>9.7107298765465158E-2</v>
      </c>
      <c r="O78" s="564">
        <f t="shared" si="36"/>
        <v>9.7107298765465158E-2</v>
      </c>
      <c r="P78" s="564">
        <f t="shared" si="36"/>
        <v>9.7107298765465158E-2</v>
      </c>
      <c r="Q78" s="564">
        <f t="shared" si="36"/>
        <v>9.7107298765465158E-2</v>
      </c>
      <c r="R78" s="564">
        <f t="shared" si="36"/>
        <v>9.7107298765465158E-2</v>
      </c>
      <c r="S78" s="564">
        <f t="shared" si="36"/>
        <v>9.7107298765465158E-2</v>
      </c>
      <c r="T78" s="564">
        <f t="shared" si="36"/>
        <v>9.7107298765465158E-2</v>
      </c>
      <c r="U78" s="564">
        <f t="shared" si="36"/>
        <v>9.7107298765465158E-2</v>
      </c>
      <c r="V78" s="564">
        <f t="shared" si="36"/>
        <v>9.7107298765465158E-2</v>
      </c>
      <c r="W78" s="564">
        <f t="shared" si="36"/>
        <v>9.7107298765465158E-2</v>
      </c>
      <c r="X78" s="564">
        <f t="shared" si="36"/>
        <v>9.7107298765465158E-2</v>
      </c>
      <c r="Y78" s="564">
        <f t="shared" si="36"/>
        <v>9.7107298765465158E-2</v>
      </c>
      <c r="Z78" s="564">
        <f t="shared" si="36"/>
        <v>9.7107298765465158E-2</v>
      </c>
      <c r="AA78" s="564"/>
      <c r="AB78" s="564"/>
      <c r="AC78" s="564"/>
      <c r="AD78" s="564"/>
      <c r="AE78" s="564"/>
      <c r="AF78" s="564"/>
      <c r="AG78" s="564"/>
      <c r="AH78" s="564"/>
      <c r="AI78" s="564"/>
      <c r="AJ78" s="564"/>
    </row>
    <row r="79" spans="1:36" x14ac:dyDescent="0.25">
      <c r="A79" t="s">
        <v>422</v>
      </c>
      <c r="H79" s="247"/>
      <c r="I79" s="275"/>
      <c r="K79" s="279"/>
      <c r="L79" s="279"/>
      <c r="M79" s="279"/>
      <c r="N79" s="279"/>
      <c r="O79" s="279"/>
      <c r="P79" s="279"/>
      <c r="Q79" s="279"/>
      <c r="R79" s="279"/>
      <c r="S79" s="279"/>
      <c r="T79" s="279"/>
      <c r="U79" s="279"/>
      <c r="V79" s="279"/>
      <c r="W79" s="279"/>
      <c r="X79" s="279"/>
      <c r="Y79" s="279"/>
      <c r="Z79" s="279"/>
      <c r="AA79" s="279"/>
      <c r="AB79" s="279"/>
      <c r="AC79" s="279"/>
      <c r="AD79" s="279"/>
      <c r="AE79" s="279"/>
      <c r="AF79" s="279"/>
      <c r="AG79" s="279"/>
      <c r="AH79" s="279"/>
      <c r="AI79" s="279"/>
      <c r="AJ79" s="279"/>
    </row>
    <row r="80" spans="1:36" s="1" customFormat="1" x14ac:dyDescent="0.25">
      <c r="A80" s="1" t="s">
        <v>422</v>
      </c>
      <c r="H80" s="273" t="s">
        <v>435</v>
      </c>
      <c r="I80" s="274" t="str">
        <f t="shared" si="28"/>
        <v>tr. VND/tấn</v>
      </c>
      <c r="K80" s="280">
        <f>K81+K84+K87</f>
        <v>0</v>
      </c>
      <c r="L80" s="280">
        <f t="shared" ref="L80:AJ80" si="37">L81+L84+L87</f>
        <v>29.864853886822708</v>
      </c>
      <c r="M80" s="280">
        <f t="shared" si="37"/>
        <v>29.703781129263195</v>
      </c>
      <c r="N80" s="280">
        <f t="shared" si="37"/>
        <v>30.248677609330997</v>
      </c>
      <c r="O80" s="280">
        <f t="shared" si="37"/>
        <v>30.931560484173868</v>
      </c>
      <c r="P80" s="280">
        <f t="shared" si="37"/>
        <v>31.632162212436292</v>
      </c>
      <c r="Q80" s="280">
        <f t="shared" si="37"/>
        <v>32.351040230982811</v>
      </c>
      <c r="R80" s="280">
        <f t="shared" si="37"/>
        <v>33.088773278405036</v>
      </c>
      <c r="S80" s="280">
        <f t="shared" si="37"/>
        <v>33.845962328705731</v>
      </c>
      <c r="T80" s="280">
        <f t="shared" si="37"/>
        <v>34.623231569038957</v>
      </c>
      <c r="U80" s="280">
        <f t="shared" si="37"/>
        <v>35.421229423656705</v>
      </c>
      <c r="V80" s="280">
        <f t="shared" si="37"/>
        <v>36.240629626318551</v>
      </c>
      <c r="W80" s="280">
        <f t="shared" si="37"/>
        <v>37.082132343532962</v>
      </c>
      <c r="X80" s="280">
        <f t="shared" si="37"/>
        <v>37.784619853173496</v>
      </c>
      <c r="Y80" s="280">
        <f t="shared" si="37"/>
        <v>38.672539768733671</v>
      </c>
      <c r="Z80" s="280">
        <f t="shared" si="37"/>
        <v>39.584833342821817</v>
      </c>
      <c r="AA80" s="280"/>
      <c r="AB80" s="280"/>
      <c r="AC80" s="280"/>
      <c r="AD80" s="280"/>
      <c r="AE80" s="280"/>
      <c r="AF80" s="280"/>
      <c r="AG80" s="280"/>
      <c r="AH80" s="280"/>
      <c r="AI80" s="280"/>
      <c r="AJ80" s="280"/>
    </row>
    <row r="81" spans="1:36" x14ac:dyDescent="0.25">
      <c r="A81" t="s">
        <v>422</v>
      </c>
      <c r="H81" s="556" t="s">
        <v>454</v>
      </c>
      <c r="I81" s="557" t="str">
        <f t="shared" si="28"/>
        <v>tr. VND/tấn</v>
      </c>
      <c r="K81" s="566">
        <f>SUM(K82:K83)</f>
        <v>0</v>
      </c>
      <c r="L81" s="566">
        <f t="shared" ref="L81" si="38">SUM(L82:L83)</f>
        <v>26.838709677419356</v>
      </c>
      <c r="M81" s="566">
        <f t="shared" ref="M81" si="39">SUM(M82:M83)</f>
        <v>26.838709677419359</v>
      </c>
      <c r="N81" s="566">
        <f t="shared" ref="N81" si="40">SUM(N82:N83)</f>
        <v>27.375483870967745</v>
      </c>
      <c r="O81" s="566">
        <f t="shared" ref="O81" si="41">SUM(O82:O83)</f>
        <v>27.922993548387105</v>
      </c>
      <c r="P81" s="566">
        <f t="shared" ref="P81" si="42">SUM(P82:P83)</f>
        <v>28.481453419354843</v>
      </c>
      <c r="Q81" s="566">
        <f t="shared" ref="Q81" si="43">SUM(Q82:Q83)</f>
        <v>29.05108248774194</v>
      </c>
      <c r="R81" s="566">
        <f t="shared" ref="R81" si="44">SUM(R82:R83)</f>
        <v>29.632104137496778</v>
      </c>
      <c r="S81" s="566">
        <f t="shared" ref="S81" si="45">SUM(S82:S83)</f>
        <v>30.224746220246715</v>
      </c>
      <c r="T81" s="566">
        <f t="shared" ref="T81" si="46">SUM(T82:T83)</f>
        <v>30.829241144651643</v>
      </c>
      <c r="U81" s="566">
        <f t="shared" ref="U81" si="47">SUM(U82:U83)</f>
        <v>31.445825967544675</v>
      </c>
      <c r="V81" s="566">
        <f t="shared" ref="V81" si="48">SUM(V82:V83)</f>
        <v>32.074742486895573</v>
      </c>
      <c r="W81" s="566">
        <f t="shared" ref="W81" si="49">SUM(W82:W83)</f>
        <v>32.71623733663349</v>
      </c>
      <c r="X81" s="566">
        <f t="shared" ref="X81" si="50">SUM(X82:X83)</f>
        <v>33.370562083366146</v>
      </c>
      <c r="Y81" s="566">
        <f t="shared" ref="Y81" si="51">SUM(Y82:Y83)</f>
        <v>34.037973325033477</v>
      </c>
      <c r="Z81" s="566">
        <f t="shared" ref="Z81" si="52">SUM(Z82:Z83)</f>
        <v>34.718732791534151</v>
      </c>
      <c r="AA81" s="566"/>
      <c r="AB81" s="566"/>
      <c r="AC81" s="566"/>
      <c r="AD81" s="566"/>
      <c r="AE81" s="566"/>
      <c r="AF81" s="566"/>
      <c r="AG81" s="566"/>
      <c r="AH81" s="566"/>
      <c r="AI81" s="566"/>
      <c r="AJ81" s="566"/>
    </row>
    <row r="82" spans="1:36" s="299" customFormat="1" x14ac:dyDescent="0.25">
      <c r="A82" s="299" t="s">
        <v>422</v>
      </c>
      <c r="C82" s="299" t="s">
        <v>504</v>
      </c>
      <c r="E82" s="331"/>
      <c r="F82" s="331"/>
      <c r="H82" s="560" t="s">
        <v>167</v>
      </c>
      <c r="I82" s="561" t="str">
        <f t="shared" si="28"/>
        <v>tr. VND/tấn</v>
      </c>
      <c r="K82" s="565"/>
      <c r="L82" s="565">
        <f t="shared" ref="L82:AJ82" si="53">-IF($H$9="VND",L50/L27/$H$10/10^3,L50/L27/$H$10*10^3)</f>
        <v>24.96</v>
      </c>
      <c r="M82" s="565">
        <f>-IF($H$9="VND",M50/M27/$H$10/10^3,M50/M27/$H$10*10^3)</f>
        <v>24.96</v>
      </c>
      <c r="N82" s="565">
        <f t="shared" si="53"/>
        <v>25.459199999999999</v>
      </c>
      <c r="O82" s="565">
        <f t="shared" si="53"/>
        <v>25.968384000000004</v>
      </c>
      <c r="P82" s="565">
        <f t="shared" si="53"/>
        <v>26.487751680000002</v>
      </c>
      <c r="Q82" s="565">
        <f t="shared" si="53"/>
        <v>27.017506713600003</v>
      </c>
      <c r="R82" s="565">
        <f t="shared" si="53"/>
        <v>27.557856847872003</v>
      </c>
      <c r="S82" s="565">
        <f t="shared" si="53"/>
        <v>28.109013984829442</v>
      </c>
      <c r="T82" s="565">
        <f t="shared" si="53"/>
        <v>28.671194264526026</v>
      </c>
      <c r="U82" s="565">
        <f t="shared" si="53"/>
        <v>29.244618149816546</v>
      </c>
      <c r="V82" s="565">
        <f t="shared" si="53"/>
        <v>29.829510512812881</v>
      </c>
      <c r="W82" s="565">
        <f t="shared" si="53"/>
        <v>30.426100723069144</v>
      </c>
      <c r="X82" s="565">
        <f t="shared" si="53"/>
        <v>31.034622737530515</v>
      </c>
      <c r="Y82" s="565">
        <f t="shared" si="53"/>
        <v>31.655315192281126</v>
      </c>
      <c r="Z82" s="565">
        <f t="shared" si="53"/>
        <v>32.288421496126759</v>
      </c>
      <c r="AA82" s="565"/>
      <c r="AB82" s="565"/>
      <c r="AC82" s="565"/>
      <c r="AD82" s="565"/>
      <c r="AE82" s="565"/>
      <c r="AF82" s="565"/>
      <c r="AG82" s="565"/>
      <c r="AH82" s="565"/>
      <c r="AI82" s="565"/>
      <c r="AJ82" s="565"/>
    </row>
    <row r="83" spans="1:36" s="299" customFormat="1" x14ac:dyDescent="0.25">
      <c r="A83" s="299" t="s">
        <v>422</v>
      </c>
      <c r="C83" s="299" t="s">
        <v>387</v>
      </c>
      <c r="E83" s="331"/>
      <c r="F83" s="331"/>
      <c r="H83" s="640" t="s">
        <v>203</v>
      </c>
      <c r="I83" s="641" t="str">
        <f t="shared" si="28"/>
        <v>tr. VND/tấn</v>
      </c>
      <c r="K83" s="642"/>
      <c r="L83" s="642">
        <f t="shared" ref="L83:AJ83" si="54">-IF($H$9="VND",L51/L27/$H$10/10^3,L51/L27/$H$10*10^3)</f>
        <v>1.8787096774193559</v>
      </c>
      <c r="M83" s="642">
        <f t="shared" si="54"/>
        <v>1.8787096774193583</v>
      </c>
      <c r="N83" s="642">
        <f t="shared" si="54"/>
        <v>1.9162838709677454</v>
      </c>
      <c r="O83" s="642">
        <f t="shared" si="54"/>
        <v>1.9546095483871007</v>
      </c>
      <c r="P83" s="642">
        <f t="shared" si="54"/>
        <v>1.9937017393548417</v>
      </c>
      <c r="Q83" s="642">
        <f t="shared" si="54"/>
        <v>2.0335757741419362</v>
      </c>
      <c r="R83" s="642">
        <f t="shared" si="54"/>
        <v>2.0742472896247759</v>
      </c>
      <c r="S83" s="642">
        <f t="shared" si="54"/>
        <v>2.1157322354172718</v>
      </c>
      <c r="T83" s="642">
        <f t="shared" si="54"/>
        <v>2.1580468801256183</v>
      </c>
      <c r="U83" s="642">
        <f t="shared" si="54"/>
        <v>2.2012078177281285</v>
      </c>
      <c r="V83" s="642">
        <f t="shared" si="54"/>
        <v>2.2452319740826931</v>
      </c>
      <c r="W83" s="642">
        <f t="shared" si="54"/>
        <v>2.2901366135643446</v>
      </c>
      <c r="X83" s="642">
        <f t="shared" si="54"/>
        <v>2.3359393458356301</v>
      </c>
      <c r="Y83" s="642">
        <f t="shared" si="54"/>
        <v>2.3826581327523475</v>
      </c>
      <c r="Z83" s="642">
        <f t="shared" si="54"/>
        <v>2.430311295407392</v>
      </c>
      <c r="AA83" s="642"/>
      <c r="AB83" s="642"/>
      <c r="AC83" s="642"/>
      <c r="AD83" s="642"/>
      <c r="AE83" s="642"/>
      <c r="AF83" s="642"/>
      <c r="AG83" s="642"/>
      <c r="AH83" s="642"/>
      <c r="AI83" s="642"/>
      <c r="AJ83" s="642"/>
    </row>
    <row r="84" spans="1:36" x14ac:dyDescent="0.25">
      <c r="A84" t="s">
        <v>422</v>
      </c>
      <c r="H84" s="558" t="s">
        <v>676</v>
      </c>
      <c r="I84" s="559" t="str">
        <f t="shared" si="28"/>
        <v>tr. VND/tấn</v>
      </c>
      <c r="K84" s="567">
        <f>SUM(K85:K86)</f>
        <v>0</v>
      </c>
      <c r="L84" s="567">
        <f t="shared" ref="L84:AJ84" si="55">SUM(L85:L86)</f>
        <v>0.20420258064516131</v>
      </c>
      <c r="M84" s="567">
        <f t="shared" si="55"/>
        <v>0.20420258064516134</v>
      </c>
      <c r="N84" s="567">
        <f t="shared" si="55"/>
        <v>0.21441270967741941</v>
      </c>
      <c r="O84" s="567">
        <f t="shared" si="55"/>
        <v>0.22513334516129035</v>
      </c>
      <c r="P84" s="567">
        <f t="shared" si="55"/>
        <v>0.23639001241935489</v>
      </c>
      <c r="Q84" s="567">
        <f t="shared" si="55"/>
        <v>0.24820951304032263</v>
      </c>
      <c r="R84" s="567">
        <f t="shared" si="55"/>
        <v>0.26061998869233877</v>
      </c>
      <c r="S84" s="567">
        <f t="shared" si="55"/>
        <v>0.27365098812695565</v>
      </c>
      <c r="T84" s="567">
        <f t="shared" si="55"/>
        <v>0.28733353753330354</v>
      </c>
      <c r="U84" s="567">
        <f t="shared" si="55"/>
        <v>0.30170021440996864</v>
      </c>
      <c r="V84" s="567">
        <f t="shared" si="55"/>
        <v>0.31678522513046709</v>
      </c>
      <c r="W84" s="567">
        <f t="shared" si="55"/>
        <v>0.33262448638699044</v>
      </c>
      <c r="X84" s="567">
        <f t="shared" si="55"/>
        <v>0.34925571070633998</v>
      </c>
      <c r="Y84" s="567">
        <f t="shared" si="55"/>
        <v>0.36671849624165698</v>
      </c>
      <c r="Z84" s="567">
        <f t="shared" si="55"/>
        <v>0.38505442105373988</v>
      </c>
      <c r="AA84" s="567"/>
      <c r="AB84" s="567"/>
      <c r="AC84" s="567"/>
      <c r="AD84" s="567"/>
      <c r="AE84" s="567"/>
      <c r="AF84" s="567"/>
      <c r="AG84" s="567"/>
      <c r="AH84" s="567"/>
      <c r="AI84" s="567"/>
      <c r="AJ84" s="567"/>
    </row>
    <row r="85" spans="1:36" s="299" customFormat="1" x14ac:dyDescent="0.25">
      <c r="A85" s="299" t="s">
        <v>422</v>
      </c>
      <c r="C85" s="299" t="s">
        <v>367</v>
      </c>
      <c r="E85" s="331"/>
      <c r="F85" s="331"/>
      <c r="H85" s="560" t="s">
        <v>673</v>
      </c>
      <c r="I85" s="561" t="str">
        <f t="shared" si="28"/>
        <v>tr. VND/tấn</v>
      </c>
      <c r="K85" s="565"/>
      <c r="L85" s="565">
        <f>-IF($H$9="VND",L53/L27/$H$10/10^3,L53/L27/$H$10*10^3)</f>
        <v>0.20420258064516131</v>
      </c>
      <c r="M85" s="565">
        <f t="shared" ref="M85:AJ85" si="56">-IF($H$9="VND",M53/M27/$H$10/10^3,M53/M27/$H$10*10^3)</f>
        <v>0.20420258064516134</v>
      </c>
      <c r="N85" s="565">
        <f t="shared" si="56"/>
        <v>0.21441270967741941</v>
      </c>
      <c r="O85" s="565">
        <f t="shared" si="56"/>
        <v>0.22513334516129035</v>
      </c>
      <c r="P85" s="565">
        <f t="shared" si="56"/>
        <v>0.23639001241935489</v>
      </c>
      <c r="Q85" s="565">
        <f t="shared" si="56"/>
        <v>0.24820951304032263</v>
      </c>
      <c r="R85" s="565">
        <f t="shared" si="56"/>
        <v>0.26061998869233877</v>
      </c>
      <c r="S85" s="565">
        <f t="shared" si="56"/>
        <v>0.27365098812695565</v>
      </c>
      <c r="T85" s="565">
        <f t="shared" si="56"/>
        <v>0.28733353753330354</v>
      </c>
      <c r="U85" s="565">
        <f t="shared" si="56"/>
        <v>0.30170021440996864</v>
      </c>
      <c r="V85" s="565">
        <f t="shared" si="56"/>
        <v>0.31678522513046709</v>
      </c>
      <c r="W85" s="565">
        <f t="shared" si="56"/>
        <v>0.33262448638699044</v>
      </c>
      <c r="X85" s="565">
        <f t="shared" si="56"/>
        <v>0.34925571070633998</v>
      </c>
      <c r="Y85" s="565">
        <f t="shared" si="56"/>
        <v>0.36671849624165698</v>
      </c>
      <c r="Z85" s="565">
        <f t="shared" si="56"/>
        <v>0.38505442105373988</v>
      </c>
      <c r="AA85" s="565"/>
      <c r="AB85" s="565"/>
      <c r="AC85" s="565"/>
      <c r="AD85" s="565"/>
      <c r="AE85" s="565"/>
      <c r="AF85" s="565"/>
      <c r="AG85" s="565"/>
      <c r="AH85" s="565"/>
      <c r="AI85" s="565"/>
      <c r="AJ85" s="565"/>
    </row>
    <row r="86" spans="1:36" s="299" customFormat="1" x14ac:dyDescent="0.25">
      <c r="A86" s="299" t="s">
        <v>422</v>
      </c>
      <c r="C86" s="299" t="s">
        <v>367</v>
      </c>
      <c r="E86" s="331"/>
      <c r="F86" s="331"/>
      <c r="H86" s="560" t="s">
        <v>674</v>
      </c>
      <c r="I86" s="561" t="str">
        <f t="shared" si="28"/>
        <v>tr. VND/tấn</v>
      </c>
      <c r="K86" s="565"/>
      <c r="L86" s="565">
        <f>-IF($H$9="VND",L54/L27/$H$10/10^3,L54/L27/$H$10*10^3)</f>
        <v>0</v>
      </c>
      <c r="M86" s="565">
        <f t="shared" ref="M86:AJ86" si="57">-IF($H$9="VND",M54/M27/$H$10/10^3,M54/M27/$H$10*10^3)</f>
        <v>0</v>
      </c>
      <c r="N86" s="565">
        <f t="shared" si="57"/>
        <v>0</v>
      </c>
      <c r="O86" s="565">
        <f t="shared" si="57"/>
        <v>0</v>
      </c>
      <c r="P86" s="565">
        <f t="shared" si="57"/>
        <v>0</v>
      </c>
      <c r="Q86" s="565">
        <f t="shared" si="57"/>
        <v>0</v>
      </c>
      <c r="R86" s="565">
        <f t="shared" si="57"/>
        <v>0</v>
      </c>
      <c r="S86" s="565">
        <f t="shared" si="57"/>
        <v>0</v>
      </c>
      <c r="T86" s="565">
        <f t="shared" si="57"/>
        <v>0</v>
      </c>
      <c r="U86" s="565">
        <f t="shared" si="57"/>
        <v>0</v>
      </c>
      <c r="V86" s="565">
        <f t="shared" si="57"/>
        <v>0</v>
      </c>
      <c r="W86" s="565">
        <f t="shared" si="57"/>
        <v>0</v>
      </c>
      <c r="X86" s="565">
        <f t="shared" si="57"/>
        <v>0</v>
      </c>
      <c r="Y86" s="565">
        <f t="shared" si="57"/>
        <v>0</v>
      </c>
      <c r="Z86" s="565">
        <f t="shared" si="57"/>
        <v>0</v>
      </c>
      <c r="AA86" s="565"/>
      <c r="AB86" s="565"/>
      <c r="AC86" s="565"/>
      <c r="AD86" s="565"/>
      <c r="AE86" s="565"/>
      <c r="AF86" s="565"/>
      <c r="AG86" s="565"/>
      <c r="AH86" s="565"/>
      <c r="AI86" s="565"/>
      <c r="AJ86" s="565"/>
    </row>
    <row r="87" spans="1:36" x14ac:dyDescent="0.25">
      <c r="A87" t="s">
        <v>422</v>
      </c>
      <c r="H87" s="558" t="s">
        <v>180</v>
      </c>
      <c r="I87" s="559" t="str">
        <f t="shared" si="28"/>
        <v>tr. VND/tấn</v>
      </c>
      <c r="K87" s="567">
        <f>SUM(K88:K90)</f>
        <v>0</v>
      </c>
      <c r="L87" s="567">
        <f>SUM(L88:L90)</f>
        <v>2.8219416287581907</v>
      </c>
      <c r="M87" s="567">
        <f t="shared" ref="M87" si="58">SUM(M88:M90)</f>
        <v>2.660868871198673</v>
      </c>
      <c r="N87" s="567">
        <f t="shared" ref="N87" si="59">SUM(N88:N90)</f>
        <v>2.6587810286858344</v>
      </c>
      <c r="O87" s="567">
        <f t="shared" ref="O87" si="60">SUM(O88:O90)</f>
        <v>2.7834335906254735</v>
      </c>
      <c r="P87" s="567">
        <f t="shared" ref="P87" si="61">SUM(P88:P90)</f>
        <v>2.9143187806620943</v>
      </c>
      <c r="Q87" s="567">
        <f t="shared" ref="Q87" si="62">SUM(Q88:Q90)</f>
        <v>3.0517482302005461</v>
      </c>
      <c r="R87" s="567">
        <f t="shared" ref="R87" si="63">SUM(R88:R90)</f>
        <v>3.1960491522159202</v>
      </c>
      <c r="S87" s="567">
        <f t="shared" ref="S87" si="64">SUM(S88:S90)</f>
        <v>3.3475651203320633</v>
      </c>
      <c r="T87" s="567">
        <f t="shared" ref="T87" si="65">SUM(T88:T90)</f>
        <v>3.5066568868540129</v>
      </c>
      <c r="U87" s="567">
        <f t="shared" ref="U87" si="66">SUM(U88:U90)</f>
        <v>3.6737032417020608</v>
      </c>
      <c r="V87" s="567">
        <f t="shared" ref="V87" si="67">SUM(V88:V90)</f>
        <v>3.8491019142925103</v>
      </c>
      <c r="W87" s="567">
        <f t="shared" ref="W87" si="68">SUM(W88:W90)</f>
        <v>4.0332705205124837</v>
      </c>
      <c r="X87" s="567">
        <f t="shared" ref="X87" si="69">SUM(X88:X90)</f>
        <v>4.0648020591010132</v>
      </c>
      <c r="Y87" s="567">
        <f t="shared" ref="Y87" si="70">SUM(Y88:Y90)</f>
        <v>4.2678479474585318</v>
      </c>
      <c r="Z87" s="567">
        <f t="shared" ref="Z87" si="71">SUM(Z88:Z90)</f>
        <v>4.4810461302339286</v>
      </c>
      <c r="AA87" s="567"/>
      <c r="AB87" s="567"/>
      <c r="AC87" s="567"/>
      <c r="AD87" s="567"/>
      <c r="AE87" s="567"/>
      <c r="AF87" s="567"/>
      <c r="AG87" s="567"/>
      <c r="AH87" s="567"/>
      <c r="AI87" s="567"/>
      <c r="AJ87" s="567"/>
    </row>
    <row r="88" spans="1:36" s="299" customFormat="1" x14ac:dyDescent="0.25">
      <c r="A88" s="299" t="s">
        <v>422</v>
      </c>
      <c r="C88" s="299" t="s">
        <v>367</v>
      </c>
      <c r="H88" s="560" t="s">
        <v>73</v>
      </c>
      <c r="I88" s="561" t="str">
        <f t="shared" si="28"/>
        <v>tr. VND/tấn</v>
      </c>
      <c r="K88" s="565"/>
      <c r="L88" s="565">
        <f t="shared" ref="L88:AJ88" si="72">-IF($H$9="VND",L56/L27/$H$10/10^3,L56/L27/$H$10*10^3)</f>
        <v>1.8565188172043012</v>
      </c>
      <c r="M88" s="565">
        <f t="shared" si="72"/>
        <v>1.8565188172043008</v>
      </c>
      <c r="N88" s="565">
        <f t="shared" si="72"/>
        <v>1.949344758064516</v>
      </c>
      <c r="O88" s="565">
        <f t="shared" si="72"/>
        <v>2.046811995967742</v>
      </c>
      <c r="P88" s="565">
        <f t="shared" si="72"/>
        <v>2.1491525957661293</v>
      </c>
      <c r="Q88" s="565">
        <f t="shared" si="72"/>
        <v>2.2566102255544358</v>
      </c>
      <c r="R88" s="565">
        <f t="shared" si="72"/>
        <v>2.3694407368321579</v>
      </c>
      <c r="S88" s="565">
        <f t="shared" si="72"/>
        <v>2.4879127736737656</v>
      </c>
      <c r="T88" s="565">
        <f t="shared" si="72"/>
        <v>2.6123084123574536</v>
      </c>
      <c r="U88" s="565">
        <f t="shared" si="72"/>
        <v>2.7429238329753267</v>
      </c>
      <c r="V88" s="565">
        <f t="shared" si="72"/>
        <v>2.8800700246240925</v>
      </c>
      <c r="W88" s="565">
        <f t="shared" si="72"/>
        <v>3.0240735258552975</v>
      </c>
      <c r="X88" s="565">
        <f t="shared" si="72"/>
        <v>3.1752772021480626</v>
      </c>
      <c r="Y88" s="565">
        <f t="shared" si="72"/>
        <v>3.3340410622554648</v>
      </c>
      <c r="Z88" s="565">
        <f t="shared" si="72"/>
        <v>3.5007431153682393</v>
      </c>
      <c r="AA88" s="565"/>
      <c r="AB88" s="565"/>
      <c r="AC88" s="565"/>
      <c r="AD88" s="565"/>
      <c r="AE88" s="565"/>
      <c r="AF88" s="565"/>
      <c r="AG88" s="565"/>
      <c r="AH88" s="565"/>
      <c r="AI88" s="565"/>
      <c r="AJ88" s="565"/>
    </row>
    <row r="89" spans="1:36" s="299" customFormat="1" x14ac:dyDescent="0.25">
      <c r="A89" s="299" t="s">
        <v>422</v>
      </c>
      <c r="C89" s="299" t="s">
        <v>370</v>
      </c>
      <c r="H89" s="560" t="s">
        <v>192</v>
      </c>
      <c r="I89" s="561" t="str">
        <f t="shared" si="28"/>
        <v>tr. VND/tấn</v>
      </c>
      <c r="K89" s="565"/>
      <c r="L89" s="565">
        <f t="shared" ref="L89:AJ89" si="73">-IF($H$9="VND",L57/L27/$H$10/10^3,L57/L27/$H$10*10^3)</f>
        <v>0.31481481481481483</v>
      </c>
      <c r="M89" s="565">
        <f t="shared" si="73"/>
        <v>0.31481481481481483</v>
      </c>
      <c r="N89" s="565">
        <f t="shared" si="73"/>
        <v>0.3305555555555556</v>
      </c>
      <c r="O89" s="565">
        <f t="shared" si="73"/>
        <v>0.34708333333333335</v>
      </c>
      <c r="P89" s="565">
        <f t="shared" si="73"/>
        <v>0.36443750000000008</v>
      </c>
      <c r="Q89" s="565">
        <f t="shared" si="73"/>
        <v>0.38265937500000002</v>
      </c>
      <c r="R89" s="565">
        <f t="shared" si="73"/>
        <v>0.40179234375000006</v>
      </c>
      <c r="S89" s="565">
        <f t="shared" si="73"/>
        <v>0.42188196093749997</v>
      </c>
      <c r="T89" s="565">
        <f t="shared" si="73"/>
        <v>0.44297605898437514</v>
      </c>
      <c r="U89" s="565">
        <f t="shared" si="73"/>
        <v>0.46512486193359376</v>
      </c>
      <c r="V89" s="565">
        <f t="shared" si="73"/>
        <v>0.48838110503027343</v>
      </c>
      <c r="W89" s="565">
        <f t="shared" si="73"/>
        <v>0.51280016028178721</v>
      </c>
      <c r="X89" s="565">
        <f t="shared" si="73"/>
        <v>0.5384401682958766</v>
      </c>
      <c r="Y89" s="565">
        <f t="shared" si="73"/>
        <v>0.56536217671067035</v>
      </c>
      <c r="Z89" s="565">
        <f t="shared" si="73"/>
        <v>0.5936302855462039</v>
      </c>
      <c r="AA89" s="565"/>
      <c r="AB89" s="565"/>
      <c r="AC89" s="565"/>
      <c r="AD89" s="565"/>
      <c r="AE89" s="565"/>
      <c r="AF89" s="565"/>
      <c r="AG89" s="565"/>
      <c r="AH89" s="565"/>
      <c r="AI89" s="565"/>
      <c r="AJ89" s="565"/>
    </row>
    <row r="90" spans="1:36" s="299" customFormat="1" x14ac:dyDescent="0.25">
      <c r="A90" s="299" t="s">
        <v>422</v>
      </c>
      <c r="C90" s="299" t="s">
        <v>367</v>
      </c>
      <c r="H90" s="560" t="s">
        <v>175</v>
      </c>
      <c r="I90" s="561" t="str">
        <f t="shared" si="28"/>
        <v>tr. VND/tấn</v>
      </c>
      <c r="K90" s="565"/>
      <c r="L90" s="565">
        <f>-IF($H$9="VND",L58/L27/$H$10/10^3,L58/L27/$H$10*10^3)</f>
        <v>0.65060799673907488</v>
      </c>
      <c r="M90" s="565">
        <f t="shared" ref="M90:AJ90" si="74">-IF($H$9="VND",M58/M27/$H$10/10^3,M58/M27/$H$10*10^3)</f>
        <v>0.48953523917955771</v>
      </c>
      <c r="N90" s="565">
        <f t="shared" si="74"/>
        <v>0.37888071506576265</v>
      </c>
      <c r="O90" s="565">
        <f t="shared" si="74"/>
        <v>0.38953826132439784</v>
      </c>
      <c r="P90" s="565">
        <f t="shared" si="74"/>
        <v>0.40072868489596469</v>
      </c>
      <c r="Q90" s="565">
        <f t="shared" si="74"/>
        <v>0.41247862964610993</v>
      </c>
      <c r="R90" s="565">
        <f t="shared" si="74"/>
        <v>0.42481607163376234</v>
      </c>
      <c r="S90" s="565">
        <f t="shared" si="74"/>
        <v>0.43777038572079757</v>
      </c>
      <c r="T90" s="565">
        <f t="shared" si="74"/>
        <v>0.45137241551218432</v>
      </c>
      <c r="U90" s="565">
        <f t="shared" si="74"/>
        <v>0.4656545467931405</v>
      </c>
      <c r="V90" s="565">
        <f t="shared" si="74"/>
        <v>0.48065078463814442</v>
      </c>
      <c r="W90" s="565">
        <f t="shared" si="74"/>
        <v>0.49639683437539861</v>
      </c>
      <c r="X90" s="565">
        <f t="shared" si="74"/>
        <v>0.35108468865707365</v>
      </c>
      <c r="Y90" s="565">
        <f t="shared" si="74"/>
        <v>0.36844470849239641</v>
      </c>
      <c r="Z90" s="565">
        <f t="shared" si="74"/>
        <v>0.38667272931948538</v>
      </c>
      <c r="AA90" s="565"/>
      <c r="AB90" s="565"/>
      <c r="AC90" s="565"/>
      <c r="AD90" s="565"/>
      <c r="AE90" s="565"/>
      <c r="AF90" s="565"/>
      <c r="AG90" s="565"/>
      <c r="AH90" s="565"/>
      <c r="AI90" s="565"/>
      <c r="AJ90" s="565"/>
    </row>
    <row r="91" spans="1:36" x14ac:dyDescent="0.25">
      <c r="A91" t="s">
        <v>422</v>
      </c>
      <c r="H91" s="247"/>
      <c r="I91" s="275"/>
      <c r="K91" s="281"/>
      <c r="L91" s="282"/>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row>
    <row r="92" spans="1:36" s="16" customFormat="1" x14ac:dyDescent="0.25">
      <c r="A92" s="16" t="s">
        <v>422</v>
      </c>
      <c r="H92" s="276" t="s">
        <v>464</v>
      </c>
      <c r="I92" s="277" t="str">
        <f t="shared" si="28"/>
        <v>tr. VND/tấn</v>
      </c>
      <c r="K92" s="283">
        <f>K70+K80</f>
        <v>0</v>
      </c>
      <c r="L92" s="283">
        <f t="shared" ref="L92:Z92" si="75">L70+L80</f>
        <v>43.958720173280462</v>
      </c>
      <c r="M92" s="283">
        <f t="shared" si="75"/>
        <v>39.770828476733016</v>
      </c>
      <c r="N92" s="283">
        <f t="shared" si="75"/>
        <v>37.440795172354989</v>
      </c>
      <c r="O92" s="283">
        <f t="shared" si="75"/>
        <v>38.276121687982737</v>
      </c>
      <c r="P92" s="283">
        <f t="shared" si="75"/>
        <v>39.13678923906928</v>
      </c>
      <c r="Q92" s="283">
        <f t="shared" si="75"/>
        <v>40.023736371581123</v>
      </c>
      <c r="R92" s="283">
        <f t="shared" si="75"/>
        <v>40.937941988666935</v>
      </c>
      <c r="S92" s="283">
        <f t="shared" si="75"/>
        <v>41.880427237114404</v>
      </c>
      <c r="T92" s="283">
        <f t="shared" si="75"/>
        <v>42.852257485501738</v>
      </c>
      <c r="U92" s="283">
        <f t="shared" si="75"/>
        <v>43.854544398576294</v>
      </c>
      <c r="V92" s="283">
        <f t="shared" si="75"/>
        <v>44.888448112617795</v>
      </c>
      <c r="W92" s="283">
        <f t="shared" si="75"/>
        <v>45.955179516780845</v>
      </c>
      <c r="X92" s="283">
        <f t="shared" si="75"/>
        <v>42.848019699156396</v>
      </c>
      <c r="Y92" s="283">
        <f t="shared" si="75"/>
        <v>43.984254242077441</v>
      </c>
      <c r="Z92" s="283">
        <f t="shared" si="75"/>
        <v>45.157278174894508</v>
      </c>
      <c r="AA92" s="283"/>
      <c r="AB92" s="283"/>
      <c r="AC92" s="283"/>
      <c r="AD92" s="283"/>
      <c r="AE92" s="283"/>
      <c r="AF92" s="283"/>
      <c r="AG92" s="283"/>
      <c r="AH92" s="283"/>
      <c r="AI92" s="283"/>
      <c r="AJ92" s="283"/>
    </row>
    <row r="93" spans="1:36" x14ac:dyDescent="0.25">
      <c r="A93" t="s">
        <v>422</v>
      </c>
      <c r="H93" s="247"/>
      <c r="I93" s="275"/>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row>
    <row r="94" spans="1:36" x14ac:dyDescent="0.25">
      <c r="A94" t="s">
        <v>422</v>
      </c>
      <c r="C94" t="s">
        <v>367</v>
      </c>
      <c r="H94" s="568" t="s">
        <v>166</v>
      </c>
      <c r="I94" s="569" t="str">
        <f t="shared" si="28"/>
        <v>tr. VND/tấn</v>
      </c>
      <c r="K94" s="570"/>
      <c r="L94" s="570">
        <f>-IF($H$9="VND",L62/L27/$H$10/10^3,L62/L27/$H$10*10^3)</f>
        <v>0.88888888888888906</v>
      </c>
      <c r="M94" s="570">
        <f t="shared" ref="M94:AJ94" si="76">-IF($H$9="VND",M62/M27/$H$10/10^3,M62/M27/$H$10*10^3)</f>
        <v>0.88888888888888895</v>
      </c>
      <c r="N94" s="570">
        <f t="shared" si="76"/>
        <v>0.93333333333333335</v>
      </c>
      <c r="O94" s="570">
        <f t="shared" si="76"/>
        <v>0.9800000000000002</v>
      </c>
      <c r="P94" s="570">
        <f t="shared" si="76"/>
        <v>1.0290000000000001</v>
      </c>
      <c r="Q94" s="570">
        <f t="shared" si="76"/>
        <v>1.0804500000000004</v>
      </c>
      <c r="R94" s="570">
        <f t="shared" si="76"/>
        <v>1.1344725000000002</v>
      </c>
      <c r="S94" s="570">
        <f t="shared" si="76"/>
        <v>1.1911961249999998</v>
      </c>
      <c r="T94" s="570">
        <f t="shared" si="76"/>
        <v>1.2507559312500003</v>
      </c>
      <c r="U94" s="570">
        <f t="shared" si="76"/>
        <v>1.3132937278125001</v>
      </c>
      <c r="V94" s="570">
        <f t="shared" si="76"/>
        <v>1.3789584142031253</v>
      </c>
      <c r="W94" s="570">
        <f t="shared" si="76"/>
        <v>1.4479063349132817</v>
      </c>
      <c r="X94" s="570">
        <f t="shared" si="76"/>
        <v>1.5203016516589456</v>
      </c>
      <c r="Y94" s="570">
        <f t="shared" si="76"/>
        <v>1.5963167342418931</v>
      </c>
      <c r="Z94" s="570">
        <f t="shared" si="76"/>
        <v>1.6761325709539878</v>
      </c>
      <c r="AA94" s="570"/>
      <c r="AB94" s="570"/>
      <c r="AC94" s="570"/>
      <c r="AD94" s="570"/>
      <c r="AE94" s="570"/>
      <c r="AF94" s="570"/>
      <c r="AG94" s="570"/>
      <c r="AH94" s="570"/>
      <c r="AI94" s="570"/>
      <c r="AJ94" s="570"/>
    </row>
    <row r="95" spans="1:36" x14ac:dyDescent="0.25">
      <c r="A95" t="s">
        <v>422</v>
      </c>
      <c r="C95" t="s">
        <v>367</v>
      </c>
      <c r="H95" s="558" t="s">
        <v>469</v>
      </c>
      <c r="I95" s="559" t="str">
        <f t="shared" si="28"/>
        <v>tr. VND/tấn</v>
      </c>
      <c r="K95" s="571"/>
      <c r="L95" s="571">
        <f t="shared" ref="L95:AJ95" si="77">-IF($H$9="VND",L63/L27/$H$10/10^3,L63/L27/$H$10*10^3)</f>
        <v>0</v>
      </c>
      <c r="M95" s="571">
        <f t="shared" si="77"/>
        <v>0</v>
      </c>
      <c r="N95" s="571">
        <f t="shared" si="77"/>
        <v>0</v>
      </c>
      <c r="O95" s="571">
        <f t="shared" si="77"/>
        <v>0</v>
      </c>
      <c r="P95" s="571">
        <f t="shared" si="77"/>
        <v>0</v>
      </c>
      <c r="Q95" s="571">
        <f t="shared" si="77"/>
        <v>0</v>
      </c>
      <c r="R95" s="571">
        <f t="shared" si="77"/>
        <v>0</v>
      </c>
      <c r="S95" s="571">
        <f t="shared" si="77"/>
        <v>0</v>
      </c>
      <c r="T95" s="571">
        <f t="shared" si="77"/>
        <v>0</v>
      </c>
      <c r="U95" s="571">
        <f t="shared" si="77"/>
        <v>0</v>
      </c>
      <c r="V95" s="571">
        <f t="shared" si="77"/>
        <v>0</v>
      </c>
      <c r="W95" s="571">
        <f t="shared" si="77"/>
        <v>0</v>
      </c>
      <c r="X95" s="571">
        <f t="shared" si="77"/>
        <v>0</v>
      </c>
      <c r="Y95" s="571">
        <f t="shared" si="77"/>
        <v>0</v>
      </c>
      <c r="Z95" s="571">
        <f t="shared" si="77"/>
        <v>0</v>
      </c>
      <c r="AA95" s="571"/>
      <c r="AB95" s="571"/>
      <c r="AC95" s="571"/>
      <c r="AD95" s="571"/>
      <c r="AE95" s="571"/>
      <c r="AF95" s="571"/>
      <c r="AG95" s="571"/>
      <c r="AH95" s="571"/>
      <c r="AI95" s="571"/>
      <c r="AJ95" s="571"/>
    </row>
    <row r="96" spans="1:36" x14ac:dyDescent="0.25">
      <c r="A96" t="s">
        <v>422</v>
      </c>
      <c r="C96" t="s">
        <v>367</v>
      </c>
      <c r="H96" s="558" t="s">
        <v>468</v>
      </c>
      <c r="I96" s="559" t="str">
        <f t="shared" si="28"/>
        <v>tr. VND/tấn</v>
      </c>
      <c r="K96" s="558"/>
      <c r="L96" s="571">
        <f t="shared" ref="L96:AJ96" si="78">-IF($H$9="VND",L64/L27/$H$10/10^3,L64/L27/$H$10*10^3)</f>
        <v>0</v>
      </c>
      <c r="M96" s="571">
        <f t="shared" si="78"/>
        <v>0</v>
      </c>
      <c r="N96" s="571">
        <f t="shared" si="78"/>
        <v>0</v>
      </c>
      <c r="O96" s="571">
        <f t="shared" si="78"/>
        <v>0</v>
      </c>
      <c r="P96" s="571">
        <f t="shared" si="78"/>
        <v>0</v>
      </c>
      <c r="Q96" s="571">
        <f t="shared" si="78"/>
        <v>0</v>
      </c>
      <c r="R96" s="571">
        <f t="shared" si="78"/>
        <v>0</v>
      </c>
      <c r="S96" s="571">
        <f t="shared" si="78"/>
        <v>0</v>
      </c>
      <c r="T96" s="571">
        <f t="shared" si="78"/>
        <v>0</v>
      </c>
      <c r="U96" s="571">
        <f t="shared" si="78"/>
        <v>0</v>
      </c>
      <c r="V96" s="571">
        <f t="shared" si="78"/>
        <v>0</v>
      </c>
      <c r="W96" s="571">
        <f t="shared" si="78"/>
        <v>0</v>
      </c>
      <c r="X96" s="571">
        <f t="shared" si="78"/>
        <v>0</v>
      </c>
      <c r="Y96" s="571">
        <f t="shared" si="78"/>
        <v>0</v>
      </c>
      <c r="Z96" s="571">
        <f t="shared" si="78"/>
        <v>0</v>
      </c>
      <c r="AA96" s="571"/>
      <c r="AB96" s="571"/>
      <c r="AC96" s="571"/>
      <c r="AD96" s="571"/>
      <c r="AE96" s="571"/>
      <c r="AF96" s="571"/>
      <c r="AG96" s="571"/>
      <c r="AH96" s="571"/>
      <c r="AI96" s="571"/>
      <c r="AJ96" s="571"/>
    </row>
    <row r="97" spans="1:36" x14ac:dyDescent="0.25">
      <c r="A97" t="s">
        <v>422</v>
      </c>
      <c r="C97" t="s">
        <v>367</v>
      </c>
      <c r="H97" s="558" t="s">
        <v>470</v>
      </c>
      <c r="I97" s="559" t="str">
        <f t="shared" si="28"/>
        <v>tr. VND/tấn</v>
      </c>
      <c r="K97" s="558"/>
      <c r="L97" s="571">
        <f t="shared" ref="L97:AJ97" si="79">-IF($H$9="VND",L65/L27/$H$10/10^3,L65/L27/$H$10*10^3)</f>
        <v>4.7582576395077938</v>
      </c>
      <c r="M97" s="571">
        <f t="shared" si="79"/>
        <v>3.2635032589377744</v>
      </c>
      <c r="N97" s="571">
        <f t="shared" si="79"/>
        <v>2.1831483850641651</v>
      </c>
      <c r="O97" s="571">
        <f t="shared" si="79"/>
        <v>2.0747532161384292</v>
      </c>
      <c r="P97" s="571">
        <f t="shared" si="79"/>
        <v>1.9587703853878913</v>
      </c>
      <c r="Q97" s="571">
        <f t="shared" si="79"/>
        <v>1.8346687564848161</v>
      </c>
      <c r="R97" s="571">
        <f t="shared" si="79"/>
        <v>1.7018800135585255</v>
      </c>
      <c r="S97" s="571">
        <f t="shared" si="79"/>
        <v>1.5597960586273947</v>
      </c>
      <c r="T97" s="571">
        <f t="shared" si="79"/>
        <v>1.4077662268510847</v>
      </c>
      <c r="U97" s="571">
        <f t="shared" si="79"/>
        <v>1.245094306850433</v>
      </c>
      <c r="V97" s="571">
        <f t="shared" si="79"/>
        <v>1.0710353524497356</v>
      </c>
      <c r="W97" s="571">
        <f t="shared" si="79"/>
        <v>0.88479227124098925</v>
      </c>
      <c r="X97" s="571">
        <f t="shared" si="79"/>
        <v>0.68551217434763101</v>
      </c>
      <c r="Y97" s="571">
        <f t="shared" si="79"/>
        <v>0.47228247067173734</v>
      </c>
      <c r="Z97" s="571">
        <f t="shared" si="79"/>
        <v>0.24412668773853119</v>
      </c>
      <c r="AA97" s="571"/>
      <c r="AB97" s="571"/>
      <c r="AC97" s="571"/>
      <c r="AD97" s="571"/>
      <c r="AE97" s="571"/>
      <c r="AF97" s="571"/>
      <c r="AG97" s="571"/>
      <c r="AH97" s="571"/>
      <c r="AI97" s="571"/>
      <c r="AJ97" s="571"/>
    </row>
    <row r="98" spans="1:36" x14ac:dyDescent="0.25">
      <c r="A98" t="s">
        <v>422</v>
      </c>
      <c r="H98" s="247"/>
      <c r="I98" s="275"/>
      <c r="K98" s="247"/>
      <c r="L98" s="247"/>
      <c r="M98" s="247"/>
      <c r="N98" s="247"/>
      <c r="O98" s="247"/>
      <c r="P98" s="247"/>
      <c r="Q98" s="247"/>
      <c r="R98" s="247"/>
      <c r="S98" s="247"/>
      <c r="T98" s="247"/>
      <c r="U98" s="247"/>
      <c r="V98" s="247"/>
      <c r="W98" s="247"/>
      <c r="X98" s="247"/>
      <c r="Y98" s="247"/>
      <c r="Z98" s="247"/>
      <c r="AA98" s="247"/>
      <c r="AB98" s="247"/>
      <c r="AC98" s="247"/>
      <c r="AD98" s="247"/>
      <c r="AE98" s="247"/>
      <c r="AF98" s="247"/>
      <c r="AG98" s="247"/>
      <c r="AH98" s="247"/>
      <c r="AI98" s="247"/>
      <c r="AJ98" s="247"/>
    </row>
    <row r="99" spans="1:36" s="16" customFormat="1" x14ac:dyDescent="0.25">
      <c r="A99" s="16" t="s">
        <v>422</v>
      </c>
      <c r="H99" s="276" t="s">
        <v>474</v>
      </c>
      <c r="I99" s="277" t="str">
        <f t="shared" si="28"/>
        <v>tr. VND/tấn</v>
      </c>
      <c r="K99" s="283">
        <f t="shared" ref="K99" si="80">K92+SUM(K94:K97)</f>
        <v>0</v>
      </c>
      <c r="L99" s="283">
        <f>L92+SUM(L94:L97)</f>
        <v>49.605866701677144</v>
      </c>
      <c r="M99" s="283">
        <f t="shared" ref="M99:AJ99" si="81">M92+SUM(M94:M97)</f>
        <v>43.923220624559676</v>
      </c>
      <c r="N99" s="283">
        <f t="shared" si="81"/>
        <v>40.55727689075249</v>
      </c>
      <c r="O99" s="283">
        <f t="shared" si="81"/>
        <v>41.330874904121167</v>
      </c>
      <c r="P99" s="283">
        <f t="shared" si="81"/>
        <v>42.12455962445717</v>
      </c>
      <c r="Q99" s="283">
        <f t="shared" si="81"/>
        <v>42.938855128065939</v>
      </c>
      <c r="R99" s="283">
        <f t="shared" si="81"/>
        <v>43.774294502225459</v>
      </c>
      <c r="S99" s="283">
        <f t="shared" si="81"/>
        <v>44.6314194207418</v>
      </c>
      <c r="T99" s="283">
        <f t="shared" si="81"/>
        <v>45.510779643602824</v>
      </c>
      <c r="U99" s="283">
        <f t="shared" si="81"/>
        <v>46.412932433239227</v>
      </c>
      <c r="V99" s="283">
        <f t="shared" si="81"/>
        <v>47.338441879270654</v>
      </c>
      <c r="W99" s="283">
        <f t="shared" si="81"/>
        <v>48.287878122935119</v>
      </c>
      <c r="X99" s="283">
        <f t="shared" si="81"/>
        <v>45.053833525162972</v>
      </c>
      <c r="Y99" s="283">
        <f t="shared" si="81"/>
        <v>46.052853446991072</v>
      </c>
      <c r="Z99" s="283">
        <f t="shared" si="81"/>
        <v>47.077537433587025</v>
      </c>
      <c r="AA99" s="283"/>
      <c r="AB99" s="283"/>
      <c r="AC99" s="283"/>
      <c r="AD99" s="283"/>
      <c r="AE99" s="283"/>
      <c r="AF99" s="283"/>
      <c r="AG99" s="283"/>
      <c r="AH99" s="283"/>
      <c r="AI99" s="283"/>
      <c r="AJ99" s="283"/>
    </row>
    <row r="100" spans="1:36" x14ac:dyDescent="0.25">
      <c r="A100" t="s">
        <v>422</v>
      </c>
    </row>
    <row r="101" spans="1:36" x14ac:dyDescent="0.25">
      <c r="A101" t="s">
        <v>422</v>
      </c>
      <c r="H101" s="568" t="s">
        <v>361</v>
      </c>
      <c r="I101" s="569" t="str">
        <f t="shared" si="28"/>
        <v>tr. VND/tấn</v>
      </c>
      <c r="K101" s="568"/>
      <c r="L101" s="589">
        <f>INDEX('Cover Page'!$H$12:$AJ$12,MATCH($A101,'Cover Page'!$H$5:$AJ$5,0))</f>
        <v>6.6666666666666666E-2</v>
      </c>
      <c r="M101" s="589">
        <f>INDEX('Cover Page'!$H$12:$AJ$12,MATCH($A101,'Cover Page'!$H$5:$AJ$5,0))</f>
        <v>6.6666666666666666E-2</v>
      </c>
      <c r="N101" s="589">
        <f>INDEX('Cover Page'!$H$12:$AJ$12,MATCH($A101,'Cover Page'!$H$5:$AJ$5,0))</f>
        <v>6.6666666666666666E-2</v>
      </c>
      <c r="O101" s="589">
        <f>INDEX('Cover Page'!$H$12:$AJ$12,MATCH($A101,'Cover Page'!$H$5:$AJ$5,0))</f>
        <v>6.6666666666666666E-2</v>
      </c>
      <c r="P101" s="589">
        <f>INDEX('Cover Page'!$H$12:$AJ$12,MATCH($A101,'Cover Page'!$H$5:$AJ$5,0))</f>
        <v>6.6666666666666666E-2</v>
      </c>
      <c r="Q101" s="589">
        <f>INDEX('Cover Page'!$H$12:$AJ$12,MATCH($A101,'Cover Page'!$H$5:$AJ$5,0))</f>
        <v>6.6666666666666666E-2</v>
      </c>
      <c r="R101" s="589">
        <f>INDEX('Cover Page'!$H$12:$AJ$12,MATCH($A101,'Cover Page'!$H$5:$AJ$5,0))</f>
        <v>6.6666666666666666E-2</v>
      </c>
      <c r="S101" s="589">
        <f>INDEX('Cover Page'!$H$12:$AJ$12,MATCH($A101,'Cover Page'!$H$5:$AJ$5,0))</f>
        <v>6.6666666666666666E-2</v>
      </c>
      <c r="T101" s="589">
        <f>INDEX('Cover Page'!$H$12:$AJ$12,MATCH($A101,'Cover Page'!$H$5:$AJ$5,0))</f>
        <v>6.6666666666666666E-2</v>
      </c>
      <c r="U101" s="589">
        <f>INDEX('Cover Page'!$H$12:$AJ$12,MATCH($A101,'Cover Page'!$H$5:$AJ$5,0))</f>
        <v>6.6666666666666666E-2</v>
      </c>
      <c r="V101" s="589">
        <f>INDEX('Cover Page'!$H$12:$AJ$12,MATCH($A101,'Cover Page'!$H$5:$AJ$5,0))</f>
        <v>6.6666666666666666E-2</v>
      </c>
      <c r="W101" s="589">
        <f>INDEX('Cover Page'!$H$12:$AJ$12,MATCH($A101,'Cover Page'!$H$5:$AJ$5,0))</f>
        <v>6.6666666666666666E-2</v>
      </c>
      <c r="X101" s="589">
        <f>INDEX('Cover Page'!$H$12:$AJ$12,MATCH($A101,'Cover Page'!$H$5:$AJ$5,0))</f>
        <v>6.6666666666666666E-2</v>
      </c>
      <c r="Y101" s="589">
        <f>INDEX('Cover Page'!$H$12:$AJ$12,MATCH($A101,'Cover Page'!$H$5:$AJ$5,0))</f>
        <v>6.6666666666666666E-2</v>
      </c>
      <c r="Z101" s="589">
        <f>INDEX('Cover Page'!$H$12:$AJ$12,MATCH($A101,'Cover Page'!$H$5:$AJ$5,0))</f>
        <v>6.6666666666666666E-2</v>
      </c>
      <c r="AA101" s="589"/>
      <c r="AB101" s="589"/>
      <c r="AC101" s="589"/>
      <c r="AD101" s="589"/>
      <c r="AE101" s="589"/>
      <c r="AF101" s="589"/>
      <c r="AG101" s="589"/>
      <c r="AH101" s="589"/>
      <c r="AI101" s="589"/>
      <c r="AJ101" s="589"/>
    </row>
    <row r="102" spans="1:36" s="1" customFormat="1" x14ac:dyDescent="0.25">
      <c r="A102" s="1" t="s">
        <v>422</v>
      </c>
      <c r="H102" s="585" t="s">
        <v>490</v>
      </c>
      <c r="I102" s="586" t="str">
        <f t="shared" si="28"/>
        <v>tr. VND/tấn</v>
      </c>
      <c r="K102" s="585"/>
      <c r="L102" s="590">
        <f t="shared" ref="L102:Z102" si="82">L99*(1+L101)</f>
        <v>52.912924481788956</v>
      </c>
      <c r="M102" s="590">
        <f t="shared" si="82"/>
        <v>46.851435332863652</v>
      </c>
      <c r="N102" s="590">
        <f t="shared" si="82"/>
        <v>43.261095350135989</v>
      </c>
      <c r="O102" s="590">
        <f t="shared" si="82"/>
        <v>44.086266564395913</v>
      </c>
      <c r="P102" s="590">
        <f t="shared" si="82"/>
        <v>44.932863599420983</v>
      </c>
      <c r="Q102" s="590">
        <f t="shared" si="82"/>
        <v>45.801445469937001</v>
      </c>
      <c r="R102" s="590">
        <f t="shared" si="82"/>
        <v>46.692580802373826</v>
      </c>
      <c r="S102" s="590">
        <f t="shared" si="82"/>
        <v>47.606847382124585</v>
      </c>
      <c r="T102" s="590">
        <f t="shared" si="82"/>
        <v>48.544831619843009</v>
      </c>
      <c r="U102" s="590">
        <f t="shared" si="82"/>
        <v>49.507127928788506</v>
      </c>
      <c r="V102" s="590">
        <f t="shared" si="82"/>
        <v>50.494338004555367</v>
      </c>
      <c r="W102" s="590">
        <f t="shared" si="82"/>
        <v>51.507069997797458</v>
      </c>
      <c r="X102" s="590">
        <f t="shared" si="82"/>
        <v>48.057422426840503</v>
      </c>
      <c r="Y102" s="590">
        <f t="shared" si="82"/>
        <v>49.123043676790473</v>
      </c>
      <c r="Z102" s="590">
        <f t="shared" si="82"/>
        <v>50.216039929159493</v>
      </c>
      <c r="AA102" s="590"/>
      <c r="AB102" s="590"/>
      <c r="AC102" s="590"/>
      <c r="AD102" s="590"/>
      <c r="AE102" s="590"/>
      <c r="AF102" s="590"/>
      <c r="AG102" s="590"/>
      <c r="AH102" s="590"/>
      <c r="AI102" s="590"/>
      <c r="AJ102" s="590"/>
    </row>
    <row r="103" spans="1:36" x14ac:dyDescent="0.25">
      <c r="A103" t="s">
        <v>422</v>
      </c>
      <c r="H103" s="558" t="s">
        <v>292</v>
      </c>
      <c r="I103" s="559" t="str">
        <f t="shared" si="28"/>
        <v>tr. VND/tấn</v>
      </c>
      <c r="K103" s="558"/>
      <c r="L103" s="591">
        <f t="shared" ref="L103:AJ103" si="83">Tax_rate</f>
        <v>0.2</v>
      </c>
      <c r="M103" s="591">
        <f t="shared" si="83"/>
        <v>0.2</v>
      </c>
      <c r="N103" s="591">
        <f t="shared" si="83"/>
        <v>0.2</v>
      </c>
      <c r="O103" s="591">
        <f t="shared" si="83"/>
        <v>0.2</v>
      </c>
      <c r="P103" s="591">
        <f t="shared" si="83"/>
        <v>0.2</v>
      </c>
      <c r="Q103" s="591">
        <f t="shared" si="83"/>
        <v>0.2</v>
      </c>
      <c r="R103" s="591">
        <f t="shared" si="83"/>
        <v>0.2</v>
      </c>
      <c r="S103" s="591">
        <f t="shared" si="83"/>
        <v>0.2</v>
      </c>
      <c r="T103" s="591">
        <f t="shared" si="83"/>
        <v>0.2</v>
      </c>
      <c r="U103" s="591">
        <f t="shared" si="83"/>
        <v>0.2</v>
      </c>
      <c r="V103" s="591">
        <f t="shared" si="83"/>
        <v>0.2</v>
      </c>
      <c r="W103" s="591">
        <f t="shared" si="83"/>
        <v>0.2</v>
      </c>
      <c r="X103" s="591">
        <f t="shared" si="83"/>
        <v>0.2</v>
      </c>
      <c r="Y103" s="591">
        <f t="shared" si="83"/>
        <v>0.2</v>
      </c>
      <c r="Z103" s="591">
        <f t="shared" si="83"/>
        <v>0.2</v>
      </c>
      <c r="AA103" s="591"/>
      <c r="AB103" s="591"/>
      <c r="AC103" s="591"/>
      <c r="AD103" s="591"/>
      <c r="AE103" s="591"/>
      <c r="AF103" s="591"/>
      <c r="AG103" s="591"/>
      <c r="AH103" s="591"/>
      <c r="AI103" s="591"/>
      <c r="AJ103" s="591"/>
    </row>
    <row r="104" spans="1:36" s="1" customFormat="1" x14ac:dyDescent="0.25">
      <c r="A104" s="1" t="s">
        <v>422</v>
      </c>
      <c r="H104" s="585" t="s">
        <v>491</v>
      </c>
      <c r="I104" s="586" t="str">
        <f t="shared" si="28"/>
        <v>tr. VND/tấn</v>
      </c>
      <c r="K104" s="585"/>
      <c r="L104" s="590">
        <f>(L102-L99)*(1-L103)</f>
        <v>2.6456462240894498</v>
      </c>
      <c r="M104" s="590">
        <f t="shared" ref="M104:Z104" si="84">(M102-M99)*(1-M103)</f>
        <v>2.3425717666431809</v>
      </c>
      <c r="N104" s="590">
        <f t="shared" si="84"/>
        <v>2.1630547675067988</v>
      </c>
      <c r="O104" s="590">
        <f t="shared" si="84"/>
        <v>2.2043133282197971</v>
      </c>
      <c r="P104" s="590">
        <f t="shared" si="84"/>
        <v>2.2466431799710507</v>
      </c>
      <c r="Q104" s="590">
        <f t="shared" si="84"/>
        <v>2.2900722734968499</v>
      </c>
      <c r="R104" s="590">
        <f t="shared" si="84"/>
        <v>2.3346290401186933</v>
      </c>
      <c r="S104" s="590">
        <f t="shared" si="84"/>
        <v>2.380342369106228</v>
      </c>
      <c r="T104" s="590">
        <f t="shared" si="84"/>
        <v>2.4272415809921486</v>
      </c>
      <c r="U104" s="590">
        <f t="shared" si="84"/>
        <v>2.4753563964394232</v>
      </c>
      <c r="V104" s="590">
        <f t="shared" si="84"/>
        <v>2.5247169002277703</v>
      </c>
      <c r="W104" s="590">
        <f t="shared" si="84"/>
        <v>2.5753534998898715</v>
      </c>
      <c r="X104" s="590">
        <f t="shared" si="84"/>
        <v>2.4028711213420255</v>
      </c>
      <c r="Y104" s="590">
        <f t="shared" si="84"/>
        <v>2.4561521838395208</v>
      </c>
      <c r="Z104" s="590">
        <f t="shared" si="84"/>
        <v>2.5108019964579742</v>
      </c>
      <c r="AA104" s="590"/>
      <c r="AB104" s="590"/>
      <c r="AC104" s="590"/>
      <c r="AD104" s="590"/>
      <c r="AE104" s="590"/>
      <c r="AF104" s="590"/>
      <c r="AG104" s="590"/>
      <c r="AH104" s="590"/>
      <c r="AI104" s="590"/>
      <c r="AJ104" s="590"/>
    </row>
    <row r="105" spans="1:36" s="146" customFormat="1" x14ac:dyDescent="0.25">
      <c r="A105" s="146" t="s">
        <v>422</v>
      </c>
      <c r="H105" s="587" t="s">
        <v>492</v>
      </c>
      <c r="I105" s="588"/>
      <c r="K105" s="587"/>
      <c r="L105" s="592">
        <f>IFERROR(L104/L102,0)</f>
        <v>5.0000000000000037E-2</v>
      </c>
      <c r="M105" s="592">
        <f>IFERROR(M104/M102,0)</f>
        <v>4.9999999999999961E-2</v>
      </c>
      <c r="N105" s="592">
        <f t="shared" ref="N105:Z105" si="85">IFERROR(N104/N102,0)</f>
        <v>4.9999999999999989E-2</v>
      </c>
      <c r="O105" s="592">
        <f t="shared" si="85"/>
        <v>5.0000000000000031E-2</v>
      </c>
      <c r="P105" s="592">
        <f t="shared" si="85"/>
        <v>5.0000000000000031E-2</v>
      </c>
      <c r="Q105" s="592">
        <f t="shared" si="85"/>
        <v>4.9999999999999996E-2</v>
      </c>
      <c r="R105" s="592">
        <f t="shared" si="85"/>
        <v>5.0000000000000044E-2</v>
      </c>
      <c r="S105" s="592">
        <f t="shared" si="85"/>
        <v>4.9999999999999975E-2</v>
      </c>
      <c r="T105" s="592">
        <f t="shared" si="85"/>
        <v>4.9999999999999961E-2</v>
      </c>
      <c r="U105" s="592">
        <f t="shared" si="85"/>
        <v>4.9999999999999954E-2</v>
      </c>
      <c r="V105" s="592">
        <f t="shared" si="85"/>
        <v>5.0000000000000037E-2</v>
      </c>
      <c r="W105" s="592">
        <f t="shared" si="85"/>
        <v>4.9999999999999975E-2</v>
      </c>
      <c r="X105" s="592">
        <f t="shared" si="85"/>
        <v>5.000000000000001E-2</v>
      </c>
      <c r="Y105" s="592">
        <f t="shared" si="85"/>
        <v>4.999999999999994E-2</v>
      </c>
      <c r="Z105" s="592">
        <f t="shared" si="85"/>
        <v>4.9999999999999989E-2</v>
      </c>
      <c r="AA105" s="592"/>
      <c r="AB105" s="592"/>
      <c r="AC105" s="592"/>
      <c r="AD105" s="592"/>
      <c r="AE105" s="592"/>
      <c r="AF105" s="592"/>
      <c r="AG105" s="592"/>
      <c r="AH105" s="592"/>
      <c r="AI105" s="592"/>
      <c r="AJ105" s="592"/>
    </row>
    <row r="106" spans="1:36" x14ac:dyDescent="0.25">
      <c r="A106" t="s">
        <v>422</v>
      </c>
    </row>
    <row r="107" spans="1:36" s="24" customFormat="1" ht="17.25" x14ac:dyDescent="0.3">
      <c r="A107" s="24" t="s">
        <v>422</v>
      </c>
      <c r="H107" s="644" t="s">
        <v>476</v>
      </c>
      <c r="I107" s="644"/>
      <c r="K107" s="644"/>
      <c r="L107" s="644"/>
      <c r="M107" s="644"/>
      <c r="N107" s="644"/>
      <c r="O107" s="644"/>
      <c r="P107" s="644"/>
      <c r="Q107" s="644"/>
      <c r="R107" s="644"/>
      <c r="S107" s="644"/>
      <c r="T107" s="644"/>
      <c r="U107" s="644"/>
      <c r="V107" s="644"/>
      <c r="W107" s="644"/>
      <c r="X107" s="644"/>
      <c r="Y107" s="644"/>
      <c r="Z107" s="644"/>
      <c r="AA107" s="644"/>
      <c r="AB107" s="644"/>
      <c r="AC107" s="644"/>
      <c r="AD107" s="644"/>
      <c r="AE107" s="644"/>
      <c r="AF107" s="644"/>
      <c r="AG107" s="644"/>
      <c r="AH107" s="644"/>
      <c r="AI107" s="644"/>
      <c r="AJ107" s="644"/>
    </row>
    <row r="108" spans="1:36" s="1" customFormat="1" x14ac:dyDescent="0.25">
      <c r="A108" s="1" t="s">
        <v>422</v>
      </c>
      <c r="H108" s="287" t="s">
        <v>434</v>
      </c>
      <c r="I108" s="288" t="str">
        <f>IF($H$9="USD","USD/1.000 phôi","VND/phôi")</f>
        <v>VND/phôi</v>
      </c>
      <c r="K108" s="293">
        <f t="shared" ref="K108" si="86">SUM(K109:K110,K113:K116,)</f>
        <v>0</v>
      </c>
      <c r="L108" s="293">
        <f>SUM(L109:L110,L113:L116,)</f>
        <v>211.40799429686629</v>
      </c>
      <c r="M108" s="293">
        <f t="shared" ref="M108:AJ108" si="87">SUM(M109:M110,M113:M116,)</f>
        <v>151.00571021204738</v>
      </c>
      <c r="N108" s="293">
        <f t="shared" si="87"/>
        <v>107.88176344535992</v>
      </c>
      <c r="O108" s="293">
        <f t="shared" si="87"/>
        <v>110.16841805713301</v>
      </c>
      <c r="P108" s="293">
        <f t="shared" si="87"/>
        <v>112.5694053994948</v>
      </c>
      <c r="Q108" s="293">
        <f t="shared" si="87"/>
        <v>115.09044210897466</v>
      </c>
      <c r="R108" s="293">
        <f t="shared" si="87"/>
        <v>117.7375306539285</v>
      </c>
      <c r="S108" s="293">
        <f t="shared" si="87"/>
        <v>120.51697362613004</v>
      </c>
      <c r="T108" s="293">
        <f t="shared" si="87"/>
        <v>123.43538874694165</v>
      </c>
      <c r="U108" s="293">
        <f t="shared" si="87"/>
        <v>126.49972462379385</v>
      </c>
      <c r="V108" s="293">
        <f t="shared" si="87"/>
        <v>129.71727729448867</v>
      </c>
      <c r="W108" s="293">
        <f t="shared" si="87"/>
        <v>133.09570759871826</v>
      </c>
      <c r="X108" s="293">
        <f t="shared" si="87"/>
        <v>75.950997689743517</v>
      </c>
      <c r="Y108" s="293">
        <f t="shared" si="87"/>
        <v>79.675717100156589</v>
      </c>
      <c r="Z108" s="293">
        <f t="shared" si="87"/>
        <v>83.586672481090332</v>
      </c>
      <c r="AA108" s="293"/>
      <c r="AB108" s="293"/>
      <c r="AC108" s="293"/>
      <c r="AD108" s="293"/>
      <c r="AE108" s="293"/>
      <c r="AF108" s="293"/>
      <c r="AG108" s="293"/>
      <c r="AH108" s="293"/>
      <c r="AI108" s="293"/>
      <c r="AJ108" s="293"/>
    </row>
    <row r="109" spans="1:36" x14ac:dyDescent="0.25">
      <c r="A109" t="s">
        <v>422</v>
      </c>
      <c r="E109" t="s">
        <v>173</v>
      </c>
      <c r="H109" s="572" t="s">
        <v>190</v>
      </c>
      <c r="I109" s="573" t="str">
        <f t="shared" ref="I109:I116" si="88">IF($H$9="USD","USD/1.000 phôi","VND/phôi")</f>
        <v>VND/phôi</v>
      </c>
      <c r="K109" s="578"/>
      <c r="L109" s="579">
        <f t="shared" ref="L109:AJ109" si="89">-IF($H$9="USD",L39/L28/$H$10*10^3,L39/L28/$H$10)</f>
        <v>121.38412345683145</v>
      </c>
      <c r="M109" s="579">
        <f t="shared" si="89"/>
        <v>86.702945326308182</v>
      </c>
      <c r="N109" s="579">
        <f t="shared" si="89"/>
        <v>60.692061728415723</v>
      </c>
      <c r="O109" s="579">
        <f t="shared" si="89"/>
        <v>60.692061728415723</v>
      </c>
      <c r="P109" s="579">
        <f t="shared" si="89"/>
        <v>60.692061728415723</v>
      </c>
      <c r="Q109" s="579">
        <f t="shared" si="89"/>
        <v>60.692061728415723</v>
      </c>
      <c r="R109" s="579">
        <f t="shared" si="89"/>
        <v>60.692061728415723</v>
      </c>
      <c r="S109" s="579">
        <f t="shared" si="89"/>
        <v>60.692061728415723</v>
      </c>
      <c r="T109" s="579">
        <f t="shared" si="89"/>
        <v>60.692061728415723</v>
      </c>
      <c r="U109" s="579">
        <f t="shared" si="89"/>
        <v>60.692061728415723</v>
      </c>
      <c r="V109" s="579">
        <f t="shared" si="89"/>
        <v>60.692061728415723</v>
      </c>
      <c r="W109" s="579">
        <f t="shared" si="89"/>
        <v>60.692061728415723</v>
      </c>
      <c r="X109" s="579">
        <f t="shared" si="89"/>
        <v>0</v>
      </c>
      <c r="Y109" s="579">
        <f t="shared" si="89"/>
        <v>0</v>
      </c>
      <c r="Z109" s="579">
        <f t="shared" si="89"/>
        <v>0</v>
      </c>
      <c r="AA109" s="579"/>
      <c r="AB109" s="579"/>
      <c r="AC109" s="579"/>
      <c r="AD109" s="579"/>
      <c r="AE109" s="579"/>
      <c r="AF109" s="579"/>
      <c r="AG109" s="579"/>
      <c r="AH109" s="579"/>
      <c r="AI109" s="579"/>
      <c r="AJ109" s="579"/>
    </row>
    <row r="110" spans="1:36" x14ac:dyDescent="0.25">
      <c r="A110" t="s">
        <v>422</v>
      </c>
      <c r="H110" s="574" t="s">
        <v>429</v>
      </c>
      <c r="I110" s="575" t="str">
        <f t="shared" si="88"/>
        <v>VND/phôi</v>
      </c>
      <c r="K110" s="580">
        <f>SUM(K111:K112)</f>
        <v>0</v>
      </c>
      <c r="L110" s="580">
        <f t="shared" ref="L110:Z110" si="90">SUM(L111:L112)</f>
        <v>29.115063862219181</v>
      </c>
      <c r="M110" s="580">
        <f t="shared" si="90"/>
        <v>20.79647418729942</v>
      </c>
      <c r="N110" s="580">
        <f t="shared" si="90"/>
        <v>15.285408527665071</v>
      </c>
      <c r="O110" s="580">
        <f t="shared" si="90"/>
        <v>16.049678954048325</v>
      </c>
      <c r="P110" s="580">
        <f t="shared" si="90"/>
        <v>16.852162901750745</v>
      </c>
      <c r="Q110" s="580">
        <f t="shared" si="90"/>
        <v>17.69477104683828</v>
      </c>
      <c r="R110" s="580">
        <f t="shared" si="90"/>
        <v>18.579509599180195</v>
      </c>
      <c r="S110" s="580">
        <f t="shared" si="90"/>
        <v>19.508485079139202</v>
      </c>
      <c r="T110" s="580">
        <f t="shared" si="90"/>
        <v>20.483909333096165</v>
      </c>
      <c r="U110" s="580">
        <f t="shared" si="90"/>
        <v>21.508104799750974</v>
      </c>
      <c r="V110" s="580">
        <f t="shared" si="90"/>
        <v>22.58351003973852</v>
      </c>
      <c r="W110" s="580">
        <f t="shared" si="90"/>
        <v>23.712685541725449</v>
      </c>
      <c r="X110" s="580">
        <f t="shared" si="90"/>
        <v>24.898319818811725</v>
      </c>
      <c r="Y110" s="580">
        <f t="shared" si="90"/>
        <v>26.143235809752301</v>
      </c>
      <c r="Z110" s="580">
        <f t="shared" si="90"/>
        <v>27.450397600239924</v>
      </c>
      <c r="AA110" s="580"/>
      <c r="AB110" s="580"/>
      <c r="AC110" s="580"/>
      <c r="AD110" s="580"/>
      <c r="AE110" s="580"/>
      <c r="AF110" s="580"/>
      <c r="AG110" s="580"/>
      <c r="AH110" s="580"/>
      <c r="AI110" s="580"/>
      <c r="AJ110" s="580"/>
    </row>
    <row r="111" spans="1:36" s="299" customFormat="1" x14ac:dyDescent="0.25">
      <c r="A111" s="299" t="s">
        <v>422</v>
      </c>
      <c r="E111" s="299" t="s">
        <v>171</v>
      </c>
      <c r="H111" s="576" t="s">
        <v>430</v>
      </c>
      <c r="I111" s="577" t="str">
        <f t="shared" si="88"/>
        <v>VND/phôi</v>
      </c>
      <c r="K111" s="581"/>
      <c r="L111" s="581">
        <f t="shared" ref="L111:AJ111" si="91">-IF($H$9="USD",L41/L28/$H$10*10^3,L41/L28/$H$10)</f>
        <v>4.7599559447769781</v>
      </c>
      <c r="M111" s="581">
        <f t="shared" si="91"/>
        <v>3.3999685319835566</v>
      </c>
      <c r="N111" s="581">
        <f t="shared" si="91"/>
        <v>2.4989768710079137</v>
      </c>
      <c r="O111" s="581">
        <f t="shared" si="91"/>
        <v>2.6239257145583097</v>
      </c>
      <c r="P111" s="581">
        <f t="shared" si="91"/>
        <v>2.7551220002862253</v>
      </c>
      <c r="Q111" s="581">
        <f t="shared" si="91"/>
        <v>2.8928781003005359</v>
      </c>
      <c r="R111" s="581">
        <f t="shared" si="91"/>
        <v>3.0375220053155632</v>
      </c>
      <c r="S111" s="581">
        <f t="shared" si="91"/>
        <v>3.1893981055813412</v>
      </c>
      <c r="T111" s="581">
        <f t="shared" si="91"/>
        <v>3.3488680108604085</v>
      </c>
      <c r="U111" s="581">
        <f t="shared" si="91"/>
        <v>3.5163114114034286</v>
      </c>
      <c r="V111" s="581">
        <f t="shared" si="91"/>
        <v>3.6921269819736002</v>
      </c>
      <c r="W111" s="581">
        <f t="shared" si="91"/>
        <v>3.8767333310722805</v>
      </c>
      <c r="X111" s="581">
        <f t="shared" si="91"/>
        <v>4.0705699976258947</v>
      </c>
      <c r="Y111" s="581">
        <f t="shared" si="91"/>
        <v>4.2740984975071887</v>
      </c>
      <c r="Z111" s="581">
        <f t="shared" si="91"/>
        <v>4.4878034223825489</v>
      </c>
      <c r="AA111" s="581"/>
      <c r="AB111" s="581"/>
      <c r="AC111" s="581"/>
      <c r="AD111" s="581"/>
      <c r="AE111" s="581"/>
      <c r="AF111" s="581"/>
      <c r="AG111" s="581"/>
      <c r="AH111" s="581"/>
      <c r="AI111" s="581"/>
      <c r="AJ111" s="581"/>
    </row>
    <row r="112" spans="1:36" s="299" customFormat="1" x14ac:dyDescent="0.25">
      <c r="A112" s="299" t="s">
        <v>422</v>
      </c>
      <c r="E112" s="299" t="s">
        <v>171</v>
      </c>
      <c r="H112" s="576" t="s">
        <v>431</v>
      </c>
      <c r="I112" s="577" t="str">
        <f t="shared" si="88"/>
        <v>VND/phôi</v>
      </c>
      <c r="K112" s="581"/>
      <c r="L112" s="581">
        <f t="shared" ref="L112:AJ112" si="92">-IF($H$9="USD",L42/L28/$H$10*10^3,L42/L28/$H$10)</f>
        <v>24.355107917442204</v>
      </c>
      <c r="M112" s="581">
        <f t="shared" si="92"/>
        <v>17.396505655315863</v>
      </c>
      <c r="N112" s="581">
        <f t="shared" si="92"/>
        <v>12.786431656657157</v>
      </c>
      <c r="O112" s="581">
        <f t="shared" si="92"/>
        <v>13.425753239490016</v>
      </c>
      <c r="P112" s="581">
        <f t="shared" si="92"/>
        <v>14.097040901464521</v>
      </c>
      <c r="Q112" s="581">
        <f t="shared" si="92"/>
        <v>14.801892946537743</v>
      </c>
      <c r="R112" s="581">
        <f t="shared" si="92"/>
        <v>15.541987593864631</v>
      </c>
      <c r="S112" s="581">
        <f t="shared" si="92"/>
        <v>16.319086973557862</v>
      </c>
      <c r="T112" s="581">
        <f t="shared" si="92"/>
        <v>17.135041322235757</v>
      </c>
      <c r="U112" s="581">
        <f t="shared" si="92"/>
        <v>17.991793388347546</v>
      </c>
      <c r="V112" s="581">
        <f t="shared" si="92"/>
        <v>18.891383057764919</v>
      </c>
      <c r="W112" s="581">
        <f t="shared" si="92"/>
        <v>19.835952210653168</v>
      </c>
      <c r="X112" s="581">
        <f t="shared" si="92"/>
        <v>20.827749821185829</v>
      </c>
      <c r="Y112" s="581">
        <f t="shared" si="92"/>
        <v>21.869137312245112</v>
      </c>
      <c r="Z112" s="581">
        <f t="shared" si="92"/>
        <v>22.962594177857376</v>
      </c>
      <c r="AA112" s="581"/>
      <c r="AB112" s="581"/>
      <c r="AC112" s="581"/>
      <c r="AD112" s="581"/>
      <c r="AE112" s="581"/>
      <c r="AF112" s="581"/>
      <c r="AG112" s="581"/>
      <c r="AH112" s="581"/>
      <c r="AI112" s="581"/>
      <c r="AJ112" s="581"/>
    </row>
    <row r="113" spans="1:36" x14ac:dyDescent="0.25">
      <c r="A113" t="s">
        <v>422</v>
      </c>
      <c r="E113" t="s">
        <v>172</v>
      </c>
      <c r="H113" s="574" t="s">
        <v>656</v>
      </c>
      <c r="I113" s="575" t="str">
        <f t="shared" si="88"/>
        <v>VND/phôi</v>
      </c>
      <c r="K113" s="580"/>
      <c r="L113" s="580">
        <f t="shared" ref="L113:AJ113" si="93">-IF($H$9="USD",L43/L28/$H$10*10^3,L43/L28/$H$10)</f>
        <v>11.623824040969422</v>
      </c>
      <c r="M113" s="580">
        <f t="shared" si="93"/>
        <v>8.3027314578353018</v>
      </c>
      <c r="N113" s="580">
        <f t="shared" si="93"/>
        <v>6.1025076215089467</v>
      </c>
      <c r="O113" s="580">
        <f t="shared" si="93"/>
        <v>6.4076330025843937</v>
      </c>
      <c r="P113" s="580">
        <f t="shared" si="93"/>
        <v>6.7280146527136147</v>
      </c>
      <c r="Q113" s="580">
        <f t="shared" si="93"/>
        <v>7.064415385349295</v>
      </c>
      <c r="R113" s="580">
        <f t="shared" si="93"/>
        <v>7.4176361546167602</v>
      </c>
      <c r="S113" s="580">
        <f t="shared" si="93"/>
        <v>7.7885179623475977</v>
      </c>
      <c r="T113" s="580">
        <f t="shared" si="93"/>
        <v>8.1779438604649783</v>
      </c>
      <c r="U113" s="580">
        <f t="shared" si="93"/>
        <v>8.5868410534882269</v>
      </c>
      <c r="V113" s="580">
        <f t="shared" si="93"/>
        <v>9.0161831061626376</v>
      </c>
      <c r="W113" s="580">
        <f t="shared" si="93"/>
        <v>9.4669922614707716</v>
      </c>
      <c r="X113" s="580">
        <f t="shared" si="93"/>
        <v>9.9403418745443091</v>
      </c>
      <c r="Y113" s="580">
        <f t="shared" si="93"/>
        <v>10.437358968271525</v>
      </c>
      <c r="Z113" s="580">
        <f t="shared" si="93"/>
        <v>10.959226916685102</v>
      </c>
      <c r="AA113" s="580"/>
      <c r="AB113" s="580"/>
      <c r="AC113" s="580"/>
      <c r="AD113" s="580"/>
      <c r="AE113" s="580"/>
      <c r="AF113" s="580"/>
      <c r="AG113" s="580"/>
      <c r="AH113" s="580"/>
      <c r="AI113" s="580"/>
      <c r="AJ113" s="580"/>
    </row>
    <row r="114" spans="1:36" x14ac:dyDescent="0.25">
      <c r="A114" t="s">
        <v>422</v>
      </c>
      <c r="E114" t="s">
        <v>172</v>
      </c>
      <c r="H114" s="574" t="s">
        <v>432</v>
      </c>
      <c r="I114" s="575" t="str">
        <f t="shared" si="88"/>
        <v>VND/phôi</v>
      </c>
      <c r="K114" s="580"/>
      <c r="L114" s="580">
        <f t="shared" ref="L114:AJ114" si="94">-IF($H$9="USD",L44/L28/$H$10*10^3,L44/L28/$H$10)</f>
        <v>43.698284444459318</v>
      </c>
      <c r="M114" s="580">
        <f t="shared" si="94"/>
        <v>31.213060317470944</v>
      </c>
      <c r="N114" s="580">
        <f t="shared" si="94"/>
        <v>22.941599333341141</v>
      </c>
      <c r="O114" s="580">
        <f t="shared" si="94"/>
        <v>24.088679300008199</v>
      </c>
      <c r="P114" s="580">
        <f t="shared" si="94"/>
        <v>25.293113265008611</v>
      </c>
      <c r="Q114" s="580">
        <f t="shared" si="94"/>
        <v>26.557768928259037</v>
      </c>
      <c r="R114" s="580">
        <f t="shared" si="94"/>
        <v>27.88565737467199</v>
      </c>
      <c r="S114" s="580">
        <f t="shared" si="94"/>
        <v>29.279940243405587</v>
      </c>
      <c r="T114" s="580">
        <f t="shared" si="94"/>
        <v>30.743937255575872</v>
      </c>
      <c r="U114" s="580">
        <f t="shared" si="94"/>
        <v>32.281134118354665</v>
      </c>
      <c r="V114" s="580">
        <f t="shared" si="94"/>
        <v>33.895190824272397</v>
      </c>
      <c r="W114" s="580">
        <f t="shared" si="94"/>
        <v>35.589950365486018</v>
      </c>
      <c r="X114" s="580">
        <f t="shared" si="94"/>
        <v>37.369447883760323</v>
      </c>
      <c r="Y114" s="580">
        <f t="shared" si="94"/>
        <v>39.237920277948334</v>
      </c>
      <c r="Z114" s="580">
        <f t="shared" si="94"/>
        <v>41.199816291845757</v>
      </c>
      <c r="AA114" s="580"/>
      <c r="AB114" s="580"/>
      <c r="AC114" s="580"/>
      <c r="AD114" s="580"/>
      <c r="AE114" s="580"/>
      <c r="AF114" s="580"/>
      <c r="AG114" s="580"/>
      <c r="AH114" s="580"/>
      <c r="AI114" s="580"/>
      <c r="AJ114" s="580"/>
    </row>
    <row r="115" spans="1:36" x14ac:dyDescent="0.25">
      <c r="A115" t="s">
        <v>422</v>
      </c>
      <c r="E115" t="s">
        <v>172</v>
      </c>
      <c r="H115" s="574" t="s">
        <v>433</v>
      </c>
      <c r="I115" s="575" t="str">
        <f t="shared" si="88"/>
        <v>VND/phôi</v>
      </c>
      <c r="K115" s="580"/>
      <c r="L115" s="580">
        <f t="shared" ref="L115:AJ115" si="95">-IF($H$9="USD",L45/L28/$H$10*10^3,L45/L28/$H$10)</f>
        <v>2.6734795294229672</v>
      </c>
      <c r="M115" s="580">
        <f t="shared" si="95"/>
        <v>1.9096282353021197</v>
      </c>
      <c r="N115" s="580">
        <f t="shared" si="95"/>
        <v>1.4035767529470577</v>
      </c>
      <c r="O115" s="580">
        <f t="shared" si="95"/>
        <v>1.4737555905944109</v>
      </c>
      <c r="P115" s="580">
        <f t="shared" si="95"/>
        <v>1.5474433701241312</v>
      </c>
      <c r="Q115" s="580">
        <f t="shared" si="95"/>
        <v>1.624815538630338</v>
      </c>
      <c r="R115" s="580">
        <f t="shared" si="95"/>
        <v>1.7060563155618549</v>
      </c>
      <c r="S115" s="580">
        <f t="shared" si="95"/>
        <v>1.7913591313399475</v>
      </c>
      <c r="T115" s="580">
        <f t="shared" si="95"/>
        <v>1.8809270879069451</v>
      </c>
      <c r="U115" s="580">
        <f t="shared" si="95"/>
        <v>1.9749734423022924</v>
      </c>
      <c r="V115" s="580">
        <f t="shared" si="95"/>
        <v>2.0737221144174067</v>
      </c>
      <c r="W115" s="580">
        <f t="shared" si="95"/>
        <v>2.1774082201382772</v>
      </c>
      <c r="X115" s="580">
        <f t="shared" si="95"/>
        <v>2.2862786311451915</v>
      </c>
      <c r="Y115" s="580">
        <f t="shared" si="95"/>
        <v>2.4005925627024505</v>
      </c>
      <c r="Z115" s="580">
        <f t="shared" si="95"/>
        <v>2.5206221908375732</v>
      </c>
      <c r="AA115" s="580"/>
      <c r="AB115" s="580"/>
      <c r="AC115" s="580"/>
      <c r="AD115" s="580"/>
      <c r="AE115" s="580"/>
      <c r="AF115" s="580"/>
      <c r="AG115" s="580"/>
      <c r="AH115" s="580"/>
      <c r="AI115" s="580"/>
      <c r="AJ115" s="580"/>
    </row>
    <row r="116" spans="1:36" x14ac:dyDescent="0.25">
      <c r="A116" t="s">
        <v>422</v>
      </c>
      <c r="E116" t="s">
        <v>172</v>
      </c>
      <c r="H116" s="574" t="s">
        <v>520</v>
      </c>
      <c r="I116" s="575" t="str">
        <f t="shared" si="88"/>
        <v>VND/phôi</v>
      </c>
      <c r="K116" s="580"/>
      <c r="L116" s="580">
        <f t="shared" ref="L116:AJ116" si="96">-IF($H$9="USD",L46/L28/$H$10*10^3,L46/L28/$H$10)</f>
        <v>2.9132189629639549</v>
      </c>
      <c r="M116" s="580">
        <f t="shared" si="96"/>
        <v>2.0808706878313963</v>
      </c>
      <c r="N116" s="580">
        <f t="shared" si="96"/>
        <v>1.4566094814819774</v>
      </c>
      <c r="O116" s="580">
        <f t="shared" si="96"/>
        <v>1.4566094814819774</v>
      </c>
      <c r="P116" s="580">
        <f t="shared" si="96"/>
        <v>1.4566094814819774</v>
      </c>
      <c r="Q116" s="580">
        <f t="shared" si="96"/>
        <v>1.4566094814819774</v>
      </c>
      <c r="R116" s="580">
        <f t="shared" si="96"/>
        <v>1.4566094814819774</v>
      </c>
      <c r="S116" s="580">
        <f t="shared" si="96"/>
        <v>1.4566094814819774</v>
      </c>
      <c r="T116" s="580">
        <f t="shared" si="96"/>
        <v>1.4566094814819774</v>
      </c>
      <c r="U116" s="580">
        <f t="shared" si="96"/>
        <v>1.4566094814819774</v>
      </c>
      <c r="V116" s="580">
        <f t="shared" si="96"/>
        <v>1.4566094814819774</v>
      </c>
      <c r="W116" s="580">
        <f t="shared" si="96"/>
        <v>1.4566094814819774</v>
      </c>
      <c r="X116" s="580">
        <f t="shared" si="96"/>
        <v>1.4566094814819774</v>
      </c>
      <c r="Y116" s="580">
        <f t="shared" si="96"/>
        <v>1.4566094814819774</v>
      </c>
      <c r="Z116" s="580">
        <f t="shared" si="96"/>
        <v>1.4566094814819774</v>
      </c>
      <c r="AA116" s="580"/>
      <c r="AB116" s="580"/>
      <c r="AC116" s="580"/>
      <c r="AD116" s="580"/>
      <c r="AE116" s="580"/>
      <c r="AF116" s="580"/>
      <c r="AG116" s="580"/>
      <c r="AH116" s="580"/>
      <c r="AI116" s="580"/>
      <c r="AJ116" s="580"/>
    </row>
    <row r="117" spans="1:36" x14ac:dyDescent="0.25">
      <c r="A117" t="s">
        <v>422</v>
      </c>
      <c r="H117" s="289"/>
      <c r="I117" s="290"/>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row>
    <row r="118" spans="1:36" s="1" customFormat="1" x14ac:dyDescent="0.25">
      <c r="A118" s="1" t="s">
        <v>422</v>
      </c>
      <c r="H118" s="287" t="s">
        <v>435</v>
      </c>
      <c r="I118" s="288" t="str">
        <f t="shared" ref="I118:I142" si="97">IF($H$9="USD","USD/1.000 phôi","VND/phôi")</f>
        <v>VND/phôi</v>
      </c>
      <c r="K118" s="295">
        <f>K119+K122+K125</f>
        <v>0</v>
      </c>
      <c r="L118" s="295">
        <f t="shared" ref="L118:AJ118" si="98">L119+L122+L125</f>
        <v>447.97280830234058</v>
      </c>
      <c r="M118" s="295">
        <f t="shared" si="98"/>
        <v>445.55671693894794</v>
      </c>
      <c r="N118" s="295">
        <f t="shared" si="98"/>
        <v>453.73016413996498</v>
      </c>
      <c r="O118" s="295">
        <f t="shared" si="98"/>
        <v>463.97340726260791</v>
      </c>
      <c r="P118" s="295">
        <f t="shared" si="98"/>
        <v>474.48243318654426</v>
      </c>
      <c r="Q118" s="295">
        <f t="shared" si="98"/>
        <v>485.26560346474207</v>
      </c>
      <c r="R118" s="295">
        <f t="shared" si="98"/>
        <v>496.33159917607549</v>
      </c>
      <c r="S118" s="295">
        <f t="shared" si="98"/>
        <v>507.68943493058595</v>
      </c>
      <c r="T118" s="295">
        <f t="shared" si="98"/>
        <v>519.34847353558439</v>
      </c>
      <c r="U118" s="295">
        <f t="shared" si="98"/>
        <v>531.31844135485039</v>
      </c>
      <c r="V118" s="295">
        <f t="shared" si="98"/>
        <v>543.60944439477828</v>
      </c>
      <c r="W118" s="295">
        <f t="shared" si="98"/>
        <v>556.2319851529943</v>
      </c>
      <c r="X118" s="295">
        <f t="shared" si="98"/>
        <v>566.76929779760246</v>
      </c>
      <c r="Y118" s="295">
        <f t="shared" si="98"/>
        <v>580.08809653100502</v>
      </c>
      <c r="Z118" s="295">
        <f t="shared" si="98"/>
        <v>593.77250014232709</v>
      </c>
      <c r="AA118" s="295"/>
      <c r="AB118" s="295"/>
      <c r="AC118" s="295"/>
      <c r="AD118" s="295"/>
      <c r="AE118" s="295"/>
      <c r="AF118" s="295"/>
      <c r="AG118" s="295"/>
      <c r="AH118" s="295"/>
      <c r="AI118" s="295"/>
      <c r="AJ118" s="295"/>
    </row>
    <row r="119" spans="1:36" x14ac:dyDescent="0.25">
      <c r="A119" t="s">
        <v>422</v>
      </c>
      <c r="H119" s="572" t="s">
        <v>454</v>
      </c>
      <c r="I119" s="573" t="str">
        <f t="shared" si="97"/>
        <v>VND/phôi</v>
      </c>
      <c r="K119" s="582">
        <f>SUM(K120:K121)</f>
        <v>0</v>
      </c>
      <c r="L119" s="582">
        <f t="shared" ref="L119" si="99">SUM(L120:L121)</f>
        <v>402.58064516129031</v>
      </c>
      <c r="M119" s="582">
        <f t="shared" ref="M119" si="100">SUM(M120:M121)</f>
        <v>402.58064516129042</v>
      </c>
      <c r="N119" s="582">
        <f t="shared" ref="N119" si="101">SUM(N120:N121)</f>
        <v>410.63225806451618</v>
      </c>
      <c r="O119" s="582">
        <f t="shared" ref="O119" si="102">SUM(O120:O121)</f>
        <v>418.84490322580649</v>
      </c>
      <c r="P119" s="582">
        <f t="shared" ref="P119" si="103">SUM(P120:P121)</f>
        <v>427.22180129032256</v>
      </c>
      <c r="Q119" s="582">
        <f t="shared" ref="Q119" si="104">SUM(Q120:Q121)</f>
        <v>435.76623731612904</v>
      </c>
      <c r="R119" s="582">
        <f t="shared" ref="R119" si="105">SUM(R120:R121)</f>
        <v>444.48156206245164</v>
      </c>
      <c r="S119" s="582">
        <f t="shared" ref="S119" si="106">SUM(S120:S121)</f>
        <v>453.37119330370069</v>
      </c>
      <c r="T119" s="582">
        <f t="shared" ref="T119" si="107">SUM(T120:T121)</f>
        <v>462.4386171697746</v>
      </c>
      <c r="U119" s="582">
        <f t="shared" ref="U119" si="108">SUM(U120:U121)</f>
        <v>471.68738951317005</v>
      </c>
      <c r="V119" s="582">
        <f t="shared" ref="V119" si="109">SUM(V120:V121)</f>
        <v>481.12113730343356</v>
      </c>
      <c r="W119" s="582">
        <f t="shared" ref="W119" si="110">SUM(W120:W121)</f>
        <v>490.74356004950221</v>
      </c>
      <c r="X119" s="582">
        <f t="shared" ref="X119" si="111">SUM(X120:X121)</f>
        <v>500.55843125049216</v>
      </c>
      <c r="Y119" s="582">
        <f t="shared" ref="Y119" si="112">SUM(Y120:Y121)</f>
        <v>510.56959987550215</v>
      </c>
      <c r="Z119" s="582">
        <f t="shared" ref="Z119" si="113">SUM(Z120:Z121)</f>
        <v>520.78099187301211</v>
      </c>
      <c r="AA119" s="582"/>
      <c r="AB119" s="582"/>
      <c r="AC119" s="582"/>
      <c r="AD119" s="582"/>
      <c r="AE119" s="582"/>
      <c r="AF119" s="582"/>
      <c r="AG119" s="582"/>
      <c r="AH119" s="582"/>
      <c r="AI119" s="582"/>
      <c r="AJ119" s="582"/>
    </row>
    <row r="120" spans="1:36" s="299" customFormat="1" x14ac:dyDescent="0.25">
      <c r="A120" s="299" t="s">
        <v>422</v>
      </c>
      <c r="E120" s="299" t="s">
        <v>536</v>
      </c>
      <c r="H120" s="576" t="s">
        <v>167</v>
      </c>
      <c r="I120" s="577" t="str">
        <f t="shared" si="97"/>
        <v>VND/phôi</v>
      </c>
      <c r="K120" s="581"/>
      <c r="L120" s="581">
        <f>-IF($H$9="USD",L50/L28/$H$10*10^3,L50/L28/$H$10)</f>
        <v>374.4</v>
      </c>
      <c r="M120" s="581">
        <f t="shared" ref="M120:AJ120" si="114">-IF($H$9="USD",M50/M28/$H$10*10^3,M50/M28/$H$10)</f>
        <v>374.40000000000003</v>
      </c>
      <c r="N120" s="581">
        <f t="shared" si="114"/>
        <v>381.88799999999998</v>
      </c>
      <c r="O120" s="581">
        <f t="shared" si="114"/>
        <v>389.52575999999999</v>
      </c>
      <c r="P120" s="581">
        <f t="shared" si="114"/>
        <v>397.31627519999995</v>
      </c>
      <c r="Q120" s="581">
        <f t="shared" si="114"/>
        <v>405.26260070400002</v>
      </c>
      <c r="R120" s="581">
        <f t="shared" si="114"/>
        <v>413.36785271808003</v>
      </c>
      <c r="S120" s="581">
        <f t="shared" si="114"/>
        <v>421.63520977244161</v>
      </c>
      <c r="T120" s="581">
        <f t="shared" si="114"/>
        <v>430.06791396789032</v>
      </c>
      <c r="U120" s="581">
        <f t="shared" si="114"/>
        <v>438.66927224724816</v>
      </c>
      <c r="V120" s="581">
        <f t="shared" si="114"/>
        <v>447.44265769219317</v>
      </c>
      <c r="W120" s="581">
        <f t="shared" si="114"/>
        <v>456.39151084603702</v>
      </c>
      <c r="X120" s="581">
        <f t="shared" si="114"/>
        <v>465.51934106295772</v>
      </c>
      <c r="Y120" s="581">
        <f t="shared" si="114"/>
        <v>474.82972788421694</v>
      </c>
      <c r="Z120" s="581">
        <f t="shared" si="114"/>
        <v>484.32632244190125</v>
      </c>
      <c r="AA120" s="581"/>
      <c r="AB120" s="581"/>
      <c r="AC120" s="581"/>
      <c r="AD120" s="581"/>
      <c r="AE120" s="581"/>
      <c r="AF120" s="581"/>
      <c r="AG120" s="581"/>
      <c r="AH120" s="581"/>
      <c r="AI120" s="581"/>
      <c r="AJ120" s="581"/>
    </row>
    <row r="121" spans="1:36" s="299" customFormat="1" x14ac:dyDescent="0.25">
      <c r="A121" s="299" t="s">
        <v>422</v>
      </c>
      <c r="E121" s="299" t="s">
        <v>537</v>
      </c>
      <c r="H121" s="645" t="s">
        <v>203</v>
      </c>
      <c r="I121" s="646" t="str">
        <f t="shared" si="97"/>
        <v>VND/phôi</v>
      </c>
      <c r="K121" s="647"/>
      <c r="L121" s="647">
        <f>-IF($H$9="USD",L51/L28/$H$10*10^3,L51/L28/$H$10)</f>
        <v>28.180645161290336</v>
      </c>
      <c r="M121" s="647">
        <f t="shared" ref="M121:AJ121" si="115">-IF($H$9="USD",M51/M28/$H$10*10^3,M51/M28/$H$10)</f>
        <v>28.180645161290371</v>
      </c>
      <c r="N121" s="647">
        <f t="shared" si="115"/>
        <v>28.744258064516178</v>
      </c>
      <c r="O121" s="647">
        <f t="shared" si="115"/>
        <v>29.319143225806506</v>
      </c>
      <c r="P121" s="647">
        <f t="shared" si="115"/>
        <v>29.905526090322624</v>
      </c>
      <c r="Q121" s="647">
        <f t="shared" si="115"/>
        <v>30.503636612129036</v>
      </c>
      <c r="R121" s="647">
        <f t="shared" si="115"/>
        <v>31.113709344371639</v>
      </c>
      <c r="S121" s="647">
        <f t="shared" si="115"/>
        <v>31.735983531259077</v>
      </c>
      <c r="T121" s="647">
        <f t="shared" si="115"/>
        <v>32.370703201884282</v>
      </c>
      <c r="U121" s="647">
        <f t="shared" si="115"/>
        <v>33.018117265921916</v>
      </c>
      <c r="V121" s="647">
        <f t="shared" si="115"/>
        <v>33.678479611240391</v>
      </c>
      <c r="W121" s="647">
        <f t="shared" si="115"/>
        <v>34.352049203465171</v>
      </c>
      <c r="X121" s="647">
        <f t="shared" si="115"/>
        <v>35.039090187534455</v>
      </c>
      <c r="Y121" s="647">
        <f t="shared" si="115"/>
        <v>35.739871991285206</v>
      </c>
      <c r="Z121" s="647">
        <f t="shared" si="115"/>
        <v>36.454669431110879</v>
      </c>
      <c r="AA121" s="647"/>
      <c r="AB121" s="647"/>
      <c r="AC121" s="647"/>
      <c r="AD121" s="647"/>
      <c r="AE121" s="647"/>
      <c r="AF121" s="647"/>
      <c r="AG121" s="647"/>
      <c r="AH121" s="647"/>
      <c r="AI121" s="647"/>
      <c r="AJ121" s="647"/>
    </row>
    <row r="122" spans="1:36" x14ac:dyDescent="0.25">
      <c r="A122" t="s">
        <v>422</v>
      </c>
      <c r="E122" t="s">
        <v>177</v>
      </c>
      <c r="H122" s="574" t="s">
        <v>676</v>
      </c>
      <c r="I122" s="575" t="str">
        <f t="shared" si="97"/>
        <v>VND/phôi</v>
      </c>
      <c r="K122" s="583">
        <f>SUM(K123:K124)</f>
        <v>0</v>
      </c>
      <c r="L122" s="583">
        <f t="shared" ref="L122:AJ122" si="116">SUM(L123:L124)</f>
        <v>3.0630387096774192</v>
      </c>
      <c r="M122" s="583">
        <f t="shared" si="116"/>
        <v>3.0630387096774196</v>
      </c>
      <c r="N122" s="583">
        <f t="shared" si="116"/>
        <v>3.2161906451612912</v>
      </c>
      <c r="O122" s="583">
        <f t="shared" si="116"/>
        <v>3.377000177419355</v>
      </c>
      <c r="P122" s="583">
        <f t="shared" si="116"/>
        <v>3.5458501862903229</v>
      </c>
      <c r="Q122" s="583">
        <f t="shared" si="116"/>
        <v>3.7231426956048392</v>
      </c>
      <c r="R122" s="583">
        <f t="shared" si="116"/>
        <v>3.9092998303850814</v>
      </c>
      <c r="S122" s="583">
        <f t="shared" si="116"/>
        <v>4.1047648219043342</v>
      </c>
      <c r="T122" s="583">
        <f t="shared" si="116"/>
        <v>4.3100030629995523</v>
      </c>
      <c r="U122" s="583">
        <f t="shared" si="116"/>
        <v>4.525503216149529</v>
      </c>
      <c r="V122" s="583">
        <f t="shared" si="116"/>
        <v>4.7517783769570059</v>
      </c>
      <c r="W122" s="583">
        <f t="shared" si="116"/>
        <v>4.9893672958048558</v>
      </c>
      <c r="X122" s="583">
        <f t="shared" si="116"/>
        <v>5.2388356605950994</v>
      </c>
      <c r="Y122" s="583">
        <f t="shared" si="116"/>
        <v>5.5007774436248544</v>
      </c>
      <c r="Z122" s="583">
        <f t="shared" si="116"/>
        <v>5.7758163158060976</v>
      </c>
      <c r="AA122" s="583"/>
      <c r="AB122" s="583"/>
      <c r="AC122" s="583"/>
      <c r="AD122" s="583"/>
      <c r="AE122" s="583"/>
      <c r="AF122" s="583"/>
      <c r="AG122" s="583"/>
      <c r="AH122" s="583"/>
      <c r="AI122" s="583"/>
      <c r="AJ122" s="583"/>
    </row>
    <row r="123" spans="1:36" s="299" customFormat="1" x14ac:dyDescent="0.25">
      <c r="A123" s="299" t="s">
        <v>422</v>
      </c>
      <c r="H123" s="576" t="s">
        <v>673</v>
      </c>
      <c r="I123" s="577" t="str">
        <f t="shared" si="97"/>
        <v>VND/phôi</v>
      </c>
      <c r="K123" s="581"/>
      <c r="L123" s="581">
        <f>-IF($H$9="USD",L53/L28/$H$10*10^3,L53/L28/$H$10)</f>
        <v>3.0630387096774192</v>
      </c>
      <c r="M123" s="581">
        <f t="shared" ref="M123:AJ123" si="117">-IF($H$9="USD",M53/M28/$H$10*10^3,M53/M28/$H$10)</f>
        <v>3.0630387096774196</v>
      </c>
      <c r="N123" s="581">
        <f t="shared" si="117"/>
        <v>3.2161906451612912</v>
      </c>
      <c r="O123" s="581">
        <f t="shared" si="117"/>
        <v>3.377000177419355</v>
      </c>
      <c r="P123" s="581">
        <f t="shared" si="117"/>
        <v>3.5458501862903229</v>
      </c>
      <c r="Q123" s="581">
        <f t="shared" si="117"/>
        <v>3.7231426956048392</v>
      </c>
      <c r="R123" s="581">
        <f t="shared" si="117"/>
        <v>3.9092998303850814</v>
      </c>
      <c r="S123" s="581">
        <f t="shared" si="117"/>
        <v>4.1047648219043342</v>
      </c>
      <c r="T123" s="581">
        <f t="shared" si="117"/>
        <v>4.3100030629995523</v>
      </c>
      <c r="U123" s="581">
        <f t="shared" si="117"/>
        <v>4.525503216149529</v>
      </c>
      <c r="V123" s="581">
        <f t="shared" si="117"/>
        <v>4.7517783769570059</v>
      </c>
      <c r="W123" s="581">
        <f t="shared" si="117"/>
        <v>4.9893672958048558</v>
      </c>
      <c r="X123" s="581">
        <f t="shared" si="117"/>
        <v>5.2388356605950994</v>
      </c>
      <c r="Y123" s="581">
        <f t="shared" si="117"/>
        <v>5.5007774436248544</v>
      </c>
      <c r="Z123" s="581">
        <f t="shared" si="117"/>
        <v>5.7758163158060976</v>
      </c>
      <c r="AA123" s="581"/>
      <c r="AB123" s="581"/>
      <c r="AC123" s="581"/>
      <c r="AD123" s="581"/>
      <c r="AE123" s="581"/>
      <c r="AF123" s="581"/>
      <c r="AG123" s="581"/>
      <c r="AH123" s="581"/>
      <c r="AI123" s="581"/>
      <c r="AJ123" s="581"/>
    </row>
    <row r="124" spans="1:36" s="299" customFormat="1" x14ac:dyDescent="0.25">
      <c r="A124" s="299" t="s">
        <v>422</v>
      </c>
      <c r="H124" s="576" t="s">
        <v>674</v>
      </c>
      <c r="I124" s="577" t="str">
        <f t="shared" si="97"/>
        <v>VND/phôi</v>
      </c>
      <c r="K124" s="581"/>
      <c r="L124" s="581">
        <f>-IF($H$9="USD",L54/L28/$H$10*10^3,L54/L28/$H$10)</f>
        <v>0</v>
      </c>
      <c r="M124" s="581">
        <f t="shared" ref="M124:AJ124" si="118">-IF($H$9="USD",M54/M28/$H$10*10^3,M54/M28/$H$10)</f>
        <v>0</v>
      </c>
      <c r="N124" s="581">
        <f t="shared" si="118"/>
        <v>0</v>
      </c>
      <c r="O124" s="581">
        <f t="shared" si="118"/>
        <v>0</v>
      </c>
      <c r="P124" s="581">
        <f t="shared" si="118"/>
        <v>0</v>
      </c>
      <c r="Q124" s="581">
        <f t="shared" si="118"/>
        <v>0</v>
      </c>
      <c r="R124" s="581">
        <f t="shared" si="118"/>
        <v>0</v>
      </c>
      <c r="S124" s="581">
        <f t="shared" si="118"/>
        <v>0</v>
      </c>
      <c r="T124" s="581">
        <f t="shared" si="118"/>
        <v>0</v>
      </c>
      <c r="U124" s="581">
        <f t="shared" si="118"/>
        <v>0</v>
      </c>
      <c r="V124" s="581">
        <f t="shared" si="118"/>
        <v>0</v>
      </c>
      <c r="W124" s="581">
        <f t="shared" si="118"/>
        <v>0</v>
      </c>
      <c r="X124" s="581">
        <f t="shared" si="118"/>
        <v>0</v>
      </c>
      <c r="Y124" s="581">
        <f t="shared" si="118"/>
        <v>0</v>
      </c>
      <c r="Z124" s="581">
        <f t="shared" si="118"/>
        <v>0</v>
      </c>
      <c r="AA124" s="581"/>
      <c r="AB124" s="581"/>
      <c r="AC124" s="581"/>
      <c r="AD124" s="581"/>
      <c r="AE124" s="581"/>
      <c r="AF124" s="581"/>
      <c r="AG124" s="581"/>
      <c r="AH124" s="581"/>
      <c r="AI124" s="581"/>
      <c r="AJ124" s="581"/>
    </row>
    <row r="125" spans="1:36" x14ac:dyDescent="0.25">
      <c r="A125" t="s">
        <v>422</v>
      </c>
      <c r="H125" s="574" t="s">
        <v>180</v>
      </c>
      <c r="I125" s="575" t="str">
        <f t="shared" si="97"/>
        <v>VND/phôi</v>
      </c>
      <c r="K125" s="583">
        <f>SUM(K126:K128)</f>
        <v>0</v>
      </c>
      <c r="L125" s="583">
        <f>SUM(L126:L128)</f>
        <v>42.329124431372861</v>
      </c>
      <c r="M125" s="583">
        <f t="shared" ref="M125" si="119">SUM(M126:M128)</f>
        <v>39.913033067980095</v>
      </c>
      <c r="N125" s="583">
        <f t="shared" ref="N125" si="120">SUM(N126:N128)</f>
        <v>39.881715430287514</v>
      </c>
      <c r="O125" s="583">
        <f t="shared" ref="O125" si="121">SUM(O126:O128)</f>
        <v>41.75150385938209</v>
      </c>
      <c r="P125" s="583">
        <f t="shared" ref="P125" si="122">SUM(P126:P128)</f>
        <v>43.714781709931408</v>
      </c>
      <c r="Q125" s="583">
        <f t="shared" ref="Q125" si="123">SUM(Q126:Q128)</f>
        <v>45.776223453008171</v>
      </c>
      <c r="R125" s="583">
        <f t="shared" ref="R125" si="124">SUM(R126:R128)</f>
        <v>47.940737283238796</v>
      </c>
      <c r="S125" s="583">
        <f t="shared" ref="S125" si="125">SUM(S126:S128)</f>
        <v>50.213476804980935</v>
      </c>
      <c r="T125" s="583">
        <f t="shared" ref="T125" si="126">SUM(T126:T128)</f>
        <v>52.599853302810196</v>
      </c>
      <c r="U125" s="583">
        <f t="shared" ref="U125" si="127">SUM(U126:U128)</f>
        <v>55.105548625530901</v>
      </c>
      <c r="V125" s="583">
        <f t="shared" ref="V125" si="128">SUM(V126:V128)</f>
        <v>57.736528714387653</v>
      </c>
      <c r="W125" s="583">
        <f t="shared" ref="W125" si="129">SUM(W126:W128)</f>
        <v>60.499057807687244</v>
      </c>
      <c r="X125" s="583">
        <f t="shared" ref="X125" si="130">SUM(X126:X128)</f>
        <v>60.972030886515178</v>
      </c>
      <c r="Y125" s="583">
        <f t="shared" ref="Y125" si="131">SUM(Y126:Y128)</f>
        <v>64.01771921187796</v>
      </c>
      <c r="Z125" s="583">
        <f t="shared" ref="Z125" si="132">SUM(Z126:Z128)</f>
        <v>67.215691953508923</v>
      </c>
      <c r="AA125" s="583"/>
      <c r="AB125" s="583"/>
      <c r="AC125" s="583"/>
      <c r="AD125" s="583"/>
      <c r="AE125" s="583"/>
      <c r="AF125" s="583"/>
      <c r="AG125" s="583"/>
      <c r="AH125" s="583"/>
      <c r="AI125" s="583"/>
      <c r="AJ125" s="583"/>
    </row>
    <row r="126" spans="1:36" s="299" customFormat="1" x14ac:dyDescent="0.25">
      <c r="A126" s="299" t="s">
        <v>422</v>
      </c>
      <c r="E126" s="299" t="s">
        <v>174</v>
      </c>
      <c r="H126" s="576" t="s">
        <v>73</v>
      </c>
      <c r="I126" s="577" t="str">
        <f t="shared" si="97"/>
        <v>VND/phôi</v>
      </c>
      <c r="K126" s="581"/>
      <c r="L126" s="581">
        <f t="shared" ref="L126:AJ126" si="133">-IF($H$9="USD",L56/L28/$H$10*10^3,L56/L28/$H$10)</f>
        <v>27.847782258064516</v>
      </c>
      <c r="M126" s="581">
        <f t="shared" si="133"/>
        <v>27.847782258064512</v>
      </c>
      <c r="N126" s="581">
        <f t="shared" si="133"/>
        <v>29.24017137096774</v>
      </c>
      <c r="O126" s="581">
        <f t="shared" si="133"/>
        <v>30.702179939516128</v>
      </c>
      <c r="P126" s="581">
        <f t="shared" si="133"/>
        <v>32.237288936491936</v>
      </c>
      <c r="Q126" s="581">
        <f t="shared" si="133"/>
        <v>33.849153383316526</v>
      </c>
      <c r="R126" s="581">
        <f t="shared" si="133"/>
        <v>35.541611052482359</v>
      </c>
      <c r="S126" s="581">
        <f t="shared" si="133"/>
        <v>37.318691605106473</v>
      </c>
      <c r="T126" s="581">
        <f t="shared" si="133"/>
        <v>39.1846261853618</v>
      </c>
      <c r="U126" s="581">
        <f t="shared" si="133"/>
        <v>41.143857494629891</v>
      </c>
      <c r="V126" s="581">
        <f t="shared" si="133"/>
        <v>43.201050369361383</v>
      </c>
      <c r="W126" s="581">
        <f t="shared" si="133"/>
        <v>45.36110288782946</v>
      </c>
      <c r="X126" s="581">
        <f t="shared" si="133"/>
        <v>47.629158032220928</v>
      </c>
      <c r="Y126" s="581">
        <f t="shared" si="133"/>
        <v>50.010615933831971</v>
      </c>
      <c r="Z126" s="581">
        <f t="shared" si="133"/>
        <v>52.511146730523578</v>
      </c>
      <c r="AA126" s="581"/>
      <c r="AB126" s="581"/>
      <c r="AC126" s="581"/>
      <c r="AD126" s="581"/>
      <c r="AE126" s="581"/>
      <c r="AF126" s="581"/>
      <c r="AG126" s="581"/>
      <c r="AH126" s="581"/>
      <c r="AI126" s="581"/>
      <c r="AJ126" s="581"/>
    </row>
    <row r="127" spans="1:36" s="299" customFormat="1" x14ac:dyDescent="0.25">
      <c r="A127" s="299" t="s">
        <v>422</v>
      </c>
      <c r="E127" s="299" t="s">
        <v>306</v>
      </c>
      <c r="H127" s="576" t="s">
        <v>192</v>
      </c>
      <c r="I127" s="577" t="str">
        <f t="shared" si="97"/>
        <v>VND/phôi</v>
      </c>
      <c r="K127" s="581"/>
      <c r="L127" s="581">
        <f t="shared" ref="L127:AJ127" si="134">-IF($H$9="USD",L57/L28/$H$10*10^3,L57/L28/$H$10)</f>
        <v>4.7222222222222214</v>
      </c>
      <c r="M127" s="581">
        <f t="shared" si="134"/>
        <v>4.7222222222222214</v>
      </c>
      <c r="N127" s="581">
        <f t="shared" si="134"/>
        <v>4.958333333333333</v>
      </c>
      <c r="O127" s="581">
        <f t="shared" si="134"/>
        <v>5.2062499999999998</v>
      </c>
      <c r="P127" s="581">
        <f t="shared" si="134"/>
        <v>5.4665624999999993</v>
      </c>
      <c r="Q127" s="581">
        <f t="shared" si="134"/>
        <v>5.7398906249999992</v>
      </c>
      <c r="R127" s="581">
        <f t="shared" si="134"/>
        <v>6.0268851562500005</v>
      </c>
      <c r="S127" s="581">
        <f t="shared" si="134"/>
        <v>6.3282294140624984</v>
      </c>
      <c r="T127" s="581">
        <f t="shared" si="134"/>
        <v>6.6446408847656251</v>
      </c>
      <c r="U127" s="581">
        <f t="shared" si="134"/>
        <v>6.976872929003906</v>
      </c>
      <c r="V127" s="581">
        <f t="shared" si="134"/>
        <v>7.3257165754541012</v>
      </c>
      <c r="W127" s="581">
        <f t="shared" si="134"/>
        <v>7.6920024042268071</v>
      </c>
      <c r="X127" s="581">
        <f t="shared" si="134"/>
        <v>8.0766025244381474</v>
      </c>
      <c r="Y127" s="581">
        <f t="shared" si="134"/>
        <v>8.4804326506600525</v>
      </c>
      <c r="Z127" s="581">
        <f t="shared" si="134"/>
        <v>8.9044542831930595</v>
      </c>
      <c r="AA127" s="581"/>
      <c r="AB127" s="581"/>
      <c r="AC127" s="581"/>
      <c r="AD127" s="581"/>
      <c r="AE127" s="581"/>
      <c r="AF127" s="581"/>
      <c r="AG127" s="581"/>
      <c r="AH127" s="581"/>
      <c r="AI127" s="581"/>
      <c r="AJ127" s="581"/>
    </row>
    <row r="128" spans="1:36" s="299" customFormat="1" x14ac:dyDescent="0.25">
      <c r="A128" s="299" t="s">
        <v>422</v>
      </c>
      <c r="E128" s="299" t="s">
        <v>172</v>
      </c>
      <c r="H128" s="576" t="s">
        <v>175</v>
      </c>
      <c r="I128" s="577" t="str">
        <f t="shared" si="97"/>
        <v>VND/phôi</v>
      </c>
      <c r="K128" s="581"/>
      <c r="L128" s="581">
        <f t="shared" ref="L128:AJ128" si="135">-IF($H$9="USD",L58/L28/$H$10*10^3,L58/L28/$H$10)</f>
        <v>9.7591199510861202</v>
      </c>
      <c r="M128" s="581">
        <f t="shared" si="135"/>
        <v>7.3430285876933645</v>
      </c>
      <c r="N128" s="581">
        <f t="shared" si="135"/>
        <v>5.6832107259864406</v>
      </c>
      <c r="O128" s="581">
        <f t="shared" si="135"/>
        <v>5.8430739198659678</v>
      </c>
      <c r="P128" s="581">
        <f t="shared" si="135"/>
        <v>6.0109302734394703</v>
      </c>
      <c r="Q128" s="581">
        <f t="shared" si="135"/>
        <v>6.1871794446916475</v>
      </c>
      <c r="R128" s="581">
        <f t="shared" si="135"/>
        <v>6.3722410745064346</v>
      </c>
      <c r="S128" s="581">
        <f t="shared" si="135"/>
        <v>6.5665557858119614</v>
      </c>
      <c r="T128" s="581">
        <f t="shared" si="135"/>
        <v>6.7705862326827644</v>
      </c>
      <c r="U128" s="581">
        <f t="shared" si="135"/>
        <v>6.9848182018971068</v>
      </c>
      <c r="V128" s="581">
        <f t="shared" si="135"/>
        <v>7.2097617695721654</v>
      </c>
      <c r="W128" s="581">
        <f t="shared" si="135"/>
        <v>7.4459525156309789</v>
      </c>
      <c r="X128" s="581">
        <f t="shared" si="135"/>
        <v>5.2662703298561038</v>
      </c>
      <c r="Y128" s="581">
        <f t="shared" si="135"/>
        <v>5.5266706273859452</v>
      </c>
      <c r="Z128" s="581">
        <f t="shared" si="135"/>
        <v>5.8000909397922804</v>
      </c>
      <c r="AA128" s="581"/>
      <c r="AB128" s="581"/>
      <c r="AC128" s="581"/>
      <c r="AD128" s="581"/>
      <c r="AE128" s="581"/>
      <c r="AF128" s="581"/>
      <c r="AG128" s="581"/>
      <c r="AH128" s="581"/>
      <c r="AI128" s="581"/>
      <c r="AJ128" s="581"/>
    </row>
    <row r="129" spans="1:36" x14ac:dyDescent="0.25">
      <c r="A129" t="s">
        <v>422</v>
      </c>
      <c r="H129" s="289"/>
      <c r="I129" s="290"/>
      <c r="K129" s="296"/>
      <c r="L129" s="297"/>
      <c r="M129" s="296"/>
      <c r="N129" s="296"/>
      <c r="O129" s="296"/>
      <c r="P129" s="296"/>
      <c r="Q129" s="296"/>
      <c r="R129" s="296"/>
      <c r="S129" s="296"/>
      <c r="T129" s="296"/>
      <c r="U129" s="296"/>
      <c r="V129" s="296"/>
      <c r="W129" s="296"/>
      <c r="X129" s="296"/>
      <c r="Y129" s="296"/>
      <c r="Z129" s="296"/>
      <c r="AA129" s="296"/>
      <c r="AB129" s="296"/>
      <c r="AC129" s="296"/>
      <c r="AD129" s="296"/>
      <c r="AE129" s="296"/>
      <c r="AF129" s="296"/>
      <c r="AG129" s="296"/>
      <c r="AH129" s="296"/>
      <c r="AI129" s="296"/>
      <c r="AJ129" s="296"/>
    </row>
    <row r="130" spans="1:36" s="16" customFormat="1" x14ac:dyDescent="0.25">
      <c r="A130" s="16" t="s">
        <v>422</v>
      </c>
      <c r="H130" s="291" t="s">
        <v>464</v>
      </c>
      <c r="I130" s="292" t="str">
        <f t="shared" si="97"/>
        <v>VND/phôi</v>
      </c>
      <c r="K130" s="298">
        <f>K108+K118</f>
        <v>0</v>
      </c>
      <c r="L130" s="298">
        <f t="shared" ref="L130:Z130" si="136">L108+L118</f>
        <v>659.38080259920685</v>
      </c>
      <c r="M130" s="298">
        <f t="shared" si="136"/>
        <v>596.56242715099529</v>
      </c>
      <c r="N130" s="298">
        <f t="shared" si="136"/>
        <v>561.61192758532491</v>
      </c>
      <c r="O130" s="298">
        <f t="shared" si="136"/>
        <v>574.14182531974097</v>
      </c>
      <c r="P130" s="298">
        <f t="shared" si="136"/>
        <v>587.05183858603903</v>
      </c>
      <c r="Q130" s="298">
        <f t="shared" si="136"/>
        <v>600.35604557371676</v>
      </c>
      <c r="R130" s="298">
        <f t="shared" si="136"/>
        <v>614.06912983000393</v>
      </c>
      <c r="S130" s="298">
        <f t="shared" si="136"/>
        <v>628.20640855671604</v>
      </c>
      <c r="T130" s="298">
        <f t="shared" si="136"/>
        <v>642.783862282526</v>
      </c>
      <c r="U130" s="298">
        <f t="shared" si="136"/>
        <v>657.81816597864429</v>
      </c>
      <c r="V130" s="298">
        <f t="shared" si="136"/>
        <v>673.32672168926695</v>
      </c>
      <c r="W130" s="298">
        <f t="shared" si="136"/>
        <v>689.32769275171256</v>
      </c>
      <c r="X130" s="298">
        <f t="shared" si="136"/>
        <v>642.72029548734599</v>
      </c>
      <c r="Y130" s="298">
        <f t="shared" si="136"/>
        <v>659.76381363116161</v>
      </c>
      <c r="Z130" s="298">
        <f t="shared" si="136"/>
        <v>677.35917262341741</v>
      </c>
      <c r="AA130" s="298"/>
      <c r="AB130" s="298"/>
      <c r="AC130" s="298"/>
      <c r="AD130" s="298"/>
      <c r="AE130" s="298"/>
      <c r="AF130" s="298"/>
      <c r="AG130" s="298"/>
      <c r="AH130" s="298"/>
      <c r="AI130" s="298"/>
      <c r="AJ130" s="298"/>
    </row>
    <row r="131" spans="1:36" x14ac:dyDescent="0.25">
      <c r="A131" t="s">
        <v>422</v>
      </c>
      <c r="H131" s="289"/>
      <c r="I131" s="290"/>
      <c r="K131" s="296"/>
      <c r="L131" s="296"/>
      <c r="M131" s="296"/>
      <c r="N131" s="296"/>
      <c r="O131" s="296"/>
      <c r="P131" s="296"/>
      <c r="Q131" s="296"/>
      <c r="R131" s="296"/>
      <c r="S131" s="296"/>
      <c r="T131" s="296"/>
      <c r="U131" s="296"/>
      <c r="V131" s="296"/>
      <c r="W131" s="296"/>
      <c r="X131" s="296"/>
      <c r="Y131" s="296"/>
      <c r="Z131" s="296"/>
      <c r="AA131" s="296"/>
      <c r="AB131" s="296"/>
      <c r="AC131" s="296"/>
      <c r="AD131" s="296"/>
      <c r="AE131" s="296"/>
      <c r="AF131" s="296"/>
      <c r="AG131" s="296"/>
      <c r="AH131" s="296"/>
      <c r="AI131" s="296"/>
      <c r="AJ131" s="296"/>
    </row>
    <row r="132" spans="1:36" x14ac:dyDescent="0.25">
      <c r="A132" t="s">
        <v>422</v>
      </c>
      <c r="E132" t="s">
        <v>172</v>
      </c>
      <c r="H132" s="593" t="s">
        <v>166</v>
      </c>
      <c r="I132" s="594" t="str">
        <f t="shared" si="97"/>
        <v>VND/phôi</v>
      </c>
      <c r="K132" s="604"/>
      <c r="L132" s="604">
        <f>-IF($H$9="USD",L62/L28/$H$10*10^3,L62/L28/$H$10)</f>
        <v>13.333333333333334</v>
      </c>
      <c r="M132" s="604">
        <f t="shared" ref="M132:AJ132" si="137">-IF($H$9="USD",M62/M28/$H$10*10^3,M62/M28/$H$10)</f>
        <v>13.333333333333332</v>
      </c>
      <c r="N132" s="604">
        <f t="shared" si="137"/>
        <v>13.999999999999998</v>
      </c>
      <c r="O132" s="604">
        <f t="shared" si="137"/>
        <v>14.700000000000001</v>
      </c>
      <c r="P132" s="604">
        <f t="shared" si="137"/>
        <v>15.435</v>
      </c>
      <c r="Q132" s="604">
        <f t="shared" si="137"/>
        <v>16.20675</v>
      </c>
      <c r="R132" s="604">
        <f t="shared" si="137"/>
        <v>17.017087500000002</v>
      </c>
      <c r="S132" s="604">
        <f t="shared" si="137"/>
        <v>17.867941875</v>
      </c>
      <c r="T132" s="604">
        <f t="shared" si="137"/>
        <v>18.761338968750003</v>
      </c>
      <c r="U132" s="604">
        <f t="shared" si="137"/>
        <v>19.699405917187502</v>
      </c>
      <c r="V132" s="604">
        <f t="shared" si="137"/>
        <v>20.684376213046878</v>
      </c>
      <c r="W132" s="604">
        <f t="shared" si="137"/>
        <v>21.718595023699219</v>
      </c>
      <c r="X132" s="604">
        <f t="shared" si="137"/>
        <v>22.804524774884179</v>
      </c>
      <c r="Y132" s="604">
        <f t="shared" si="137"/>
        <v>23.944751013628391</v>
      </c>
      <c r="Z132" s="604">
        <f t="shared" si="137"/>
        <v>25.141988564309816</v>
      </c>
      <c r="AA132" s="604"/>
      <c r="AB132" s="604"/>
      <c r="AC132" s="604"/>
      <c r="AD132" s="604"/>
      <c r="AE132" s="604"/>
      <c r="AF132" s="604"/>
      <c r="AG132" s="604"/>
      <c r="AH132" s="604"/>
      <c r="AI132" s="604"/>
      <c r="AJ132" s="604"/>
    </row>
    <row r="133" spans="1:36" x14ac:dyDescent="0.25">
      <c r="A133" t="s">
        <v>422</v>
      </c>
      <c r="E133" t="s">
        <v>171</v>
      </c>
      <c r="H133" s="574" t="s">
        <v>469</v>
      </c>
      <c r="I133" s="575" t="str">
        <f t="shared" si="97"/>
        <v>VND/phôi</v>
      </c>
      <c r="K133" s="584"/>
      <c r="L133" s="584">
        <f t="shared" ref="L133:AJ133" si="138">-IF($H$9="USD",L63/L28/$H$10*10^3,L63/L28/$H$10)</f>
        <v>0</v>
      </c>
      <c r="M133" s="584">
        <f t="shared" si="138"/>
        <v>0</v>
      </c>
      <c r="N133" s="584">
        <f t="shared" si="138"/>
        <v>0</v>
      </c>
      <c r="O133" s="584">
        <f t="shared" si="138"/>
        <v>0</v>
      </c>
      <c r="P133" s="584">
        <f t="shared" si="138"/>
        <v>0</v>
      </c>
      <c r="Q133" s="584">
        <f t="shared" si="138"/>
        <v>0</v>
      </c>
      <c r="R133" s="584">
        <f t="shared" si="138"/>
        <v>0</v>
      </c>
      <c r="S133" s="584">
        <f t="shared" si="138"/>
        <v>0</v>
      </c>
      <c r="T133" s="584">
        <f t="shared" si="138"/>
        <v>0</v>
      </c>
      <c r="U133" s="584">
        <f t="shared" si="138"/>
        <v>0</v>
      </c>
      <c r="V133" s="584">
        <f t="shared" si="138"/>
        <v>0</v>
      </c>
      <c r="W133" s="584">
        <f t="shared" si="138"/>
        <v>0</v>
      </c>
      <c r="X133" s="584">
        <f t="shared" si="138"/>
        <v>0</v>
      </c>
      <c r="Y133" s="584">
        <f t="shared" si="138"/>
        <v>0</v>
      </c>
      <c r="Z133" s="584">
        <f t="shared" si="138"/>
        <v>0</v>
      </c>
      <c r="AA133" s="584"/>
      <c r="AB133" s="584"/>
      <c r="AC133" s="584"/>
      <c r="AD133" s="584"/>
      <c r="AE133" s="584"/>
      <c r="AF133" s="584"/>
      <c r="AG133" s="584"/>
      <c r="AH133" s="584"/>
      <c r="AI133" s="584"/>
      <c r="AJ133" s="584"/>
    </row>
    <row r="134" spans="1:36" x14ac:dyDescent="0.25">
      <c r="A134" t="s">
        <v>422</v>
      </c>
      <c r="E134" t="s">
        <v>182</v>
      </c>
      <c r="H134" s="574" t="s">
        <v>468</v>
      </c>
      <c r="I134" s="575" t="str">
        <f t="shared" si="97"/>
        <v>VND/phôi</v>
      </c>
      <c r="K134" s="574"/>
      <c r="L134" s="584">
        <f t="shared" ref="L134:AJ134" si="139">-IF($H$9="USD",L64/L28/$H$10*10^3,L64/L28/$H$10)</f>
        <v>0</v>
      </c>
      <c r="M134" s="584">
        <f t="shared" si="139"/>
        <v>0</v>
      </c>
      <c r="N134" s="584">
        <f t="shared" si="139"/>
        <v>0</v>
      </c>
      <c r="O134" s="584">
        <f t="shared" si="139"/>
        <v>0</v>
      </c>
      <c r="P134" s="584">
        <f t="shared" si="139"/>
        <v>0</v>
      </c>
      <c r="Q134" s="584">
        <f t="shared" si="139"/>
        <v>0</v>
      </c>
      <c r="R134" s="584">
        <f t="shared" si="139"/>
        <v>0</v>
      </c>
      <c r="S134" s="584">
        <f t="shared" si="139"/>
        <v>0</v>
      </c>
      <c r="T134" s="584">
        <f t="shared" si="139"/>
        <v>0</v>
      </c>
      <c r="U134" s="584">
        <f t="shared" si="139"/>
        <v>0</v>
      </c>
      <c r="V134" s="584">
        <f t="shared" si="139"/>
        <v>0</v>
      </c>
      <c r="W134" s="584">
        <f t="shared" si="139"/>
        <v>0</v>
      </c>
      <c r="X134" s="584">
        <f t="shared" si="139"/>
        <v>0</v>
      </c>
      <c r="Y134" s="584">
        <f t="shared" si="139"/>
        <v>0</v>
      </c>
      <c r="Z134" s="584">
        <f t="shared" si="139"/>
        <v>0</v>
      </c>
      <c r="AA134" s="584"/>
      <c r="AB134" s="584"/>
      <c r="AC134" s="584"/>
      <c r="AD134" s="584"/>
      <c r="AE134" s="584"/>
      <c r="AF134" s="584"/>
      <c r="AG134" s="584"/>
      <c r="AH134" s="584"/>
      <c r="AI134" s="584"/>
      <c r="AJ134" s="584"/>
    </row>
    <row r="135" spans="1:36" x14ac:dyDescent="0.25">
      <c r="A135" t="s">
        <v>422</v>
      </c>
      <c r="E135" t="s">
        <v>182</v>
      </c>
      <c r="H135" s="574" t="s">
        <v>470</v>
      </c>
      <c r="I135" s="575" t="str">
        <f t="shared" si="97"/>
        <v>VND/phôi</v>
      </c>
      <c r="K135" s="574"/>
      <c r="L135" s="584">
        <f>-IF($H$9="USD",L65/L28/$H$10*10^3,L65/L28/$H$10)</f>
        <v>71.373864592616897</v>
      </c>
      <c r="M135" s="584">
        <f t="shared" ref="M135:AJ135" si="140">-IF($H$9="USD",M65/M28/$H$10*10^3,M65/M28/$H$10)</f>
        <v>48.952548884066616</v>
      </c>
      <c r="N135" s="584">
        <f t="shared" si="140"/>
        <v>32.74722577596247</v>
      </c>
      <c r="O135" s="584">
        <f t="shared" si="140"/>
        <v>31.121298242076431</v>
      </c>
      <c r="P135" s="584">
        <f t="shared" si="140"/>
        <v>29.381555780818363</v>
      </c>
      <c r="Q135" s="584">
        <f t="shared" si="140"/>
        <v>27.520031347272241</v>
      </c>
      <c r="R135" s="584">
        <f t="shared" si="140"/>
        <v>25.528200203377882</v>
      </c>
      <c r="S135" s="584">
        <f t="shared" si="140"/>
        <v>23.396940879410916</v>
      </c>
      <c r="T135" s="584">
        <f t="shared" si="140"/>
        <v>21.116493402766267</v>
      </c>
      <c r="U135" s="584">
        <f t="shared" si="140"/>
        <v>18.676414602756491</v>
      </c>
      <c r="V135" s="584">
        <f t="shared" si="140"/>
        <v>16.065530286746032</v>
      </c>
      <c r="W135" s="584">
        <f t="shared" si="140"/>
        <v>13.271884068614838</v>
      </c>
      <c r="X135" s="584">
        <f t="shared" si="140"/>
        <v>10.282682615214464</v>
      </c>
      <c r="Y135" s="584">
        <f t="shared" si="140"/>
        <v>7.0842370600760587</v>
      </c>
      <c r="Z135" s="584">
        <f t="shared" si="140"/>
        <v>3.6619003160779675</v>
      </c>
      <c r="AA135" s="584"/>
      <c r="AB135" s="584"/>
      <c r="AC135" s="584"/>
      <c r="AD135" s="584"/>
      <c r="AE135" s="584"/>
      <c r="AF135" s="584"/>
      <c r="AG135" s="584"/>
      <c r="AH135" s="584"/>
      <c r="AI135" s="584"/>
      <c r="AJ135" s="584"/>
    </row>
    <row r="136" spans="1:36" x14ac:dyDescent="0.25">
      <c r="A136" t="s">
        <v>422</v>
      </c>
      <c r="H136" s="289"/>
      <c r="I136" s="290"/>
      <c r="K136" s="289"/>
      <c r="L136" s="289"/>
      <c r="M136" s="289"/>
      <c r="N136" s="289"/>
      <c r="O136" s="289"/>
      <c r="P136" s="289"/>
      <c r="Q136" s="289"/>
      <c r="R136" s="289"/>
      <c r="S136" s="289"/>
      <c r="T136" s="289"/>
      <c r="U136" s="289"/>
      <c r="V136" s="289"/>
      <c r="W136" s="289"/>
      <c r="X136" s="289"/>
      <c r="Y136" s="289"/>
      <c r="Z136" s="289"/>
      <c r="AA136" s="289"/>
      <c r="AB136" s="289"/>
      <c r="AC136" s="289"/>
      <c r="AD136" s="289"/>
      <c r="AE136" s="289"/>
      <c r="AF136" s="289"/>
      <c r="AG136" s="289"/>
      <c r="AH136" s="289"/>
      <c r="AI136" s="289"/>
      <c r="AJ136" s="289"/>
    </row>
    <row r="137" spans="1:36" s="16" customFormat="1" x14ac:dyDescent="0.25">
      <c r="A137" s="16" t="s">
        <v>422</v>
      </c>
      <c r="H137" s="291" t="s">
        <v>487</v>
      </c>
      <c r="I137" s="292" t="str">
        <f t="shared" si="97"/>
        <v>VND/phôi</v>
      </c>
      <c r="K137" s="298">
        <f>K130+SUM(K132:K135)</f>
        <v>0</v>
      </c>
      <c r="L137" s="298">
        <f t="shared" ref="L137:AJ137" si="141">L130+SUM(L132:L135)</f>
        <v>744.0880005251571</v>
      </c>
      <c r="M137" s="298">
        <f t="shared" si="141"/>
        <v>658.84830936839523</v>
      </c>
      <c r="N137" s="298">
        <f t="shared" si="141"/>
        <v>608.35915336128733</v>
      </c>
      <c r="O137" s="298">
        <f t="shared" si="141"/>
        <v>619.96312356181738</v>
      </c>
      <c r="P137" s="298">
        <f t="shared" si="141"/>
        <v>631.86839436685739</v>
      </c>
      <c r="Q137" s="298">
        <f t="shared" si="141"/>
        <v>644.08282692098896</v>
      </c>
      <c r="R137" s="298">
        <f t="shared" si="141"/>
        <v>656.61441753338181</v>
      </c>
      <c r="S137" s="298">
        <f t="shared" si="141"/>
        <v>669.47129131112695</v>
      </c>
      <c r="T137" s="298">
        <f t="shared" si="141"/>
        <v>682.66169465404232</v>
      </c>
      <c r="U137" s="298">
        <f t="shared" si="141"/>
        <v>696.19398649858829</v>
      </c>
      <c r="V137" s="298">
        <f t="shared" si="141"/>
        <v>710.07662818905987</v>
      </c>
      <c r="W137" s="298">
        <f t="shared" si="141"/>
        <v>724.31817184402666</v>
      </c>
      <c r="X137" s="298">
        <f t="shared" si="141"/>
        <v>675.80750287744468</v>
      </c>
      <c r="Y137" s="298">
        <f t="shared" si="141"/>
        <v>690.79280170486606</v>
      </c>
      <c r="Z137" s="298">
        <f t="shared" si="141"/>
        <v>706.16306150380524</v>
      </c>
      <c r="AA137" s="298"/>
      <c r="AB137" s="298"/>
      <c r="AC137" s="298"/>
      <c r="AD137" s="298"/>
      <c r="AE137" s="298"/>
      <c r="AF137" s="298"/>
      <c r="AG137" s="298"/>
      <c r="AH137" s="298"/>
      <c r="AI137" s="298"/>
      <c r="AJ137" s="298"/>
    </row>
    <row r="138" spans="1:36" x14ac:dyDescent="0.25">
      <c r="A138" t="s">
        <v>422</v>
      </c>
    </row>
    <row r="139" spans="1:36" x14ac:dyDescent="0.25">
      <c r="A139" t="s">
        <v>422</v>
      </c>
      <c r="H139" s="593" t="s">
        <v>361</v>
      </c>
      <c r="I139" s="594" t="str">
        <f t="shared" si="97"/>
        <v>VND/phôi</v>
      </c>
      <c r="K139" s="593"/>
      <c r="L139" s="599">
        <f>INDEX('Cover Page'!$H$12:$AJ$12,MATCH($A139,'Cover Page'!$H$5:$AJ$5,0))</f>
        <v>6.6666666666666666E-2</v>
      </c>
      <c r="M139" s="599">
        <f>INDEX('Cover Page'!$H$12:$AJ$12,MATCH($A139,'Cover Page'!$H$5:$AJ$5,0))</f>
        <v>6.6666666666666666E-2</v>
      </c>
      <c r="N139" s="599">
        <f>INDEX('Cover Page'!$H$12:$AJ$12,MATCH($A139,'Cover Page'!$H$5:$AJ$5,0))</f>
        <v>6.6666666666666666E-2</v>
      </c>
      <c r="O139" s="599">
        <f>INDEX('Cover Page'!$H$12:$AJ$12,MATCH($A139,'Cover Page'!$H$5:$AJ$5,0))</f>
        <v>6.6666666666666666E-2</v>
      </c>
      <c r="P139" s="599">
        <f>INDEX('Cover Page'!$H$12:$AJ$12,MATCH($A139,'Cover Page'!$H$5:$AJ$5,0))</f>
        <v>6.6666666666666666E-2</v>
      </c>
      <c r="Q139" s="599">
        <f>INDEX('Cover Page'!$H$12:$AJ$12,MATCH($A139,'Cover Page'!$H$5:$AJ$5,0))</f>
        <v>6.6666666666666666E-2</v>
      </c>
      <c r="R139" s="599">
        <f>INDEX('Cover Page'!$H$12:$AJ$12,MATCH($A139,'Cover Page'!$H$5:$AJ$5,0))</f>
        <v>6.6666666666666666E-2</v>
      </c>
      <c r="S139" s="599">
        <f>INDEX('Cover Page'!$H$12:$AJ$12,MATCH($A139,'Cover Page'!$H$5:$AJ$5,0))</f>
        <v>6.6666666666666666E-2</v>
      </c>
      <c r="T139" s="599">
        <f>INDEX('Cover Page'!$H$12:$AJ$12,MATCH($A139,'Cover Page'!$H$5:$AJ$5,0))</f>
        <v>6.6666666666666666E-2</v>
      </c>
      <c r="U139" s="599">
        <f>INDEX('Cover Page'!$H$12:$AJ$12,MATCH($A139,'Cover Page'!$H$5:$AJ$5,0))</f>
        <v>6.6666666666666666E-2</v>
      </c>
      <c r="V139" s="599">
        <f>INDEX('Cover Page'!$H$12:$AJ$12,MATCH($A139,'Cover Page'!$H$5:$AJ$5,0))</f>
        <v>6.6666666666666666E-2</v>
      </c>
      <c r="W139" s="599">
        <f>INDEX('Cover Page'!$H$12:$AJ$12,MATCH($A139,'Cover Page'!$H$5:$AJ$5,0))</f>
        <v>6.6666666666666666E-2</v>
      </c>
      <c r="X139" s="599">
        <f>INDEX('Cover Page'!$H$12:$AJ$12,MATCH($A139,'Cover Page'!$H$5:$AJ$5,0))</f>
        <v>6.6666666666666666E-2</v>
      </c>
      <c r="Y139" s="599">
        <f>INDEX('Cover Page'!$H$12:$AJ$12,MATCH($A139,'Cover Page'!$H$5:$AJ$5,0))</f>
        <v>6.6666666666666666E-2</v>
      </c>
      <c r="Z139" s="599">
        <f>INDEX('Cover Page'!$H$12:$AJ$12,MATCH($A139,'Cover Page'!$H$5:$AJ$5,0))</f>
        <v>6.6666666666666666E-2</v>
      </c>
      <c r="AA139" s="599"/>
      <c r="AB139" s="599"/>
      <c r="AC139" s="599"/>
      <c r="AD139" s="599"/>
      <c r="AE139" s="599"/>
      <c r="AF139" s="599"/>
      <c r="AG139" s="599"/>
      <c r="AH139" s="599"/>
      <c r="AI139" s="599"/>
      <c r="AJ139" s="599"/>
    </row>
    <row r="140" spans="1:36" s="1" customFormat="1" x14ac:dyDescent="0.25">
      <c r="A140" s="1" t="s">
        <v>422</v>
      </c>
      <c r="H140" s="595" t="s">
        <v>490</v>
      </c>
      <c r="I140" s="596" t="str">
        <f t="shared" si="97"/>
        <v>VND/phôi</v>
      </c>
      <c r="K140" s="595"/>
      <c r="L140" s="600">
        <f>L137*(1+L139)</f>
        <v>793.69386722683419</v>
      </c>
      <c r="M140" s="600">
        <f t="shared" ref="M140:Z140" si="142">M137*(1+M139)</f>
        <v>702.77152999295492</v>
      </c>
      <c r="N140" s="600">
        <f t="shared" si="142"/>
        <v>648.91643025203985</v>
      </c>
      <c r="O140" s="600">
        <f t="shared" si="142"/>
        <v>661.29399846593856</v>
      </c>
      <c r="P140" s="600">
        <f t="shared" si="142"/>
        <v>673.99295399131449</v>
      </c>
      <c r="Q140" s="600">
        <f t="shared" si="142"/>
        <v>687.0216820490549</v>
      </c>
      <c r="R140" s="600">
        <f t="shared" si="142"/>
        <v>700.38871203560723</v>
      </c>
      <c r="S140" s="600">
        <f t="shared" si="142"/>
        <v>714.10271073186868</v>
      </c>
      <c r="T140" s="600">
        <f t="shared" si="142"/>
        <v>728.17247429764518</v>
      </c>
      <c r="U140" s="600">
        <f t="shared" si="142"/>
        <v>742.60691893182752</v>
      </c>
      <c r="V140" s="600">
        <f t="shared" si="142"/>
        <v>757.41507006833058</v>
      </c>
      <c r="W140" s="600">
        <f t="shared" si="142"/>
        <v>772.60604996696179</v>
      </c>
      <c r="X140" s="600">
        <f t="shared" si="142"/>
        <v>720.86133640260766</v>
      </c>
      <c r="Y140" s="600">
        <f t="shared" si="142"/>
        <v>736.84565515185716</v>
      </c>
      <c r="Z140" s="600">
        <f t="shared" si="142"/>
        <v>753.24059893739229</v>
      </c>
      <c r="AA140" s="600"/>
      <c r="AB140" s="600"/>
      <c r="AC140" s="600"/>
      <c r="AD140" s="600"/>
      <c r="AE140" s="600"/>
      <c r="AF140" s="600"/>
      <c r="AG140" s="600"/>
      <c r="AH140" s="600"/>
      <c r="AI140" s="600"/>
      <c r="AJ140" s="600"/>
    </row>
    <row r="141" spans="1:36" x14ac:dyDescent="0.25">
      <c r="A141" t="s">
        <v>422</v>
      </c>
      <c r="H141" s="574" t="s">
        <v>292</v>
      </c>
      <c r="I141" s="575" t="str">
        <f t="shared" si="97"/>
        <v>VND/phôi</v>
      </c>
      <c r="K141" s="574"/>
      <c r="L141" s="601">
        <f t="shared" ref="L141:AJ141" si="143">Tax_rate</f>
        <v>0.2</v>
      </c>
      <c r="M141" s="601">
        <f t="shared" si="143"/>
        <v>0.2</v>
      </c>
      <c r="N141" s="601">
        <f t="shared" si="143"/>
        <v>0.2</v>
      </c>
      <c r="O141" s="601">
        <f t="shared" si="143"/>
        <v>0.2</v>
      </c>
      <c r="P141" s="601">
        <f t="shared" si="143"/>
        <v>0.2</v>
      </c>
      <c r="Q141" s="601">
        <f t="shared" si="143"/>
        <v>0.2</v>
      </c>
      <c r="R141" s="601">
        <f t="shared" si="143"/>
        <v>0.2</v>
      </c>
      <c r="S141" s="601">
        <f t="shared" si="143"/>
        <v>0.2</v>
      </c>
      <c r="T141" s="601">
        <f t="shared" si="143"/>
        <v>0.2</v>
      </c>
      <c r="U141" s="601">
        <f t="shared" si="143"/>
        <v>0.2</v>
      </c>
      <c r="V141" s="601">
        <f t="shared" si="143"/>
        <v>0.2</v>
      </c>
      <c r="W141" s="601">
        <f t="shared" si="143"/>
        <v>0.2</v>
      </c>
      <c r="X141" s="601">
        <f t="shared" si="143"/>
        <v>0.2</v>
      </c>
      <c r="Y141" s="601">
        <f t="shared" si="143"/>
        <v>0.2</v>
      </c>
      <c r="Z141" s="601">
        <f t="shared" si="143"/>
        <v>0.2</v>
      </c>
      <c r="AA141" s="601"/>
      <c r="AB141" s="601"/>
      <c r="AC141" s="601"/>
      <c r="AD141" s="601"/>
      <c r="AE141" s="601"/>
      <c r="AF141" s="601"/>
      <c r="AG141" s="601"/>
      <c r="AH141" s="601"/>
      <c r="AI141" s="601"/>
      <c r="AJ141" s="601"/>
    </row>
    <row r="142" spans="1:36" s="1" customFormat="1" x14ac:dyDescent="0.25">
      <c r="A142" s="1" t="s">
        <v>422</v>
      </c>
      <c r="H142" s="595" t="s">
        <v>491</v>
      </c>
      <c r="I142" s="596" t="str">
        <f t="shared" si="97"/>
        <v>VND/phôi</v>
      </c>
      <c r="K142" s="595"/>
      <c r="L142" s="600">
        <f>(L140-L137)*(1-L141)</f>
        <v>39.684693361341672</v>
      </c>
      <c r="M142" s="600">
        <f t="shared" ref="M142" si="144">(M140-M137)*(1-M141)</f>
        <v>35.138576499647755</v>
      </c>
      <c r="N142" s="600">
        <f t="shared" ref="N142" si="145">(N140-N137)*(1-N141)</f>
        <v>32.445821512602016</v>
      </c>
      <c r="O142" s="600">
        <f t="shared" ref="O142" si="146">(O140-O137)*(1-O141)</f>
        <v>33.064699923296942</v>
      </c>
      <c r="P142" s="600">
        <f t="shared" ref="P142" si="147">(P140-P137)*(1-P141)</f>
        <v>33.699647699565688</v>
      </c>
      <c r="Q142" s="600">
        <f t="shared" ref="Q142" si="148">(Q140-Q137)*(1-Q141)</f>
        <v>34.351084102452752</v>
      </c>
      <c r="R142" s="600">
        <f t="shared" ref="R142" si="149">(R140-R137)*(1-R141)</f>
        <v>35.019435601780337</v>
      </c>
      <c r="S142" s="600">
        <f t="shared" ref="S142" si="150">(S140-S137)*(1-S141)</f>
        <v>35.705135536593389</v>
      </c>
      <c r="T142" s="600">
        <f t="shared" ref="T142" si="151">(T140-T137)*(1-T141)</f>
        <v>36.408623714882289</v>
      </c>
      <c r="U142" s="600">
        <f t="shared" ref="U142" si="152">(U140-U137)*(1-U141)</f>
        <v>37.13034594659139</v>
      </c>
      <c r="V142" s="600">
        <f t="shared" ref="V142" si="153">(V140-V137)*(1-V141)</f>
        <v>37.870753503416566</v>
      </c>
      <c r="W142" s="600">
        <f t="shared" ref="W142" si="154">(W140-W137)*(1-W141)</f>
        <v>38.630302498348101</v>
      </c>
      <c r="X142" s="600">
        <f t="shared" ref="X142" si="155">(X140-X137)*(1-X141)</f>
        <v>36.043066820130392</v>
      </c>
      <c r="Y142" s="600">
        <f t="shared" ref="Y142" si="156">(Y140-Y137)*(1-Y141)</f>
        <v>36.842282757592876</v>
      </c>
      <c r="Z142" s="600">
        <f t="shared" ref="Z142" si="157">(Z140-Z137)*(1-Z141)</f>
        <v>37.662029946869644</v>
      </c>
      <c r="AA142" s="600"/>
      <c r="AB142" s="600"/>
      <c r="AC142" s="600"/>
      <c r="AD142" s="600"/>
      <c r="AE142" s="600"/>
      <c r="AF142" s="600"/>
      <c r="AG142" s="600"/>
      <c r="AH142" s="600"/>
      <c r="AI142" s="600"/>
      <c r="AJ142" s="600"/>
    </row>
    <row r="143" spans="1:36" s="146" customFormat="1" x14ac:dyDescent="0.25">
      <c r="A143" s="146" t="s">
        <v>422</v>
      </c>
      <c r="H143" s="597" t="s">
        <v>492</v>
      </c>
      <c r="I143" s="598"/>
      <c r="K143" s="597"/>
      <c r="L143" s="602">
        <f>IFERROR(L142/L140,0)</f>
        <v>4.9999999999999954E-2</v>
      </c>
      <c r="M143" s="602">
        <f>IFERROR(M142/M140,0)</f>
        <v>5.000000000000001E-2</v>
      </c>
      <c r="N143" s="602">
        <f t="shared" ref="N143" si="158">IFERROR(N142/N140,0)</f>
        <v>5.0000000000000037E-2</v>
      </c>
      <c r="O143" s="602">
        <f t="shared" ref="O143" si="159">IFERROR(O142/O140,0)</f>
        <v>5.0000000000000024E-2</v>
      </c>
      <c r="P143" s="602">
        <f t="shared" ref="P143" si="160">IFERROR(P142/P140,0)</f>
        <v>4.9999999999999947E-2</v>
      </c>
      <c r="Q143" s="602">
        <f t="shared" ref="Q143" si="161">IFERROR(Q142/Q140,0)</f>
        <v>5.000000000000001E-2</v>
      </c>
      <c r="R143" s="602">
        <f t="shared" ref="R143" si="162">IFERROR(R142/R140,0)</f>
        <v>4.9999999999999968E-2</v>
      </c>
      <c r="S143" s="602">
        <f t="shared" ref="S143" si="163">IFERROR(S142/S140,0)</f>
        <v>4.9999999999999933E-2</v>
      </c>
      <c r="T143" s="602">
        <f t="shared" ref="T143" si="164">IFERROR(T142/T140,0)</f>
        <v>5.0000000000000044E-2</v>
      </c>
      <c r="U143" s="602">
        <f t="shared" ref="U143" si="165">IFERROR(U142/U140,0)</f>
        <v>5.0000000000000017E-2</v>
      </c>
      <c r="V143" s="602">
        <f t="shared" ref="V143" si="166">IFERROR(V142/V140,0)</f>
        <v>5.0000000000000051E-2</v>
      </c>
      <c r="W143" s="602">
        <f t="shared" ref="W143" si="167">IFERROR(W142/W140,0)</f>
        <v>5.0000000000000017E-2</v>
      </c>
      <c r="X143" s="602">
        <f t="shared" ref="X143" si="168">IFERROR(X142/X140,0)</f>
        <v>5.000000000000001E-2</v>
      </c>
      <c r="Y143" s="602">
        <f t="shared" ref="Y143" si="169">IFERROR(Y142/Y140,0)</f>
        <v>5.0000000000000024E-2</v>
      </c>
      <c r="Z143" s="602">
        <f t="shared" ref="Z143" si="170">IFERROR(Z142/Z140,0)</f>
        <v>5.0000000000000037E-2</v>
      </c>
      <c r="AA143" s="602"/>
      <c r="AB143" s="602"/>
      <c r="AC143" s="602"/>
      <c r="AD143" s="602"/>
      <c r="AE143" s="602"/>
      <c r="AF143" s="602"/>
      <c r="AG143" s="602"/>
      <c r="AH143" s="602"/>
      <c r="AI143" s="602"/>
      <c r="AJ143" s="602"/>
    </row>
    <row r="144" spans="1:36" x14ac:dyDescent="0.25">
      <c r="A144" t="s">
        <v>422</v>
      </c>
      <c r="L144" s="64"/>
    </row>
    <row r="145" spans="1:36" x14ac:dyDescent="0.25">
      <c r="A145" t="s">
        <v>422</v>
      </c>
      <c r="H145" s="1" t="s">
        <v>493</v>
      </c>
    </row>
    <row r="146" spans="1:36" x14ac:dyDescent="0.25">
      <c r="A146" t="s">
        <v>422</v>
      </c>
      <c r="H146" t="s">
        <v>493</v>
      </c>
      <c r="I146" s="65" t="s">
        <v>475</v>
      </c>
      <c r="K146" s="15"/>
      <c r="L146" s="15">
        <f t="shared" ref="L146:AJ146" si="171">L147*PHOI_KG*10^3/10^6</f>
        <v>45.333333333333336</v>
      </c>
      <c r="M146" s="15">
        <f t="shared" si="171"/>
        <v>46.240000000000009</v>
      </c>
      <c r="N146" s="15">
        <f t="shared" si="171"/>
        <v>47.1648</v>
      </c>
      <c r="O146" s="15">
        <f t="shared" si="171"/>
        <v>48.10809600000001</v>
      </c>
      <c r="P146" s="15">
        <f t="shared" si="171"/>
        <v>49.070257920000003</v>
      </c>
      <c r="Q146" s="15">
        <f t="shared" si="171"/>
        <v>50.051663078400004</v>
      </c>
      <c r="R146" s="15">
        <f t="shared" si="171"/>
        <v>51.052696339968008</v>
      </c>
      <c r="S146" s="15">
        <f t="shared" si="171"/>
        <v>52.073750266767355</v>
      </c>
      <c r="T146" s="15">
        <f t="shared" si="171"/>
        <v>53.115225272102705</v>
      </c>
      <c r="U146" s="15">
        <f t="shared" si="171"/>
        <v>54.177529777544763</v>
      </c>
      <c r="V146" s="15">
        <f t="shared" si="171"/>
        <v>55.261080373095652</v>
      </c>
      <c r="W146" s="15">
        <f t="shared" si="171"/>
        <v>56.366301980557566</v>
      </c>
      <c r="X146" s="15">
        <f t="shared" si="171"/>
        <v>57.493628020168721</v>
      </c>
      <c r="Y146" s="15">
        <f t="shared" si="171"/>
        <v>58.643500580572088</v>
      </c>
      <c r="Z146" s="15">
        <f t="shared" si="171"/>
        <v>59.816370592183539</v>
      </c>
      <c r="AA146" s="15"/>
      <c r="AB146" s="15"/>
      <c r="AC146" s="15"/>
      <c r="AD146" s="15"/>
      <c r="AE146" s="15"/>
      <c r="AF146" s="15"/>
      <c r="AG146" s="15"/>
      <c r="AH146" s="15"/>
      <c r="AI146" s="15"/>
      <c r="AJ146" s="15"/>
    </row>
    <row r="147" spans="1:36" x14ac:dyDescent="0.25">
      <c r="A147" t="s">
        <v>422</v>
      </c>
      <c r="F147" t="s">
        <v>570</v>
      </c>
      <c r="H147" t="s">
        <v>493</v>
      </c>
      <c r="I147" s="65" t="s">
        <v>368</v>
      </c>
      <c r="K147" s="27"/>
      <c r="L147" s="27">
        <f>INDEX('Cover Page'!$H$14:$AJ$14,MATCH($A147,'Cover Page'!$H$5:$AJ$5,0))*POWER(1+INDEX('Cover Page'!$H$17:$AJ$17,MATCH($A147,'Cover Page'!$H$5:$AJ$5,0)),L$12+1)</f>
        <v>680</v>
      </c>
      <c r="M147" s="27">
        <f>INDEX('Cover Page'!$H$14:$AJ$14,MATCH($A147,'Cover Page'!$H$5:$AJ$5,0))*POWER(1+INDEX('Cover Page'!$H$17:$AJ$17,MATCH($A147,'Cover Page'!$H$5:$AJ$5,0)),M$12+1)</f>
        <v>693.6</v>
      </c>
      <c r="N147" s="27">
        <f>INDEX('Cover Page'!$H$14:$AJ$14,MATCH($A147,'Cover Page'!$H$5:$AJ$5,0))*POWER(1+INDEX('Cover Page'!$H$17:$AJ$17,MATCH($A147,'Cover Page'!$H$5:$AJ$5,0)),N$12+1)</f>
        <v>707.47199999999998</v>
      </c>
      <c r="O147" s="27">
        <f>INDEX('Cover Page'!$H$14:$AJ$14,MATCH($A147,'Cover Page'!$H$5:$AJ$5,0))*POWER(1+INDEX('Cover Page'!$H$17:$AJ$17,MATCH($A147,'Cover Page'!$H$5:$AJ$5,0)),O$12+1)</f>
        <v>721.62144000000001</v>
      </c>
      <c r="P147" s="27">
        <f>INDEX('Cover Page'!$H$14:$AJ$14,MATCH($A147,'Cover Page'!$H$5:$AJ$5,0))*POWER(1+INDEX('Cover Page'!$H$17:$AJ$17,MATCH($A147,'Cover Page'!$H$5:$AJ$5,0)),P$12+1)</f>
        <v>736.05386880000003</v>
      </c>
      <c r="Q147" s="27">
        <f>INDEX('Cover Page'!$H$14:$AJ$14,MATCH($A147,'Cover Page'!$H$5:$AJ$5,0))*POWER(1+INDEX('Cover Page'!$H$17:$AJ$17,MATCH($A147,'Cover Page'!$H$5:$AJ$5,0)),Q$12+1)</f>
        <v>750.77494617599996</v>
      </c>
      <c r="R147" s="27">
        <f>INDEX('Cover Page'!$H$14:$AJ$14,MATCH($A147,'Cover Page'!$H$5:$AJ$5,0))*POWER(1+INDEX('Cover Page'!$H$17:$AJ$17,MATCH($A147,'Cover Page'!$H$5:$AJ$5,0)),R$12+1)</f>
        <v>765.79044509952007</v>
      </c>
      <c r="S147" s="27">
        <f>INDEX('Cover Page'!$H$14:$AJ$14,MATCH($A147,'Cover Page'!$H$5:$AJ$5,0))*POWER(1+INDEX('Cover Page'!$H$17:$AJ$17,MATCH($A147,'Cover Page'!$H$5:$AJ$5,0)),S$12+1)</f>
        <v>781.10625400151025</v>
      </c>
      <c r="T147" s="27">
        <f>INDEX('Cover Page'!$H$14:$AJ$14,MATCH($A147,'Cover Page'!$H$5:$AJ$5,0))*POWER(1+INDEX('Cover Page'!$H$17:$AJ$17,MATCH($A147,'Cover Page'!$H$5:$AJ$5,0)),T$12+1)</f>
        <v>796.72837908154054</v>
      </c>
      <c r="U147" s="27">
        <f>INDEX('Cover Page'!$H$14:$AJ$14,MATCH($A147,'Cover Page'!$H$5:$AJ$5,0))*POWER(1+INDEX('Cover Page'!$H$17:$AJ$17,MATCH($A147,'Cover Page'!$H$5:$AJ$5,0)),U$12+1)</f>
        <v>812.6629466631714</v>
      </c>
      <c r="V147" s="27">
        <f>INDEX('Cover Page'!$H$14:$AJ$14,MATCH($A147,'Cover Page'!$H$5:$AJ$5,0))*POWER(1+INDEX('Cover Page'!$H$17:$AJ$17,MATCH($A147,'Cover Page'!$H$5:$AJ$5,0)),V$12+1)</f>
        <v>828.91620559643479</v>
      </c>
      <c r="W147" s="27">
        <f>INDEX('Cover Page'!$H$14:$AJ$14,MATCH($A147,'Cover Page'!$H$5:$AJ$5,0))*POWER(1+INDEX('Cover Page'!$H$17:$AJ$17,MATCH($A147,'Cover Page'!$H$5:$AJ$5,0)),W$12+1)</f>
        <v>845.49452970836342</v>
      </c>
      <c r="X147" s="27">
        <f>INDEX('Cover Page'!$H$14:$AJ$14,MATCH($A147,'Cover Page'!$H$5:$AJ$5,0))*POWER(1+INDEX('Cover Page'!$H$17:$AJ$17,MATCH($A147,'Cover Page'!$H$5:$AJ$5,0)),X$12+1)</f>
        <v>862.40442030253075</v>
      </c>
      <c r="Y147" s="27">
        <f>INDEX('Cover Page'!$H$14:$AJ$14,MATCH($A147,'Cover Page'!$H$5:$AJ$5,0))*POWER(1+INDEX('Cover Page'!$H$17:$AJ$17,MATCH($A147,'Cover Page'!$H$5:$AJ$5,0)),Y$12+1)</f>
        <v>879.65250870858131</v>
      </c>
      <c r="Z147" s="27">
        <f>INDEX('Cover Page'!$H$14:$AJ$14,MATCH($A147,'Cover Page'!$H$5:$AJ$5,0))*POWER(1+INDEX('Cover Page'!$H$17:$AJ$17,MATCH($A147,'Cover Page'!$H$5:$AJ$5,0)),Z$12+1)</f>
        <v>897.24555888275302</v>
      </c>
      <c r="AA147" s="27"/>
      <c r="AB147" s="27"/>
      <c r="AC147" s="27"/>
      <c r="AD147" s="27"/>
      <c r="AE147" s="27"/>
      <c r="AF147" s="27"/>
      <c r="AG147" s="27"/>
      <c r="AH147" s="27"/>
      <c r="AI147" s="27"/>
      <c r="AJ147" s="27"/>
    </row>
    <row r="148" spans="1:36" x14ac:dyDescent="0.25">
      <c r="A148" t="s">
        <v>422</v>
      </c>
      <c r="H148" t="s">
        <v>493</v>
      </c>
      <c r="I148" s="65" t="s">
        <v>369</v>
      </c>
      <c r="K148" s="15"/>
      <c r="L148" s="15">
        <f t="shared" ref="L148:AJ148" si="172">L146/EXR*10^6</f>
        <v>1743.5897435897436</v>
      </c>
      <c r="M148" s="15">
        <f t="shared" si="172"/>
        <v>1778.4615384615388</v>
      </c>
      <c r="N148" s="15">
        <f t="shared" si="172"/>
        <v>1814.0307692307692</v>
      </c>
      <c r="O148" s="15">
        <f t="shared" si="172"/>
        <v>1850.3113846153849</v>
      </c>
      <c r="P148" s="15">
        <f t="shared" si="172"/>
        <v>1887.3176123076926</v>
      </c>
      <c r="Q148" s="15">
        <f t="shared" si="172"/>
        <v>1925.0639645538463</v>
      </c>
      <c r="R148" s="15">
        <f t="shared" si="172"/>
        <v>1963.5652438449235</v>
      </c>
      <c r="S148" s="15">
        <f t="shared" si="172"/>
        <v>2002.8365487218214</v>
      </c>
      <c r="T148" s="15">
        <f t="shared" si="172"/>
        <v>2042.8932796962579</v>
      </c>
      <c r="U148" s="15">
        <f t="shared" si="172"/>
        <v>2083.7511452901831</v>
      </c>
      <c r="V148" s="15">
        <f t="shared" si="172"/>
        <v>2125.426168195987</v>
      </c>
      <c r="W148" s="15">
        <f t="shared" si="172"/>
        <v>2167.9346915599062</v>
      </c>
      <c r="X148" s="15">
        <f t="shared" si="172"/>
        <v>2211.2933853911045</v>
      </c>
      <c r="Y148" s="15">
        <f t="shared" si="172"/>
        <v>2255.5192530989266</v>
      </c>
      <c r="Z148" s="15">
        <f t="shared" si="172"/>
        <v>2300.6296381609054</v>
      </c>
      <c r="AA148" s="15"/>
      <c r="AB148" s="15"/>
      <c r="AC148" s="15"/>
      <c r="AD148" s="15"/>
      <c r="AE148" s="15"/>
      <c r="AF148" s="15"/>
      <c r="AG148" s="15"/>
      <c r="AH148" s="15"/>
      <c r="AI148" s="15"/>
      <c r="AJ148" s="15"/>
    </row>
    <row r="149" spans="1:36" x14ac:dyDescent="0.25">
      <c r="A149" t="s">
        <v>422</v>
      </c>
      <c r="H149" t="s">
        <v>493</v>
      </c>
      <c r="I149" s="65" t="s">
        <v>494</v>
      </c>
      <c r="K149" s="15"/>
      <c r="L149" s="15">
        <f t="shared" ref="L149:AJ149" si="173">L147*1000/EXR</f>
        <v>26.153846153846153</v>
      </c>
      <c r="M149" s="15">
        <f t="shared" si="173"/>
        <v>26.676923076923078</v>
      </c>
      <c r="N149" s="15">
        <f t="shared" si="173"/>
        <v>27.210461538461537</v>
      </c>
      <c r="O149" s="15">
        <f t="shared" si="173"/>
        <v>27.754670769230771</v>
      </c>
      <c r="P149" s="15">
        <f t="shared" si="173"/>
        <v>28.309764184615386</v>
      </c>
      <c r="Q149" s="15">
        <f t="shared" si="173"/>
        <v>28.875959468307691</v>
      </c>
      <c r="R149" s="15">
        <f t="shared" si="173"/>
        <v>29.453478657673848</v>
      </c>
      <c r="S149" s="15">
        <f t="shared" si="173"/>
        <v>30.042548230827315</v>
      </c>
      <c r="T149" s="15">
        <f t="shared" si="173"/>
        <v>30.643399195443866</v>
      </c>
      <c r="U149" s="15">
        <f t="shared" si="173"/>
        <v>31.256267179352747</v>
      </c>
      <c r="V149" s="15">
        <f t="shared" si="173"/>
        <v>31.881392522939798</v>
      </c>
      <c r="W149" s="15">
        <f t="shared" si="173"/>
        <v>32.519020373398597</v>
      </c>
      <c r="X149" s="15">
        <f t="shared" si="173"/>
        <v>33.169400780866567</v>
      </c>
      <c r="Y149" s="15">
        <f t="shared" si="173"/>
        <v>33.832788796483896</v>
      </c>
      <c r="Z149" s="15">
        <f t="shared" si="173"/>
        <v>34.509444572413578</v>
      </c>
      <c r="AA149" s="15"/>
      <c r="AB149" s="15"/>
      <c r="AC149" s="15"/>
      <c r="AD149" s="15"/>
      <c r="AE149" s="15"/>
      <c r="AF149" s="15"/>
      <c r="AG149" s="15"/>
      <c r="AH149" s="15"/>
      <c r="AI149" s="15"/>
      <c r="AJ149" s="15"/>
    </row>
    <row r="150" spans="1:36" x14ac:dyDescent="0.25">
      <c r="A150" t="s">
        <v>422</v>
      </c>
    </row>
    <row r="151" spans="1:36" s="16" customFormat="1" x14ac:dyDescent="0.25">
      <c r="A151" s="16" t="s">
        <v>422</v>
      </c>
      <c r="D151" s="16" t="s">
        <v>722</v>
      </c>
      <c r="H151" s="270" t="s">
        <v>497</v>
      </c>
      <c r="I151" s="271" t="str">
        <f>IF($H$9="USD","USD","tr. VND")</f>
        <v>tr. VND</v>
      </c>
      <c r="K151" s="270"/>
      <c r="L151" s="272">
        <f t="shared" ref="L151:AJ151" si="174">IF($H$9="USD",L148*L27/10^3,L146*L27/10^3)</f>
        <v>140401.29945600001</v>
      </c>
      <c r="M151" s="272">
        <f t="shared" si="174"/>
        <v>200493.05562316801</v>
      </c>
      <c r="N151" s="272">
        <f t="shared" si="174"/>
        <v>292147.02390804479</v>
      </c>
      <c r="O151" s="272">
        <f t="shared" si="174"/>
        <v>297989.96438620571</v>
      </c>
      <c r="P151" s="272">
        <f t="shared" si="174"/>
        <v>303949.76367392979</v>
      </c>
      <c r="Q151" s="272">
        <f t="shared" si="174"/>
        <v>310028.75894740841</v>
      </c>
      <c r="R151" s="272">
        <f t="shared" si="174"/>
        <v>316229.33412635658</v>
      </c>
      <c r="S151" s="272">
        <f t="shared" si="174"/>
        <v>322553.92080888367</v>
      </c>
      <c r="T151" s="272">
        <f t="shared" si="174"/>
        <v>329004.99922506133</v>
      </c>
      <c r="U151" s="272">
        <f t="shared" si="174"/>
        <v>335585.09920956258</v>
      </c>
      <c r="V151" s="272">
        <f t="shared" si="174"/>
        <v>342296.80119375384</v>
      </c>
      <c r="W151" s="272">
        <f t="shared" si="174"/>
        <v>349142.73721762892</v>
      </c>
      <c r="X151" s="272">
        <f t="shared" si="174"/>
        <v>356125.5919619815</v>
      </c>
      <c r="Y151" s="272">
        <f t="shared" si="174"/>
        <v>363248.10380122106</v>
      </c>
      <c r="Z151" s="272">
        <f t="shared" si="174"/>
        <v>370513.06587724556</v>
      </c>
      <c r="AA151" s="272"/>
      <c r="AB151" s="272"/>
      <c r="AC151" s="272"/>
      <c r="AD151" s="272"/>
      <c r="AE151" s="272"/>
      <c r="AF151" s="272"/>
      <c r="AG151" s="272"/>
      <c r="AH151" s="272"/>
      <c r="AI151" s="272"/>
      <c r="AJ151" s="272"/>
    </row>
    <row r="152" spans="1:36" x14ac:dyDescent="0.25">
      <c r="A152" t="s">
        <v>422</v>
      </c>
    </row>
    <row r="153" spans="1:36" s="1" customFormat="1" x14ac:dyDescent="0.25">
      <c r="A153" s="1" t="s">
        <v>422</v>
      </c>
      <c r="H153" s="266" t="s">
        <v>495</v>
      </c>
      <c r="I153" s="267" t="str">
        <f>IF($H$9="USD","USD","tr. VND")</f>
        <v>tr. VND</v>
      </c>
      <c r="K153" s="266"/>
      <c r="L153" s="269">
        <f>L151+L67</f>
        <v>-13232.409637160104</v>
      </c>
      <c r="M153" s="269">
        <f t="shared" ref="M153:AJ153" si="175">M151+M67</f>
        <v>10045.375782585732</v>
      </c>
      <c r="N153" s="269">
        <f t="shared" si="175"/>
        <v>40928.154296642606</v>
      </c>
      <c r="O153" s="269">
        <f t="shared" si="175"/>
        <v>41979.293318912009</v>
      </c>
      <c r="P153" s="269">
        <f t="shared" si="175"/>
        <v>43022.870573097258</v>
      </c>
      <c r="Q153" s="269">
        <f t="shared" si="175"/>
        <v>44057.977015053155</v>
      </c>
      <c r="R153" s="269">
        <f t="shared" si="175"/>
        <v>45083.694528617256</v>
      </c>
      <c r="S153" s="269">
        <f t="shared" si="175"/>
        <v>46099.099489564425</v>
      </c>
      <c r="T153" s="269">
        <f t="shared" si="175"/>
        <v>47103.266818406526</v>
      </c>
      <c r="U153" s="269">
        <f t="shared" si="175"/>
        <v>48095.274568813329</v>
      </c>
      <c r="V153" s="269">
        <f t="shared" si="175"/>
        <v>49074.209102345165</v>
      </c>
      <c r="W153" s="269">
        <f t="shared" si="175"/>
        <v>50039.170904406405</v>
      </c>
      <c r="X153" s="269">
        <f t="shared" si="175"/>
        <v>77054.263767547091</v>
      </c>
      <c r="Y153" s="269">
        <f t="shared" si="175"/>
        <v>77988.671406473673</v>
      </c>
      <c r="Z153" s="269">
        <f t="shared" si="175"/>
        <v>78906.561574417574</v>
      </c>
      <c r="AA153" s="269"/>
      <c r="AB153" s="269"/>
      <c r="AC153" s="269"/>
      <c r="AD153" s="269"/>
      <c r="AE153" s="269"/>
      <c r="AF153" s="269"/>
      <c r="AG153" s="269"/>
      <c r="AH153" s="269"/>
      <c r="AI153" s="269"/>
      <c r="AJ153" s="269"/>
    </row>
    <row r="154" spans="1:36" s="146" customFormat="1" x14ac:dyDescent="0.25">
      <c r="A154" s="146" t="s">
        <v>422</v>
      </c>
      <c r="H154" s="146" t="s">
        <v>496</v>
      </c>
      <c r="I154" s="144"/>
      <c r="L154" s="147">
        <f>IFERROR(L153/L151,0)</f>
        <v>-9.4247059595819305E-2</v>
      </c>
      <c r="M154" s="147">
        <f t="shared" ref="M154:Z154" si="176">IFERROR(M153/M151,0)</f>
        <v>5.0103360195508623E-2</v>
      </c>
      <c r="N154" s="147">
        <f t="shared" si="176"/>
        <v>0.14009437354229223</v>
      </c>
      <c r="O154" s="147">
        <f t="shared" si="176"/>
        <v>0.1408748559884565</v>
      </c>
      <c r="P154" s="147">
        <f t="shared" si="176"/>
        <v>0.14154599119626621</v>
      </c>
      <c r="Q154" s="147">
        <f t="shared" si="176"/>
        <v>0.14210932290486933</v>
      </c>
      <c r="R154" s="147">
        <f t="shared" si="176"/>
        <v>0.14256645308750215</v>
      </c>
      <c r="S154" s="147">
        <f t="shared" si="176"/>
        <v>0.14291904861661436</v>
      </c>
      <c r="T154" s="147">
        <f t="shared" si="176"/>
        <v>0.14316884828301576</v>
      </c>
      <c r="U154" s="147">
        <f t="shared" si="176"/>
        <v>0.1433176701888641</v>
      </c>
      <c r="V154" s="147">
        <f t="shared" si="176"/>
        <v>0.14336741953532653</v>
      </c>
      <c r="W154" s="147">
        <f t="shared" si="176"/>
        <v>0.14332009682680527</v>
      </c>
      <c r="X154" s="147">
        <f t="shared" si="176"/>
        <v>0.21636822937390326</v>
      </c>
      <c r="Y154" s="147">
        <f t="shared" si="176"/>
        <v>0.21469808263376683</v>
      </c>
      <c r="Z154" s="147">
        <f t="shared" si="176"/>
        <v>0.21296566529332614</v>
      </c>
      <c r="AA154" s="147"/>
      <c r="AB154" s="147"/>
      <c r="AC154" s="147"/>
      <c r="AD154" s="147"/>
      <c r="AE154" s="147"/>
      <c r="AF154" s="147"/>
      <c r="AG154" s="147"/>
      <c r="AH154" s="147"/>
      <c r="AI154" s="147"/>
      <c r="AJ154" s="147"/>
    </row>
    <row r="155" spans="1:36" x14ac:dyDescent="0.25">
      <c r="A155" t="s">
        <v>422</v>
      </c>
    </row>
    <row r="156" spans="1:36" s="16" customFormat="1" x14ac:dyDescent="0.25">
      <c r="A156" s="16" t="s">
        <v>422</v>
      </c>
      <c r="D156" s="16" t="s">
        <v>488</v>
      </c>
      <c r="H156" s="270" t="s">
        <v>488</v>
      </c>
      <c r="I156" s="271" t="str">
        <f>IF($H$9="USD","USD","tr. VND")</f>
        <v>tr. VND</v>
      </c>
      <c r="K156" s="270"/>
      <c r="L156" s="272">
        <f t="shared" ref="L156:AJ156" si="177">L153*(1-Tax_rate)</f>
        <v>-10585.927709728085</v>
      </c>
      <c r="M156" s="272">
        <f t="shared" si="177"/>
        <v>8036.3006260685861</v>
      </c>
      <c r="N156" s="272">
        <f t="shared" si="177"/>
        <v>32742.523437314085</v>
      </c>
      <c r="O156" s="272">
        <f t="shared" si="177"/>
        <v>33583.434655129611</v>
      </c>
      <c r="P156" s="272">
        <f t="shared" si="177"/>
        <v>34418.296458477809</v>
      </c>
      <c r="Q156" s="272">
        <f t="shared" si="177"/>
        <v>35246.381612042525</v>
      </c>
      <c r="R156" s="272">
        <f t="shared" si="177"/>
        <v>36066.955622893809</v>
      </c>
      <c r="S156" s="272">
        <f t="shared" si="177"/>
        <v>36879.279591651539</v>
      </c>
      <c r="T156" s="272">
        <f t="shared" si="177"/>
        <v>37682.613454725222</v>
      </c>
      <c r="U156" s="272">
        <f t="shared" si="177"/>
        <v>38476.219655050663</v>
      </c>
      <c r="V156" s="272">
        <f t="shared" si="177"/>
        <v>39259.367281876133</v>
      </c>
      <c r="W156" s="272">
        <f t="shared" si="177"/>
        <v>40031.336723525128</v>
      </c>
      <c r="X156" s="272">
        <f t="shared" si="177"/>
        <v>61643.411014037672</v>
      </c>
      <c r="Y156" s="272">
        <f t="shared" si="177"/>
        <v>62390.937125178942</v>
      </c>
      <c r="Z156" s="272">
        <f t="shared" si="177"/>
        <v>63125.249259534059</v>
      </c>
      <c r="AA156" s="272"/>
      <c r="AB156" s="272"/>
      <c r="AC156" s="272"/>
      <c r="AD156" s="272"/>
      <c r="AE156" s="272"/>
      <c r="AF156" s="272"/>
      <c r="AG156" s="272"/>
      <c r="AH156" s="272"/>
      <c r="AI156" s="272"/>
      <c r="AJ156" s="272"/>
    </row>
    <row r="157" spans="1:36" s="146" customFormat="1" x14ac:dyDescent="0.25">
      <c r="A157" s="146" t="s">
        <v>422</v>
      </c>
      <c r="H157" s="146" t="s">
        <v>489</v>
      </c>
      <c r="I157" s="144"/>
      <c r="L157" s="147">
        <f>IFERROR(L156/L151,0)</f>
        <v>-7.5397647676655452E-2</v>
      </c>
      <c r="M157" s="147">
        <f t="shared" ref="M157:Z157" si="178">IFERROR(M156/M151,0)</f>
        <v>4.00826881564069E-2</v>
      </c>
      <c r="N157" s="147">
        <f t="shared" si="178"/>
        <v>0.11207549883383379</v>
      </c>
      <c r="O157" s="147">
        <f t="shared" si="178"/>
        <v>0.1126998847907652</v>
      </c>
      <c r="P157" s="147">
        <f t="shared" si="178"/>
        <v>0.11323679295701297</v>
      </c>
      <c r="Q157" s="147">
        <f t="shared" si="178"/>
        <v>0.11368745832389546</v>
      </c>
      <c r="R157" s="147">
        <f t="shared" si="178"/>
        <v>0.11405316247000173</v>
      </c>
      <c r="S157" s="147">
        <f t="shared" si="178"/>
        <v>0.11433523889329149</v>
      </c>
      <c r="T157" s="147">
        <f t="shared" si="178"/>
        <v>0.11453507862641261</v>
      </c>
      <c r="U157" s="147">
        <f t="shared" si="178"/>
        <v>0.11465413615109128</v>
      </c>
      <c r="V157" s="147">
        <f t="shared" si="178"/>
        <v>0.11469393562826123</v>
      </c>
      <c r="W157" s="147">
        <f t="shared" si="178"/>
        <v>0.11465607746144423</v>
      </c>
      <c r="X157" s="147">
        <f t="shared" si="178"/>
        <v>0.1730945834991226</v>
      </c>
      <c r="Y157" s="147">
        <f t="shared" si="178"/>
        <v>0.17175846610701348</v>
      </c>
      <c r="Z157" s="147">
        <f t="shared" si="178"/>
        <v>0.1703725322346609</v>
      </c>
      <c r="AA157" s="147"/>
      <c r="AB157" s="147"/>
      <c r="AC157" s="147"/>
      <c r="AD157" s="147"/>
      <c r="AE157" s="147"/>
      <c r="AF157" s="147"/>
      <c r="AG157" s="147"/>
      <c r="AH157" s="147"/>
      <c r="AI157" s="147"/>
      <c r="AJ157" s="147"/>
    </row>
    <row r="158" spans="1:36" x14ac:dyDescent="0.25">
      <c r="A158" t="s">
        <v>422</v>
      </c>
    </row>
    <row r="159" spans="1:36" s="16" customFormat="1" x14ac:dyDescent="0.25">
      <c r="A159" s="16" t="s">
        <v>422</v>
      </c>
      <c r="H159" s="270" t="s">
        <v>477</v>
      </c>
      <c r="I159" s="271" t="str">
        <f>IF($H$9="USD","USD","tr. VND")</f>
        <v>tr. VND</v>
      </c>
      <c r="K159" s="272">
        <f>SUM(K161:K164)</f>
        <v>-300749.80000000005</v>
      </c>
      <c r="L159" s="272">
        <f t="shared" ref="L159:Z159" si="179">SUM(L161:L164)</f>
        <v>0</v>
      </c>
      <c r="M159" s="272">
        <f t="shared" si="179"/>
        <v>0</v>
      </c>
      <c r="N159" s="272">
        <f t="shared" si="179"/>
        <v>0</v>
      </c>
      <c r="O159" s="272">
        <f t="shared" si="179"/>
        <v>0</v>
      </c>
      <c r="P159" s="272">
        <f t="shared" si="179"/>
        <v>0</v>
      </c>
      <c r="Q159" s="272">
        <f t="shared" si="179"/>
        <v>0</v>
      </c>
      <c r="R159" s="272">
        <f t="shared" si="179"/>
        <v>0</v>
      </c>
      <c r="S159" s="272">
        <f t="shared" si="179"/>
        <v>0</v>
      </c>
      <c r="T159" s="272">
        <f t="shared" si="179"/>
        <v>0</v>
      </c>
      <c r="U159" s="272">
        <f t="shared" si="179"/>
        <v>0</v>
      </c>
      <c r="V159" s="272">
        <f t="shared" si="179"/>
        <v>0</v>
      </c>
      <c r="W159" s="272">
        <f t="shared" si="179"/>
        <v>0</v>
      </c>
      <c r="X159" s="272">
        <f t="shared" si="179"/>
        <v>0</v>
      </c>
      <c r="Y159" s="272">
        <f t="shared" si="179"/>
        <v>0</v>
      </c>
      <c r="Z159" s="272">
        <f t="shared" si="179"/>
        <v>0</v>
      </c>
      <c r="AA159" s="272"/>
      <c r="AB159" s="272"/>
      <c r="AC159" s="272"/>
      <c r="AD159" s="272"/>
      <c r="AE159" s="272"/>
      <c r="AF159" s="272"/>
      <c r="AG159" s="272"/>
      <c r="AH159" s="272"/>
      <c r="AI159" s="272"/>
      <c r="AJ159" s="272"/>
    </row>
    <row r="160" spans="1:36" x14ac:dyDescent="0.25">
      <c r="A160" t="s">
        <v>422</v>
      </c>
    </row>
    <row r="161" spans="1:36" x14ac:dyDescent="0.25">
      <c r="A161" t="s">
        <v>422</v>
      </c>
      <c r="B161" t="s">
        <v>480</v>
      </c>
      <c r="H161" s="459" t="s">
        <v>30</v>
      </c>
      <c r="I161" s="493" t="str">
        <f t="shared" ref="I161:I164" si="180">IF($H$9="USD","USD","tr. VND")</f>
        <v>tr. VND</v>
      </c>
      <c r="K161" s="461" cm="1">
        <f t="array" ref="K161">-SUMPRODUCT('W1'!$H$10:$BC$60*('W1'!$A$10:$A$60=$B161)*('W1'!$H$7:$BC$7="Giá trị đầu tư")*('W1'!$H$6:$BC$6=$A161))*$H$10</f>
        <v>-246389.00000000003</v>
      </c>
      <c r="L161" s="461"/>
      <c r="M161" s="461"/>
      <c r="N161" s="461"/>
      <c r="O161" s="461"/>
      <c r="P161" s="461"/>
      <c r="Q161" s="461"/>
      <c r="R161" s="461"/>
      <c r="S161" s="461"/>
      <c r="T161" s="461"/>
      <c r="U161" s="461"/>
      <c r="V161" s="461"/>
      <c r="W161" s="461"/>
      <c r="X161" s="461"/>
      <c r="Y161" s="461"/>
      <c r="Z161" s="461"/>
      <c r="AA161" s="461"/>
      <c r="AB161" s="461"/>
      <c r="AC161" s="461"/>
      <c r="AD161" s="461"/>
      <c r="AE161" s="461"/>
      <c r="AF161" s="461"/>
      <c r="AG161" s="461"/>
      <c r="AH161" s="461"/>
      <c r="AI161" s="461"/>
      <c r="AJ161" s="461"/>
    </row>
    <row r="162" spans="1:36" x14ac:dyDescent="0.25">
      <c r="A162" t="s">
        <v>422</v>
      </c>
      <c r="B162" t="s">
        <v>481</v>
      </c>
      <c r="H162" s="454" t="s">
        <v>32</v>
      </c>
      <c r="I162" s="496" t="str">
        <f t="shared" si="180"/>
        <v>tr. VND</v>
      </c>
      <c r="K162" s="457" cm="1">
        <f t="array" ref="K162">-SUMPRODUCT('W1'!$H$10:$BC$60*('W1'!$A$10:$A$60=$B162)*('W1'!$H$7:$BC$7="Giá trị đầu tư")*('W1'!$H$6:$BC$6=$A162))*$H$10</f>
        <v>-38110.799999999996</v>
      </c>
      <c r="L162" s="457"/>
      <c r="M162" s="457"/>
      <c r="N162" s="457"/>
      <c r="O162" s="457"/>
      <c r="P162" s="457"/>
      <c r="Q162" s="457"/>
      <c r="R162" s="457"/>
      <c r="S162" s="457"/>
      <c r="T162" s="457"/>
      <c r="U162" s="457"/>
      <c r="V162" s="457"/>
      <c r="W162" s="457"/>
      <c r="X162" s="457"/>
      <c r="Y162" s="457"/>
      <c r="Z162" s="457"/>
      <c r="AA162" s="457"/>
      <c r="AB162" s="457"/>
      <c r="AC162" s="457"/>
      <c r="AD162" s="457"/>
      <c r="AE162" s="457"/>
      <c r="AF162" s="457"/>
      <c r="AG162" s="457"/>
      <c r="AH162" s="457"/>
      <c r="AI162" s="457"/>
      <c r="AJ162" s="457"/>
    </row>
    <row r="163" spans="1:36" x14ac:dyDescent="0.25">
      <c r="A163" t="s">
        <v>422</v>
      </c>
      <c r="B163" t="s">
        <v>482</v>
      </c>
      <c r="H163" s="454" t="s">
        <v>478</v>
      </c>
      <c r="I163" s="496" t="str">
        <f t="shared" si="180"/>
        <v>tr. VND</v>
      </c>
      <c r="K163" s="457" cm="1">
        <f t="array" ref="K163">-SUMPRODUCT('W1'!$H$10:$BC$60*('W1'!$A$10:$A$60=$B163)*('W1'!$H$7:$BC$7="Giá trị đầu tư")*('W1'!$H$6:$BC$6=$A163))*$H$10</f>
        <v>0</v>
      </c>
      <c r="L163" s="457"/>
      <c r="M163" s="457"/>
      <c r="N163" s="457"/>
      <c r="O163" s="457"/>
      <c r="P163" s="457"/>
      <c r="Q163" s="457"/>
      <c r="R163" s="457"/>
      <c r="S163" s="457"/>
      <c r="T163" s="457"/>
      <c r="U163" s="457"/>
      <c r="V163" s="457"/>
      <c r="W163" s="457"/>
      <c r="X163" s="457"/>
      <c r="Y163" s="457"/>
      <c r="Z163" s="457"/>
      <c r="AA163" s="457"/>
      <c r="AB163" s="457"/>
      <c r="AC163" s="457"/>
      <c r="AD163" s="457"/>
      <c r="AE163" s="457"/>
      <c r="AF163" s="457"/>
      <c r="AG163" s="457"/>
      <c r="AH163" s="457"/>
      <c r="AI163" s="457"/>
      <c r="AJ163" s="457"/>
    </row>
    <row r="164" spans="1:36" x14ac:dyDescent="0.25">
      <c r="A164" t="s">
        <v>422</v>
      </c>
      <c r="B164" t="s">
        <v>483</v>
      </c>
      <c r="H164" s="454" t="s">
        <v>479</v>
      </c>
      <c r="I164" s="496" t="str">
        <f t="shared" si="180"/>
        <v>tr. VND</v>
      </c>
      <c r="K164" s="457" cm="1">
        <f t="array" ref="K164">-SUMPRODUCT('W1'!$H$10:$BC$60*('W1'!$A$10:$A$60=$B164)*('W1'!$H$7:$BC$7="Giá trị đầu tư")*('W1'!$H$6:$BC$6=$A164))*$H$10</f>
        <v>-16250</v>
      </c>
      <c r="L164" s="457"/>
      <c r="M164" s="457"/>
      <c r="N164" s="457"/>
      <c r="O164" s="457"/>
      <c r="P164" s="457"/>
      <c r="Q164" s="457"/>
      <c r="R164" s="457"/>
      <c r="S164" s="457"/>
      <c r="T164" s="457"/>
      <c r="U164" s="457"/>
      <c r="V164" s="457"/>
      <c r="W164" s="457"/>
      <c r="X164" s="457"/>
      <c r="Y164" s="457"/>
      <c r="Z164" s="457"/>
      <c r="AA164" s="457"/>
      <c r="AB164" s="457"/>
      <c r="AC164" s="457"/>
      <c r="AD164" s="457"/>
      <c r="AE164" s="457"/>
      <c r="AF164" s="457"/>
      <c r="AG164" s="457"/>
      <c r="AH164" s="457"/>
      <c r="AI164" s="457"/>
      <c r="AJ164" s="457"/>
    </row>
    <row r="165" spans="1:36" x14ac:dyDescent="0.25">
      <c r="A165" t="s">
        <v>422</v>
      </c>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row>
    <row r="166" spans="1:36" s="16" customFormat="1" x14ac:dyDescent="0.25">
      <c r="A166" s="16" t="s">
        <v>422</v>
      </c>
      <c r="H166" s="270" t="s">
        <v>498</v>
      </c>
      <c r="I166" s="271" t="str">
        <f>IF($H$9="USD","USD","tr. VND")</f>
        <v>tr. VND</v>
      </c>
      <c r="K166" s="272">
        <f>K159</f>
        <v>-300749.80000000005</v>
      </c>
      <c r="L166" s="272">
        <f t="shared" ref="L166:AJ166" si="181">L151+L67-(L39+L65)</f>
        <v>26566.813896173233</v>
      </c>
      <c r="M166" s="272">
        <f t="shared" si="181"/>
        <v>49258.156270343832</v>
      </c>
      <c r="N166" s="272">
        <f t="shared" si="181"/>
        <v>79513.440725635199</v>
      </c>
      <c r="O166" s="272">
        <f t="shared" si="181"/>
        <v>79893.161105025516</v>
      </c>
      <c r="P166" s="272">
        <f t="shared" si="181"/>
        <v>80218.320411330147</v>
      </c>
      <c r="Q166" s="272">
        <f t="shared" si="181"/>
        <v>80484.719649053775</v>
      </c>
      <c r="R166" s="272">
        <f t="shared" si="181"/>
        <v>80687.920454089355</v>
      </c>
      <c r="S166" s="272">
        <f t="shared" si="181"/>
        <v>80823.232536911004</v>
      </c>
      <c r="T166" s="272">
        <f t="shared" si="181"/>
        <v>80885.700486158777</v>
      </c>
      <c r="U166" s="272">
        <f t="shared" si="181"/>
        <v>80870.089900399675</v>
      </c>
      <c r="V166" s="272">
        <f t="shared" si="181"/>
        <v>80770.872814233997</v>
      </c>
      <c r="W166" s="272">
        <f t="shared" si="181"/>
        <v>80582.212383218881</v>
      </c>
      <c r="X166" s="272">
        <f t="shared" si="181"/>
        <v>81300.446123634538</v>
      </c>
      <c r="Y166" s="272">
        <f t="shared" si="181"/>
        <v>80914.071667912009</v>
      </c>
      <c r="Z166" s="272">
        <f t="shared" si="181"/>
        <v>80418.724994581353</v>
      </c>
      <c r="AA166" s="272"/>
      <c r="AB166" s="272"/>
      <c r="AC166" s="272"/>
      <c r="AD166" s="272"/>
      <c r="AE166" s="272"/>
      <c r="AF166" s="272"/>
      <c r="AG166" s="272"/>
      <c r="AH166" s="272"/>
      <c r="AI166" s="272"/>
      <c r="AJ166" s="272"/>
    </row>
    <row r="167" spans="1:36" x14ac:dyDescent="0.25">
      <c r="A167" t="s">
        <v>422</v>
      </c>
      <c r="H167" t="s">
        <v>292</v>
      </c>
      <c r="I167" s="65" t="str">
        <f t="shared" ref="I167:I174" si="182">IF($H$9="USD","USD","tr. VND")</f>
        <v>tr. VND</v>
      </c>
      <c r="L167" s="15">
        <f>-(L166+L39)*Tax_rate</f>
        <v>-300.86611256797988</v>
      </c>
      <c r="M167" s="15">
        <f t="shared" ref="M167:AJ167" si="183">-(M166+M39)*Tax_rate</f>
        <v>-4839.1345874020999</v>
      </c>
      <c r="N167" s="15">
        <f t="shared" si="183"/>
        <v>-10890.191478460372</v>
      </c>
      <c r="O167" s="15">
        <f t="shared" si="183"/>
        <v>-10966.135554338436</v>
      </c>
      <c r="P167" s="15">
        <f t="shared" si="183"/>
        <v>-11031.167415599362</v>
      </c>
      <c r="Q167" s="15">
        <f t="shared" si="183"/>
        <v>-11084.447263144088</v>
      </c>
      <c r="R167" s="15">
        <f t="shared" si="183"/>
        <v>-11125.087424151205</v>
      </c>
      <c r="S167" s="15">
        <f t="shared" si="183"/>
        <v>-11152.149840715534</v>
      </c>
      <c r="T167" s="15">
        <f t="shared" si="183"/>
        <v>-11164.643430565089</v>
      </c>
      <c r="U167" s="15">
        <f t="shared" si="183"/>
        <v>-11161.521313413268</v>
      </c>
      <c r="V167" s="15">
        <f t="shared" si="183"/>
        <v>-11141.677896180132</v>
      </c>
      <c r="W167" s="15">
        <f t="shared" si="183"/>
        <v>-11103.945809977109</v>
      </c>
      <c r="X167" s="15">
        <f t="shared" si="183"/>
        <v>-16260.089224726908</v>
      </c>
      <c r="Y167" s="15">
        <f t="shared" si="183"/>
        <v>-16182.814333582402</v>
      </c>
      <c r="Z167" s="15">
        <f t="shared" si="183"/>
        <v>-16083.744998916271</v>
      </c>
      <c r="AA167" s="15"/>
      <c r="AB167" s="15"/>
      <c r="AC167" s="15"/>
      <c r="AD167" s="15"/>
      <c r="AE167" s="15"/>
      <c r="AF167" s="15"/>
      <c r="AG167" s="15"/>
      <c r="AH167" s="15"/>
      <c r="AI167" s="15"/>
      <c r="AJ167" s="15"/>
    </row>
    <row r="168" spans="1:36" s="16" customFormat="1" x14ac:dyDescent="0.25">
      <c r="A168" s="16" t="s">
        <v>422</v>
      </c>
      <c r="H168" s="270" t="s">
        <v>499</v>
      </c>
      <c r="I168" s="271" t="str">
        <f t="shared" si="182"/>
        <v>tr. VND</v>
      </c>
      <c r="K168" s="272">
        <f>K166+K167</f>
        <v>-300749.80000000005</v>
      </c>
      <c r="L168" s="272">
        <f t="shared" ref="L168:Z168" si="184">L166+L167</f>
        <v>26265.947783605254</v>
      </c>
      <c r="M168" s="272">
        <f t="shared" si="184"/>
        <v>44419.021682941733</v>
      </c>
      <c r="N168" s="272">
        <f t="shared" si="184"/>
        <v>68623.249247174826</v>
      </c>
      <c r="O168" s="272">
        <f t="shared" si="184"/>
        <v>68927.025550687074</v>
      </c>
      <c r="P168" s="272">
        <f t="shared" si="184"/>
        <v>69187.152995730779</v>
      </c>
      <c r="Q168" s="272">
        <f t="shared" si="184"/>
        <v>69400.272385909688</v>
      </c>
      <c r="R168" s="272">
        <f t="shared" si="184"/>
        <v>69562.833029938149</v>
      </c>
      <c r="S168" s="272">
        <f t="shared" si="184"/>
        <v>69671.082696195474</v>
      </c>
      <c r="T168" s="272">
        <f t="shared" si="184"/>
        <v>69721.057055593687</v>
      </c>
      <c r="U168" s="272">
        <f t="shared" si="184"/>
        <v>69708.56858698641</v>
      </c>
      <c r="V168" s="272">
        <f t="shared" si="184"/>
        <v>69629.194918053865</v>
      </c>
      <c r="W168" s="272">
        <f t="shared" si="184"/>
        <v>69478.266573241766</v>
      </c>
      <c r="X168" s="272">
        <f t="shared" si="184"/>
        <v>65040.35689890763</v>
      </c>
      <c r="Y168" s="272">
        <f t="shared" si="184"/>
        <v>64731.25733432961</v>
      </c>
      <c r="Z168" s="272">
        <f t="shared" si="184"/>
        <v>64334.979995665082</v>
      </c>
      <c r="AA168" s="272"/>
      <c r="AB168" s="272"/>
      <c r="AC168" s="272"/>
      <c r="AD168" s="272"/>
      <c r="AE168" s="272"/>
      <c r="AF168" s="272"/>
      <c r="AG168" s="272"/>
      <c r="AH168" s="272"/>
      <c r="AI168" s="272"/>
      <c r="AJ168" s="272"/>
    </row>
    <row r="169" spans="1:36" x14ac:dyDescent="0.25">
      <c r="A169" t="s">
        <v>422</v>
      </c>
      <c r="H169" t="s">
        <v>500</v>
      </c>
      <c r="K169" s="95">
        <f>INDEX('Cover Page'!$H$23:$AJ$23,MATCH($A169,'Cover Page'!$H$5:$AJ$5,0))</f>
        <v>7.2660000000000016E-2</v>
      </c>
    </row>
    <row r="170" spans="1:36" s="16" customFormat="1" x14ac:dyDescent="0.25">
      <c r="A170" s="16" t="s">
        <v>422</v>
      </c>
      <c r="D170" s="16" t="s">
        <v>515</v>
      </c>
      <c r="H170" s="270" t="s">
        <v>501</v>
      </c>
      <c r="I170" s="271" t="str">
        <f t="shared" si="182"/>
        <v>tr. VND</v>
      </c>
      <c r="K170" s="272">
        <f>K168/POWER(1+$K169,K$14)</f>
        <v>-300749.80000000005</v>
      </c>
      <c r="L170" s="272">
        <f t="shared" ref="L170:AJ170" si="185">L168/POWER(1+$K169,L$14)</f>
        <v>24486.741170179979</v>
      </c>
      <c r="M170" s="272">
        <f t="shared" si="185"/>
        <v>38605.11205237484</v>
      </c>
      <c r="N170" s="272">
        <f t="shared" si="185"/>
        <v>55601.309497709794</v>
      </c>
      <c r="O170" s="272">
        <f t="shared" si="185"/>
        <v>52064.439100370939</v>
      </c>
      <c r="P170" s="272">
        <f t="shared" si="185"/>
        <v>48720.869534269332</v>
      </c>
      <c r="Q170" s="272">
        <f t="shared" si="185"/>
        <v>45560.518691746496</v>
      </c>
      <c r="R170" s="272">
        <f t="shared" si="185"/>
        <v>42573.823927480815</v>
      </c>
      <c r="S170" s="272">
        <f t="shared" si="185"/>
        <v>39751.715226932414</v>
      </c>
      <c r="T170" s="272">
        <f t="shared" si="185"/>
        <v>37085.589775120701</v>
      </c>
      <c r="U170" s="272">
        <f t="shared" si="185"/>
        <v>34567.287851507019</v>
      </c>
      <c r="V170" s="272">
        <f t="shared" si="185"/>
        <v>32189.069980766984</v>
      </c>
      <c r="W170" s="272">
        <f t="shared" si="185"/>
        <v>29943.595273027306</v>
      </c>
      <c r="X170" s="272">
        <f t="shared" si="185"/>
        <v>26132.189527479506</v>
      </c>
      <c r="Y170" s="272">
        <f t="shared" si="185"/>
        <v>24246.264611177816</v>
      </c>
      <c r="Z170" s="272">
        <f t="shared" si="185"/>
        <v>22465.489305138799</v>
      </c>
      <c r="AA170" s="272"/>
      <c r="AB170" s="272"/>
      <c r="AC170" s="272"/>
      <c r="AD170" s="272"/>
      <c r="AE170" s="272"/>
      <c r="AF170" s="272"/>
      <c r="AG170" s="272"/>
      <c r="AH170" s="272"/>
      <c r="AI170" s="272"/>
      <c r="AJ170" s="272"/>
    </row>
    <row r="171" spans="1:36" x14ac:dyDescent="0.25">
      <c r="A171" t="s">
        <v>422</v>
      </c>
      <c r="H171" t="s">
        <v>503</v>
      </c>
      <c r="I171" s="65" t="str">
        <f t="shared" si="182"/>
        <v>tr. VND</v>
      </c>
      <c r="K171" s="15">
        <f>SUM($K170:K170)</f>
        <v>-300749.80000000005</v>
      </c>
      <c r="L171" s="15">
        <f>SUM($K170:L170)</f>
        <v>-276263.05882982007</v>
      </c>
      <c r="M171" s="15">
        <f>SUM($K170:M170)</f>
        <v>-237657.94677744524</v>
      </c>
      <c r="N171" s="15">
        <f>SUM($K170:N170)</f>
        <v>-182056.63727973544</v>
      </c>
      <c r="O171" s="15">
        <f>SUM($K170:O170)</f>
        <v>-129992.1981793645</v>
      </c>
      <c r="P171" s="15">
        <f>SUM($K170:P170)</f>
        <v>-81271.328645095171</v>
      </c>
      <c r="Q171" s="15">
        <f>SUM($K170:Q170)</f>
        <v>-35710.809953348675</v>
      </c>
      <c r="R171" s="15">
        <f>SUM($K170:R170)</f>
        <v>6863.01397413214</v>
      </c>
      <c r="S171" s="15">
        <f>SUM($K170:S170)</f>
        <v>46614.729201064554</v>
      </c>
      <c r="T171" s="15">
        <f>SUM($K170:T170)</f>
        <v>83700.318976185255</v>
      </c>
      <c r="U171" s="15">
        <f>SUM($K170:U170)</f>
        <v>118267.60682769227</v>
      </c>
      <c r="V171" s="15">
        <f>SUM($K170:V170)</f>
        <v>150456.67680845925</v>
      </c>
      <c r="W171" s="15">
        <f>SUM($K170:W170)</f>
        <v>180400.27208148656</v>
      </c>
      <c r="X171" s="15">
        <f>SUM($K170:X170)</f>
        <v>206532.46160896606</v>
      </c>
      <c r="Y171" s="15">
        <f>SUM($K170:Y170)</f>
        <v>230778.72622014387</v>
      </c>
      <c r="Z171" s="15">
        <f>SUM($K170:Z170)</f>
        <v>253244.21552528266</v>
      </c>
      <c r="AA171" s="15"/>
      <c r="AB171" s="15"/>
      <c r="AC171" s="15"/>
      <c r="AD171" s="15"/>
      <c r="AE171" s="15"/>
      <c r="AF171" s="15"/>
      <c r="AG171" s="15"/>
      <c r="AH171" s="15"/>
      <c r="AI171" s="15"/>
      <c r="AJ171" s="15"/>
    </row>
    <row r="172" spans="1:36" x14ac:dyDescent="0.25">
      <c r="A172" t="s">
        <v>422</v>
      </c>
    </row>
    <row r="173" spans="1:36" ht="15.75" thickBot="1" x14ac:dyDescent="0.3">
      <c r="A173" t="s">
        <v>422</v>
      </c>
    </row>
    <row r="174" spans="1:36" x14ac:dyDescent="0.25">
      <c r="A174" t="s">
        <v>422</v>
      </c>
      <c r="D174" t="s">
        <v>544</v>
      </c>
      <c r="H174" s="96" t="s">
        <v>401</v>
      </c>
      <c r="I174" s="310" t="str">
        <f t="shared" si="182"/>
        <v>tr. VND</v>
      </c>
      <c r="J174" s="311"/>
      <c r="K174" s="97">
        <f>SUM(K170:AJ170)</f>
        <v>253244.21552528266</v>
      </c>
      <c r="L174" s="263"/>
      <c r="M174" s="70"/>
      <c r="N174" s="70"/>
    </row>
    <row r="175" spans="1:36" x14ac:dyDescent="0.25">
      <c r="A175" t="s">
        <v>422</v>
      </c>
      <c r="D175" t="s">
        <v>516</v>
      </c>
      <c r="H175" s="212" t="s">
        <v>402</v>
      </c>
      <c r="I175" s="255"/>
      <c r="J175" s="48"/>
      <c r="K175" s="314">
        <f>IFERROR(IRR(K168:AJ168),0)</f>
        <v>0.17745920185994968</v>
      </c>
    </row>
    <row r="176" spans="1:36" ht="15.75" thickBot="1" x14ac:dyDescent="0.3">
      <c r="A176" t="s">
        <v>422</v>
      </c>
      <c r="D176" t="s">
        <v>517</v>
      </c>
      <c r="H176" s="98" t="s">
        <v>403</v>
      </c>
      <c r="I176" s="312" t="s">
        <v>290</v>
      </c>
      <c r="J176" s="313"/>
      <c r="K176" s="315" cm="1">
        <f t="array" ref="K176">ROUNDUP(IF(K174&lt;0,0,INDEX(K$14:AJ$14,,MATCH(_xlfn.MINIFS(K171:AJ171,K171:AJ171,"&gt;"&amp;0),K171:AJ171))-1-INDEX(K171:AJ171,,MATCH(_xlfn.MINIFS(K171:AJ171,K171:AJ171,"&gt;"&amp;0),K171:AJ171)-1)/INDEX(K170:AJ170,,MATCH(_xlfn.MINIFS(K171:AJ171,K171:AJ171,"&gt;"&amp;0),K171:AJ171))),1)</f>
        <v>6.8999999999999995</v>
      </c>
    </row>
    <row r="177" spans="1:36" x14ac:dyDescent="0.25">
      <c r="A177" t="s">
        <v>422</v>
      </c>
      <c r="H177" s="316" t="str">
        <f>INT(K176)&amp;" năm"&amp;IF(MOD(K176,1)*12=0,," "&amp;TEXT(MOD(K176,1)*12,"00")&amp;" tháng")</f>
        <v>6 năm 11 tháng</v>
      </c>
    </row>
    <row r="178" spans="1:36" x14ac:dyDescent="0.25">
      <c r="A178" t="s">
        <v>422</v>
      </c>
    </row>
    <row r="179" spans="1:36" x14ac:dyDescent="0.25">
      <c r="A179" t="s">
        <v>422</v>
      </c>
    </row>
    <row r="180" spans="1:36" s="304" customFormat="1" x14ac:dyDescent="0.25">
      <c r="I180" s="305"/>
    </row>
    <row r="181" spans="1:36" s="631" customFormat="1" ht="19.5" x14ac:dyDescent="0.3">
      <c r="A181" s="631" t="s">
        <v>423</v>
      </c>
      <c r="H181" s="632" t="s">
        <v>423</v>
      </c>
      <c r="K181" s="633"/>
      <c r="L181" s="633"/>
      <c r="M181" s="633"/>
      <c r="N181" s="633"/>
      <c r="O181" s="633"/>
      <c r="P181" s="633"/>
      <c r="Q181" s="633"/>
      <c r="R181" s="633"/>
      <c r="S181" s="633"/>
      <c r="T181" s="633"/>
      <c r="U181" s="633"/>
      <c r="V181" s="633"/>
      <c r="W181" s="633"/>
      <c r="X181" s="633"/>
      <c r="Y181" s="633"/>
      <c r="Z181" s="633"/>
      <c r="AA181" s="633"/>
      <c r="AB181" s="633"/>
      <c r="AC181" s="633"/>
      <c r="AD181" s="633"/>
      <c r="AE181" s="633"/>
      <c r="AF181" s="633"/>
      <c r="AG181" s="633"/>
      <c r="AH181" s="633"/>
      <c r="AI181" s="633"/>
      <c r="AJ181" s="633"/>
    </row>
    <row r="182" spans="1:36" x14ac:dyDescent="0.25">
      <c r="A182" t="s">
        <v>423</v>
      </c>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row>
    <row r="183" spans="1:36" s="24" customFormat="1" ht="17.25" x14ac:dyDescent="0.3">
      <c r="A183" s="24" t="s">
        <v>423</v>
      </c>
      <c r="H183" s="24" t="s">
        <v>669</v>
      </c>
      <c r="K183" s="634"/>
      <c r="L183" s="634"/>
      <c r="M183" s="634"/>
      <c r="N183" s="634"/>
      <c r="O183" s="634"/>
      <c r="P183" s="634"/>
      <c r="Q183" s="634"/>
      <c r="R183" s="634"/>
      <c r="S183" s="634"/>
      <c r="T183" s="634"/>
      <c r="U183" s="634"/>
      <c r="V183" s="634"/>
      <c r="W183" s="634"/>
      <c r="X183" s="634"/>
      <c r="Y183" s="634"/>
      <c r="Z183" s="634"/>
      <c r="AA183" s="634"/>
      <c r="AB183" s="634"/>
      <c r="AC183" s="634"/>
      <c r="AD183" s="634"/>
      <c r="AE183" s="634"/>
      <c r="AF183" s="634"/>
      <c r="AG183" s="634"/>
      <c r="AH183" s="634"/>
      <c r="AI183" s="634"/>
      <c r="AJ183" s="634"/>
    </row>
    <row r="184" spans="1:36" x14ac:dyDescent="0.25">
      <c r="A184" t="s">
        <v>423</v>
      </c>
      <c r="H184" s="459" t="s">
        <v>427</v>
      </c>
      <c r="I184" s="493" t="s">
        <v>436</v>
      </c>
      <c r="K184" s="548"/>
      <c r="L184" s="548">
        <f t="shared" ref="L184:AA185" si="186">Capacity*24*365</f>
        <v>7568640</v>
      </c>
      <c r="M184" s="548">
        <f t="shared" si="186"/>
        <v>7568640</v>
      </c>
      <c r="N184" s="548">
        <f t="shared" si="186"/>
        <v>7568640</v>
      </c>
      <c r="O184" s="548">
        <f t="shared" si="186"/>
        <v>7568640</v>
      </c>
      <c r="P184" s="548">
        <f t="shared" si="186"/>
        <v>7568640</v>
      </c>
      <c r="Q184" s="548">
        <f t="shared" si="186"/>
        <v>7568640</v>
      </c>
      <c r="R184" s="548">
        <f t="shared" si="186"/>
        <v>7568640</v>
      </c>
      <c r="S184" s="548">
        <f t="shared" si="186"/>
        <v>7568640</v>
      </c>
      <c r="T184" s="548">
        <f t="shared" si="186"/>
        <v>7568640</v>
      </c>
      <c r="U184" s="548">
        <f t="shared" si="186"/>
        <v>7568640</v>
      </c>
      <c r="V184" s="548">
        <f t="shared" si="186"/>
        <v>7568640</v>
      </c>
      <c r="W184" s="548">
        <f t="shared" si="186"/>
        <v>7568640</v>
      </c>
      <c r="X184" s="548">
        <f t="shared" si="186"/>
        <v>7568640</v>
      </c>
      <c r="Y184" s="548">
        <f t="shared" si="186"/>
        <v>7568640</v>
      </c>
      <c r="Z184" s="548">
        <f t="shared" si="186"/>
        <v>7568640</v>
      </c>
      <c r="AA184" s="548"/>
      <c r="AB184" s="548"/>
      <c r="AC184" s="548"/>
      <c r="AD184" s="548"/>
      <c r="AE184" s="548"/>
      <c r="AF184" s="548"/>
      <c r="AG184" s="548"/>
      <c r="AH184" s="548"/>
      <c r="AI184" s="548"/>
      <c r="AJ184" s="548"/>
    </row>
    <row r="185" spans="1:36" x14ac:dyDescent="0.25">
      <c r="A185" t="s">
        <v>423</v>
      </c>
      <c r="H185" s="454" t="s">
        <v>427</v>
      </c>
      <c r="I185" s="496" t="s">
        <v>320</v>
      </c>
      <c r="K185" s="549"/>
      <c r="L185" s="549">
        <f t="shared" si="186"/>
        <v>7568640</v>
      </c>
      <c r="M185" s="549">
        <f t="shared" si="186"/>
        <v>7568640</v>
      </c>
      <c r="N185" s="549">
        <f t="shared" si="186"/>
        <v>7568640</v>
      </c>
      <c r="O185" s="549">
        <f t="shared" si="186"/>
        <v>7568640</v>
      </c>
      <c r="P185" s="549">
        <f t="shared" si="186"/>
        <v>7568640</v>
      </c>
      <c r="Q185" s="549">
        <f t="shared" si="186"/>
        <v>7568640</v>
      </c>
      <c r="R185" s="549">
        <f t="shared" si="186"/>
        <v>7568640</v>
      </c>
      <c r="S185" s="549">
        <f t="shared" si="186"/>
        <v>7568640</v>
      </c>
      <c r="T185" s="549">
        <f t="shared" si="186"/>
        <v>7568640</v>
      </c>
      <c r="U185" s="549">
        <f t="shared" si="186"/>
        <v>7568640</v>
      </c>
      <c r="V185" s="549">
        <f t="shared" si="186"/>
        <v>7568640</v>
      </c>
      <c r="W185" s="549">
        <f t="shared" si="186"/>
        <v>7568640</v>
      </c>
      <c r="X185" s="549">
        <f t="shared" si="186"/>
        <v>7568640</v>
      </c>
      <c r="Y185" s="549">
        <f t="shared" si="186"/>
        <v>7568640</v>
      </c>
      <c r="Z185" s="549">
        <f t="shared" si="186"/>
        <v>7568640</v>
      </c>
      <c r="AA185" s="549"/>
      <c r="AB185" s="549"/>
      <c r="AC185" s="549"/>
      <c r="AD185" s="549"/>
      <c r="AE185" s="549"/>
      <c r="AF185" s="549"/>
      <c r="AG185" s="549"/>
      <c r="AH185" s="549"/>
      <c r="AI185" s="549"/>
      <c r="AJ185" s="549"/>
    </row>
    <row r="186" spans="1:36" s="250" customFormat="1" x14ac:dyDescent="0.25">
      <c r="A186" s="250" t="s">
        <v>423</v>
      </c>
      <c r="H186" s="536" t="s">
        <v>460</v>
      </c>
      <c r="I186" s="547"/>
      <c r="K186" s="550"/>
      <c r="L186" s="551">
        <v>0.88</v>
      </c>
      <c r="M186" s="551">
        <v>0.88</v>
      </c>
      <c r="N186" s="551">
        <v>0.88</v>
      </c>
      <c r="O186" s="551">
        <v>0.88</v>
      </c>
      <c r="P186" s="551">
        <v>0.88</v>
      </c>
      <c r="Q186" s="551">
        <v>0.88</v>
      </c>
      <c r="R186" s="551">
        <v>0.88</v>
      </c>
      <c r="S186" s="551">
        <v>0.88</v>
      </c>
      <c r="T186" s="551">
        <v>0.88</v>
      </c>
      <c r="U186" s="551">
        <v>0.88</v>
      </c>
      <c r="V186" s="551">
        <v>0.88</v>
      </c>
      <c r="W186" s="551">
        <v>0.88</v>
      </c>
      <c r="X186" s="551">
        <v>0.88</v>
      </c>
      <c r="Y186" s="551">
        <v>0.88</v>
      </c>
      <c r="Z186" s="551">
        <v>0.88</v>
      </c>
      <c r="AA186" s="551"/>
      <c r="AB186" s="551"/>
      <c r="AC186" s="551"/>
      <c r="AD186" s="551"/>
      <c r="AE186" s="551"/>
      <c r="AF186" s="551"/>
      <c r="AG186" s="551"/>
      <c r="AH186" s="551"/>
      <c r="AI186" s="551"/>
      <c r="AJ186" s="551"/>
    </row>
    <row r="187" spans="1:36" s="250" customFormat="1" x14ac:dyDescent="0.25">
      <c r="A187" s="250" t="s">
        <v>423</v>
      </c>
      <c r="H187" s="536" t="s">
        <v>461</v>
      </c>
      <c r="I187" s="547"/>
      <c r="K187" s="550"/>
      <c r="L187" s="551">
        <v>0.5</v>
      </c>
      <c r="M187" s="551">
        <v>0.7</v>
      </c>
      <c r="N187" s="551">
        <v>1</v>
      </c>
      <c r="O187" s="551">
        <v>1</v>
      </c>
      <c r="P187" s="551">
        <v>1</v>
      </c>
      <c r="Q187" s="551">
        <v>1</v>
      </c>
      <c r="R187" s="551">
        <v>1</v>
      </c>
      <c r="S187" s="551">
        <v>1</v>
      </c>
      <c r="T187" s="551">
        <v>1</v>
      </c>
      <c r="U187" s="551">
        <v>1</v>
      </c>
      <c r="V187" s="551">
        <v>1</v>
      </c>
      <c r="W187" s="551">
        <v>1</v>
      </c>
      <c r="X187" s="551">
        <v>1</v>
      </c>
      <c r="Y187" s="551">
        <v>1</v>
      </c>
      <c r="Z187" s="551">
        <v>1</v>
      </c>
      <c r="AA187" s="551"/>
      <c r="AB187" s="551"/>
      <c r="AC187" s="551"/>
      <c r="AD187" s="551"/>
      <c r="AE187" s="551"/>
      <c r="AF187" s="551"/>
      <c r="AG187" s="551"/>
      <c r="AH187" s="551"/>
      <c r="AI187" s="551"/>
      <c r="AJ187" s="551"/>
    </row>
    <row r="188" spans="1:36" x14ac:dyDescent="0.25">
      <c r="A188" t="s">
        <v>423</v>
      </c>
      <c r="B188" t="s">
        <v>437</v>
      </c>
      <c r="H188" s="454" t="s">
        <v>70</v>
      </c>
      <c r="I188" s="496"/>
      <c r="K188" s="549"/>
      <c r="L188" s="552" cm="1">
        <f t="array" ref="L188">SUMPRODUCT('W2'!$M$12:$V$112*('W2'!$M$7:$V$7=$A188)*('W2'!$A$12:$A$112=$B188))</f>
        <v>7.0000000000000007E-2</v>
      </c>
      <c r="M188" s="552">
        <f>L188</f>
        <v>7.0000000000000007E-2</v>
      </c>
      <c r="N188" s="552">
        <f t="shared" ref="N188" si="187">M188</f>
        <v>7.0000000000000007E-2</v>
      </c>
      <c r="O188" s="552">
        <f t="shared" ref="O188" si="188">N188</f>
        <v>7.0000000000000007E-2</v>
      </c>
      <c r="P188" s="552">
        <f t="shared" ref="P188" si="189">O188</f>
        <v>7.0000000000000007E-2</v>
      </c>
      <c r="Q188" s="552">
        <f t="shared" ref="Q188" si="190">P188</f>
        <v>7.0000000000000007E-2</v>
      </c>
      <c r="R188" s="552">
        <f t="shared" ref="R188" si="191">Q188</f>
        <v>7.0000000000000007E-2</v>
      </c>
      <c r="S188" s="552">
        <f t="shared" ref="S188" si="192">R188</f>
        <v>7.0000000000000007E-2</v>
      </c>
      <c r="T188" s="552">
        <f t="shared" ref="T188" si="193">S188</f>
        <v>7.0000000000000007E-2</v>
      </c>
      <c r="U188" s="552">
        <f t="shared" ref="U188" si="194">T188</f>
        <v>7.0000000000000007E-2</v>
      </c>
      <c r="V188" s="552">
        <f t="shared" ref="V188" si="195">U188</f>
        <v>7.0000000000000007E-2</v>
      </c>
      <c r="W188" s="552">
        <f t="shared" ref="W188" si="196">V188</f>
        <v>7.0000000000000007E-2</v>
      </c>
      <c r="X188" s="552">
        <f t="shared" ref="X188" si="197">W188</f>
        <v>7.0000000000000007E-2</v>
      </c>
      <c r="Y188" s="552">
        <f t="shared" ref="Y188" si="198">X188</f>
        <v>7.0000000000000007E-2</v>
      </c>
      <c r="Z188" s="552">
        <f t="shared" ref="Z188" si="199">Y188</f>
        <v>7.0000000000000007E-2</v>
      </c>
      <c r="AA188" s="552"/>
      <c r="AB188" s="552"/>
      <c r="AC188" s="552"/>
      <c r="AD188" s="552"/>
      <c r="AE188" s="552"/>
      <c r="AF188" s="552"/>
      <c r="AG188" s="552"/>
      <c r="AH188" s="552"/>
      <c r="AI188" s="552"/>
      <c r="AJ188" s="552"/>
    </row>
    <row r="189" spans="1:36" x14ac:dyDescent="0.25">
      <c r="A189" t="s">
        <v>423</v>
      </c>
      <c r="H189" s="454" t="s">
        <v>59</v>
      </c>
      <c r="I189" s="496"/>
      <c r="K189" s="549"/>
      <c r="L189" s="549">
        <f>365*L186*L187</f>
        <v>160.6</v>
      </c>
      <c r="M189" s="549">
        <f t="shared" ref="M189:AJ189" si="200">365*M186*M187</f>
        <v>224.83999999999997</v>
      </c>
      <c r="N189" s="549">
        <f t="shared" si="200"/>
        <v>321.2</v>
      </c>
      <c r="O189" s="549">
        <f t="shared" si="200"/>
        <v>321.2</v>
      </c>
      <c r="P189" s="549">
        <f t="shared" si="200"/>
        <v>321.2</v>
      </c>
      <c r="Q189" s="549">
        <f t="shared" si="200"/>
        <v>321.2</v>
      </c>
      <c r="R189" s="549">
        <f t="shared" si="200"/>
        <v>321.2</v>
      </c>
      <c r="S189" s="549">
        <f t="shared" si="200"/>
        <v>321.2</v>
      </c>
      <c r="T189" s="549">
        <f t="shared" si="200"/>
        <v>321.2</v>
      </c>
      <c r="U189" s="549">
        <f t="shared" si="200"/>
        <v>321.2</v>
      </c>
      <c r="V189" s="549">
        <f t="shared" si="200"/>
        <v>321.2</v>
      </c>
      <c r="W189" s="549">
        <f t="shared" si="200"/>
        <v>321.2</v>
      </c>
      <c r="X189" s="549">
        <f t="shared" si="200"/>
        <v>321.2</v>
      </c>
      <c r="Y189" s="549">
        <f t="shared" si="200"/>
        <v>321.2</v>
      </c>
      <c r="Z189" s="549">
        <f t="shared" si="200"/>
        <v>321.2</v>
      </c>
      <c r="AA189" s="549"/>
      <c r="AB189" s="549"/>
      <c r="AC189" s="549"/>
      <c r="AD189" s="549"/>
      <c r="AE189" s="549"/>
      <c r="AF189" s="549"/>
      <c r="AG189" s="549"/>
      <c r="AH189" s="549"/>
      <c r="AI189" s="549"/>
      <c r="AJ189" s="549"/>
    </row>
    <row r="190" spans="1:36" x14ac:dyDescent="0.25">
      <c r="A190" t="s">
        <v>423</v>
      </c>
      <c r="C190" t="s">
        <v>574</v>
      </c>
      <c r="H190" s="454" t="s">
        <v>202</v>
      </c>
      <c r="I190" s="496" t="s">
        <v>436</v>
      </c>
      <c r="K190" s="549"/>
      <c r="L190" s="549">
        <f>L184*L186*(1-L188)*L187</f>
        <v>3097087.4879999999</v>
      </c>
      <c r="M190" s="549">
        <f t="shared" ref="M190:AJ190" si="201">M184*M186*(1-M188)*M187</f>
        <v>4335922.4831999997</v>
      </c>
      <c r="N190" s="549">
        <f t="shared" si="201"/>
        <v>6194174.9759999998</v>
      </c>
      <c r="O190" s="549">
        <f t="shared" si="201"/>
        <v>6194174.9759999998</v>
      </c>
      <c r="P190" s="549">
        <f t="shared" si="201"/>
        <v>6194174.9759999998</v>
      </c>
      <c r="Q190" s="549">
        <f t="shared" si="201"/>
        <v>6194174.9759999998</v>
      </c>
      <c r="R190" s="549">
        <f t="shared" si="201"/>
        <v>6194174.9759999998</v>
      </c>
      <c r="S190" s="549">
        <f t="shared" si="201"/>
        <v>6194174.9759999998</v>
      </c>
      <c r="T190" s="549">
        <f t="shared" si="201"/>
        <v>6194174.9759999998</v>
      </c>
      <c r="U190" s="549">
        <f t="shared" si="201"/>
        <v>6194174.9759999998</v>
      </c>
      <c r="V190" s="549">
        <f t="shared" si="201"/>
        <v>6194174.9759999998</v>
      </c>
      <c r="W190" s="549">
        <f t="shared" si="201"/>
        <v>6194174.9759999998</v>
      </c>
      <c r="X190" s="549">
        <f t="shared" si="201"/>
        <v>6194174.9759999998</v>
      </c>
      <c r="Y190" s="549">
        <f t="shared" si="201"/>
        <v>6194174.9759999998</v>
      </c>
      <c r="Z190" s="549">
        <f t="shared" si="201"/>
        <v>6194174.9759999998</v>
      </c>
      <c r="AA190" s="549"/>
      <c r="AB190" s="549"/>
      <c r="AC190" s="549"/>
      <c r="AD190" s="549"/>
      <c r="AE190" s="549"/>
      <c r="AF190" s="549"/>
      <c r="AG190" s="549"/>
      <c r="AH190" s="549"/>
      <c r="AI190" s="549"/>
      <c r="AJ190" s="549"/>
    </row>
    <row r="191" spans="1:36" x14ac:dyDescent="0.25">
      <c r="A191" t="s">
        <v>423</v>
      </c>
      <c r="C191" t="s">
        <v>575</v>
      </c>
      <c r="H191" s="454" t="s">
        <v>202</v>
      </c>
      <c r="I191" s="496" t="s">
        <v>320</v>
      </c>
      <c r="K191" s="549"/>
      <c r="L191" s="549">
        <f t="shared" ref="L191:AJ191" si="202">L190*PHOI_KG</f>
        <v>206472499.20000002</v>
      </c>
      <c r="M191" s="549">
        <f t="shared" si="202"/>
        <v>289061498.88</v>
      </c>
      <c r="N191" s="549">
        <f t="shared" si="202"/>
        <v>412944998.40000004</v>
      </c>
      <c r="O191" s="549">
        <f t="shared" si="202"/>
        <v>412944998.40000004</v>
      </c>
      <c r="P191" s="549">
        <f t="shared" si="202"/>
        <v>412944998.40000004</v>
      </c>
      <c r="Q191" s="549">
        <f t="shared" si="202"/>
        <v>412944998.40000004</v>
      </c>
      <c r="R191" s="549">
        <f t="shared" si="202"/>
        <v>412944998.40000004</v>
      </c>
      <c r="S191" s="549">
        <f t="shared" si="202"/>
        <v>412944998.40000004</v>
      </c>
      <c r="T191" s="549">
        <f t="shared" si="202"/>
        <v>412944998.40000004</v>
      </c>
      <c r="U191" s="549">
        <f t="shared" si="202"/>
        <v>412944998.40000004</v>
      </c>
      <c r="V191" s="549">
        <f t="shared" si="202"/>
        <v>412944998.40000004</v>
      </c>
      <c r="W191" s="549">
        <f t="shared" si="202"/>
        <v>412944998.40000004</v>
      </c>
      <c r="X191" s="549">
        <f t="shared" si="202"/>
        <v>412944998.40000004</v>
      </c>
      <c r="Y191" s="549">
        <f t="shared" si="202"/>
        <v>412944998.40000004</v>
      </c>
      <c r="Z191" s="549">
        <f t="shared" si="202"/>
        <v>412944998.40000004</v>
      </c>
      <c r="AA191" s="549"/>
      <c r="AB191" s="549"/>
      <c r="AC191" s="549"/>
      <c r="AD191" s="549"/>
      <c r="AE191" s="549"/>
      <c r="AF191" s="549"/>
      <c r="AG191" s="549"/>
      <c r="AH191" s="549"/>
      <c r="AI191" s="549"/>
      <c r="AJ191" s="549"/>
    </row>
    <row r="192" spans="1:36" x14ac:dyDescent="0.25">
      <c r="A192" t="s">
        <v>423</v>
      </c>
      <c r="K192" s="243"/>
      <c r="L192" s="243"/>
      <c r="M192" s="243"/>
      <c r="N192" s="243"/>
      <c r="O192" s="243"/>
      <c r="P192" s="243"/>
      <c r="Q192" s="243"/>
      <c r="R192" s="243"/>
      <c r="S192" s="243"/>
      <c r="T192" s="243"/>
      <c r="U192" s="243"/>
      <c r="V192" s="243"/>
      <c r="W192" s="243"/>
      <c r="X192" s="243"/>
      <c r="Y192" s="243"/>
      <c r="Z192" s="243"/>
      <c r="AA192" s="243"/>
      <c r="AB192" s="243"/>
      <c r="AC192" s="243"/>
      <c r="AD192" s="243"/>
      <c r="AE192" s="243"/>
      <c r="AF192" s="243"/>
      <c r="AG192" s="243"/>
      <c r="AH192" s="243"/>
      <c r="AI192" s="243"/>
      <c r="AJ192" s="243"/>
    </row>
    <row r="193" spans="1:36" s="24" customFormat="1" ht="17.25" x14ac:dyDescent="0.3">
      <c r="A193" s="24" t="s">
        <v>423</v>
      </c>
      <c r="H193" s="24" t="s">
        <v>670</v>
      </c>
      <c r="K193" s="635"/>
      <c r="L193" s="635"/>
      <c r="M193" s="635"/>
      <c r="N193" s="635"/>
      <c r="O193" s="635"/>
      <c r="P193" s="635"/>
      <c r="Q193" s="635"/>
      <c r="R193" s="635"/>
      <c r="S193" s="635"/>
      <c r="T193" s="635"/>
      <c r="U193" s="635"/>
      <c r="V193" s="635"/>
      <c r="W193" s="635"/>
      <c r="X193" s="635"/>
      <c r="Y193" s="635"/>
      <c r="Z193" s="635"/>
      <c r="AA193" s="635"/>
      <c r="AB193" s="635"/>
      <c r="AC193" s="635"/>
      <c r="AD193" s="635"/>
      <c r="AE193" s="635"/>
      <c r="AF193" s="635"/>
      <c r="AG193" s="635"/>
      <c r="AH193" s="635"/>
      <c r="AI193" s="635"/>
      <c r="AJ193" s="635"/>
    </row>
    <row r="194" spans="1:36" s="250" customFormat="1" outlineLevel="1" x14ac:dyDescent="0.25">
      <c r="A194" s="250" t="s">
        <v>423</v>
      </c>
      <c r="B194" s="250" t="s">
        <v>665</v>
      </c>
      <c r="H194" s="625" t="s">
        <v>663</v>
      </c>
      <c r="I194" s="626" t="s">
        <v>71</v>
      </c>
      <c r="K194" s="627"/>
      <c r="L194" s="630" cm="1">
        <f t="array" ref="L194">SUMPRODUCT('W2'!$M$12:$V$112*('W2'!$M$7:$V$7=$A194)*('W2'!$A$12:$A$112=$B194))</f>
        <v>2.0000000000000001E-4</v>
      </c>
      <c r="M194" s="629">
        <f>L194</f>
        <v>2.0000000000000001E-4</v>
      </c>
      <c r="N194" s="629">
        <f t="shared" ref="N194:N195" si="203">M194</f>
        <v>2.0000000000000001E-4</v>
      </c>
      <c r="O194" s="629">
        <f t="shared" ref="O194:O195" si="204">N194</f>
        <v>2.0000000000000001E-4</v>
      </c>
      <c r="P194" s="629">
        <f t="shared" ref="P194:P195" si="205">O194</f>
        <v>2.0000000000000001E-4</v>
      </c>
      <c r="Q194" s="629">
        <f t="shared" ref="Q194:Q195" si="206">P194</f>
        <v>2.0000000000000001E-4</v>
      </c>
      <c r="R194" s="629">
        <f t="shared" ref="R194:R195" si="207">Q194</f>
        <v>2.0000000000000001E-4</v>
      </c>
      <c r="S194" s="629">
        <f t="shared" ref="S194:S195" si="208">R194</f>
        <v>2.0000000000000001E-4</v>
      </c>
      <c r="T194" s="629">
        <f t="shared" ref="T194:T195" si="209">S194</f>
        <v>2.0000000000000001E-4</v>
      </c>
      <c r="U194" s="629">
        <f t="shared" ref="U194:U195" si="210">T194</f>
        <v>2.0000000000000001E-4</v>
      </c>
      <c r="V194" s="629">
        <f t="shared" ref="V194:V195" si="211">U194</f>
        <v>2.0000000000000001E-4</v>
      </c>
      <c r="W194" s="629">
        <f t="shared" ref="W194:W195" si="212">V194</f>
        <v>2.0000000000000001E-4</v>
      </c>
      <c r="X194" s="629">
        <f t="shared" ref="X194:X195" si="213">W194</f>
        <v>2.0000000000000001E-4</v>
      </c>
      <c r="Y194" s="629">
        <f t="shared" ref="Y194:Y195" si="214">X194</f>
        <v>2.0000000000000001E-4</v>
      </c>
      <c r="Z194" s="629">
        <f t="shared" ref="Z194:Z195" si="215">Y194</f>
        <v>2.0000000000000001E-4</v>
      </c>
      <c r="AA194" s="629"/>
      <c r="AB194" s="629"/>
      <c r="AC194" s="629"/>
      <c r="AD194" s="629"/>
      <c r="AE194" s="629"/>
      <c r="AF194" s="629"/>
      <c r="AG194" s="629"/>
      <c r="AH194" s="629"/>
      <c r="AI194" s="629"/>
      <c r="AJ194" s="629"/>
    </row>
    <row r="195" spans="1:36" s="250" customFormat="1" outlineLevel="1" x14ac:dyDescent="0.25">
      <c r="A195" s="250" t="s">
        <v>423</v>
      </c>
      <c r="B195" s="250" t="s">
        <v>666</v>
      </c>
      <c r="H195" s="536" t="s">
        <v>664</v>
      </c>
      <c r="I195" s="547" t="s">
        <v>71</v>
      </c>
      <c r="K195" s="628"/>
      <c r="L195" s="630" cm="1">
        <f t="array" ref="L195">SUMPRODUCT('W2'!$M$12:$V$112*('W2'!$M$7:$V$7=$A195)*('W2'!$A$12:$A$112=$B195))</f>
        <v>0</v>
      </c>
      <c r="M195" s="629">
        <f>L195</f>
        <v>0</v>
      </c>
      <c r="N195" s="629">
        <f t="shared" si="203"/>
        <v>0</v>
      </c>
      <c r="O195" s="629">
        <f t="shared" si="204"/>
        <v>0</v>
      </c>
      <c r="P195" s="629">
        <f t="shared" si="205"/>
        <v>0</v>
      </c>
      <c r="Q195" s="629">
        <f t="shared" si="206"/>
        <v>0</v>
      </c>
      <c r="R195" s="629">
        <f t="shared" si="207"/>
        <v>0</v>
      </c>
      <c r="S195" s="629">
        <f t="shared" si="208"/>
        <v>0</v>
      </c>
      <c r="T195" s="629">
        <f t="shared" si="209"/>
        <v>0</v>
      </c>
      <c r="U195" s="629">
        <f t="shared" si="210"/>
        <v>0</v>
      </c>
      <c r="V195" s="629">
        <f t="shared" si="211"/>
        <v>0</v>
      </c>
      <c r="W195" s="629">
        <f t="shared" si="212"/>
        <v>0</v>
      </c>
      <c r="X195" s="629">
        <f t="shared" si="213"/>
        <v>0</v>
      </c>
      <c r="Y195" s="629">
        <f t="shared" si="214"/>
        <v>0</v>
      </c>
      <c r="Z195" s="629">
        <f t="shared" si="215"/>
        <v>0</v>
      </c>
      <c r="AA195" s="629"/>
      <c r="AB195" s="629"/>
      <c r="AC195" s="629"/>
      <c r="AD195" s="629"/>
      <c r="AE195" s="629"/>
      <c r="AF195" s="629"/>
      <c r="AG195" s="629"/>
      <c r="AH195" s="629"/>
      <c r="AI195" s="629"/>
      <c r="AJ195" s="629"/>
    </row>
    <row r="196" spans="1:36" outlineLevel="1" x14ac:dyDescent="0.25">
      <c r="A196" t="s">
        <v>423</v>
      </c>
      <c r="H196" s="454" t="s">
        <v>671</v>
      </c>
      <c r="I196" s="496" t="s">
        <v>436</v>
      </c>
      <c r="K196" s="549"/>
      <c r="L196" s="549">
        <f>L194*L190/(1-L188)</f>
        <v>666.04032000000007</v>
      </c>
      <c r="M196" s="549">
        <f>M194*M190/(1-M188)</f>
        <v>932.45644800000014</v>
      </c>
      <c r="N196" s="549">
        <f t="shared" ref="N196:AJ196" si="216">N194*N190/(1-N188)</f>
        <v>1332.0806400000001</v>
      </c>
      <c r="O196" s="549">
        <f t="shared" si="216"/>
        <v>1332.0806400000001</v>
      </c>
      <c r="P196" s="549">
        <f t="shared" si="216"/>
        <v>1332.0806400000001</v>
      </c>
      <c r="Q196" s="549">
        <f t="shared" si="216"/>
        <v>1332.0806400000001</v>
      </c>
      <c r="R196" s="549">
        <f t="shared" si="216"/>
        <v>1332.0806400000001</v>
      </c>
      <c r="S196" s="549">
        <f t="shared" si="216"/>
        <v>1332.0806400000001</v>
      </c>
      <c r="T196" s="549">
        <f t="shared" si="216"/>
        <v>1332.0806400000001</v>
      </c>
      <c r="U196" s="549">
        <f t="shared" si="216"/>
        <v>1332.0806400000001</v>
      </c>
      <c r="V196" s="549">
        <f t="shared" si="216"/>
        <v>1332.0806400000001</v>
      </c>
      <c r="W196" s="549">
        <f t="shared" si="216"/>
        <v>1332.0806400000001</v>
      </c>
      <c r="X196" s="549">
        <f t="shared" si="216"/>
        <v>1332.0806400000001</v>
      </c>
      <c r="Y196" s="549">
        <f t="shared" si="216"/>
        <v>1332.0806400000001</v>
      </c>
      <c r="Z196" s="549">
        <f t="shared" si="216"/>
        <v>1332.0806400000001</v>
      </c>
      <c r="AA196" s="549"/>
      <c r="AB196" s="549"/>
      <c r="AC196" s="549"/>
      <c r="AD196" s="549"/>
      <c r="AE196" s="549"/>
      <c r="AF196" s="549"/>
      <c r="AG196" s="549"/>
      <c r="AH196" s="549"/>
      <c r="AI196" s="549"/>
      <c r="AJ196" s="549"/>
    </row>
    <row r="197" spans="1:36" outlineLevel="1" x14ac:dyDescent="0.25">
      <c r="A197" t="s">
        <v>423</v>
      </c>
      <c r="H197" s="454" t="s">
        <v>675</v>
      </c>
      <c r="I197" s="496" t="s">
        <v>436</v>
      </c>
      <c r="K197" s="549"/>
      <c r="L197" s="549">
        <f>L195*L190/(1-L188)</f>
        <v>0</v>
      </c>
      <c r="M197" s="549">
        <f t="shared" ref="M197:AJ197" si="217">M195*M190/(1-M188)</f>
        <v>0</v>
      </c>
      <c r="N197" s="549">
        <f t="shared" si="217"/>
        <v>0</v>
      </c>
      <c r="O197" s="549">
        <f t="shared" si="217"/>
        <v>0</v>
      </c>
      <c r="P197" s="549">
        <f t="shared" si="217"/>
        <v>0</v>
      </c>
      <c r="Q197" s="549">
        <f t="shared" si="217"/>
        <v>0</v>
      </c>
      <c r="R197" s="549">
        <f t="shared" si="217"/>
        <v>0</v>
      </c>
      <c r="S197" s="549">
        <f t="shared" si="217"/>
        <v>0</v>
      </c>
      <c r="T197" s="549">
        <f t="shared" si="217"/>
        <v>0</v>
      </c>
      <c r="U197" s="549">
        <f t="shared" si="217"/>
        <v>0</v>
      </c>
      <c r="V197" s="549">
        <f t="shared" si="217"/>
        <v>0</v>
      </c>
      <c r="W197" s="549">
        <f t="shared" si="217"/>
        <v>0</v>
      </c>
      <c r="X197" s="549">
        <f t="shared" si="217"/>
        <v>0</v>
      </c>
      <c r="Y197" s="549">
        <f t="shared" si="217"/>
        <v>0</v>
      </c>
      <c r="Z197" s="549">
        <f t="shared" si="217"/>
        <v>0</v>
      </c>
      <c r="AA197" s="549"/>
      <c r="AB197" s="549"/>
      <c r="AC197" s="549"/>
      <c r="AD197" s="549"/>
      <c r="AE197" s="549"/>
      <c r="AF197" s="549"/>
      <c r="AG197" s="549"/>
      <c r="AH197" s="549"/>
      <c r="AI197" s="549"/>
      <c r="AJ197" s="549"/>
    </row>
    <row r="198" spans="1:36" x14ac:dyDescent="0.25">
      <c r="A198" t="s">
        <v>423</v>
      </c>
      <c r="K198" s="243"/>
      <c r="L198" s="243"/>
      <c r="M198" s="243"/>
      <c r="N198" s="243"/>
      <c r="O198" s="243"/>
      <c r="P198" s="243"/>
      <c r="Q198" s="243"/>
      <c r="R198" s="243"/>
      <c r="S198" s="243"/>
      <c r="T198" s="243"/>
      <c r="U198" s="243"/>
      <c r="V198" s="243"/>
      <c r="W198" s="243"/>
      <c r="X198" s="243"/>
      <c r="Y198" s="243"/>
      <c r="Z198" s="243"/>
      <c r="AA198" s="243"/>
      <c r="AB198" s="243"/>
      <c r="AC198" s="243"/>
      <c r="AD198" s="243"/>
      <c r="AE198" s="243"/>
      <c r="AF198" s="243"/>
      <c r="AG198" s="243"/>
      <c r="AH198" s="243"/>
      <c r="AI198" s="243"/>
      <c r="AJ198" s="243"/>
    </row>
    <row r="199" spans="1:36" x14ac:dyDescent="0.25">
      <c r="A199" t="s">
        <v>423</v>
      </c>
      <c r="K199" s="243"/>
      <c r="L199" s="243"/>
      <c r="M199" s="243"/>
      <c r="N199" s="243"/>
      <c r="O199" s="243"/>
      <c r="P199" s="243"/>
      <c r="Q199" s="243"/>
      <c r="R199" s="243"/>
      <c r="S199" s="243"/>
      <c r="T199" s="243"/>
      <c r="U199" s="243"/>
      <c r="V199" s="243"/>
      <c r="W199" s="243"/>
      <c r="X199" s="243"/>
      <c r="Y199" s="243"/>
      <c r="Z199" s="243"/>
      <c r="AA199" s="243"/>
      <c r="AB199" s="243"/>
      <c r="AC199" s="243"/>
      <c r="AD199" s="243"/>
      <c r="AE199" s="243"/>
      <c r="AF199" s="243"/>
      <c r="AG199" s="243"/>
      <c r="AH199" s="243"/>
      <c r="AI199" s="243"/>
      <c r="AJ199" s="243"/>
    </row>
    <row r="200" spans="1:36" x14ac:dyDescent="0.25">
      <c r="A200" t="s">
        <v>423</v>
      </c>
      <c r="K200" s="243"/>
      <c r="L200" s="243"/>
      <c r="M200" s="243"/>
      <c r="N200" s="243"/>
      <c r="O200" s="243"/>
      <c r="P200" s="243"/>
      <c r="Q200" s="243"/>
      <c r="R200" s="243"/>
      <c r="S200" s="243"/>
      <c r="T200" s="243"/>
      <c r="U200" s="243"/>
      <c r="V200" s="243"/>
      <c r="W200" s="243"/>
      <c r="X200" s="243"/>
      <c r="Y200" s="243"/>
      <c r="Z200" s="243"/>
      <c r="AA200" s="243"/>
      <c r="AB200" s="243"/>
      <c r="AC200" s="243"/>
      <c r="AD200" s="243"/>
      <c r="AE200" s="243"/>
      <c r="AF200" s="243"/>
      <c r="AG200" s="243"/>
      <c r="AH200" s="243"/>
      <c r="AI200" s="243"/>
      <c r="AJ200" s="243"/>
    </row>
    <row r="201" spans="1:36" s="1" customFormat="1" x14ac:dyDescent="0.25">
      <c r="A201" s="1" t="s">
        <v>423</v>
      </c>
      <c r="H201" s="266" t="s">
        <v>434</v>
      </c>
      <c r="I201" s="267" t="str">
        <f t="shared" ref="I201:I209" si="218">IF($H$9="USD","USD","tr. VND")</f>
        <v>tr. VND</v>
      </c>
      <c r="K201" s="268">
        <f t="shared" ref="K201" si="219">SUM(K202:K203,K206:K209,)</f>
        <v>0</v>
      </c>
      <c r="L201" s="268">
        <f>SUM(L202:L203,L206:L209,)</f>
        <v>-49949.936933333338</v>
      </c>
      <c r="M201" s="268">
        <f t="shared" ref="M201:AJ201" si="220">SUM(M202:M203,M206:M209,)</f>
        <v>-49949.936933333338</v>
      </c>
      <c r="N201" s="268">
        <f t="shared" si="220"/>
        <v>-50849.234633333333</v>
      </c>
      <c r="O201" s="268">
        <f t="shared" si="220"/>
        <v>-51793.497218333338</v>
      </c>
      <c r="P201" s="268">
        <f t="shared" si="220"/>
        <v>-52784.97293258334</v>
      </c>
      <c r="Q201" s="268">
        <f t="shared" si="220"/>
        <v>-53826.022432545833</v>
      </c>
      <c r="R201" s="268">
        <f t="shared" si="220"/>
        <v>-54919.124407506461</v>
      </c>
      <c r="S201" s="268">
        <f t="shared" si="220"/>
        <v>-56066.881481215125</v>
      </c>
      <c r="T201" s="268">
        <f t="shared" si="220"/>
        <v>-57272.026408609207</v>
      </c>
      <c r="U201" s="268">
        <f t="shared" si="220"/>
        <v>-58537.428582373002</v>
      </c>
      <c r="V201" s="268">
        <f t="shared" si="220"/>
        <v>-59866.100864824984</v>
      </c>
      <c r="W201" s="268">
        <f t="shared" si="220"/>
        <v>-61261.20676139956</v>
      </c>
      <c r="X201" s="268">
        <f t="shared" si="220"/>
        <v>-37663.584619469548</v>
      </c>
      <c r="Y201" s="268">
        <f t="shared" si="220"/>
        <v>-39201.688870443017</v>
      </c>
      <c r="Z201" s="268">
        <f t="shared" si="220"/>
        <v>-40816.698333965178</v>
      </c>
      <c r="AA201" s="268"/>
      <c r="AB201" s="268"/>
      <c r="AC201" s="268"/>
      <c r="AD201" s="268"/>
      <c r="AE201" s="268"/>
      <c r="AF201" s="268"/>
      <c r="AG201" s="268"/>
      <c r="AH201" s="268"/>
      <c r="AI201" s="268"/>
      <c r="AJ201" s="268"/>
    </row>
    <row r="202" spans="1:36" outlineLevel="1" x14ac:dyDescent="0.25">
      <c r="A202" t="s">
        <v>423</v>
      </c>
      <c r="B202" t="s">
        <v>173</v>
      </c>
      <c r="H202" s="459" t="s">
        <v>190</v>
      </c>
      <c r="I202" s="493" t="str">
        <f t="shared" si="218"/>
        <v>tr. VND</v>
      </c>
      <c r="K202" s="492"/>
      <c r="L202" s="548" cm="1">
        <f t="array" ref="L202">-SUMPRODUCT('W1'!$BI$10:$NE$60*('W1'!$BI$7:$NE$7=$A202)*('W1'!$BI$8:$NE$8=L$14)*('W1'!$A$10:$A$60=$B202))*$H$10</f>
        <v>-31062.483333333334</v>
      </c>
      <c r="M202" s="548" cm="1">
        <f t="array" ref="M202">-SUMPRODUCT('W1'!$BI$10:$NE$60*('W1'!$BI$7:$NE$7=$A202)*('W1'!$BI$8:$NE$8=M$14)*('W1'!$A$10:$A$60=$B202))*$H$10</f>
        <v>-31062.483333333334</v>
      </c>
      <c r="N202" s="548" cm="1">
        <f t="array" ref="N202">-SUMPRODUCT('W1'!$BI$10:$NE$60*('W1'!$BI$7:$NE$7=$A202)*('W1'!$BI$8:$NE$8=N$14)*('W1'!$A$10:$A$60=$B202))*$H$10</f>
        <v>-31062.483333333334</v>
      </c>
      <c r="O202" s="548" cm="1">
        <f t="array" ref="O202">-SUMPRODUCT('W1'!$BI$10:$NE$60*('W1'!$BI$7:$NE$7=$A202)*('W1'!$BI$8:$NE$8=O$14)*('W1'!$A$10:$A$60=$B202))*$H$10</f>
        <v>-31062.483333333334</v>
      </c>
      <c r="P202" s="548" cm="1">
        <f t="array" ref="P202">-SUMPRODUCT('W1'!$BI$10:$NE$60*('W1'!$BI$7:$NE$7=$A202)*('W1'!$BI$8:$NE$8=P$14)*('W1'!$A$10:$A$60=$B202))*$H$10</f>
        <v>-31062.483333333334</v>
      </c>
      <c r="Q202" s="548" cm="1">
        <f t="array" ref="Q202">-SUMPRODUCT('W1'!$BI$10:$NE$60*('W1'!$BI$7:$NE$7=$A202)*('W1'!$BI$8:$NE$8=Q$14)*('W1'!$A$10:$A$60=$B202))*$H$10</f>
        <v>-31062.483333333334</v>
      </c>
      <c r="R202" s="548" cm="1">
        <f t="array" ref="R202">-SUMPRODUCT('W1'!$BI$10:$NE$60*('W1'!$BI$7:$NE$7=$A202)*('W1'!$BI$8:$NE$8=R$14)*('W1'!$A$10:$A$60=$B202))*$H$10</f>
        <v>-31062.483333333334</v>
      </c>
      <c r="S202" s="548" cm="1">
        <f t="array" ref="S202">-SUMPRODUCT('W1'!$BI$10:$NE$60*('W1'!$BI$7:$NE$7=$A202)*('W1'!$BI$8:$NE$8=S$14)*('W1'!$A$10:$A$60=$B202))*$H$10</f>
        <v>-31062.483333333334</v>
      </c>
      <c r="T202" s="548" cm="1">
        <f t="array" ref="T202">-SUMPRODUCT('W1'!$BI$10:$NE$60*('W1'!$BI$7:$NE$7=$A202)*('W1'!$BI$8:$NE$8=T$14)*('W1'!$A$10:$A$60=$B202))*$H$10</f>
        <v>-31062.483333333334</v>
      </c>
      <c r="U202" s="548" cm="1">
        <f t="array" ref="U202">-SUMPRODUCT('W1'!$BI$10:$NE$60*('W1'!$BI$7:$NE$7=$A202)*('W1'!$BI$8:$NE$8=U$14)*('W1'!$A$10:$A$60=$B202))*$H$10</f>
        <v>-31062.483333333334</v>
      </c>
      <c r="V202" s="548" cm="1">
        <f t="array" ref="V202">-SUMPRODUCT('W1'!$BI$10:$NE$60*('W1'!$BI$7:$NE$7=$A202)*('W1'!$BI$8:$NE$8=V$14)*('W1'!$A$10:$A$60=$B202))*$H$10</f>
        <v>-31062.483333333334</v>
      </c>
      <c r="W202" s="548" cm="1">
        <f t="array" ref="W202">-SUMPRODUCT('W1'!$BI$10:$NE$60*('W1'!$BI$7:$NE$7=$A202)*('W1'!$BI$8:$NE$8=W$14)*('W1'!$A$10:$A$60=$B202))*$H$10</f>
        <v>-31062.483333333334</v>
      </c>
      <c r="X202" s="548" cm="1">
        <f t="array" ref="X202">-SUMPRODUCT('W1'!$BI$10:$NE$60*('W1'!$BI$7:$NE$7=$A202)*('W1'!$BI$8:$NE$8=X$14)*('W1'!$A$10:$A$60=$B202))*$H$10</f>
        <v>-6000</v>
      </c>
      <c r="Y202" s="548" cm="1">
        <f t="array" ref="Y202">-SUMPRODUCT('W1'!$BI$10:$NE$60*('W1'!$BI$7:$NE$7=$A202)*('W1'!$BI$8:$NE$8=Y$14)*('W1'!$A$10:$A$60=$B202))*$H$10</f>
        <v>-6000</v>
      </c>
      <c r="Z202" s="548" cm="1">
        <f t="array" ref="Z202">-SUMPRODUCT('W1'!$BI$10:$NE$60*('W1'!$BI$7:$NE$7=$A202)*('W1'!$BI$8:$NE$8=Z$14)*('W1'!$A$10:$A$60=$B202))*$H$10</f>
        <v>-6000</v>
      </c>
      <c r="AA202" s="548"/>
      <c r="AB202" s="548"/>
      <c r="AC202" s="548"/>
      <c r="AD202" s="548"/>
      <c r="AE202" s="548"/>
      <c r="AF202" s="548"/>
      <c r="AG202" s="548"/>
      <c r="AH202" s="548"/>
      <c r="AI202" s="548"/>
      <c r="AJ202" s="548"/>
    </row>
    <row r="203" spans="1:36" outlineLevel="1" x14ac:dyDescent="0.25">
      <c r="A203" t="s">
        <v>423</v>
      </c>
      <c r="H203" s="454" t="s">
        <v>429</v>
      </c>
      <c r="I203" s="496" t="str">
        <f t="shared" si="218"/>
        <v>tr. VND</v>
      </c>
      <c r="K203" s="549">
        <f>SUM(K204:K205)</f>
        <v>0</v>
      </c>
      <c r="L203" s="549">
        <f t="shared" ref="L203:AJ203" si="221">SUM(L204:L205)</f>
        <v>-6011.46</v>
      </c>
      <c r="M203" s="549">
        <f t="shared" si="221"/>
        <v>-6011.46</v>
      </c>
      <c r="N203" s="549">
        <f t="shared" si="221"/>
        <v>-6312.0329999999994</v>
      </c>
      <c r="O203" s="549">
        <f t="shared" si="221"/>
        <v>-6627.63465</v>
      </c>
      <c r="P203" s="549">
        <f t="shared" si="221"/>
        <v>-6959.0163825000009</v>
      </c>
      <c r="Q203" s="549">
        <f t="shared" si="221"/>
        <v>-7306.9672016249997</v>
      </c>
      <c r="R203" s="549">
        <f t="shared" si="221"/>
        <v>-7672.3155617062503</v>
      </c>
      <c r="S203" s="549">
        <f t="shared" si="221"/>
        <v>-8055.931339791563</v>
      </c>
      <c r="T203" s="549">
        <f t="shared" si="221"/>
        <v>-8458.7279067811414</v>
      </c>
      <c r="U203" s="549">
        <f t="shared" si="221"/>
        <v>-8881.664302120198</v>
      </c>
      <c r="V203" s="549">
        <f t="shared" si="221"/>
        <v>-9325.7475172262075</v>
      </c>
      <c r="W203" s="549">
        <f t="shared" si="221"/>
        <v>-9792.0348930875189</v>
      </c>
      <c r="X203" s="549">
        <f t="shared" si="221"/>
        <v>-10281.636637741896</v>
      </c>
      <c r="Y203" s="549">
        <f t="shared" si="221"/>
        <v>-10795.718469628988</v>
      </c>
      <c r="Z203" s="549">
        <f t="shared" si="221"/>
        <v>-11335.504393110441</v>
      </c>
      <c r="AA203" s="549"/>
      <c r="AB203" s="549"/>
      <c r="AC203" s="549"/>
      <c r="AD203" s="549"/>
      <c r="AE203" s="549"/>
      <c r="AF203" s="549"/>
      <c r="AG203" s="549"/>
      <c r="AH203" s="549"/>
      <c r="AI203" s="549"/>
      <c r="AJ203" s="549"/>
    </row>
    <row r="204" spans="1:36" s="299" customFormat="1" outlineLevel="1" x14ac:dyDescent="0.25">
      <c r="A204" s="299" t="s">
        <v>423</v>
      </c>
      <c r="B204" s="299" t="s">
        <v>449</v>
      </c>
      <c r="H204" s="553" t="s">
        <v>430</v>
      </c>
      <c r="I204" s="554" t="str">
        <f t="shared" si="218"/>
        <v>tr. VND</v>
      </c>
      <c r="K204" s="555"/>
      <c r="L204" s="555" cm="1">
        <f t="array" ref="L204">-SUMPRODUCT('W2'!$M$12:$V$112*('W2'!$M$7:$V$7=$A204)*('W2'!$A$12:$A$112=$B204))*$H$10*POWER(1+Inflation,L$11+1)</f>
        <v>-982.8</v>
      </c>
      <c r="M204" s="555" cm="1">
        <f t="array" ref="M204">-SUMPRODUCT('W2'!$M$12:$V$112*('W2'!$M$7:$V$7=$A204)*('W2'!$A$12:$A$112=$B204))*$H$10*POWER(1+Inflation,M$11+1)</f>
        <v>-982.8</v>
      </c>
      <c r="N204" s="555" cm="1">
        <f t="array" ref="N204">-SUMPRODUCT('W2'!$M$12:$V$112*('W2'!$M$7:$V$7=$A204)*('W2'!$A$12:$A$112=$B204))*$H$10*POWER(1+Inflation,N$11+1)</f>
        <v>-1031.94</v>
      </c>
      <c r="O204" s="555" cm="1">
        <f t="array" ref="O204">-SUMPRODUCT('W2'!$M$12:$V$112*('W2'!$M$7:$V$7=$A204)*('W2'!$A$12:$A$112=$B204))*$H$10*POWER(1+Inflation,O$11+1)</f>
        <v>-1083.537</v>
      </c>
      <c r="P204" s="555" cm="1">
        <f t="array" ref="P204">-SUMPRODUCT('W2'!$M$12:$V$112*('W2'!$M$7:$V$7=$A204)*('W2'!$A$12:$A$112=$B204))*$H$10*POWER(1+Inflation,P$11+1)</f>
        <v>-1137.7138500000001</v>
      </c>
      <c r="Q204" s="555" cm="1">
        <f t="array" ref="Q204">-SUMPRODUCT('W2'!$M$12:$V$112*('W2'!$M$7:$V$7=$A204)*('W2'!$A$12:$A$112=$B204))*$H$10*POWER(1+Inflation,Q$11+1)</f>
        <v>-1194.5995424999999</v>
      </c>
      <c r="R204" s="555" cm="1">
        <f t="array" ref="R204">-SUMPRODUCT('W2'!$M$12:$V$112*('W2'!$M$7:$V$7=$A204)*('W2'!$A$12:$A$112=$B204))*$H$10*POWER(1+Inflation,R$11+1)</f>
        <v>-1254.3295196250001</v>
      </c>
      <c r="S204" s="555" cm="1">
        <f t="array" ref="S204">-SUMPRODUCT('W2'!$M$12:$V$112*('W2'!$M$7:$V$7=$A204)*('W2'!$A$12:$A$112=$B204))*$H$10*POWER(1+Inflation,S$11+1)</f>
        <v>-1317.04599560625</v>
      </c>
      <c r="T204" s="555" cm="1">
        <f t="array" ref="T204">-SUMPRODUCT('W2'!$M$12:$V$112*('W2'!$M$7:$V$7=$A204)*('W2'!$A$12:$A$112=$B204))*$H$10*POWER(1+Inflation,T$11+1)</f>
        <v>-1382.8982953865627</v>
      </c>
      <c r="U204" s="555" cm="1">
        <f t="array" ref="U204">-SUMPRODUCT('W2'!$M$12:$V$112*('W2'!$M$7:$V$7=$A204)*('W2'!$A$12:$A$112=$B204))*$H$10*POWER(1+Inflation,U$11+1)</f>
        <v>-1452.0432101558906</v>
      </c>
      <c r="V204" s="555" cm="1">
        <f t="array" ref="V204">-SUMPRODUCT('W2'!$M$12:$V$112*('W2'!$M$7:$V$7=$A204)*('W2'!$A$12:$A$112=$B204))*$H$10*POWER(1+Inflation,V$11+1)</f>
        <v>-1524.6453706636853</v>
      </c>
      <c r="W204" s="555" cm="1">
        <f t="array" ref="W204">-SUMPRODUCT('W2'!$M$12:$V$112*('W2'!$M$7:$V$7=$A204)*('W2'!$A$12:$A$112=$B204))*$H$10*POWER(1+Inflation,W$11+1)</f>
        <v>-1600.8776391968695</v>
      </c>
      <c r="X204" s="555" cm="1">
        <f t="array" ref="X204">-SUMPRODUCT('W2'!$M$12:$V$112*('W2'!$M$7:$V$7=$A204)*('W2'!$A$12:$A$112=$B204))*$H$10*POWER(1+Inflation,X$11+1)</f>
        <v>-1680.9215211567132</v>
      </c>
      <c r="Y204" s="555" cm="1">
        <f t="array" ref="Y204">-SUMPRODUCT('W2'!$M$12:$V$112*('W2'!$M$7:$V$7=$A204)*('W2'!$A$12:$A$112=$B204))*$H$10*POWER(1+Inflation,Y$11+1)</f>
        <v>-1764.9675972145485</v>
      </c>
      <c r="Z204" s="555" cm="1">
        <f t="array" ref="Z204">-SUMPRODUCT('W2'!$M$12:$V$112*('W2'!$M$7:$V$7=$A204)*('W2'!$A$12:$A$112=$B204))*$H$10*POWER(1+Inflation,Z$11+1)</f>
        <v>-1853.2159770752762</v>
      </c>
      <c r="AA204" s="555"/>
      <c r="AB204" s="555"/>
      <c r="AC204" s="555"/>
      <c r="AD204" s="555"/>
      <c r="AE204" s="555"/>
      <c r="AF204" s="555"/>
      <c r="AG204" s="555"/>
      <c r="AH204" s="555"/>
      <c r="AI204" s="555"/>
      <c r="AJ204" s="555"/>
    </row>
    <row r="205" spans="1:36" s="299" customFormat="1" outlineLevel="1" x14ac:dyDescent="0.25">
      <c r="A205" s="299" t="s">
        <v>423</v>
      </c>
      <c r="B205" s="299" t="s">
        <v>450</v>
      </c>
      <c r="H205" s="553" t="s">
        <v>431</v>
      </c>
      <c r="I205" s="554" t="str">
        <f t="shared" si="218"/>
        <v>tr. VND</v>
      </c>
      <c r="K205" s="555"/>
      <c r="L205" s="555" cm="1">
        <f t="array" ref="L205">-SUMPRODUCT('W2'!$M$12:$V$112*('W2'!$M$7:$V$7=$A205)*('W2'!$A$12:$A$112=$B205))*$H$10*POWER(1+Inflation,L$11+1)</f>
        <v>-5028.66</v>
      </c>
      <c r="M205" s="555" cm="1">
        <f t="array" ref="M205">-SUMPRODUCT('W2'!$M$12:$V$112*('W2'!$M$7:$V$7=$A205)*('W2'!$A$12:$A$112=$B205))*$H$10*POWER(1+Inflation,M$11+1)</f>
        <v>-5028.66</v>
      </c>
      <c r="N205" s="555" cm="1">
        <f t="array" ref="N205">-SUMPRODUCT('W2'!$M$12:$V$112*('W2'!$M$7:$V$7=$A205)*('W2'!$A$12:$A$112=$B205))*$H$10*POWER(1+Inflation,N$11+1)</f>
        <v>-5280.0929999999998</v>
      </c>
      <c r="O205" s="555" cm="1">
        <f t="array" ref="O205">-SUMPRODUCT('W2'!$M$12:$V$112*('W2'!$M$7:$V$7=$A205)*('W2'!$A$12:$A$112=$B205))*$H$10*POWER(1+Inflation,O$11+1)</f>
        <v>-5544.0976499999997</v>
      </c>
      <c r="P205" s="555" cm="1">
        <f t="array" ref="P205">-SUMPRODUCT('W2'!$M$12:$V$112*('W2'!$M$7:$V$7=$A205)*('W2'!$A$12:$A$112=$B205))*$H$10*POWER(1+Inflation,P$11+1)</f>
        <v>-5821.3025325000008</v>
      </c>
      <c r="Q205" s="555" cm="1">
        <f t="array" ref="Q205">-SUMPRODUCT('W2'!$M$12:$V$112*('W2'!$M$7:$V$7=$A205)*('W2'!$A$12:$A$112=$B205))*$H$10*POWER(1+Inflation,Q$11+1)</f>
        <v>-6112.3676591249996</v>
      </c>
      <c r="R205" s="555" cm="1">
        <f t="array" ref="R205">-SUMPRODUCT('W2'!$M$12:$V$112*('W2'!$M$7:$V$7=$A205)*('W2'!$A$12:$A$112=$B205))*$H$10*POWER(1+Inflation,R$11+1)</f>
        <v>-6417.9860420812502</v>
      </c>
      <c r="S205" s="555" cm="1">
        <f t="array" ref="S205">-SUMPRODUCT('W2'!$M$12:$V$112*('W2'!$M$7:$V$7=$A205)*('W2'!$A$12:$A$112=$B205))*$H$10*POWER(1+Inflation,S$11+1)</f>
        <v>-6738.8853441853125</v>
      </c>
      <c r="T205" s="555" cm="1">
        <f t="array" ref="T205">-SUMPRODUCT('W2'!$M$12:$V$112*('W2'!$M$7:$V$7=$A205)*('W2'!$A$12:$A$112=$B205))*$H$10*POWER(1+Inflation,T$11+1)</f>
        <v>-7075.8296113945789</v>
      </c>
      <c r="U205" s="555" cm="1">
        <f t="array" ref="U205">-SUMPRODUCT('W2'!$M$12:$V$112*('W2'!$M$7:$V$7=$A205)*('W2'!$A$12:$A$112=$B205))*$H$10*POWER(1+Inflation,U$11+1)</f>
        <v>-7429.6210919643072</v>
      </c>
      <c r="V205" s="555" cm="1">
        <f t="array" ref="V205">-SUMPRODUCT('W2'!$M$12:$V$112*('W2'!$M$7:$V$7=$A205)*('W2'!$A$12:$A$112=$B205))*$H$10*POWER(1+Inflation,V$11+1)</f>
        <v>-7801.1021465625226</v>
      </c>
      <c r="W205" s="555" cm="1">
        <f t="array" ref="W205">-SUMPRODUCT('W2'!$M$12:$V$112*('W2'!$M$7:$V$7=$A205)*('W2'!$A$12:$A$112=$B205))*$H$10*POWER(1+Inflation,W$11+1)</f>
        <v>-8191.1572538906494</v>
      </c>
      <c r="X205" s="555" cm="1">
        <f t="array" ref="X205">-SUMPRODUCT('W2'!$M$12:$V$112*('W2'!$M$7:$V$7=$A205)*('W2'!$A$12:$A$112=$B205))*$H$10*POWER(1+Inflation,X$11+1)</f>
        <v>-8600.7151165851828</v>
      </c>
      <c r="Y205" s="555" cm="1">
        <f t="array" ref="Y205">-SUMPRODUCT('W2'!$M$12:$V$112*('W2'!$M$7:$V$7=$A205)*('W2'!$A$12:$A$112=$B205))*$H$10*POWER(1+Inflation,Y$11+1)</f>
        <v>-9030.7508724144391</v>
      </c>
      <c r="Z205" s="555" cm="1">
        <f t="array" ref="Z205">-SUMPRODUCT('W2'!$M$12:$V$112*('W2'!$M$7:$V$7=$A205)*('W2'!$A$12:$A$112=$B205))*$H$10*POWER(1+Inflation,Z$11+1)</f>
        <v>-9482.2884160351641</v>
      </c>
      <c r="AA205" s="555"/>
      <c r="AB205" s="555"/>
      <c r="AC205" s="555"/>
      <c r="AD205" s="555"/>
      <c r="AE205" s="555"/>
      <c r="AF205" s="555"/>
      <c r="AG205" s="555"/>
      <c r="AH205" s="555"/>
      <c r="AI205" s="555"/>
      <c r="AJ205" s="555"/>
    </row>
    <row r="206" spans="1:36" outlineLevel="1" x14ac:dyDescent="0.25">
      <c r="A206" t="s">
        <v>423</v>
      </c>
      <c r="B206" t="s">
        <v>451</v>
      </c>
      <c r="H206" s="454" t="s">
        <v>656</v>
      </c>
      <c r="I206" s="496" t="str">
        <f t="shared" si="218"/>
        <v>tr. VND</v>
      </c>
      <c r="K206" s="549"/>
      <c r="L206" s="549" cm="1">
        <f t="array" ref="L206">-SUMPRODUCT('W2'!$M$12:$V$112*('W2'!$M$7:$V$7=$A206)*('W2'!$A$12:$A$112=$B206))*$H$10*POWER(1+Inflation,L$11+1)</f>
        <v>-2400</v>
      </c>
      <c r="M206" s="549" cm="1">
        <f t="array" ref="M206">-SUMPRODUCT('W2'!$M$12:$V$112*('W2'!$M$7:$V$7=$A206)*('W2'!$A$12:$A$112=$B206))*$H$10*POWER(1+Inflation,M$11+1)</f>
        <v>-2400</v>
      </c>
      <c r="N206" s="549" cm="1">
        <f t="array" ref="N206">-SUMPRODUCT('W2'!$M$12:$V$112*('W2'!$M$7:$V$7=$A206)*('W2'!$A$12:$A$112=$B206))*$H$10*POWER(1+Inflation,N$11+1)</f>
        <v>-2520</v>
      </c>
      <c r="O206" s="549" cm="1">
        <f t="array" ref="O206">-SUMPRODUCT('W2'!$M$12:$V$112*('W2'!$M$7:$V$7=$A206)*('W2'!$A$12:$A$112=$B206))*$H$10*POWER(1+Inflation,O$11+1)</f>
        <v>-2646</v>
      </c>
      <c r="P206" s="549" cm="1">
        <f t="array" ref="P206">-SUMPRODUCT('W2'!$M$12:$V$112*('W2'!$M$7:$V$7=$A206)*('W2'!$A$12:$A$112=$B206))*$H$10*POWER(1+Inflation,P$11+1)</f>
        <v>-2778.3</v>
      </c>
      <c r="Q206" s="549" cm="1">
        <f t="array" ref="Q206">-SUMPRODUCT('W2'!$M$12:$V$112*('W2'!$M$7:$V$7=$A206)*('W2'!$A$12:$A$112=$B206))*$H$10*POWER(1+Inflation,Q$11+1)</f>
        <v>-2917.2150000000001</v>
      </c>
      <c r="R206" s="549" cm="1">
        <f t="array" ref="R206">-SUMPRODUCT('W2'!$M$12:$V$112*('W2'!$M$7:$V$7=$A206)*('W2'!$A$12:$A$112=$B206))*$H$10*POWER(1+Inflation,R$11+1)</f>
        <v>-3063.0757500000004</v>
      </c>
      <c r="S206" s="549" cm="1">
        <f t="array" ref="S206">-SUMPRODUCT('W2'!$M$12:$V$112*('W2'!$M$7:$V$7=$A206)*('W2'!$A$12:$A$112=$B206))*$H$10*POWER(1+Inflation,S$11+1)</f>
        <v>-3216.2295374999999</v>
      </c>
      <c r="T206" s="549" cm="1">
        <f t="array" ref="T206">-SUMPRODUCT('W2'!$M$12:$V$112*('W2'!$M$7:$V$7=$A206)*('W2'!$A$12:$A$112=$B206))*$H$10*POWER(1+Inflation,T$11+1)</f>
        <v>-3377.0410143750005</v>
      </c>
      <c r="U206" s="549" cm="1">
        <f t="array" ref="U206">-SUMPRODUCT('W2'!$M$12:$V$112*('W2'!$M$7:$V$7=$A206)*('W2'!$A$12:$A$112=$B206))*$H$10*POWER(1+Inflation,U$11+1)</f>
        <v>-3545.89306509375</v>
      </c>
      <c r="V206" s="549" cm="1">
        <f t="array" ref="V206">-SUMPRODUCT('W2'!$M$12:$V$112*('W2'!$M$7:$V$7=$A206)*('W2'!$A$12:$A$112=$B206))*$H$10*POWER(1+Inflation,V$11+1)</f>
        <v>-3723.187718348438</v>
      </c>
      <c r="W206" s="549" cm="1">
        <f t="array" ref="W206">-SUMPRODUCT('W2'!$M$12:$V$112*('W2'!$M$7:$V$7=$A206)*('W2'!$A$12:$A$112=$B206))*$H$10*POWER(1+Inflation,W$11+1)</f>
        <v>-3909.3471042658598</v>
      </c>
      <c r="X206" s="549" cm="1">
        <f t="array" ref="X206">-SUMPRODUCT('W2'!$M$12:$V$112*('W2'!$M$7:$V$7=$A206)*('W2'!$A$12:$A$112=$B206))*$H$10*POWER(1+Inflation,X$11+1)</f>
        <v>-4104.8144594791529</v>
      </c>
      <c r="Y206" s="549" cm="1">
        <f t="array" ref="Y206">-SUMPRODUCT('W2'!$M$12:$V$112*('W2'!$M$7:$V$7=$A206)*('W2'!$A$12:$A$112=$B206))*$H$10*POWER(1+Inflation,Y$11+1)</f>
        <v>-4310.0551824531103</v>
      </c>
      <c r="Z206" s="549" cm="1">
        <f t="array" ref="Z206">-SUMPRODUCT('W2'!$M$12:$V$112*('W2'!$M$7:$V$7=$A206)*('W2'!$A$12:$A$112=$B206))*$H$10*POWER(1+Inflation,Z$11+1)</f>
        <v>-4525.5579415757666</v>
      </c>
      <c r="AA206" s="549"/>
      <c r="AB206" s="549"/>
      <c r="AC206" s="549"/>
      <c r="AD206" s="549"/>
      <c r="AE206" s="549"/>
      <c r="AF206" s="549"/>
      <c r="AG206" s="549"/>
      <c r="AH206" s="549"/>
      <c r="AI206" s="549"/>
      <c r="AJ206" s="549"/>
    </row>
    <row r="207" spans="1:36" outlineLevel="1" x14ac:dyDescent="0.25">
      <c r="A207" t="s">
        <v>423</v>
      </c>
      <c r="B207" t="s">
        <v>452</v>
      </c>
      <c r="H207" s="454" t="s">
        <v>432</v>
      </c>
      <c r="I207" s="496" t="str">
        <f t="shared" si="218"/>
        <v>tr. VND</v>
      </c>
      <c r="K207" s="549"/>
      <c r="L207" s="549" cm="1">
        <f t="array" ref="L207">-SUMPRODUCT('W2'!$M$12:$V$112*('W2'!$M$7:$V$7=$A207)*('W2'!$A$12:$A$112=$B207))*$H$10*POWER(1+Inflation,L$11+1)</f>
        <v>-9022.4939999999988</v>
      </c>
      <c r="M207" s="549" cm="1">
        <f t="array" ref="M207">-SUMPRODUCT('W2'!$M$12:$V$112*('W2'!$M$7:$V$7=$A207)*('W2'!$A$12:$A$112=$B207))*$H$10*POWER(1+Inflation,M$11+1)</f>
        <v>-9022.4939999999988</v>
      </c>
      <c r="N207" s="549" cm="1">
        <f t="array" ref="N207">-SUMPRODUCT('W2'!$M$12:$V$112*('W2'!$M$7:$V$7=$A207)*('W2'!$A$12:$A$112=$B207))*$H$10*POWER(1+Inflation,N$11+1)</f>
        <v>-9473.6186999999991</v>
      </c>
      <c r="O207" s="549" cm="1">
        <f t="array" ref="O207">-SUMPRODUCT('W2'!$M$12:$V$112*('W2'!$M$7:$V$7=$A207)*('W2'!$A$12:$A$112=$B207))*$H$10*POWER(1+Inflation,O$11+1)</f>
        <v>-9947.2996349999994</v>
      </c>
      <c r="P207" s="549" cm="1">
        <f t="array" ref="P207">-SUMPRODUCT('W2'!$M$12:$V$112*('W2'!$M$7:$V$7=$A207)*('W2'!$A$12:$A$112=$B207))*$H$10*POWER(1+Inflation,P$11+1)</f>
        <v>-10444.66461675</v>
      </c>
      <c r="Q207" s="549" cm="1">
        <f t="array" ref="Q207">-SUMPRODUCT('W2'!$M$12:$V$112*('W2'!$M$7:$V$7=$A207)*('W2'!$A$12:$A$112=$B207))*$H$10*POWER(1+Inflation,Q$11+1)</f>
        <v>-10966.897847587499</v>
      </c>
      <c r="R207" s="549" cm="1">
        <f t="array" ref="R207">-SUMPRODUCT('W2'!$M$12:$V$112*('W2'!$M$7:$V$7=$A207)*('W2'!$A$12:$A$112=$B207))*$H$10*POWER(1+Inflation,R$11+1)</f>
        <v>-11515.242739966874</v>
      </c>
      <c r="S207" s="549" cm="1">
        <f t="array" ref="S207">-SUMPRODUCT('W2'!$M$12:$V$112*('W2'!$M$7:$V$7=$A207)*('W2'!$A$12:$A$112=$B207))*$H$10*POWER(1+Inflation,S$11+1)</f>
        <v>-12091.004876965217</v>
      </c>
      <c r="T207" s="549" cm="1">
        <f t="array" ref="T207">-SUMPRODUCT('W2'!$M$12:$V$112*('W2'!$M$7:$V$7=$A207)*('W2'!$A$12:$A$112=$B207))*$H$10*POWER(1+Inflation,T$11+1)</f>
        <v>-12695.55512081348</v>
      </c>
      <c r="U207" s="549" cm="1">
        <f t="array" ref="U207">-SUMPRODUCT('W2'!$M$12:$V$112*('W2'!$M$7:$V$7=$A207)*('W2'!$A$12:$A$112=$B207))*$H$10*POWER(1+Inflation,U$11+1)</f>
        <v>-13330.332876854152</v>
      </c>
      <c r="V207" s="549" cm="1">
        <f t="array" ref="V207">-SUMPRODUCT('W2'!$M$12:$V$112*('W2'!$M$7:$V$7=$A207)*('W2'!$A$12:$A$112=$B207))*$H$10*POWER(1+Inflation,V$11+1)</f>
        <v>-13996.84952069686</v>
      </c>
      <c r="W207" s="549" cm="1">
        <f t="array" ref="W207">-SUMPRODUCT('W2'!$M$12:$V$112*('W2'!$M$7:$V$7=$A207)*('W2'!$A$12:$A$112=$B207))*$H$10*POWER(1+Inflation,W$11+1)</f>
        <v>-14696.691996731704</v>
      </c>
      <c r="X207" s="549" cm="1">
        <f t="array" ref="X207">-SUMPRODUCT('W2'!$M$12:$V$112*('W2'!$M$7:$V$7=$A207)*('W2'!$A$12:$A$112=$B207))*$H$10*POWER(1+Inflation,X$11+1)</f>
        <v>-15431.52659656829</v>
      </c>
      <c r="Y207" s="549" cm="1">
        <f t="array" ref="Y207">-SUMPRODUCT('W2'!$M$12:$V$112*('W2'!$M$7:$V$7=$A207)*('W2'!$A$12:$A$112=$B207))*$H$10*POWER(1+Inflation,Y$11+1)</f>
        <v>-16203.102926396703</v>
      </c>
      <c r="Z207" s="549" cm="1">
        <f t="array" ref="Z207">-SUMPRODUCT('W2'!$M$12:$V$112*('W2'!$M$7:$V$7=$A207)*('W2'!$A$12:$A$112=$B207))*$H$10*POWER(1+Inflation,Z$11+1)</f>
        <v>-17013.25807271654</v>
      </c>
      <c r="AA207" s="549"/>
      <c r="AB207" s="549"/>
      <c r="AC207" s="549"/>
      <c r="AD207" s="549"/>
      <c r="AE207" s="549"/>
      <c r="AF207" s="549"/>
      <c r="AG207" s="549"/>
      <c r="AH207" s="549"/>
      <c r="AI207" s="549"/>
      <c r="AJ207" s="549"/>
    </row>
    <row r="208" spans="1:36" outlineLevel="1" x14ac:dyDescent="0.25">
      <c r="A208" t="s">
        <v>423</v>
      </c>
      <c r="B208" t="s">
        <v>453</v>
      </c>
      <c r="H208" s="454" t="s">
        <v>433</v>
      </c>
      <c r="I208" s="496" t="str">
        <f t="shared" si="218"/>
        <v>tr. VND</v>
      </c>
      <c r="K208" s="549"/>
      <c r="L208" s="549" cm="1">
        <f t="array" ref="L208">-SUMPRODUCT('W2'!$M$12:$V$112*('W2'!$M$7:$V$7=$A208)*('W2'!$A$12:$A$112=$B208))*$H$10*POWER(1+Inflation,L$11+1)</f>
        <v>-552</v>
      </c>
      <c r="M208" s="549" cm="1">
        <f t="array" ref="M208">-SUMPRODUCT('W2'!$M$12:$V$112*('W2'!$M$7:$V$7=$A208)*('W2'!$A$12:$A$112=$B208))*$H$10*POWER(1+Inflation,M$11+1)</f>
        <v>-552</v>
      </c>
      <c r="N208" s="549" cm="1">
        <f t="array" ref="N208">-SUMPRODUCT('W2'!$M$12:$V$112*('W2'!$M$7:$V$7=$A208)*('W2'!$A$12:$A$112=$B208))*$H$10*POWER(1+Inflation,N$11+1)</f>
        <v>-579.6</v>
      </c>
      <c r="O208" s="549" cm="1">
        <f t="array" ref="O208">-SUMPRODUCT('W2'!$M$12:$V$112*('W2'!$M$7:$V$7=$A208)*('W2'!$A$12:$A$112=$B208))*$H$10*POWER(1+Inflation,O$11+1)</f>
        <v>-608.58000000000004</v>
      </c>
      <c r="P208" s="549" cm="1">
        <f t="array" ref="P208">-SUMPRODUCT('W2'!$M$12:$V$112*('W2'!$M$7:$V$7=$A208)*('W2'!$A$12:$A$112=$B208))*$H$10*POWER(1+Inflation,P$11+1)</f>
        <v>-639.00900000000001</v>
      </c>
      <c r="Q208" s="549" cm="1">
        <f t="array" ref="Q208">-SUMPRODUCT('W2'!$M$12:$V$112*('W2'!$M$7:$V$7=$A208)*('W2'!$A$12:$A$112=$B208))*$H$10*POWER(1+Inflation,Q$11+1)</f>
        <v>-670.95945000000006</v>
      </c>
      <c r="R208" s="549" cm="1">
        <f t="array" ref="R208">-SUMPRODUCT('W2'!$M$12:$V$112*('W2'!$M$7:$V$7=$A208)*('W2'!$A$12:$A$112=$B208))*$H$10*POWER(1+Inflation,R$11+1)</f>
        <v>-704.50742250000008</v>
      </c>
      <c r="S208" s="549" cm="1">
        <f t="array" ref="S208">-SUMPRODUCT('W2'!$M$12:$V$112*('W2'!$M$7:$V$7=$A208)*('W2'!$A$12:$A$112=$B208))*$H$10*POWER(1+Inflation,S$11+1)</f>
        <v>-739.732793625</v>
      </c>
      <c r="T208" s="549" cm="1">
        <f t="array" ref="T208">-SUMPRODUCT('W2'!$M$12:$V$112*('W2'!$M$7:$V$7=$A208)*('W2'!$A$12:$A$112=$B208))*$H$10*POWER(1+Inflation,T$11+1)</f>
        <v>-776.71943330625015</v>
      </c>
      <c r="U208" s="549" cm="1">
        <f t="array" ref="U208">-SUMPRODUCT('W2'!$M$12:$V$112*('W2'!$M$7:$V$7=$A208)*('W2'!$A$12:$A$112=$B208))*$H$10*POWER(1+Inflation,U$11+1)</f>
        <v>-815.55540497156255</v>
      </c>
      <c r="V208" s="549" cm="1">
        <f t="array" ref="V208">-SUMPRODUCT('W2'!$M$12:$V$112*('W2'!$M$7:$V$7=$A208)*('W2'!$A$12:$A$112=$B208))*$H$10*POWER(1+Inflation,V$11+1)</f>
        <v>-856.33317522014067</v>
      </c>
      <c r="W208" s="549" cm="1">
        <f t="array" ref="W208">-SUMPRODUCT('W2'!$M$12:$V$112*('W2'!$M$7:$V$7=$A208)*('W2'!$A$12:$A$112=$B208))*$H$10*POWER(1+Inflation,W$11+1)</f>
        <v>-899.14983398114771</v>
      </c>
      <c r="X208" s="549" cm="1">
        <f t="array" ref="X208">-SUMPRODUCT('W2'!$M$12:$V$112*('W2'!$M$7:$V$7=$A208)*('W2'!$A$12:$A$112=$B208))*$H$10*POWER(1+Inflation,X$11+1)</f>
        <v>-944.10732568020524</v>
      </c>
      <c r="Y208" s="549" cm="1">
        <f t="array" ref="Y208">-SUMPRODUCT('W2'!$M$12:$V$112*('W2'!$M$7:$V$7=$A208)*('W2'!$A$12:$A$112=$B208))*$H$10*POWER(1+Inflation,Y$11+1)</f>
        <v>-991.31269196421533</v>
      </c>
      <c r="Z208" s="549" cm="1">
        <f t="array" ref="Z208">-SUMPRODUCT('W2'!$M$12:$V$112*('W2'!$M$7:$V$7=$A208)*('W2'!$A$12:$A$112=$B208))*$H$10*POWER(1+Inflation,Z$11+1)</f>
        <v>-1040.8783265624263</v>
      </c>
      <c r="AA208" s="549"/>
      <c r="AB208" s="549"/>
      <c r="AC208" s="549"/>
      <c r="AD208" s="549"/>
      <c r="AE208" s="549"/>
      <c r="AF208" s="549"/>
      <c r="AG208" s="549"/>
      <c r="AH208" s="549"/>
      <c r="AI208" s="549"/>
      <c r="AJ208" s="549"/>
    </row>
    <row r="209" spans="1:36" outlineLevel="1" x14ac:dyDescent="0.25">
      <c r="A209" t="s">
        <v>423</v>
      </c>
      <c r="B209" t="s">
        <v>521</v>
      </c>
      <c r="H209" s="454" t="s">
        <v>520</v>
      </c>
      <c r="I209" s="496" t="str">
        <f t="shared" si="218"/>
        <v>tr. VND</v>
      </c>
      <c r="K209" s="549"/>
      <c r="L209" s="549" cm="1">
        <f t="array" ref="L209">-SUMPRODUCT('W2'!$M$12:$V$112*('W2'!$M$7:$V$7=$A209)*('W2'!$A$12:$A$112=$B209))*$H$10</f>
        <v>-901.49959999999999</v>
      </c>
      <c r="M209" s="549" cm="1">
        <f t="array" ref="M209">-SUMPRODUCT('W2'!$M$12:$V$112*('W2'!$M$7:$V$7=$A209)*('W2'!$A$12:$A$112=$B209))*$H$10</f>
        <v>-901.49959999999999</v>
      </c>
      <c r="N209" s="549" cm="1">
        <f t="array" ref="N209">-SUMPRODUCT('W2'!$M$12:$V$112*('W2'!$M$7:$V$7=$A209)*('W2'!$A$12:$A$112=$B209))*$H$10</f>
        <v>-901.49959999999999</v>
      </c>
      <c r="O209" s="549" cm="1">
        <f t="array" ref="O209">-SUMPRODUCT('W2'!$M$12:$V$112*('W2'!$M$7:$V$7=$A209)*('W2'!$A$12:$A$112=$B209))*$H$10</f>
        <v>-901.49959999999999</v>
      </c>
      <c r="P209" s="549" cm="1">
        <f t="array" ref="P209">-SUMPRODUCT('W2'!$M$12:$V$112*('W2'!$M$7:$V$7=$A209)*('W2'!$A$12:$A$112=$B209))*$H$10</f>
        <v>-901.49959999999999</v>
      </c>
      <c r="Q209" s="549" cm="1">
        <f t="array" ref="Q209">-SUMPRODUCT('W2'!$M$12:$V$112*('W2'!$M$7:$V$7=$A209)*('W2'!$A$12:$A$112=$B209))*$H$10</f>
        <v>-901.49959999999999</v>
      </c>
      <c r="R209" s="549" cm="1">
        <f t="array" ref="R209">-SUMPRODUCT('W2'!$M$12:$V$112*('W2'!$M$7:$V$7=$A209)*('W2'!$A$12:$A$112=$B209))*$H$10</f>
        <v>-901.49959999999999</v>
      </c>
      <c r="S209" s="549" cm="1">
        <f t="array" ref="S209">-SUMPRODUCT('W2'!$M$12:$V$112*('W2'!$M$7:$V$7=$A209)*('W2'!$A$12:$A$112=$B209))*$H$10</f>
        <v>-901.49959999999999</v>
      </c>
      <c r="T209" s="549" cm="1">
        <f t="array" ref="T209">-SUMPRODUCT('W2'!$M$12:$V$112*('W2'!$M$7:$V$7=$A209)*('W2'!$A$12:$A$112=$B209))*$H$10</f>
        <v>-901.49959999999999</v>
      </c>
      <c r="U209" s="549" cm="1">
        <f t="array" ref="U209">-SUMPRODUCT('W2'!$M$12:$V$112*('W2'!$M$7:$V$7=$A209)*('W2'!$A$12:$A$112=$B209))*$H$10</f>
        <v>-901.49959999999999</v>
      </c>
      <c r="V209" s="549" cm="1">
        <f t="array" ref="V209">-SUMPRODUCT('W2'!$M$12:$V$112*('W2'!$M$7:$V$7=$A209)*('W2'!$A$12:$A$112=$B209))*$H$10</f>
        <v>-901.49959999999999</v>
      </c>
      <c r="W209" s="549" cm="1">
        <f t="array" ref="W209">-SUMPRODUCT('W2'!$M$12:$V$112*('W2'!$M$7:$V$7=$A209)*('W2'!$A$12:$A$112=$B209))*$H$10</f>
        <v>-901.49959999999999</v>
      </c>
      <c r="X209" s="549" cm="1">
        <f t="array" ref="X209">-SUMPRODUCT('W2'!$M$12:$V$112*('W2'!$M$7:$V$7=$A209)*('W2'!$A$12:$A$112=$B209))*$H$10</f>
        <v>-901.49959999999999</v>
      </c>
      <c r="Y209" s="549" cm="1">
        <f t="array" ref="Y209">-SUMPRODUCT('W2'!$M$12:$V$112*('W2'!$M$7:$V$7=$A209)*('W2'!$A$12:$A$112=$B209))*$H$10</f>
        <v>-901.49959999999999</v>
      </c>
      <c r="Z209" s="549" cm="1">
        <f t="array" ref="Z209">-SUMPRODUCT('W2'!$M$12:$V$112*('W2'!$M$7:$V$7=$A209)*('W2'!$A$12:$A$112=$B209))*$H$10</f>
        <v>-901.49959999999999</v>
      </c>
      <c r="AA209" s="549"/>
      <c r="AB209" s="549"/>
      <c r="AC209" s="549"/>
      <c r="AD209" s="549"/>
      <c r="AE209" s="549"/>
      <c r="AF209" s="549"/>
      <c r="AG209" s="549"/>
      <c r="AH209" s="549"/>
      <c r="AI209" s="549"/>
      <c r="AJ209" s="549"/>
    </row>
    <row r="210" spans="1:36" x14ac:dyDescent="0.25">
      <c r="A210" t="s">
        <v>423</v>
      </c>
      <c r="K210" s="243"/>
      <c r="L210" s="243"/>
      <c r="M210" s="243"/>
      <c r="N210" s="243"/>
      <c r="O210" s="243"/>
      <c r="P210" s="243"/>
      <c r="Q210" s="243"/>
      <c r="R210" s="243"/>
      <c r="S210" s="243"/>
      <c r="T210" s="243"/>
      <c r="U210" s="243"/>
      <c r="V210" s="243"/>
      <c r="W210" s="243"/>
      <c r="X210" s="243"/>
      <c r="Y210" s="243"/>
      <c r="Z210" s="243"/>
      <c r="AA210" s="243"/>
      <c r="AB210" s="243"/>
      <c r="AC210" s="243"/>
      <c r="AD210" s="243"/>
      <c r="AE210" s="243"/>
      <c r="AF210" s="243"/>
      <c r="AG210" s="243"/>
      <c r="AH210" s="243"/>
      <c r="AI210" s="243"/>
      <c r="AJ210" s="243"/>
    </row>
    <row r="211" spans="1:36" s="1" customFormat="1" x14ac:dyDescent="0.25">
      <c r="A211" s="1" t="s">
        <v>423</v>
      </c>
      <c r="H211" s="266" t="s">
        <v>435</v>
      </c>
      <c r="I211" s="267" t="str">
        <f t="shared" ref="I211:I214" si="222">IF($H$9="USD","USD","tr. VND")</f>
        <v>tr. VND</v>
      </c>
      <c r="K211" s="269">
        <f>K212+K215+K218</f>
        <v>0</v>
      </c>
      <c r="L211" s="269">
        <f t="shared" ref="L211:AJ211" si="223">L212+L215+L218</f>
        <v>-92746.065303826777</v>
      </c>
      <c r="M211" s="269">
        <f t="shared" si="223"/>
        <v>-129045.29243442416</v>
      </c>
      <c r="N211" s="269">
        <f t="shared" si="223"/>
        <v>-187617.60190480959</v>
      </c>
      <c r="O211" s="269">
        <f t="shared" si="223"/>
        <v>-191847.4979197002</v>
      </c>
      <c r="P211" s="269">
        <f t="shared" si="223"/>
        <v>-196187.14761304564</v>
      </c>
      <c r="Q211" s="269">
        <f t="shared" si="223"/>
        <v>-200640.00384632294</v>
      </c>
      <c r="R211" s="269">
        <f t="shared" si="223"/>
        <v>-205209.65142763397</v>
      </c>
      <c r="S211" s="269">
        <f t="shared" si="223"/>
        <v>-209899.81289510772</v>
      </c>
      <c r="T211" s="269">
        <f t="shared" si="223"/>
        <v>-214714.35457319432</v>
      </c>
      <c r="U211" s="269">
        <f t="shared" si="223"/>
        <v>-219657.29291516927</v>
      </c>
      <c r="V211" s="269">
        <f t="shared" si="223"/>
        <v>-224732.80114582658</v>
      </c>
      <c r="W211" s="269">
        <f t="shared" si="223"/>
        <v>-229945.21621903207</v>
      </c>
      <c r="X211" s="269">
        <f t="shared" si="223"/>
        <v>-234296.54677220009</v>
      </c>
      <c r="Y211" s="269">
        <f t="shared" si="223"/>
        <v>-239796.47809385488</v>
      </c>
      <c r="Z211" s="269">
        <f t="shared" si="223"/>
        <v>-245447.38412123729</v>
      </c>
      <c r="AA211" s="269"/>
      <c r="AB211" s="269"/>
      <c r="AC211" s="269"/>
      <c r="AD211" s="269"/>
      <c r="AE211" s="269"/>
      <c r="AF211" s="269"/>
      <c r="AG211" s="269"/>
      <c r="AH211" s="269"/>
      <c r="AI211" s="269"/>
      <c r="AJ211" s="269"/>
    </row>
    <row r="212" spans="1:36" outlineLevel="1" x14ac:dyDescent="0.25">
      <c r="A212" t="s">
        <v>423</v>
      </c>
      <c r="H212" s="636" t="s">
        <v>454</v>
      </c>
      <c r="I212" s="637" t="str">
        <f t="shared" si="222"/>
        <v>tr. VND</v>
      </c>
      <c r="K212" s="638">
        <f>SUM(K213:K214)</f>
        <v>0</v>
      </c>
      <c r="L212" s="638">
        <f t="shared" ref="L212:AJ212" si="224">SUM(L213:L214)</f>
        <v>-83121.831936000002</v>
      </c>
      <c r="M212" s="638">
        <f t="shared" si="224"/>
        <v>-116370.56471040001</v>
      </c>
      <c r="N212" s="638">
        <f t="shared" si="224"/>
        <v>-169568.53714944003</v>
      </c>
      <c r="O212" s="638">
        <f t="shared" si="224"/>
        <v>-172959.90789242883</v>
      </c>
      <c r="P212" s="638">
        <f t="shared" si="224"/>
        <v>-176419.10605027739</v>
      </c>
      <c r="Q212" s="638">
        <f t="shared" si="224"/>
        <v>-179947.48817128292</v>
      </c>
      <c r="R212" s="638">
        <f t="shared" si="224"/>
        <v>-183546.43793470861</v>
      </c>
      <c r="S212" s="638">
        <f t="shared" si="224"/>
        <v>-187217.36669340279</v>
      </c>
      <c r="T212" s="638">
        <f t="shared" si="224"/>
        <v>-190961.71402727079</v>
      </c>
      <c r="U212" s="638">
        <f t="shared" si="224"/>
        <v>-194780.9483078162</v>
      </c>
      <c r="V212" s="638">
        <f t="shared" si="224"/>
        <v>-198676.56727397256</v>
      </c>
      <c r="W212" s="638">
        <f t="shared" si="224"/>
        <v>-202650.09861945201</v>
      </c>
      <c r="X212" s="638">
        <f t="shared" si="224"/>
        <v>-206703.10059184101</v>
      </c>
      <c r="Y212" s="638">
        <f t="shared" si="224"/>
        <v>-210837.16260367786</v>
      </c>
      <c r="Z212" s="638">
        <f t="shared" si="224"/>
        <v>-215053.90585575142</v>
      </c>
      <c r="AA212" s="638"/>
      <c r="AB212" s="638"/>
      <c r="AC212" s="638"/>
      <c r="AD212" s="638"/>
      <c r="AE212" s="638"/>
      <c r="AF212" s="638"/>
      <c r="AG212" s="638"/>
      <c r="AH212" s="638"/>
      <c r="AI212" s="638"/>
      <c r="AJ212" s="638"/>
    </row>
    <row r="213" spans="1:36" s="299" customFormat="1" outlineLevel="1" x14ac:dyDescent="0.25">
      <c r="A213" s="299" t="s">
        <v>423</v>
      </c>
      <c r="B213" s="299" t="s">
        <v>459</v>
      </c>
      <c r="H213" s="553" t="s">
        <v>167</v>
      </c>
      <c r="I213" s="554" t="str">
        <f t="shared" si="222"/>
        <v>tr. VND</v>
      </c>
      <c r="K213" s="555"/>
      <c r="L213" s="555" cm="1">
        <f t="array" ref="L213">-SUMPRODUCT('W2'!$M$12:$V$112*('W2'!$M$7:$V$7=$A213)*('W2'!$A$12:$A$112=$B213))*L190*$H$10*POWER(1+INDEX('Cover Page'!$H$8:$AJ$8,MATCH($A213,'Cover Page'!$H$5:$AJ$5,0)),1+L$13)</f>
        <v>-77303.303700479999</v>
      </c>
      <c r="M213" s="555" cm="1">
        <f t="array" ref="M213">-SUMPRODUCT('W2'!$M$12:$V$112*('W2'!$M$7:$V$7=$A213)*('W2'!$A$12:$A$112=$B213))*M190*$H$10*POWER(1+INDEX('Cover Page'!$H$8:$AJ$8,MATCH($A213,'Cover Page'!$H$5:$AJ$5,0)),1+M$13)</f>
        <v>-108224.625180672</v>
      </c>
      <c r="N213" s="555" cm="1">
        <f t="array" ref="N213">-SUMPRODUCT('W2'!$M$12:$V$112*('W2'!$M$7:$V$7=$A213)*('W2'!$A$12:$A$112=$B213))*N190*$H$10*POWER(1+INDEX('Cover Page'!$H$8:$AJ$8,MATCH($A213,'Cover Page'!$H$5:$AJ$5,0)),1+N$13)</f>
        <v>-157698.73954897921</v>
      </c>
      <c r="O213" s="555" cm="1">
        <f t="array" ref="O213">-SUMPRODUCT('W2'!$M$12:$V$112*('W2'!$M$7:$V$7=$A213)*('W2'!$A$12:$A$112=$B213))*O190*$H$10*POWER(1+INDEX('Cover Page'!$H$8:$AJ$8,MATCH($A213,'Cover Page'!$H$5:$AJ$5,0)),1+O$13)</f>
        <v>-160852.71433995879</v>
      </c>
      <c r="P213" s="555" cm="1">
        <f t="array" ref="P213">-SUMPRODUCT('W2'!$M$12:$V$112*('W2'!$M$7:$V$7=$A213)*('W2'!$A$12:$A$112=$B213))*P190*$H$10*POWER(1+INDEX('Cover Page'!$H$8:$AJ$8,MATCH($A213,'Cover Page'!$H$5:$AJ$5,0)),1+P$13)</f>
        <v>-164069.76862675796</v>
      </c>
      <c r="Q213" s="555" cm="1">
        <f t="array" ref="Q213">-SUMPRODUCT('W2'!$M$12:$V$112*('W2'!$M$7:$V$7=$A213)*('W2'!$A$12:$A$112=$B213))*Q190*$H$10*POWER(1+INDEX('Cover Page'!$H$8:$AJ$8,MATCH($A213,'Cover Page'!$H$5:$AJ$5,0)),1+Q$13)</f>
        <v>-167351.16399929312</v>
      </c>
      <c r="R213" s="555" cm="1">
        <f t="array" ref="R213">-SUMPRODUCT('W2'!$M$12:$V$112*('W2'!$M$7:$V$7=$A213)*('W2'!$A$12:$A$112=$B213))*R190*$H$10*POWER(1+INDEX('Cover Page'!$H$8:$AJ$8,MATCH($A213,'Cover Page'!$H$5:$AJ$5,0)),1+R$13)</f>
        <v>-170698.18727927899</v>
      </c>
      <c r="S213" s="555" cm="1">
        <f t="array" ref="S213">-SUMPRODUCT('W2'!$M$12:$V$112*('W2'!$M$7:$V$7=$A213)*('W2'!$A$12:$A$112=$B213))*S190*$H$10*POWER(1+INDEX('Cover Page'!$H$8:$AJ$8,MATCH($A213,'Cover Page'!$H$5:$AJ$5,0)),1+S$13)</f>
        <v>-174112.15102486458</v>
      </c>
      <c r="T213" s="555" cm="1">
        <f t="array" ref="T213">-SUMPRODUCT('W2'!$M$12:$V$112*('W2'!$M$7:$V$7=$A213)*('W2'!$A$12:$A$112=$B213))*T190*$H$10*POWER(1+INDEX('Cover Page'!$H$8:$AJ$8,MATCH($A213,'Cover Page'!$H$5:$AJ$5,0)),1+T$13)</f>
        <v>-177594.39404536181</v>
      </c>
      <c r="U213" s="555" cm="1">
        <f t="array" ref="U213">-SUMPRODUCT('W2'!$M$12:$V$112*('W2'!$M$7:$V$7=$A213)*('W2'!$A$12:$A$112=$B213))*U190*$H$10*POWER(1+INDEX('Cover Page'!$H$8:$AJ$8,MATCH($A213,'Cover Page'!$H$5:$AJ$5,0)),1+U$13)</f>
        <v>-181146.28192626906</v>
      </c>
      <c r="V213" s="555" cm="1">
        <f t="array" ref="V213">-SUMPRODUCT('W2'!$M$12:$V$112*('W2'!$M$7:$V$7=$A213)*('W2'!$A$12:$A$112=$B213))*V190*$H$10*POWER(1+INDEX('Cover Page'!$H$8:$AJ$8,MATCH($A213,'Cover Page'!$H$5:$AJ$5,0)),1+V$13)</f>
        <v>-184769.20756479446</v>
      </c>
      <c r="W213" s="555" cm="1">
        <f t="array" ref="W213">-SUMPRODUCT('W2'!$M$12:$V$112*('W2'!$M$7:$V$7=$A213)*('W2'!$A$12:$A$112=$B213))*W190*$H$10*POWER(1+INDEX('Cover Page'!$H$8:$AJ$8,MATCH($A213,'Cover Page'!$H$5:$AJ$5,0)),1+W$13)</f>
        <v>-188464.59171609036</v>
      </c>
      <c r="X213" s="555" cm="1">
        <f t="array" ref="X213">-SUMPRODUCT('W2'!$M$12:$V$112*('W2'!$M$7:$V$7=$A213)*('W2'!$A$12:$A$112=$B213))*X190*$H$10*POWER(1+INDEX('Cover Page'!$H$8:$AJ$8,MATCH($A213,'Cover Page'!$H$5:$AJ$5,0)),1+X$13)</f>
        <v>-192233.88355041214</v>
      </c>
      <c r="Y213" s="555" cm="1">
        <f t="array" ref="Y213">-SUMPRODUCT('W2'!$M$12:$V$112*('W2'!$M$7:$V$7=$A213)*('W2'!$A$12:$A$112=$B213))*Y190*$H$10*POWER(1+INDEX('Cover Page'!$H$8:$AJ$8,MATCH($A213,'Cover Page'!$H$5:$AJ$5,0)),1+Y$13)</f>
        <v>-196078.56122142039</v>
      </c>
      <c r="Z213" s="555" cm="1">
        <f t="array" ref="Z213">-SUMPRODUCT('W2'!$M$12:$V$112*('W2'!$M$7:$V$7=$A213)*('W2'!$A$12:$A$112=$B213))*Z190*$H$10*POWER(1+INDEX('Cover Page'!$H$8:$AJ$8,MATCH($A213,'Cover Page'!$H$5:$AJ$5,0)),1+Z$13)</f>
        <v>-200000.13244584881</v>
      </c>
      <c r="AA213" s="555"/>
      <c r="AB213" s="555"/>
      <c r="AC213" s="555"/>
      <c r="AD213" s="555"/>
      <c r="AE213" s="555"/>
      <c r="AF213" s="555"/>
      <c r="AG213" s="555"/>
      <c r="AH213" s="555"/>
      <c r="AI213" s="555"/>
      <c r="AJ213" s="555"/>
    </row>
    <row r="214" spans="1:36" s="299" customFormat="1" outlineLevel="1" x14ac:dyDescent="0.25">
      <c r="A214" s="299" t="s">
        <v>423</v>
      </c>
      <c r="H214" s="553" t="s">
        <v>203</v>
      </c>
      <c r="I214" s="554" t="str">
        <f t="shared" si="222"/>
        <v>tr. VND</v>
      </c>
      <c r="K214" s="639"/>
      <c r="L214" s="639">
        <f>L213/(1-L188)-L213</f>
        <v>-5818.5282355200034</v>
      </c>
      <c r="M214" s="639">
        <f t="shared" ref="M214:AJ214" si="225">M213/(1-M188)-M213</f>
        <v>-8145.9395297280134</v>
      </c>
      <c r="N214" s="639">
        <f t="shared" si="225"/>
        <v>-11869.797600460821</v>
      </c>
      <c r="O214" s="639">
        <f t="shared" si="225"/>
        <v>-12107.193552470038</v>
      </c>
      <c r="P214" s="639">
        <f t="shared" si="225"/>
        <v>-12349.337423519435</v>
      </c>
      <c r="Q214" s="639">
        <f t="shared" si="225"/>
        <v>-12596.324171989807</v>
      </c>
      <c r="R214" s="639">
        <f t="shared" si="225"/>
        <v>-12848.250655429612</v>
      </c>
      <c r="S214" s="639">
        <f t="shared" si="225"/>
        <v>-13105.215668538207</v>
      </c>
      <c r="T214" s="639">
        <f t="shared" si="225"/>
        <v>-13367.319981908979</v>
      </c>
      <c r="U214" s="639">
        <f t="shared" si="225"/>
        <v>-13634.66638154714</v>
      </c>
      <c r="V214" s="639">
        <f t="shared" si="225"/>
        <v>-13907.359709178098</v>
      </c>
      <c r="W214" s="639">
        <f t="shared" si="225"/>
        <v>-14185.506903361646</v>
      </c>
      <c r="X214" s="639">
        <f t="shared" si="225"/>
        <v>-14469.21704142887</v>
      </c>
      <c r="Y214" s="639">
        <f t="shared" si="225"/>
        <v>-14758.601382257475</v>
      </c>
      <c r="Z214" s="639">
        <f t="shared" si="225"/>
        <v>-15053.773409902613</v>
      </c>
      <c r="AA214" s="639"/>
      <c r="AB214" s="639"/>
      <c r="AC214" s="639"/>
      <c r="AD214" s="639"/>
      <c r="AE214" s="639"/>
      <c r="AF214" s="639"/>
      <c r="AG214" s="639"/>
      <c r="AH214" s="639"/>
      <c r="AI214" s="639"/>
      <c r="AJ214" s="639"/>
    </row>
    <row r="215" spans="1:36" outlineLevel="1" x14ac:dyDescent="0.25">
      <c r="A215" t="s">
        <v>423</v>
      </c>
      <c r="H215" s="454" t="s">
        <v>676</v>
      </c>
      <c r="I215" s="496" t="s">
        <v>672</v>
      </c>
      <c r="K215" s="616">
        <f t="shared" ref="K215:AJ215" si="226">SUM(K216:K217)</f>
        <v>0</v>
      </c>
      <c r="L215" s="616">
        <f t="shared" si="226"/>
        <v>-632.43325753344004</v>
      </c>
      <c r="M215" s="616">
        <f t="shared" si="226"/>
        <v>-885.40656054681608</v>
      </c>
      <c r="N215" s="616">
        <f t="shared" si="226"/>
        <v>-1328.1098408202242</v>
      </c>
      <c r="O215" s="616">
        <f t="shared" si="226"/>
        <v>-1394.5153328612353</v>
      </c>
      <c r="P215" s="616">
        <f t="shared" si="226"/>
        <v>-1464.2410995042972</v>
      </c>
      <c r="Q215" s="616">
        <f t="shared" si="226"/>
        <v>-1537.453154479512</v>
      </c>
      <c r="R215" s="616">
        <f t="shared" si="226"/>
        <v>-1614.3258122034877</v>
      </c>
      <c r="S215" s="616">
        <f t="shared" si="226"/>
        <v>-1695.0421028136618</v>
      </c>
      <c r="T215" s="616">
        <f t="shared" si="226"/>
        <v>-1779.7942079543452</v>
      </c>
      <c r="U215" s="616">
        <f t="shared" si="226"/>
        <v>-1868.7839183520623</v>
      </c>
      <c r="V215" s="616">
        <f t="shared" si="226"/>
        <v>-1962.2231142696655</v>
      </c>
      <c r="W215" s="616">
        <f t="shared" si="226"/>
        <v>-2060.3342699831487</v>
      </c>
      <c r="X215" s="616">
        <f t="shared" si="226"/>
        <v>-2163.3509834823062</v>
      </c>
      <c r="Y215" s="616">
        <f t="shared" si="226"/>
        <v>-2271.5185326564215</v>
      </c>
      <c r="Z215" s="616">
        <f t="shared" si="226"/>
        <v>-2385.0944592892429</v>
      </c>
      <c r="AA215" s="616"/>
      <c r="AB215" s="616"/>
      <c r="AC215" s="616"/>
      <c r="AD215" s="616"/>
      <c r="AE215" s="616"/>
      <c r="AF215" s="616"/>
      <c r="AG215" s="616"/>
      <c r="AH215" s="616"/>
      <c r="AI215" s="616"/>
      <c r="AJ215" s="616"/>
    </row>
    <row r="216" spans="1:36" s="299" customFormat="1" outlineLevel="1" x14ac:dyDescent="0.25">
      <c r="A216" s="299" t="s">
        <v>423</v>
      </c>
      <c r="B216" s="299" t="s">
        <v>667</v>
      </c>
      <c r="H216" s="553" t="s">
        <v>673</v>
      </c>
      <c r="I216" s="554" t="s">
        <v>672</v>
      </c>
      <c r="K216" s="555"/>
      <c r="L216" s="555" cm="1">
        <f t="array" ref="L216">-SUMPRODUCT('W2'!$M$12:$V$112*('W2'!$M$7:$V$7=$A216)*('W2'!$A$12:$A$112=$B216))*L196*$H$10*POWER(1+Inflation,L$11+1)</f>
        <v>-632.43325753344004</v>
      </c>
      <c r="M216" s="555" cm="1">
        <f t="array" ref="M216">-SUMPRODUCT('W2'!$M$12:$V$112*('W2'!$M$7:$V$7=$A216)*('W2'!$A$12:$A$112=$B216))*M196*$H$10*POWER(1+Inflation,M$11+1)</f>
        <v>-885.40656054681608</v>
      </c>
      <c r="N216" s="555" cm="1">
        <f t="array" ref="N216">-SUMPRODUCT('W2'!$M$12:$V$112*('W2'!$M$7:$V$7=$A216)*('W2'!$A$12:$A$112=$B216))*N196*$H$10*POWER(1+Inflation,N$11+1)</f>
        <v>-1328.1098408202242</v>
      </c>
      <c r="O216" s="555" cm="1">
        <f t="array" ref="O216">-SUMPRODUCT('W2'!$M$12:$V$112*('W2'!$M$7:$V$7=$A216)*('W2'!$A$12:$A$112=$B216))*O196*$H$10*POWER(1+Inflation,O$11+1)</f>
        <v>-1394.5153328612353</v>
      </c>
      <c r="P216" s="555" cm="1">
        <f t="array" ref="P216">-SUMPRODUCT('W2'!$M$12:$V$112*('W2'!$M$7:$V$7=$A216)*('W2'!$A$12:$A$112=$B216))*P196*$H$10*POWER(1+Inflation,P$11+1)</f>
        <v>-1464.2410995042972</v>
      </c>
      <c r="Q216" s="555" cm="1">
        <f t="array" ref="Q216">-SUMPRODUCT('W2'!$M$12:$V$112*('W2'!$M$7:$V$7=$A216)*('W2'!$A$12:$A$112=$B216))*Q196*$H$10*POWER(1+Inflation,Q$11+1)</f>
        <v>-1537.453154479512</v>
      </c>
      <c r="R216" s="555" cm="1">
        <f t="array" ref="R216">-SUMPRODUCT('W2'!$M$12:$V$112*('W2'!$M$7:$V$7=$A216)*('W2'!$A$12:$A$112=$B216))*R196*$H$10*POWER(1+Inflation,R$11+1)</f>
        <v>-1614.3258122034877</v>
      </c>
      <c r="S216" s="555" cm="1">
        <f t="array" ref="S216">-SUMPRODUCT('W2'!$M$12:$V$112*('W2'!$M$7:$V$7=$A216)*('W2'!$A$12:$A$112=$B216))*S196*$H$10*POWER(1+Inflation,S$11+1)</f>
        <v>-1695.0421028136618</v>
      </c>
      <c r="T216" s="555" cm="1">
        <f t="array" ref="T216">-SUMPRODUCT('W2'!$M$12:$V$112*('W2'!$M$7:$V$7=$A216)*('W2'!$A$12:$A$112=$B216))*T196*$H$10*POWER(1+Inflation,T$11+1)</f>
        <v>-1779.7942079543452</v>
      </c>
      <c r="U216" s="555" cm="1">
        <f t="array" ref="U216">-SUMPRODUCT('W2'!$M$12:$V$112*('W2'!$M$7:$V$7=$A216)*('W2'!$A$12:$A$112=$B216))*U196*$H$10*POWER(1+Inflation,U$11+1)</f>
        <v>-1868.7839183520623</v>
      </c>
      <c r="V216" s="555" cm="1">
        <f t="array" ref="V216">-SUMPRODUCT('W2'!$M$12:$V$112*('W2'!$M$7:$V$7=$A216)*('W2'!$A$12:$A$112=$B216))*V196*$H$10*POWER(1+Inflation,V$11+1)</f>
        <v>-1962.2231142696655</v>
      </c>
      <c r="W216" s="555" cm="1">
        <f t="array" ref="W216">-SUMPRODUCT('W2'!$M$12:$V$112*('W2'!$M$7:$V$7=$A216)*('W2'!$A$12:$A$112=$B216))*W196*$H$10*POWER(1+Inflation,W$11+1)</f>
        <v>-2060.3342699831487</v>
      </c>
      <c r="X216" s="555" cm="1">
        <f t="array" ref="X216">-SUMPRODUCT('W2'!$M$12:$V$112*('W2'!$M$7:$V$7=$A216)*('W2'!$A$12:$A$112=$B216))*X196*$H$10*POWER(1+Inflation,X$11+1)</f>
        <v>-2163.3509834823062</v>
      </c>
      <c r="Y216" s="555" cm="1">
        <f t="array" ref="Y216">-SUMPRODUCT('W2'!$M$12:$V$112*('W2'!$M$7:$V$7=$A216)*('W2'!$A$12:$A$112=$B216))*Y196*$H$10*POWER(1+Inflation,Y$11+1)</f>
        <v>-2271.5185326564215</v>
      </c>
      <c r="Z216" s="555" cm="1">
        <f t="array" ref="Z216">-SUMPRODUCT('W2'!$M$12:$V$112*('W2'!$M$7:$V$7=$A216)*('W2'!$A$12:$A$112=$B216))*Z196*$H$10*POWER(1+Inflation,Z$11+1)</f>
        <v>-2385.0944592892429</v>
      </c>
      <c r="AA216" s="555"/>
      <c r="AB216" s="555"/>
      <c r="AC216" s="555"/>
      <c r="AD216" s="555"/>
      <c r="AE216" s="555"/>
      <c r="AF216" s="555"/>
      <c r="AG216" s="555"/>
      <c r="AH216" s="555"/>
      <c r="AI216" s="555"/>
      <c r="AJ216" s="555"/>
    </row>
    <row r="217" spans="1:36" s="299" customFormat="1" outlineLevel="1" x14ac:dyDescent="0.25">
      <c r="A217" s="299" t="s">
        <v>423</v>
      </c>
      <c r="B217" s="299" t="s">
        <v>668</v>
      </c>
      <c r="H217" s="553" t="s">
        <v>674</v>
      </c>
      <c r="I217" s="554" t="s">
        <v>672</v>
      </c>
      <c r="K217" s="555"/>
      <c r="L217" s="555" cm="1">
        <f t="array" ref="L217">-SUMPRODUCT('W2'!$M$12:$V$112*('W2'!$M$7:$V$7=$A217)*('W2'!$A$12:$A$112=$B217))*L197*$H$10*POWER(1+Inflation,L$11+1)</f>
        <v>0</v>
      </c>
      <c r="M217" s="555" cm="1">
        <f t="array" ref="M217">-SUMPRODUCT('W2'!$M$12:$V$112*('W2'!$M$7:$V$7=$A217)*('W2'!$A$12:$A$112=$B217))*M197*$H$10*POWER(1+Inflation,M$11+1)</f>
        <v>0</v>
      </c>
      <c r="N217" s="555" cm="1">
        <f t="array" ref="N217">-SUMPRODUCT('W2'!$M$12:$V$112*('W2'!$M$7:$V$7=$A217)*('W2'!$A$12:$A$112=$B217))*N197*$H$10*POWER(1+Inflation,N$11+1)</f>
        <v>0</v>
      </c>
      <c r="O217" s="555" cm="1">
        <f t="array" ref="O217">-SUMPRODUCT('W2'!$M$12:$V$112*('W2'!$M$7:$V$7=$A217)*('W2'!$A$12:$A$112=$B217))*O197*$H$10*POWER(1+Inflation,O$11+1)</f>
        <v>0</v>
      </c>
      <c r="P217" s="555" cm="1">
        <f t="array" ref="P217">-SUMPRODUCT('W2'!$M$12:$V$112*('W2'!$M$7:$V$7=$A217)*('W2'!$A$12:$A$112=$B217))*P197*$H$10*POWER(1+Inflation,P$11+1)</f>
        <v>0</v>
      </c>
      <c r="Q217" s="555" cm="1">
        <f t="array" ref="Q217">-SUMPRODUCT('W2'!$M$12:$V$112*('W2'!$M$7:$V$7=$A217)*('W2'!$A$12:$A$112=$B217))*Q197*$H$10*POWER(1+Inflation,Q$11+1)</f>
        <v>0</v>
      </c>
      <c r="R217" s="555" cm="1">
        <f t="array" ref="R217">-SUMPRODUCT('W2'!$M$12:$V$112*('W2'!$M$7:$V$7=$A217)*('W2'!$A$12:$A$112=$B217))*R197*$H$10*POWER(1+Inflation,R$11+1)</f>
        <v>0</v>
      </c>
      <c r="S217" s="555" cm="1">
        <f t="array" ref="S217">-SUMPRODUCT('W2'!$M$12:$V$112*('W2'!$M$7:$V$7=$A217)*('W2'!$A$12:$A$112=$B217))*S197*$H$10*POWER(1+Inflation,S$11+1)</f>
        <v>0</v>
      </c>
      <c r="T217" s="555" cm="1">
        <f t="array" ref="T217">-SUMPRODUCT('W2'!$M$12:$V$112*('W2'!$M$7:$V$7=$A217)*('W2'!$A$12:$A$112=$B217))*T197*$H$10*POWER(1+Inflation,T$11+1)</f>
        <v>0</v>
      </c>
      <c r="U217" s="555" cm="1">
        <f t="array" ref="U217">-SUMPRODUCT('W2'!$M$12:$V$112*('W2'!$M$7:$V$7=$A217)*('W2'!$A$12:$A$112=$B217))*U197*$H$10*POWER(1+Inflation,U$11+1)</f>
        <v>0</v>
      </c>
      <c r="V217" s="555" cm="1">
        <f t="array" ref="V217">-SUMPRODUCT('W2'!$M$12:$V$112*('W2'!$M$7:$V$7=$A217)*('W2'!$A$12:$A$112=$B217))*V197*$H$10*POWER(1+Inflation,V$11+1)</f>
        <v>0</v>
      </c>
      <c r="W217" s="555" cm="1">
        <f t="array" ref="W217">-SUMPRODUCT('W2'!$M$12:$V$112*('W2'!$M$7:$V$7=$A217)*('W2'!$A$12:$A$112=$B217))*W197*$H$10*POWER(1+Inflation,W$11+1)</f>
        <v>0</v>
      </c>
      <c r="X217" s="555" cm="1">
        <f t="array" ref="X217">-SUMPRODUCT('W2'!$M$12:$V$112*('W2'!$M$7:$V$7=$A217)*('W2'!$A$12:$A$112=$B217))*X197*$H$10*POWER(1+Inflation,X$11+1)</f>
        <v>0</v>
      </c>
      <c r="Y217" s="555" cm="1">
        <f t="array" ref="Y217">-SUMPRODUCT('W2'!$M$12:$V$112*('W2'!$M$7:$V$7=$A217)*('W2'!$A$12:$A$112=$B217))*Y197*$H$10*POWER(1+Inflation,Y$11+1)</f>
        <v>0</v>
      </c>
      <c r="Z217" s="555" cm="1">
        <f t="array" ref="Z217">-SUMPRODUCT('W2'!$M$12:$V$112*('W2'!$M$7:$V$7=$A217)*('W2'!$A$12:$A$112=$B217))*Z197*$H$10*POWER(1+Inflation,Z$11+1)</f>
        <v>0</v>
      </c>
      <c r="AA217" s="555"/>
      <c r="AB217" s="555"/>
      <c r="AC217" s="555"/>
      <c r="AD217" s="555"/>
      <c r="AE217" s="555"/>
      <c r="AF217" s="555"/>
      <c r="AG217" s="555"/>
      <c r="AH217" s="555"/>
      <c r="AI217" s="555"/>
      <c r="AJ217" s="555"/>
    </row>
    <row r="218" spans="1:36" outlineLevel="1" x14ac:dyDescent="0.25">
      <c r="A218" t="s">
        <v>423</v>
      </c>
      <c r="H218" s="454" t="s">
        <v>180</v>
      </c>
      <c r="I218" s="496" t="str">
        <f t="shared" ref="I218:I221" si="227">IF($H$9="USD","USD","tr. VND")</f>
        <v>tr. VND</v>
      </c>
      <c r="K218" s="616">
        <f>SUM(K219:K221)</f>
        <v>0</v>
      </c>
      <c r="L218" s="616">
        <f>SUM(L219:L221)</f>
        <v>-8991.800110293334</v>
      </c>
      <c r="M218" s="616">
        <f t="shared" ref="M218:AJ218" si="228">SUM(M219:M221)</f>
        <v>-11789.321163477332</v>
      </c>
      <c r="N218" s="616">
        <f t="shared" si="228"/>
        <v>-16720.954914549333</v>
      </c>
      <c r="O218" s="616">
        <f t="shared" si="228"/>
        <v>-17493.074694410134</v>
      </c>
      <c r="P218" s="616">
        <f t="shared" si="228"/>
        <v>-18303.800463263975</v>
      </c>
      <c r="Q218" s="616">
        <f t="shared" si="228"/>
        <v>-19155.062520560507</v>
      </c>
      <c r="R218" s="616">
        <f t="shared" si="228"/>
        <v>-20048.887680721866</v>
      </c>
      <c r="S218" s="616">
        <f t="shared" si="228"/>
        <v>-20987.404098891289</v>
      </c>
      <c r="T218" s="616">
        <f t="shared" si="228"/>
        <v>-21972.846337969193</v>
      </c>
      <c r="U218" s="616">
        <f t="shared" si="228"/>
        <v>-23007.560689000984</v>
      </c>
      <c r="V218" s="616">
        <f t="shared" si="228"/>
        <v>-24094.010757584365</v>
      </c>
      <c r="W218" s="616">
        <f t="shared" si="228"/>
        <v>-25234.783329596918</v>
      </c>
      <c r="X218" s="616">
        <f t="shared" si="228"/>
        <v>-25430.095196876766</v>
      </c>
      <c r="Y218" s="616">
        <f t="shared" si="228"/>
        <v>-26687.796957520601</v>
      </c>
      <c r="Z218" s="616">
        <f t="shared" si="228"/>
        <v>-28008.383806196634</v>
      </c>
      <c r="AA218" s="616"/>
      <c r="AB218" s="616"/>
      <c r="AC218" s="616"/>
      <c r="AD218" s="616"/>
      <c r="AE218" s="616"/>
      <c r="AF218" s="616"/>
      <c r="AG218" s="616"/>
      <c r="AH218" s="616"/>
      <c r="AI218" s="616"/>
      <c r="AJ218" s="616"/>
    </row>
    <row r="219" spans="1:36" s="299" customFormat="1" outlineLevel="1" x14ac:dyDescent="0.25">
      <c r="A219" s="299" t="s">
        <v>423</v>
      </c>
      <c r="B219" s="299" t="s">
        <v>174</v>
      </c>
      <c r="H219" s="553" t="s">
        <v>73</v>
      </c>
      <c r="I219" s="554" t="str">
        <f t="shared" si="227"/>
        <v>tr. VND</v>
      </c>
      <c r="K219" s="555"/>
      <c r="L219" s="555" cm="1">
        <f t="array" ref="L219">-SUMPRODUCT('W2'!$M$12:$V$112*('W2'!$M$7:$V$7=$A219)*('W2'!$A$12:$A$112=$B219))*L189*24*$H$10*POWER(1+Inflation,L$11+1)</f>
        <v>-5749.8011999999999</v>
      </c>
      <c r="M219" s="555" cm="1">
        <f t="array" ref="M219">-SUMPRODUCT('W2'!$M$12:$V$112*('W2'!$M$7:$V$7=$A219)*('W2'!$A$12:$A$112=$B219))*M189*24*$H$10*POWER(1+Inflation,M$11+1)</f>
        <v>-8049.7216799999978</v>
      </c>
      <c r="N219" s="555" cm="1">
        <f t="array" ref="N219">-SUMPRODUCT('W2'!$M$12:$V$112*('W2'!$M$7:$V$7=$A219)*('W2'!$A$12:$A$112=$B219))*N189*24*$H$10*POWER(1+Inflation,N$11+1)</f>
        <v>-12074.58252</v>
      </c>
      <c r="O219" s="555" cm="1">
        <f t="array" ref="O219">-SUMPRODUCT('W2'!$M$12:$V$112*('W2'!$M$7:$V$7=$A219)*('W2'!$A$12:$A$112=$B219))*O189*24*$H$10*POWER(1+Inflation,O$11+1)</f>
        <v>-12678.311646</v>
      </c>
      <c r="P219" s="555" cm="1">
        <f t="array" ref="P219">-SUMPRODUCT('W2'!$M$12:$V$112*('W2'!$M$7:$V$7=$A219)*('W2'!$A$12:$A$112=$B219))*P189*24*$H$10*POWER(1+Inflation,P$11+1)</f>
        <v>-13312.227228300002</v>
      </c>
      <c r="Q219" s="555" cm="1">
        <f t="array" ref="Q219">-SUMPRODUCT('W2'!$M$12:$V$112*('W2'!$M$7:$V$7=$A219)*('W2'!$A$12:$A$112=$B219))*Q189*24*$H$10*POWER(1+Inflation,Q$11+1)</f>
        <v>-13977.838589715</v>
      </c>
      <c r="R219" s="555" cm="1">
        <f t="array" ref="R219">-SUMPRODUCT('W2'!$M$12:$V$112*('W2'!$M$7:$V$7=$A219)*('W2'!$A$12:$A$112=$B219))*R189*24*$H$10*POWER(1+Inflation,R$11+1)</f>
        <v>-14676.730519200752</v>
      </c>
      <c r="S219" s="555" cm="1">
        <f t="array" ref="S219">-SUMPRODUCT('W2'!$M$12:$V$112*('W2'!$M$7:$V$7=$A219)*('W2'!$A$12:$A$112=$B219))*S189*24*$H$10*POWER(1+Inflation,S$11+1)</f>
        <v>-15410.567045160788</v>
      </c>
      <c r="T219" s="555" cm="1">
        <f t="array" ref="T219">-SUMPRODUCT('W2'!$M$12:$V$112*('W2'!$M$7:$V$7=$A219)*('W2'!$A$12:$A$112=$B219))*T189*24*$H$10*POWER(1+Inflation,T$11+1)</f>
        <v>-16181.095397418829</v>
      </c>
      <c r="U219" s="555" cm="1">
        <f t="array" ref="U219">-SUMPRODUCT('W2'!$M$12:$V$112*('W2'!$M$7:$V$7=$A219)*('W2'!$A$12:$A$112=$B219))*U189*24*$H$10*POWER(1+Inflation,U$11+1)</f>
        <v>-16990.150167289768</v>
      </c>
      <c r="V219" s="555" cm="1">
        <f t="array" ref="V219">-SUMPRODUCT('W2'!$M$12:$V$112*('W2'!$M$7:$V$7=$A219)*('W2'!$A$12:$A$112=$B219))*V189*24*$H$10*POWER(1+Inflation,V$11+1)</f>
        <v>-17839.657675654256</v>
      </c>
      <c r="W219" s="555" cm="1">
        <f t="array" ref="W219">-SUMPRODUCT('W2'!$M$12:$V$112*('W2'!$M$7:$V$7=$A219)*('W2'!$A$12:$A$112=$B219))*W189*24*$H$10*POWER(1+Inflation,W$11+1)</f>
        <v>-18731.640559436972</v>
      </c>
      <c r="X219" s="555" cm="1">
        <f t="array" ref="X219">-SUMPRODUCT('W2'!$M$12:$V$112*('W2'!$M$7:$V$7=$A219)*('W2'!$A$12:$A$112=$B219))*X189*24*$H$10*POWER(1+Inflation,X$11+1)</f>
        <v>-19668.222587408822</v>
      </c>
      <c r="Y219" s="555" cm="1">
        <f t="array" ref="Y219">-SUMPRODUCT('W2'!$M$12:$V$112*('W2'!$M$7:$V$7=$A219)*('W2'!$A$12:$A$112=$B219))*Y189*24*$H$10*POWER(1+Inflation,Y$11+1)</f>
        <v>-20651.633716779259</v>
      </c>
      <c r="Z219" s="555" cm="1">
        <f t="array" ref="Z219">-SUMPRODUCT('W2'!$M$12:$V$112*('W2'!$M$7:$V$7=$A219)*('W2'!$A$12:$A$112=$B219))*Z189*24*$H$10*POWER(1+Inflation,Z$11+1)</f>
        <v>-21684.215402618225</v>
      </c>
      <c r="AA219" s="555"/>
      <c r="AB219" s="555"/>
      <c r="AC219" s="555"/>
      <c r="AD219" s="555"/>
      <c r="AE219" s="555"/>
      <c r="AF219" s="555"/>
      <c r="AG219" s="555"/>
      <c r="AH219" s="555"/>
      <c r="AI219" s="555"/>
      <c r="AJ219" s="555"/>
    </row>
    <row r="220" spans="1:36" s="299" customFormat="1" outlineLevel="1" x14ac:dyDescent="0.25">
      <c r="A220" s="299" t="s">
        <v>423</v>
      </c>
      <c r="B220" s="299" t="s">
        <v>462</v>
      </c>
      <c r="H220" s="553" t="s">
        <v>192</v>
      </c>
      <c r="I220" s="554" t="str">
        <f t="shared" si="227"/>
        <v>tr. VND</v>
      </c>
      <c r="K220" s="555"/>
      <c r="L220" s="555" cm="1">
        <f t="array" ref="L220">-SUMPRODUCT('W2'!$M$12:$V$112*('W2'!$M$7:$V$7=$A220)*('W2'!$A$12:$A$112=$B220))*L190*$H$10*POWER(1+Inflation,L$11+1)</f>
        <v>-975.00902399999995</v>
      </c>
      <c r="M220" s="555" cm="1">
        <f t="array" ref="M220">-SUMPRODUCT('W2'!$M$12:$V$112*('W2'!$M$7:$V$7=$A220)*('W2'!$A$12:$A$112=$B220))*M190*$H$10*POWER(1+Inflation,M$11+1)</f>
        <v>-1365.0126335999998</v>
      </c>
      <c r="N220" s="555" cm="1">
        <f t="array" ref="N220">-SUMPRODUCT('W2'!$M$12:$V$112*('W2'!$M$7:$V$7=$A220)*('W2'!$A$12:$A$112=$B220))*N190*$H$10*POWER(1+Inflation,N$11+1)</f>
        <v>-2047.5189504</v>
      </c>
      <c r="O220" s="555" cm="1">
        <f t="array" ref="O220">-SUMPRODUCT('W2'!$M$12:$V$112*('W2'!$M$7:$V$7=$A220)*('W2'!$A$12:$A$112=$B220))*O190*$H$10*POWER(1+Inflation,O$11+1)</f>
        <v>-2149.8948979199999</v>
      </c>
      <c r="P220" s="555" cm="1">
        <f t="array" ref="P220">-SUMPRODUCT('W2'!$M$12:$V$112*('W2'!$M$7:$V$7=$A220)*('W2'!$A$12:$A$112=$B220))*P190*$H$10*POWER(1+Inflation,P$11+1)</f>
        <v>-2257.3896428160001</v>
      </c>
      <c r="Q220" s="555" cm="1">
        <f t="array" ref="Q220">-SUMPRODUCT('W2'!$M$12:$V$112*('W2'!$M$7:$V$7=$A220)*('W2'!$A$12:$A$112=$B220))*Q190*$H$10*POWER(1+Inflation,Q$11+1)</f>
        <v>-2370.2591249568</v>
      </c>
      <c r="R220" s="555" cm="1">
        <f t="array" ref="R220">-SUMPRODUCT('W2'!$M$12:$V$112*('W2'!$M$7:$V$7=$A220)*('W2'!$A$12:$A$112=$B220))*R190*$H$10*POWER(1+Inflation,R$11+1)</f>
        <v>-2488.77208120464</v>
      </c>
      <c r="S220" s="555" cm="1">
        <f t="array" ref="S220">-SUMPRODUCT('W2'!$M$12:$V$112*('W2'!$M$7:$V$7=$A220)*('W2'!$A$12:$A$112=$B220))*S190*$H$10*POWER(1+Inflation,S$11+1)</f>
        <v>-2613.2106852648717</v>
      </c>
      <c r="T220" s="555" cm="1">
        <f t="array" ref="T220">-SUMPRODUCT('W2'!$M$12:$V$112*('W2'!$M$7:$V$7=$A220)*('W2'!$A$12:$A$112=$B220))*T190*$H$10*POWER(1+Inflation,T$11+1)</f>
        <v>-2743.8712195281159</v>
      </c>
      <c r="U220" s="555" cm="1">
        <f t="array" ref="U220">-SUMPRODUCT('W2'!$M$12:$V$112*('W2'!$M$7:$V$7=$A220)*('W2'!$A$12:$A$112=$B220))*U190*$H$10*POWER(1+Inflation,U$11+1)</f>
        <v>-2881.0647805045214</v>
      </c>
      <c r="V220" s="555" cm="1">
        <f t="array" ref="V220">-SUMPRODUCT('W2'!$M$12:$V$112*('W2'!$M$7:$V$7=$A220)*('W2'!$A$12:$A$112=$B220))*V190*$H$10*POWER(1+Inflation,V$11+1)</f>
        <v>-3025.1180195297475</v>
      </c>
      <c r="W220" s="555" cm="1">
        <f t="array" ref="W220">-SUMPRODUCT('W2'!$M$12:$V$112*('W2'!$M$7:$V$7=$A220)*('W2'!$A$12:$A$112=$B220))*W190*$H$10*POWER(1+Inflation,W$11+1)</f>
        <v>-3176.3739205062352</v>
      </c>
      <c r="X220" s="555" cm="1">
        <f t="array" ref="X220">-SUMPRODUCT('W2'!$M$12:$V$112*('W2'!$M$7:$V$7=$A220)*('W2'!$A$12:$A$112=$B220))*X190*$H$10*POWER(1+Inflation,X$11+1)</f>
        <v>-3335.1926165315472</v>
      </c>
      <c r="Y220" s="555" cm="1">
        <f t="array" ref="Y220">-SUMPRODUCT('W2'!$M$12:$V$112*('W2'!$M$7:$V$7=$A220)*('W2'!$A$12:$A$112=$B220))*Y190*$H$10*POWER(1+Inflation,Y$11+1)</f>
        <v>-3501.9522473581237</v>
      </c>
      <c r="Z220" s="555" cm="1">
        <f t="array" ref="Z220">-SUMPRODUCT('W2'!$M$12:$V$112*('W2'!$M$7:$V$7=$A220)*('W2'!$A$12:$A$112=$B220))*Z190*$H$10*POWER(1+Inflation,Z$11+1)</f>
        <v>-3677.0498597260307</v>
      </c>
      <c r="AA220" s="555"/>
      <c r="AB220" s="555"/>
      <c r="AC220" s="555"/>
      <c r="AD220" s="555"/>
      <c r="AE220" s="555"/>
      <c r="AF220" s="555"/>
      <c r="AG220" s="555"/>
      <c r="AH220" s="555"/>
      <c r="AI220" s="555"/>
      <c r="AJ220" s="555"/>
    </row>
    <row r="221" spans="1:36" s="299" customFormat="1" outlineLevel="1" x14ac:dyDescent="0.25">
      <c r="A221" s="299" t="s">
        <v>423</v>
      </c>
      <c r="B221" s="299" t="s">
        <v>140</v>
      </c>
      <c r="H221" s="553" t="s">
        <v>175</v>
      </c>
      <c r="I221" s="554" t="str">
        <f t="shared" si="227"/>
        <v>tr. VND</v>
      </c>
      <c r="K221" s="555"/>
      <c r="L221" s="555" cm="1">
        <f t="array" ref="L221">SUMPRODUCT('W2'!$M$12:$V$112*('W2'!$M$7:$V$7=$A221)*('W2'!$A$12:$A$112=$B221))*(SUM(L201,L219:L220))</f>
        <v>-2266.9898862933337</v>
      </c>
      <c r="M221" s="555" cm="1">
        <f t="array" ref="M221">SUMPRODUCT('W2'!$M$12:$V$112*('W2'!$M$7:$V$7=$A221)*('W2'!$A$12:$A$112=$B221))*(SUM(M201,M219:M220))</f>
        <v>-2374.5868498773334</v>
      </c>
      <c r="N221" s="555" cm="1">
        <f t="array" ref="N221">SUMPRODUCT('W2'!$M$12:$V$112*('W2'!$M$7:$V$7=$A221)*('W2'!$A$12:$A$112=$B221))*(SUM(N201,N219:N220))</f>
        <v>-2598.8534441493334</v>
      </c>
      <c r="O221" s="555" cm="1">
        <f t="array" ref="O221">SUMPRODUCT('W2'!$M$12:$V$112*('W2'!$M$7:$V$7=$A221)*('W2'!$A$12:$A$112=$B221))*(SUM(O201,O219:O220))</f>
        <v>-2664.8681504901338</v>
      </c>
      <c r="P221" s="555" cm="1">
        <f t="array" ref="P221">SUMPRODUCT('W2'!$M$12:$V$112*('W2'!$M$7:$V$7=$A221)*('W2'!$A$12:$A$112=$B221))*(SUM(P201,P219:P220))</f>
        <v>-2734.1835921479733</v>
      </c>
      <c r="Q221" s="555" cm="1">
        <f t="array" ref="Q221">SUMPRODUCT('W2'!$M$12:$V$112*('W2'!$M$7:$V$7=$A221)*('W2'!$A$12:$A$112=$B221))*(SUM(Q201,Q219:Q220))</f>
        <v>-2806.9648058887055</v>
      </c>
      <c r="R221" s="555" cm="1">
        <f t="array" ref="R221">SUMPRODUCT('W2'!$M$12:$V$112*('W2'!$M$7:$V$7=$A221)*('W2'!$A$12:$A$112=$B221))*(SUM(R201,R219:R220))</f>
        <v>-2883.3850803164742</v>
      </c>
      <c r="S221" s="555" cm="1">
        <f t="array" ref="S221">SUMPRODUCT('W2'!$M$12:$V$112*('W2'!$M$7:$V$7=$A221)*('W2'!$A$12:$A$112=$B221))*(SUM(S201,S219:S220))</f>
        <v>-2963.6263684656315</v>
      </c>
      <c r="T221" s="555" cm="1">
        <f t="array" ref="T221">SUMPRODUCT('W2'!$M$12:$V$112*('W2'!$M$7:$V$7=$A221)*('W2'!$A$12:$A$112=$B221))*(SUM(T201,T219:T220))</f>
        <v>-3047.879721022246</v>
      </c>
      <c r="U221" s="555" cm="1">
        <f t="array" ref="U221">SUMPRODUCT('W2'!$M$12:$V$112*('W2'!$M$7:$V$7=$A221)*('W2'!$A$12:$A$112=$B221))*(SUM(U201,U219:U220))</f>
        <v>-3136.3457412066919</v>
      </c>
      <c r="V221" s="555" cm="1">
        <f t="array" ref="V221">SUMPRODUCT('W2'!$M$12:$V$112*('W2'!$M$7:$V$7=$A221)*('W2'!$A$12:$A$112=$B221))*(SUM(V201,V219:V220))</f>
        <v>-3229.2350624003593</v>
      </c>
      <c r="W221" s="555" cm="1">
        <f t="array" ref="W221">SUMPRODUCT('W2'!$M$12:$V$112*('W2'!$M$7:$V$7=$A221)*('W2'!$A$12:$A$112=$B221))*(SUM(W201,W219:W220))</f>
        <v>-3326.7688496537107</v>
      </c>
      <c r="X221" s="555" cm="1">
        <f t="array" ref="X221">SUMPRODUCT('W2'!$M$12:$V$112*('W2'!$M$7:$V$7=$A221)*('W2'!$A$12:$A$112=$B221))*(SUM(X201,X219:X220))</f>
        <v>-2426.6799929363965</v>
      </c>
      <c r="Y221" s="555" cm="1">
        <f t="array" ref="Y221">SUMPRODUCT('W2'!$M$12:$V$112*('W2'!$M$7:$V$7=$A221)*('W2'!$A$12:$A$112=$B221))*(SUM(Y201,Y219:Y220))</f>
        <v>-2534.2109933832162</v>
      </c>
      <c r="Z221" s="555" cm="1">
        <f t="array" ref="Z221">SUMPRODUCT('W2'!$M$12:$V$112*('W2'!$M$7:$V$7=$A221)*('W2'!$A$12:$A$112=$B221))*(SUM(Z201,Z219:Z220))</f>
        <v>-2647.1185438523776</v>
      </c>
      <c r="AA221" s="555"/>
      <c r="AB221" s="555"/>
      <c r="AC221" s="555"/>
      <c r="AD221" s="555"/>
      <c r="AE221" s="555"/>
      <c r="AF221" s="555"/>
      <c r="AG221" s="555"/>
      <c r="AH221" s="555"/>
      <c r="AI221" s="555"/>
      <c r="AJ221" s="555"/>
    </row>
    <row r="222" spans="1:36" x14ac:dyDescent="0.25">
      <c r="A222" t="s">
        <v>423</v>
      </c>
      <c r="K222" s="15"/>
      <c r="L222" s="263"/>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row>
    <row r="223" spans="1:36" s="300" customFormat="1" x14ac:dyDescent="0.25">
      <c r="A223" s="300" t="s">
        <v>423</v>
      </c>
      <c r="H223" s="301" t="s">
        <v>464</v>
      </c>
      <c r="I223" s="302" t="str">
        <f>IF($H$9="USD","USD","tr. VND")</f>
        <v>tr. VND</v>
      </c>
      <c r="K223" s="303">
        <f>K201+K211</f>
        <v>0</v>
      </c>
      <c r="L223" s="303">
        <f t="shared" ref="L223:AJ223" si="229">L201+L211</f>
        <v>-142696.00223716011</v>
      </c>
      <c r="M223" s="303">
        <f t="shared" si="229"/>
        <v>-178995.22936775751</v>
      </c>
      <c r="N223" s="303">
        <f t="shared" si="229"/>
        <v>-238466.83653814293</v>
      </c>
      <c r="O223" s="303">
        <f t="shared" si="229"/>
        <v>-243640.99513803353</v>
      </c>
      <c r="P223" s="303">
        <f t="shared" si="229"/>
        <v>-248972.12054562898</v>
      </c>
      <c r="Q223" s="303">
        <f t="shared" si="229"/>
        <v>-254466.02627886878</v>
      </c>
      <c r="R223" s="303">
        <f t="shared" si="229"/>
        <v>-260128.77583514043</v>
      </c>
      <c r="S223" s="303">
        <f t="shared" si="229"/>
        <v>-265966.69437632285</v>
      </c>
      <c r="T223" s="303">
        <f t="shared" si="229"/>
        <v>-271986.38098180352</v>
      </c>
      <c r="U223" s="303">
        <f t="shared" si="229"/>
        <v>-278194.72149754228</v>
      </c>
      <c r="V223" s="303">
        <f t="shared" si="229"/>
        <v>-284598.90201065154</v>
      </c>
      <c r="W223" s="303">
        <f t="shared" si="229"/>
        <v>-291206.42298043164</v>
      </c>
      <c r="X223" s="303">
        <f t="shared" si="229"/>
        <v>-271960.13139166962</v>
      </c>
      <c r="Y223" s="303">
        <f t="shared" si="229"/>
        <v>-278998.16696429788</v>
      </c>
      <c r="Z223" s="303">
        <f t="shared" si="229"/>
        <v>-286264.08245520247</v>
      </c>
      <c r="AA223" s="303"/>
      <c r="AB223" s="303"/>
      <c r="AC223" s="303"/>
      <c r="AD223" s="303"/>
      <c r="AE223" s="303"/>
      <c r="AF223" s="303"/>
      <c r="AG223" s="303"/>
      <c r="AH223" s="303"/>
      <c r="AI223" s="303"/>
      <c r="AJ223" s="303"/>
    </row>
    <row r="224" spans="1:36" x14ac:dyDescent="0.25">
      <c r="A224" t="s">
        <v>423</v>
      </c>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row>
    <row r="225" spans="1:36" x14ac:dyDescent="0.25">
      <c r="A225" t="s">
        <v>423</v>
      </c>
      <c r="B225" t="s">
        <v>622</v>
      </c>
      <c r="H225" s="459" t="s">
        <v>166</v>
      </c>
      <c r="I225" s="493" t="str">
        <f>IF($H$9="USD","USD","tr. VND")</f>
        <v>tr. VND</v>
      </c>
      <c r="K225" s="461"/>
      <c r="L225" s="461" cm="1">
        <f t="array" ref="L225">-SUMPRODUCT('W2'!$M$12:$V$112*('W2'!$M$7:$V$7=$A225)*('W2'!$A$12:$A$112=$B225))*L190*$H$10*POWER(1+Inflation,L$11+1)</f>
        <v>-2752.9666560000001</v>
      </c>
      <c r="M225" s="461" cm="1">
        <f t="array" ref="M225">-SUMPRODUCT('W2'!$M$12:$V$112*('W2'!$M$7:$V$7=$A225)*('W2'!$A$12:$A$112=$B225))*M190*$H$10*POWER(1+Inflation,M$11+1)</f>
        <v>-3854.1533183999995</v>
      </c>
      <c r="N225" s="461" cm="1">
        <f t="array" ref="N225">-SUMPRODUCT('W2'!$M$12:$V$112*('W2'!$M$7:$V$7=$A225)*('W2'!$A$12:$A$112=$B225))*N190*$H$10*POWER(1+Inflation,N$11+1)</f>
        <v>-5781.2299776</v>
      </c>
      <c r="O225" s="461" cm="1">
        <f t="array" ref="O225">-SUMPRODUCT('W2'!$M$12:$V$112*('W2'!$M$7:$V$7=$A225)*('W2'!$A$12:$A$112=$B225))*O190*$H$10*POWER(1+Inflation,O$11+1)</f>
        <v>-6070.2914764800007</v>
      </c>
      <c r="P225" s="461" cm="1">
        <f t="array" ref="P225">-SUMPRODUCT('W2'!$M$12:$V$112*('W2'!$M$7:$V$7=$A225)*('W2'!$A$12:$A$112=$B225))*P190*$H$10*POWER(1+Inflation,P$11+1)</f>
        <v>-6373.8060503040006</v>
      </c>
      <c r="Q225" s="461" cm="1">
        <f t="array" ref="Q225">-SUMPRODUCT('W2'!$M$12:$V$112*('W2'!$M$7:$V$7=$A225)*('W2'!$A$12:$A$112=$B225))*Q190*$H$10*POWER(1+Inflation,Q$11+1)</f>
        <v>-6692.4963528192002</v>
      </c>
      <c r="R225" s="461" cm="1">
        <f t="array" ref="R225">-SUMPRODUCT('W2'!$M$12:$V$112*('W2'!$M$7:$V$7=$A225)*('W2'!$A$12:$A$112=$B225))*R190*$H$10*POWER(1+Inflation,R$11+1)</f>
        <v>-7027.121170460161</v>
      </c>
      <c r="S225" s="461" cm="1">
        <f t="array" ref="S225">-SUMPRODUCT('W2'!$M$12:$V$112*('W2'!$M$7:$V$7=$A225)*('W2'!$A$12:$A$112=$B225))*S190*$H$10*POWER(1+Inflation,S$11+1)</f>
        <v>-7378.4772289831681</v>
      </c>
      <c r="T225" s="461" cm="1">
        <f t="array" ref="T225">-SUMPRODUCT('W2'!$M$12:$V$112*('W2'!$M$7:$V$7=$A225)*('W2'!$A$12:$A$112=$B225))*T190*$H$10*POWER(1+Inflation,T$11+1)</f>
        <v>-7747.4010904323277</v>
      </c>
      <c r="U225" s="461" cm="1">
        <f t="array" ref="U225">-SUMPRODUCT('W2'!$M$12:$V$112*('W2'!$M$7:$V$7=$A225)*('W2'!$A$12:$A$112=$B225))*U190*$H$10*POWER(1+Inflation,U$11+1)</f>
        <v>-8134.7711449539429</v>
      </c>
      <c r="V225" s="461" cm="1">
        <f t="array" ref="V225">-SUMPRODUCT('W2'!$M$12:$V$112*('W2'!$M$7:$V$7=$A225)*('W2'!$A$12:$A$112=$B225))*V190*$H$10*POWER(1+Inflation,V$11+1)</f>
        <v>-8541.5097022016416</v>
      </c>
      <c r="W225" s="461" cm="1">
        <f t="array" ref="W225">-SUMPRODUCT('W2'!$M$12:$V$112*('W2'!$M$7:$V$7=$A225)*('W2'!$A$12:$A$112=$B225))*W190*$H$10*POWER(1+Inflation,W$11+1)</f>
        <v>-8968.5851873117226</v>
      </c>
      <c r="X225" s="461" cm="1">
        <f t="array" ref="X225">-SUMPRODUCT('W2'!$M$12:$V$112*('W2'!$M$7:$V$7=$A225)*('W2'!$A$12:$A$112=$B225))*X190*$H$10*POWER(1+Inflation,X$11+1)</f>
        <v>-9417.014446677309</v>
      </c>
      <c r="Y225" s="461" cm="1">
        <f t="array" ref="Y225">-SUMPRODUCT('W2'!$M$12:$V$112*('W2'!$M$7:$V$7=$A225)*('W2'!$A$12:$A$112=$B225))*Y190*$H$10*POWER(1+Inflation,Y$11+1)</f>
        <v>-9887.8651690111747</v>
      </c>
      <c r="Z225" s="461" cm="1">
        <f t="array" ref="Z225">-SUMPRODUCT('W2'!$M$12:$V$112*('W2'!$M$7:$V$7=$A225)*('W2'!$A$12:$A$112=$B225))*Z190*$H$10*POWER(1+Inflation,Z$11+1)</f>
        <v>-10382.258427461735</v>
      </c>
      <c r="AA225" s="461"/>
      <c r="AB225" s="461"/>
      <c r="AC225" s="461"/>
      <c r="AD225" s="461"/>
      <c r="AE225" s="461"/>
      <c r="AF225" s="461"/>
      <c r="AG225" s="461"/>
      <c r="AH225" s="461"/>
      <c r="AI225" s="461"/>
      <c r="AJ225" s="461"/>
    </row>
    <row r="226" spans="1:36" outlineLevel="1" x14ac:dyDescent="0.25">
      <c r="A226" t="s">
        <v>423</v>
      </c>
      <c r="B226" t="s">
        <v>527</v>
      </c>
      <c r="H226" s="454" t="s">
        <v>469</v>
      </c>
      <c r="I226" s="496" t="str">
        <f>IF($H$9="USD","USD","tr. VND")</f>
        <v>tr. VND</v>
      </c>
      <c r="K226" s="457"/>
      <c r="L226" s="457" cm="1">
        <f t="array" ref="L226">-SUMPRODUCT('W2'!$M$12:$V$112*('W2'!$M$7:$V$7=$A226)*('W2'!$A$12:$A$112=$B226))*L190*$H$10*POWER(1+Inflation,L$11+1)</f>
        <v>0</v>
      </c>
      <c r="M226" s="457" cm="1">
        <f t="array" ref="M226">-SUMPRODUCT('W2'!$M$12:$V$112*('W2'!$M$7:$V$7=$A226)*('W2'!$A$12:$A$112=$B226))*M190*$H$10*POWER(1+Inflation,M$11+1)</f>
        <v>0</v>
      </c>
      <c r="N226" s="457" cm="1">
        <f t="array" ref="N226">-SUMPRODUCT('W2'!$M$12:$V$112*('W2'!$M$7:$V$7=$A226)*('W2'!$A$12:$A$112=$B226))*N190*$H$10*POWER(1+Inflation,N$11+1)</f>
        <v>0</v>
      </c>
      <c r="O226" s="457" cm="1">
        <f t="array" ref="O226">-SUMPRODUCT('W2'!$M$12:$V$112*('W2'!$M$7:$V$7=$A226)*('W2'!$A$12:$A$112=$B226))*O190*$H$10*POWER(1+Inflation,O$11+1)</f>
        <v>0</v>
      </c>
      <c r="P226" s="457" cm="1">
        <f t="array" ref="P226">-SUMPRODUCT('W2'!$M$12:$V$112*('W2'!$M$7:$V$7=$A226)*('W2'!$A$12:$A$112=$B226))*P190*$H$10*POWER(1+Inflation,P$11+1)</f>
        <v>0</v>
      </c>
      <c r="Q226" s="457" cm="1">
        <f t="array" ref="Q226">-SUMPRODUCT('W2'!$M$12:$V$112*('W2'!$M$7:$V$7=$A226)*('W2'!$A$12:$A$112=$B226))*Q190*$H$10*POWER(1+Inflation,Q$11+1)</f>
        <v>0</v>
      </c>
      <c r="R226" s="457" cm="1">
        <f t="array" ref="R226">-SUMPRODUCT('W2'!$M$12:$V$112*('W2'!$M$7:$V$7=$A226)*('W2'!$A$12:$A$112=$B226))*R190*$H$10*POWER(1+Inflation,R$11+1)</f>
        <v>0</v>
      </c>
      <c r="S226" s="457" cm="1">
        <f t="array" ref="S226">-SUMPRODUCT('W2'!$M$12:$V$112*('W2'!$M$7:$V$7=$A226)*('W2'!$A$12:$A$112=$B226))*S190*$H$10*POWER(1+Inflation,S$11+1)</f>
        <v>0</v>
      </c>
      <c r="T226" s="457" cm="1">
        <f t="array" ref="T226">-SUMPRODUCT('W2'!$M$12:$V$112*('W2'!$M$7:$V$7=$A226)*('W2'!$A$12:$A$112=$B226))*T190*$H$10*POWER(1+Inflation,T$11+1)</f>
        <v>0</v>
      </c>
      <c r="U226" s="457" cm="1">
        <f t="array" ref="U226">-SUMPRODUCT('W2'!$M$12:$V$112*('W2'!$M$7:$V$7=$A226)*('W2'!$A$12:$A$112=$B226))*U190*$H$10*POWER(1+Inflation,U$11+1)</f>
        <v>0</v>
      </c>
      <c r="V226" s="457" cm="1">
        <f t="array" ref="V226">-SUMPRODUCT('W2'!$M$12:$V$112*('W2'!$M$7:$V$7=$A226)*('W2'!$A$12:$A$112=$B226))*V190*$H$10*POWER(1+Inflation,V$11+1)</f>
        <v>0</v>
      </c>
      <c r="W226" s="457" cm="1">
        <f t="array" ref="W226">-SUMPRODUCT('W2'!$M$12:$V$112*('W2'!$M$7:$V$7=$A226)*('W2'!$A$12:$A$112=$B226))*W190*$H$10*POWER(1+Inflation,W$11+1)</f>
        <v>0</v>
      </c>
      <c r="X226" s="457" cm="1">
        <f t="array" ref="X226">-SUMPRODUCT('W2'!$M$12:$V$112*('W2'!$M$7:$V$7=$A226)*('W2'!$A$12:$A$112=$B226))*X190*$H$10*POWER(1+Inflation,X$11+1)</f>
        <v>0</v>
      </c>
      <c r="Y226" s="457" cm="1">
        <f t="array" ref="Y226">-SUMPRODUCT('W2'!$M$12:$V$112*('W2'!$M$7:$V$7=$A226)*('W2'!$A$12:$A$112=$B226))*Y190*$H$10*POWER(1+Inflation,Y$11+1)</f>
        <v>0</v>
      </c>
      <c r="Z226" s="457" cm="1">
        <f t="array" ref="Z226">-SUMPRODUCT('W2'!$M$12:$V$112*('W2'!$M$7:$V$7=$A226)*('W2'!$A$12:$A$112=$B226))*Z190*$H$10*POWER(1+Inflation,Z$11+1)</f>
        <v>0</v>
      </c>
      <c r="AA226" s="457"/>
      <c r="AB226" s="457"/>
      <c r="AC226" s="457"/>
      <c r="AD226" s="457"/>
      <c r="AE226" s="457"/>
      <c r="AF226" s="457"/>
      <c r="AG226" s="457"/>
      <c r="AH226" s="457"/>
      <c r="AI226" s="457"/>
      <c r="AJ226" s="457"/>
    </row>
    <row r="227" spans="1:36" outlineLevel="1" x14ac:dyDescent="0.25">
      <c r="A227" t="s">
        <v>423</v>
      </c>
      <c r="B227" t="s">
        <v>522</v>
      </c>
      <c r="H227" s="454" t="s">
        <v>468</v>
      </c>
      <c r="I227" s="496" t="str">
        <f>IF($H$9="USD","USD","tr. VND")</f>
        <v>tr. VND</v>
      </c>
      <c r="K227" s="454"/>
      <c r="L227" s="457" cm="1">
        <f t="array" ref="L227">-SUMPRODUCT('W2'!$M$12:$V$112*('W2'!$M$7:$V$7=$A227)*('W2'!$A$12:$A$112=$B227))*L190*$H$10*POWER(1+Inflation,L$11+1)</f>
        <v>0</v>
      </c>
      <c r="M227" s="457" cm="1">
        <f t="array" ref="M227">-SUMPRODUCT('W2'!$M$12:$V$112*('W2'!$M$7:$V$7=$A227)*('W2'!$A$12:$A$112=$B227))*M190*$H$10*POWER(1+Inflation,M$11+1)</f>
        <v>0</v>
      </c>
      <c r="N227" s="457" cm="1">
        <f t="array" ref="N227">-SUMPRODUCT('W2'!$M$12:$V$112*('W2'!$M$7:$V$7=$A227)*('W2'!$A$12:$A$112=$B227))*N190*$H$10*POWER(1+Inflation,N$11+1)</f>
        <v>0</v>
      </c>
      <c r="O227" s="457" cm="1">
        <f t="array" ref="O227">-SUMPRODUCT('W2'!$M$12:$V$112*('W2'!$M$7:$V$7=$A227)*('W2'!$A$12:$A$112=$B227))*O190*$H$10*POWER(1+Inflation,O$11+1)</f>
        <v>0</v>
      </c>
      <c r="P227" s="457" cm="1">
        <f t="array" ref="P227">-SUMPRODUCT('W2'!$M$12:$V$112*('W2'!$M$7:$V$7=$A227)*('W2'!$A$12:$A$112=$B227))*P190*$H$10*POWER(1+Inflation,P$11+1)</f>
        <v>0</v>
      </c>
      <c r="Q227" s="457" cm="1">
        <f t="array" ref="Q227">-SUMPRODUCT('W2'!$M$12:$V$112*('W2'!$M$7:$V$7=$A227)*('W2'!$A$12:$A$112=$B227))*Q190*$H$10*POWER(1+Inflation,Q$11+1)</f>
        <v>0</v>
      </c>
      <c r="R227" s="457" cm="1">
        <f t="array" ref="R227">-SUMPRODUCT('W2'!$M$12:$V$112*('W2'!$M$7:$V$7=$A227)*('W2'!$A$12:$A$112=$B227))*R190*$H$10*POWER(1+Inflation,R$11+1)</f>
        <v>0</v>
      </c>
      <c r="S227" s="457" cm="1">
        <f t="array" ref="S227">-SUMPRODUCT('W2'!$M$12:$V$112*('W2'!$M$7:$V$7=$A227)*('W2'!$A$12:$A$112=$B227))*S190*$H$10*POWER(1+Inflation,S$11+1)</f>
        <v>0</v>
      </c>
      <c r="T227" s="457" cm="1">
        <f t="array" ref="T227">-SUMPRODUCT('W2'!$M$12:$V$112*('W2'!$M$7:$V$7=$A227)*('W2'!$A$12:$A$112=$B227))*T190*$H$10*POWER(1+Inflation,T$11+1)</f>
        <v>0</v>
      </c>
      <c r="U227" s="457" cm="1">
        <f t="array" ref="U227">-SUMPRODUCT('W2'!$M$12:$V$112*('W2'!$M$7:$V$7=$A227)*('W2'!$A$12:$A$112=$B227))*U190*$H$10*POWER(1+Inflation,U$11+1)</f>
        <v>0</v>
      </c>
      <c r="V227" s="457" cm="1">
        <f t="array" ref="V227">-SUMPRODUCT('W2'!$M$12:$V$112*('W2'!$M$7:$V$7=$A227)*('W2'!$A$12:$A$112=$B227))*V190*$H$10*POWER(1+Inflation,V$11+1)</f>
        <v>0</v>
      </c>
      <c r="W227" s="457" cm="1">
        <f t="array" ref="W227">-SUMPRODUCT('W2'!$M$12:$V$112*('W2'!$M$7:$V$7=$A227)*('W2'!$A$12:$A$112=$B227))*W190*$H$10*POWER(1+Inflation,W$11+1)</f>
        <v>0</v>
      </c>
      <c r="X227" s="457" cm="1">
        <f t="array" ref="X227">-SUMPRODUCT('W2'!$M$12:$V$112*('W2'!$M$7:$V$7=$A227)*('W2'!$A$12:$A$112=$B227))*X190*$H$10*POWER(1+Inflation,X$11+1)</f>
        <v>0</v>
      </c>
      <c r="Y227" s="457" cm="1">
        <f t="array" ref="Y227">-SUMPRODUCT('W2'!$M$12:$V$112*('W2'!$M$7:$V$7=$A227)*('W2'!$A$12:$A$112=$B227))*Y190*$H$10*POWER(1+Inflation,Y$11+1)</f>
        <v>0</v>
      </c>
      <c r="Z227" s="457" cm="1">
        <f t="array" ref="Z227">-SUMPRODUCT('W2'!$M$12:$V$112*('W2'!$M$7:$V$7=$A227)*('W2'!$A$12:$A$112=$B227))*Z190*$H$10*POWER(1+Inflation,Z$11+1)</f>
        <v>0</v>
      </c>
      <c r="AA227" s="457"/>
      <c r="AB227" s="457"/>
      <c r="AC227" s="457"/>
      <c r="AD227" s="457"/>
      <c r="AE227" s="457"/>
      <c r="AF227" s="457"/>
      <c r="AG227" s="457"/>
      <c r="AH227" s="457"/>
      <c r="AI227" s="457"/>
      <c r="AJ227" s="457"/>
    </row>
    <row r="228" spans="1:36" outlineLevel="1" x14ac:dyDescent="0.25">
      <c r="A228" t="s">
        <v>423</v>
      </c>
      <c r="H228" s="454" t="s">
        <v>470</v>
      </c>
      <c r="I228" s="496" t="str">
        <f>IF($H$9="USD","USD","tr. VND")</f>
        <v>tr. VND</v>
      </c>
      <c r="K228" s="454"/>
      <c r="L228" s="457" cm="1">
        <f t="array" ref="L228">-SUMPRODUCT('Lãi vay'!$E$5:$AI$54*('Lãi vay'!$A$5:$A$54=$A228)*('Lãi vay'!$B$5:$B$54="Lãi vay")*('Lãi vay'!$E$3:$AI$3=L$14))*$H$10</f>
        <v>-22086.740200000004</v>
      </c>
      <c r="M228" s="457" cm="1">
        <f t="array" ref="M228">-SUMPRODUCT('Lãi vay'!$E$5:$AI$54*('Lãi vay'!$A$5:$A$54=$A228)*('Lãi vay'!$B$5:$B$54="Lãi vay")*('Lãi vay'!$E$3:$AI$3=M$14))*$H$10</f>
        <v>-21207.806662872372</v>
      </c>
      <c r="N228" s="457" cm="1">
        <f t="array" ref="N228">-SUMPRODUCT('Lãi vay'!$E$5:$AI$54*('Lãi vay'!$A$5:$A$54=$A228)*('Lãi vay'!$B$5:$B$54="Lãi vay")*('Lãi vay'!$E$3:$AI$3=N$14))*$H$10</f>
        <v>-20267.347778145802</v>
      </c>
      <c r="O228" s="457" cm="1">
        <f t="array" ref="O228">-SUMPRODUCT('Lãi vay'!$E$5:$AI$54*('Lãi vay'!$A$5:$A$54=$A228)*('Lãi vay'!$B$5:$B$54="Lãi vay")*('Lãi vay'!$E$3:$AI$3=O$14))*$H$10</f>
        <v>-19261.056771488373</v>
      </c>
      <c r="P228" s="457" cm="1">
        <f t="array" ref="P228">-SUMPRODUCT('Lãi vay'!$E$5:$AI$54*('Lãi vay'!$A$5:$A$54=$A228)*('Lãi vay'!$B$5:$B$54="Lãi vay")*('Lãi vay'!$E$3:$AI$3=P$14))*$H$10</f>
        <v>-18184.325394364925</v>
      </c>
      <c r="Q228" s="457" cm="1">
        <f t="array" ref="Q228">-SUMPRODUCT('Lãi vay'!$E$5:$AI$54*('Lãi vay'!$A$5:$A$54=$A228)*('Lãi vay'!$B$5:$B$54="Lãi vay")*('Lãi vay'!$E$3:$AI$3=Q$14))*$H$10</f>
        <v>-17032.222820842835</v>
      </c>
      <c r="R228" s="457" cm="1">
        <f t="array" ref="R228">-SUMPRODUCT('Lãi vay'!$E$5:$AI$54*('Lãi vay'!$A$5:$A$54=$A228)*('Lãi vay'!$B$5:$B$54="Lãi vay")*('Lãi vay'!$E$3:$AI$3=R$14))*$H$10</f>
        <v>-15799.473067174198</v>
      </c>
      <c r="S228" s="457" cm="1">
        <f t="array" ref="S228">-SUMPRODUCT('Lãi vay'!$E$5:$AI$54*('Lãi vay'!$A$5:$A$54=$A228)*('Lãi vay'!$B$5:$B$54="Lãi vay")*('Lãi vay'!$E$3:$AI$3=S$14))*$H$10</f>
        <v>-14480.430830748757</v>
      </c>
      <c r="T228" s="457" cm="1">
        <f t="array" ref="T228">-SUMPRODUCT('Lãi vay'!$E$5:$AI$54*('Lãi vay'!$A$5:$A$54=$A228)*('Lãi vay'!$B$5:$B$54="Lãi vay")*('Lãi vay'!$E$3:$AI$3=T$14))*$H$10</f>
        <v>-13069.055637773536</v>
      </c>
      <c r="U228" s="457" cm="1">
        <f t="array" ref="U228">-SUMPRODUCT('Lãi vay'!$E$5:$AI$54*('Lãi vay'!$A$5:$A$54=$A228)*('Lãi vay'!$B$5:$B$54="Lãi vay")*('Lãi vay'!$E$3:$AI$3=U$14))*$H$10</f>
        <v>-11558.884181290048</v>
      </c>
      <c r="V228" s="457" cm="1">
        <f t="array" ref="V228">-SUMPRODUCT('Lãi vay'!$E$5:$AI$54*('Lãi vay'!$A$5:$A$54=$A228)*('Lãi vay'!$B$5:$B$54="Lãi vay")*('Lãi vay'!$E$3:$AI$3=V$14))*$H$10</f>
        <v>-9943.0007228527174</v>
      </c>
      <c r="W228" s="457" cm="1">
        <f t="array" ref="W228">-SUMPRODUCT('Lãi vay'!$E$5:$AI$54*('Lãi vay'!$A$5:$A$54=$A228)*('Lãi vay'!$B$5:$B$54="Lãi vay")*('Lãi vay'!$E$3:$AI$3=W$14))*$H$10</f>
        <v>-8214.0054223247735</v>
      </c>
      <c r="X228" s="457" cm="1">
        <f t="array" ref="X228">-SUMPRODUCT('Lãi vay'!$E$5:$AI$54*('Lãi vay'!$A$5:$A$54=$A228)*('Lãi vay'!$B$5:$B$54="Lãi vay")*('Lãi vay'!$E$3:$AI$3=X$14))*$H$10</f>
        <v>-6363.9804507598728</v>
      </c>
      <c r="Y228" s="457" cm="1">
        <f t="array" ref="Y228">-SUMPRODUCT('Lãi vay'!$E$5:$AI$54*('Lãi vay'!$A$5:$A$54=$A228)*('Lãi vay'!$B$5:$B$54="Lãi vay")*('Lãi vay'!$E$3:$AI$3=Y$14))*$H$10</f>
        <v>-4384.4537311854301</v>
      </c>
      <c r="Z228" s="457" cm="1">
        <f t="array" ref="Z228">-SUMPRODUCT('Lãi vay'!$E$5:$AI$54*('Lãi vay'!$A$5:$A$54=$A228)*('Lãi vay'!$B$5:$B$54="Lãi vay")*('Lãi vay'!$E$3:$AI$3=Z$14))*$H$10</f>
        <v>-2266.3601412407766</v>
      </c>
      <c r="AA228" s="457"/>
      <c r="AB228" s="457"/>
      <c r="AC228" s="457"/>
      <c r="AD228" s="457"/>
      <c r="AE228" s="457"/>
      <c r="AF228" s="457"/>
      <c r="AG228" s="457"/>
      <c r="AH228" s="457"/>
      <c r="AI228" s="457"/>
      <c r="AJ228" s="457"/>
    </row>
    <row r="229" spans="1:36" x14ac:dyDescent="0.25">
      <c r="A229" t="s">
        <v>423</v>
      </c>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row>
    <row r="230" spans="1:36" s="16" customFormat="1" x14ac:dyDescent="0.25">
      <c r="A230" s="16" t="s">
        <v>423</v>
      </c>
      <c r="H230" s="270" t="s">
        <v>472</v>
      </c>
      <c r="I230" s="271" t="str">
        <f>IF($H$9="USD","USD","tr. VND")</f>
        <v>tr. VND</v>
      </c>
      <c r="K230" s="272">
        <f t="shared" ref="K230" si="230">K223+SUM(K225:K228)</f>
        <v>0</v>
      </c>
      <c r="L230" s="272">
        <f>L223+SUM(L225:L228)</f>
        <v>-167535.70909316011</v>
      </c>
      <c r="M230" s="272">
        <f t="shared" ref="M230:AJ230" si="231">M223+SUM(M225:M228)</f>
        <v>-204057.18934902988</v>
      </c>
      <c r="N230" s="272">
        <f t="shared" si="231"/>
        <v>-264515.41429388872</v>
      </c>
      <c r="O230" s="272">
        <f t="shared" si="231"/>
        <v>-268972.34338600188</v>
      </c>
      <c r="P230" s="272">
        <f t="shared" si="231"/>
        <v>-273530.25199029793</v>
      </c>
      <c r="Q230" s="272">
        <f t="shared" si="231"/>
        <v>-278190.7454525308</v>
      </c>
      <c r="R230" s="272">
        <f t="shared" si="231"/>
        <v>-282955.37007277482</v>
      </c>
      <c r="S230" s="272">
        <f t="shared" si="231"/>
        <v>-287825.60243605479</v>
      </c>
      <c r="T230" s="272">
        <f t="shared" si="231"/>
        <v>-292802.83771000936</v>
      </c>
      <c r="U230" s="272">
        <f t="shared" si="231"/>
        <v>-297888.3768237863</v>
      </c>
      <c r="V230" s="272">
        <f t="shared" si="231"/>
        <v>-303083.41243570589</v>
      </c>
      <c r="W230" s="272">
        <f t="shared" si="231"/>
        <v>-308389.01359006815</v>
      </c>
      <c r="X230" s="272">
        <f t="shared" si="231"/>
        <v>-287741.12628910679</v>
      </c>
      <c r="Y230" s="272">
        <f t="shared" si="231"/>
        <v>-293270.48586449446</v>
      </c>
      <c r="Z230" s="272">
        <f t="shared" si="231"/>
        <v>-298912.70102390496</v>
      </c>
      <c r="AA230" s="272"/>
      <c r="AB230" s="272"/>
      <c r="AC230" s="272"/>
      <c r="AD230" s="272"/>
      <c r="AE230" s="272"/>
      <c r="AF230" s="272"/>
      <c r="AG230" s="272"/>
      <c r="AH230" s="272"/>
      <c r="AI230" s="272"/>
      <c r="AJ230" s="272"/>
    </row>
    <row r="231" spans="1:36" x14ac:dyDescent="0.25">
      <c r="A231" t="s">
        <v>423</v>
      </c>
    </row>
    <row r="232" spans="1:36" s="24" customFormat="1" ht="17.25" x14ac:dyDescent="0.3">
      <c r="A232" s="24" t="s">
        <v>423</v>
      </c>
      <c r="H232" s="643" t="s">
        <v>473</v>
      </c>
      <c r="I232" s="643"/>
      <c r="K232" s="643"/>
      <c r="L232" s="643"/>
      <c r="M232" s="643"/>
      <c r="N232" s="643"/>
      <c r="O232" s="643"/>
      <c r="P232" s="643"/>
      <c r="Q232" s="643"/>
      <c r="R232" s="643"/>
      <c r="S232" s="643"/>
      <c r="T232" s="643"/>
      <c r="U232" s="643"/>
      <c r="V232" s="643"/>
      <c r="W232" s="643"/>
      <c r="X232" s="643"/>
      <c r="Y232" s="643"/>
      <c r="Z232" s="643"/>
      <c r="AA232" s="643"/>
      <c r="AB232" s="643"/>
      <c r="AC232" s="643"/>
      <c r="AD232" s="643"/>
      <c r="AE232" s="643"/>
      <c r="AF232" s="643"/>
      <c r="AG232" s="643"/>
      <c r="AH232" s="643"/>
      <c r="AI232" s="643"/>
      <c r="AJ232" s="643"/>
    </row>
    <row r="233" spans="1:36" s="1" customFormat="1" outlineLevel="1" x14ac:dyDescent="0.25">
      <c r="A233" s="1" t="s">
        <v>423</v>
      </c>
      <c r="H233" s="273" t="s">
        <v>434</v>
      </c>
      <c r="I233" s="274" t="str">
        <f>IF($H$9="USD","USD/tấn","tr. VND/tấn")</f>
        <v>tr. VND/tấn</v>
      </c>
      <c r="K233" s="278">
        <f t="shared" ref="K233" si="232">SUM(K234:K235,K238:K241,)</f>
        <v>0</v>
      </c>
      <c r="L233" s="278">
        <f>SUM(L234:L235,L238:L241,)</f>
        <v>16.128035493627401</v>
      </c>
      <c r="M233" s="278">
        <f t="shared" ref="M233:AJ233" si="233">SUM(M234:M235,M238:M241,)</f>
        <v>11.520025352591</v>
      </c>
      <c r="N233" s="278">
        <f t="shared" si="233"/>
        <v>8.2092021666088186</v>
      </c>
      <c r="O233" s="278">
        <f t="shared" si="233"/>
        <v>8.3616458073936943</v>
      </c>
      <c r="P233" s="278">
        <f t="shared" si="233"/>
        <v>8.5217116302178137</v>
      </c>
      <c r="Q233" s="278">
        <f t="shared" si="233"/>
        <v>8.6897807441831354</v>
      </c>
      <c r="R233" s="278">
        <f t="shared" si="233"/>
        <v>8.866253313846725</v>
      </c>
      <c r="S233" s="278">
        <f t="shared" si="233"/>
        <v>9.0515495119934961</v>
      </c>
      <c r="T233" s="278">
        <f t="shared" si="233"/>
        <v>9.2461105200476048</v>
      </c>
      <c r="U233" s="278">
        <f t="shared" si="233"/>
        <v>9.450399578504415</v>
      </c>
      <c r="V233" s="278">
        <f t="shared" si="233"/>
        <v>9.6649030898840689</v>
      </c>
      <c r="W233" s="278">
        <f t="shared" si="233"/>
        <v>9.8901317768327068</v>
      </c>
      <c r="X233" s="278">
        <f t="shared" si="233"/>
        <v>6.0804844495677273</v>
      </c>
      <c r="Y233" s="278">
        <f t="shared" si="233"/>
        <v>6.3287990769285969</v>
      </c>
      <c r="Z233" s="278">
        <f t="shared" si="233"/>
        <v>6.5895294356575143</v>
      </c>
      <c r="AA233" s="278"/>
      <c r="AB233" s="278"/>
      <c r="AC233" s="278"/>
      <c r="AD233" s="278"/>
      <c r="AE233" s="278"/>
      <c r="AF233" s="278"/>
      <c r="AG233" s="278"/>
      <c r="AH233" s="278"/>
      <c r="AI233" s="278"/>
      <c r="AJ233" s="278"/>
    </row>
    <row r="234" spans="1:36" outlineLevel="1" x14ac:dyDescent="0.25">
      <c r="A234" t="s">
        <v>423</v>
      </c>
      <c r="C234" t="s">
        <v>367</v>
      </c>
      <c r="H234" s="556" t="s">
        <v>190</v>
      </c>
      <c r="I234" s="557" t="str">
        <f t="shared" ref="I234:I267" si="234">IF($H$9="USD","USD/tấn","tr. VND/tấn")</f>
        <v>tr. VND/tấn</v>
      </c>
      <c r="K234" s="562"/>
      <c r="L234" s="563">
        <f t="shared" ref="L234:AJ234" si="235">-IF($H$9="VND",L202/L190/$H$10/10^3,L202/L190/$H$10*10^3)</f>
        <v>10.029578903950334</v>
      </c>
      <c r="M234" s="563">
        <f t="shared" si="235"/>
        <v>7.1639849313930961</v>
      </c>
      <c r="N234" s="563">
        <f t="shared" si="235"/>
        <v>5.014789451975167</v>
      </c>
      <c r="O234" s="563">
        <f t="shared" si="235"/>
        <v>5.014789451975167</v>
      </c>
      <c r="P234" s="563">
        <f t="shared" si="235"/>
        <v>5.014789451975167</v>
      </c>
      <c r="Q234" s="563">
        <f t="shared" si="235"/>
        <v>5.014789451975167</v>
      </c>
      <c r="R234" s="563">
        <f t="shared" si="235"/>
        <v>5.014789451975167</v>
      </c>
      <c r="S234" s="563">
        <f t="shared" si="235"/>
        <v>5.014789451975167</v>
      </c>
      <c r="T234" s="563">
        <f t="shared" si="235"/>
        <v>5.014789451975167</v>
      </c>
      <c r="U234" s="563">
        <f t="shared" si="235"/>
        <v>5.014789451975167</v>
      </c>
      <c r="V234" s="563">
        <f t="shared" si="235"/>
        <v>5.014789451975167</v>
      </c>
      <c r="W234" s="563">
        <f t="shared" si="235"/>
        <v>5.014789451975167</v>
      </c>
      <c r="X234" s="563">
        <f t="shared" si="235"/>
        <v>0.96865200341411861</v>
      </c>
      <c r="Y234" s="563">
        <f t="shared" si="235"/>
        <v>0.96865200341411861</v>
      </c>
      <c r="Z234" s="563">
        <f t="shared" si="235"/>
        <v>0.96865200341411861</v>
      </c>
      <c r="AA234" s="563"/>
      <c r="AB234" s="563"/>
      <c r="AC234" s="563"/>
      <c r="AD234" s="563"/>
      <c r="AE234" s="563"/>
      <c r="AF234" s="563"/>
      <c r="AG234" s="563"/>
      <c r="AH234" s="563"/>
      <c r="AI234" s="563"/>
      <c r="AJ234" s="563"/>
    </row>
    <row r="235" spans="1:36" outlineLevel="1" x14ac:dyDescent="0.25">
      <c r="A235" t="s">
        <v>423</v>
      </c>
      <c r="H235" s="558" t="s">
        <v>429</v>
      </c>
      <c r="I235" s="559" t="str">
        <f t="shared" si="234"/>
        <v>tr. VND/tấn</v>
      </c>
      <c r="K235" s="564">
        <f>SUM(K236:K237)</f>
        <v>0</v>
      </c>
      <c r="L235" s="564">
        <f t="shared" ref="L235:AJ235" si="236">SUM(L236:L237)</f>
        <v>1.9410042574812794</v>
      </c>
      <c r="M235" s="564">
        <f t="shared" si="236"/>
        <v>1.3864316124866283</v>
      </c>
      <c r="N235" s="564">
        <f t="shared" si="236"/>
        <v>1.0190272351776717</v>
      </c>
      <c r="O235" s="564">
        <f t="shared" si="236"/>
        <v>1.0699785969365552</v>
      </c>
      <c r="P235" s="564">
        <f t="shared" si="236"/>
        <v>1.1234775267833832</v>
      </c>
      <c r="Q235" s="564">
        <f t="shared" si="236"/>
        <v>1.179651403122552</v>
      </c>
      <c r="R235" s="564">
        <f t="shared" si="236"/>
        <v>1.2386339732786797</v>
      </c>
      <c r="S235" s="564">
        <f t="shared" si="236"/>
        <v>1.3005656719426137</v>
      </c>
      <c r="T235" s="564">
        <f t="shared" si="236"/>
        <v>1.3655939555397447</v>
      </c>
      <c r="U235" s="564">
        <f t="shared" si="236"/>
        <v>1.4338736533167316</v>
      </c>
      <c r="V235" s="564">
        <f t="shared" si="236"/>
        <v>1.5055673359825681</v>
      </c>
      <c r="W235" s="564">
        <f t="shared" si="236"/>
        <v>1.5808457027816967</v>
      </c>
      <c r="X235" s="564">
        <f t="shared" si="236"/>
        <v>1.6598879879207817</v>
      </c>
      <c r="Y235" s="564">
        <f t="shared" si="236"/>
        <v>1.7428823873168202</v>
      </c>
      <c r="Z235" s="564">
        <f t="shared" si="236"/>
        <v>1.8300265066826618</v>
      </c>
      <c r="AA235" s="564"/>
      <c r="AB235" s="564"/>
      <c r="AC235" s="564"/>
      <c r="AD235" s="564"/>
      <c r="AE235" s="564"/>
      <c r="AF235" s="564"/>
      <c r="AG235" s="564"/>
      <c r="AH235" s="564"/>
      <c r="AI235" s="564"/>
      <c r="AJ235" s="564"/>
    </row>
    <row r="236" spans="1:36" s="299" customFormat="1" outlineLevel="1" x14ac:dyDescent="0.25">
      <c r="A236" s="299" t="s">
        <v>423</v>
      </c>
      <c r="C236" s="299" t="s">
        <v>367</v>
      </c>
      <c r="H236" s="560" t="s">
        <v>430</v>
      </c>
      <c r="I236" s="561" t="str">
        <f t="shared" si="234"/>
        <v>tr. VND/tấn</v>
      </c>
      <c r="K236" s="565"/>
      <c r="L236" s="565">
        <f t="shared" ref="L236:AJ236" si="237">-IF($H$9="VND",L204/L190/$H$10/10^3,L204/L190/$H$10*10^3)</f>
        <v>0.31733039631846527</v>
      </c>
      <c r="M236" s="565">
        <f t="shared" si="237"/>
        <v>0.22666456879890379</v>
      </c>
      <c r="N236" s="565">
        <f t="shared" si="237"/>
        <v>0.16659845806719425</v>
      </c>
      <c r="O236" s="565">
        <f t="shared" si="237"/>
        <v>0.17492838097055399</v>
      </c>
      <c r="P236" s="565">
        <f t="shared" si="237"/>
        <v>0.18367480001908168</v>
      </c>
      <c r="Q236" s="565">
        <f t="shared" si="237"/>
        <v>0.19285854002003575</v>
      </c>
      <c r="R236" s="565">
        <f t="shared" si="237"/>
        <v>0.20250146702103758</v>
      </c>
      <c r="S236" s="565">
        <f t="shared" si="237"/>
        <v>0.21262654037208945</v>
      </c>
      <c r="T236" s="565">
        <f t="shared" si="237"/>
        <v>0.22325786739069392</v>
      </c>
      <c r="U236" s="565">
        <f t="shared" si="237"/>
        <v>0.23442076076022861</v>
      </c>
      <c r="V236" s="565">
        <f t="shared" si="237"/>
        <v>0.24614179879824005</v>
      </c>
      <c r="W236" s="565">
        <f t="shared" si="237"/>
        <v>0.25844888873815203</v>
      </c>
      <c r="X236" s="565">
        <f t="shared" si="237"/>
        <v>0.27137133317505963</v>
      </c>
      <c r="Y236" s="565">
        <f t="shared" si="237"/>
        <v>0.28493989983381263</v>
      </c>
      <c r="Z236" s="565">
        <f t="shared" si="237"/>
        <v>0.29918689482550326</v>
      </c>
      <c r="AA236" s="565"/>
      <c r="AB236" s="565"/>
      <c r="AC236" s="565"/>
      <c r="AD236" s="565"/>
      <c r="AE236" s="565"/>
      <c r="AF236" s="565"/>
      <c r="AG236" s="565"/>
      <c r="AH236" s="565"/>
      <c r="AI236" s="565"/>
      <c r="AJ236" s="565"/>
    </row>
    <row r="237" spans="1:36" s="299" customFormat="1" outlineLevel="1" x14ac:dyDescent="0.25">
      <c r="A237" s="299" t="s">
        <v>423</v>
      </c>
      <c r="C237" s="299" t="s">
        <v>367</v>
      </c>
      <c r="H237" s="560" t="s">
        <v>431</v>
      </c>
      <c r="I237" s="561" t="str">
        <f t="shared" si="234"/>
        <v>tr. VND/tấn</v>
      </c>
      <c r="K237" s="565"/>
      <c r="L237" s="565">
        <f t="shared" ref="L237:AJ237" si="238">-IF($H$9="VND",L205/L190/$H$10/10^3,L205/L190/$H$10*10^3)</f>
        <v>1.6236738611628141</v>
      </c>
      <c r="M237" s="565">
        <f t="shared" si="238"/>
        <v>1.1597670436877245</v>
      </c>
      <c r="N237" s="565">
        <f t="shared" si="238"/>
        <v>0.85242877711047738</v>
      </c>
      <c r="O237" s="565">
        <f t="shared" si="238"/>
        <v>0.89505021596600121</v>
      </c>
      <c r="P237" s="565">
        <f t="shared" si="238"/>
        <v>0.93980272676430154</v>
      </c>
      <c r="Q237" s="565">
        <f t="shared" si="238"/>
        <v>0.98679286310251635</v>
      </c>
      <c r="R237" s="565">
        <f t="shared" si="238"/>
        <v>1.0361325062576421</v>
      </c>
      <c r="S237" s="565">
        <f t="shared" si="238"/>
        <v>1.0879391315705242</v>
      </c>
      <c r="T237" s="565">
        <f t="shared" si="238"/>
        <v>1.1423360881490507</v>
      </c>
      <c r="U237" s="565">
        <f t="shared" si="238"/>
        <v>1.1994528925565029</v>
      </c>
      <c r="V237" s="565">
        <f t="shared" si="238"/>
        <v>1.2594255371843281</v>
      </c>
      <c r="W237" s="565">
        <f t="shared" si="238"/>
        <v>1.3223968140435447</v>
      </c>
      <c r="X237" s="565">
        <f t="shared" si="238"/>
        <v>1.3885166547457222</v>
      </c>
      <c r="Y237" s="565">
        <f t="shared" si="238"/>
        <v>1.4579424874830076</v>
      </c>
      <c r="Z237" s="565">
        <f t="shared" si="238"/>
        <v>1.5308396118571586</v>
      </c>
      <c r="AA237" s="565"/>
      <c r="AB237" s="565"/>
      <c r="AC237" s="565"/>
      <c r="AD237" s="565"/>
      <c r="AE237" s="565"/>
      <c r="AF237" s="565"/>
      <c r="AG237" s="565"/>
      <c r="AH237" s="565"/>
      <c r="AI237" s="565"/>
      <c r="AJ237" s="565"/>
    </row>
    <row r="238" spans="1:36" outlineLevel="1" x14ac:dyDescent="0.25">
      <c r="A238" t="s">
        <v>423</v>
      </c>
      <c r="C238" t="s">
        <v>367</v>
      </c>
      <c r="H238" s="558" t="s">
        <v>656</v>
      </c>
      <c r="I238" s="559" t="str">
        <f t="shared" si="234"/>
        <v>tr. VND/tấn</v>
      </c>
      <c r="K238" s="564"/>
      <c r="L238" s="564">
        <f t="shared" ref="L238:AJ238" si="239">-IF($H$9="VND",L206/L190/$H$10/10^3,L206/L190/$H$10*10^3)</f>
        <v>0.77492160273129496</v>
      </c>
      <c r="M238" s="564">
        <f t="shared" si="239"/>
        <v>0.55351543052235352</v>
      </c>
      <c r="N238" s="564">
        <f t="shared" si="239"/>
        <v>0.40683384143392981</v>
      </c>
      <c r="O238" s="564">
        <f t="shared" si="239"/>
        <v>0.42717553350562631</v>
      </c>
      <c r="P238" s="564">
        <f t="shared" si="239"/>
        <v>0.44853431018090767</v>
      </c>
      <c r="Q238" s="564">
        <f t="shared" si="239"/>
        <v>0.47096102568995302</v>
      </c>
      <c r="R238" s="564">
        <f t="shared" si="239"/>
        <v>0.49450907697445079</v>
      </c>
      <c r="S238" s="564">
        <f t="shared" si="239"/>
        <v>0.51923453082317328</v>
      </c>
      <c r="T238" s="564">
        <f t="shared" si="239"/>
        <v>0.54519625736433197</v>
      </c>
      <c r="U238" s="564">
        <f t="shared" si="239"/>
        <v>0.57245607023254841</v>
      </c>
      <c r="V238" s="564">
        <f t="shared" si="239"/>
        <v>0.60107887374417601</v>
      </c>
      <c r="W238" s="564">
        <f t="shared" si="239"/>
        <v>0.63113281743138472</v>
      </c>
      <c r="X238" s="564">
        <f t="shared" si="239"/>
        <v>0.662689458302954</v>
      </c>
      <c r="Y238" s="564">
        <f t="shared" si="239"/>
        <v>0.69582393121810171</v>
      </c>
      <c r="Z238" s="564">
        <f t="shared" si="239"/>
        <v>0.73061512777900695</v>
      </c>
      <c r="AA238" s="564"/>
      <c r="AB238" s="564"/>
      <c r="AC238" s="564"/>
      <c r="AD238" s="564"/>
      <c r="AE238" s="564"/>
      <c r="AF238" s="564"/>
      <c r="AG238" s="564"/>
      <c r="AH238" s="564"/>
      <c r="AI238" s="564"/>
      <c r="AJ238" s="564"/>
    </row>
    <row r="239" spans="1:36" outlineLevel="1" x14ac:dyDescent="0.25">
      <c r="A239" t="s">
        <v>423</v>
      </c>
      <c r="C239" t="s">
        <v>367</v>
      </c>
      <c r="H239" s="558" t="s">
        <v>432</v>
      </c>
      <c r="I239" s="559" t="str">
        <f t="shared" si="234"/>
        <v>tr. VND/tấn</v>
      </c>
      <c r="K239" s="564"/>
      <c r="L239" s="564">
        <f t="shared" ref="L239:AJ239" si="240">-IF($H$9="VND",L207/L190/$H$10/10^3,L207/L190/$H$10*10^3)</f>
        <v>2.9132189629639549</v>
      </c>
      <c r="M239" s="564">
        <f t="shared" si="240"/>
        <v>2.0808706878313963</v>
      </c>
      <c r="N239" s="564">
        <f t="shared" si="240"/>
        <v>1.5294399555560763</v>
      </c>
      <c r="O239" s="564">
        <f t="shared" si="240"/>
        <v>1.6059119533338804</v>
      </c>
      <c r="P239" s="564">
        <f t="shared" si="240"/>
        <v>1.6862075510005743</v>
      </c>
      <c r="Q239" s="564">
        <f t="shared" si="240"/>
        <v>1.7705179285506027</v>
      </c>
      <c r="R239" s="564">
        <f t="shared" si="240"/>
        <v>1.8590438249781329</v>
      </c>
      <c r="S239" s="564">
        <f t="shared" si="240"/>
        <v>1.9519960162270396</v>
      </c>
      <c r="T239" s="564">
        <f t="shared" si="240"/>
        <v>2.0495958170383921</v>
      </c>
      <c r="U239" s="564">
        <f t="shared" si="240"/>
        <v>2.1520756078903109</v>
      </c>
      <c r="V239" s="564">
        <f t="shared" si="240"/>
        <v>2.2596793882848267</v>
      </c>
      <c r="W239" s="564">
        <f t="shared" si="240"/>
        <v>2.3726633576990679</v>
      </c>
      <c r="X239" s="564">
        <f t="shared" si="240"/>
        <v>2.4912965255840218</v>
      </c>
      <c r="Y239" s="564">
        <f t="shared" si="240"/>
        <v>2.6158613518632223</v>
      </c>
      <c r="Z239" s="564">
        <f t="shared" si="240"/>
        <v>2.7466544194563838</v>
      </c>
      <c r="AA239" s="564"/>
      <c r="AB239" s="564"/>
      <c r="AC239" s="564"/>
      <c r="AD239" s="564"/>
      <c r="AE239" s="564"/>
      <c r="AF239" s="564"/>
      <c r="AG239" s="564"/>
      <c r="AH239" s="564"/>
      <c r="AI239" s="564"/>
      <c r="AJ239" s="564"/>
    </row>
    <row r="240" spans="1:36" outlineLevel="1" x14ac:dyDescent="0.25">
      <c r="A240" t="s">
        <v>423</v>
      </c>
      <c r="C240" t="s">
        <v>367</v>
      </c>
      <c r="H240" s="558" t="s">
        <v>433</v>
      </c>
      <c r="I240" s="559" t="str">
        <f t="shared" si="234"/>
        <v>tr. VND/tấn</v>
      </c>
      <c r="K240" s="564"/>
      <c r="L240" s="564">
        <f t="shared" ref="L240:AJ240" si="241">-IF($H$9="VND",L208/L190/$H$10/10^3,L208/L190/$H$10*10^3)</f>
        <v>0.17823196862819785</v>
      </c>
      <c r="M240" s="564">
        <f t="shared" si="241"/>
        <v>0.12730854902014133</v>
      </c>
      <c r="N240" s="564">
        <f t="shared" si="241"/>
        <v>9.3571783529803873E-2</v>
      </c>
      <c r="O240" s="564">
        <f t="shared" si="241"/>
        <v>9.8250372706294054E-2</v>
      </c>
      <c r="P240" s="564">
        <f t="shared" si="241"/>
        <v>0.10316289134160876</v>
      </c>
      <c r="Q240" s="564">
        <f t="shared" si="241"/>
        <v>0.1083210359086892</v>
      </c>
      <c r="R240" s="564">
        <f t="shared" si="241"/>
        <v>0.11373708770412366</v>
      </c>
      <c r="S240" s="564">
        <f t="shared" si="241"/>
        <v>0.11942394208932984</v>
      </c>
      <c r="T240" s="564">
        <f t="shared" si="241"/>
        <v>0.12539513919379636</v>
      </c>
      <c r="U240" s="564">
        <f t="shared" si="241"/>
        <v>0.13166489615348614</v>
      </c>
      <c r="V240" s="564">
        <f t="shared" si="241"/>
        <v>0.13824814096116045</v>
      </c>
      <c r="W240" s="564">
        <f t="shared" si="241"/>
        <v>0.14516054800921852</v>
      </c>
      <c r="X240" s="564">
        <f t="shared" si="241"/>
        <v>0.15241857540967946</v>
      </c>
      <c r="Y240" s="564">
        <f t="shared" si="241"/>
        <v>0.16003950418016336</v>
      </c>
      <c r="Z240" s="564">
        <f t="shared" si="241"/>
        <v>0.16804147938917158</v>
      </c>
      <c r="AA240" s="564"/>
      <c r="AB240" s="564"/>
      <c r="AC240" s="564"/>
      <c r="AD240" s="564"/>
      <c r="AE240" s="564"/>
      <c r="AF240" s="564"/>
      <c r="AG240" s="564"/>
      <c r="AH240" s="564"/>
      <c r="AI240" s="564"/>
      <c r="AJ240" s="564"/>
    </row>
    <row r="241" spans="1:36" outlineLevel="1" x14ac:dyDescent="0.25">
      <c r="A241" t="s">
        <v>423</v>
      </c>
      <c r="C241" t="s">
        <v>367</v>
      </c>
      <c r="H241" s="558" t="s">
        <v>520</v>
      </c>
      <c r="I241" s="559" t="str">
        <f t="shared" si="234"/>
        <v>tr. VND/tấn</v>
      </c>
      <c r="K241" s="564"/>
      <c r="L241" s="564">
        <f t="shared" ref="L241:AJ241" si="242">-IF($H$9="VND",L209/L190/$H$10/10^3,L209/L190/$H$10*10^3)</f>
        <v>0.29107979787234217</v>
      </c>
      <c r="M241" s="564">
        <f t="shared" si="242"/>
        <v>0.20791414133738728</v>
      </c>
      <c r="N241" s="564">
        <f t="shared" si="242"/>
        <v>0.14553989893617109</v>
      </c>
      <c r="O241" s="564">
        <f t="shared" si="242"/>
        <v>0.14553989893617109</v>
      </c>
      <c r="P241" s="564">
        <f t="shared" si="242"/>
        <v>0.14553989893617109</v>
      </c>
      <c r="Q241" s="564">
        <f t="shared" si="242"/>
        <v>0.14553989893617109</v>
      </c>
      <c r="R241" s="564">
        <f t="shared" si="242"/>
        <v>0.14553989893617109</v>
      </c>
      <c r="S241" s="564">
        <f t="shared" si="242"/>
        <v>0.14553989893617109</v>
      </c>
      <c r="T241" s="564">
        <f t="shared" si="242"/>
        <v>0.14553989893617109</v>
      </c>
      <c r="U241" s="564">
        <f t="shared" si="242"/>
        <v>0.14553989893617109</v>
      </c>
      <c r="V241" s="564">
        <f t="shared" si="242"/>
        <v>0.14553989893617109</v>
      </c>
      <c r="W241" s="564">
        <f t="shared" si="242"/>
        <v>0.14553989893617109</v>
      </c>
      <c r="X241" s="564">
        <f t="shared" si="242"/>
        <v>0.14553989893617109</v>
      </c>
      <c r="Y241" s="564">
        <f t="shared" si="242"/>
        <v>0.14553989893617109</v>
      </c>
      <c r="Z241" s="564">
        <f t="shared" si="242"/>
        <v>0.14553989893617109</v>
      </c>
      <c r="AA241" s="564"/>
      <c r="AB241" s="564"/>
      <c r="AC241" s="564"/>
      <c r="AD241" s="564"/>
      <c r="AE241" s="564"/>
      <c r="AF241" s="564"/>
      <c r="AG241" s="564"/>
      <c r="AH241" s="564"/>
      <c r="AI241" s="564"/>
      <c r="AJ241" s="564"/>
    </row>
    <row r="242" spans="1:36" outlineLevel="1" x14ac:dyDescent="0.25">
      <c r="A242" t="s">
        <v>423</v>
      </c>
      <c r="H242" s="247"/>
      <c r="I242" s="275"/>
      <c r="K242" s="279"/>
      <c r="L242" s="279"/>
      <c r="M242" s="279"/>
      <c r="N242" s="279"/>
      <c r="O242" s="279"/>
      <c r="P242" s="279"/>
      <c r="Q242" s="279"/>
      <c r="R242" s="279"/>
      <c r="S242" s="279"/>
      <c r="T242" s="279"/>
      <c r="U242" s="279"/>
      <c r="V242" s="279"/>
      <c r="W242" s="279"/>
      <c r="X242" s="279"/>
      <c r="Y242" s="279"/>
      <c r="Z242" s="279"/>
      <c r="AA242" s="279"/>
      <c r="AB242" s="279"/>
      <c r="AC242" s="279"/>
      <c r="AD242" s="279"/>
      <c r="AE242" s="279"/>
      <c r="AF242" s="279"/>
      <c r="AG242" s="279"/>
      <c r="AH242" s="279"/>
      <c r="AI242" s="279"/>
      <c r="AJ242" s="279"/>
    </row>
    <row r="243" spans="1:36" s="1" customFormat="1" outlineLevel="1" x14ac:dyDescent="0.25">
      <c r="A243" s="1" t="s">
        <v>423</v>
      </c>
      <c r="H243" s="273" t="s">
        <v>435</v>
      </c>
      <c r="I243" s="274" t="str">
        <f t="shared" si="234"/>
        <v>tr. VND/tấn</v>
      </c>
      <c r="K243" s="280">
        <f>K244+K247+K250</f>
        <v>0</v>
      </c>
      <c r="L243" s="280">
        <f t="shared" ref="L243:AJ243" si="243">L244+L247+L250</f>
        <v>29.946220655109496</v>
      </c>
      <c r="M243" s="280">
        <f t="shared" si="243"/>
        <v>29.761900249468042</v>
      </c>
      <c r="N243" s="280">
        <f t="shared" si="243"/>
        <v>30.289360993474389</v>
      </c>
      <c r="O243" s="280">
        <f t="shared" si="243"/>
        <v>30.972243868317261</v>
      </c>
      <c r="P243" s="280">
        <f t="shared" si="243"/>
        <v>31.672845596579684</v>
      </c>
      <c r="Q243" s="280">
        <f t="shared" si="243"/>
        <v>32.391723615126203</v>
      </c>
      <c r="R243" s="280">
        <f t="shared" si="243"/>
        <v>33.129456662548428</v>
      </c>
      <c r="S243" s="280">
        <f t="shared" si="243"/>
        <v>33.886645712849131</v>
      </c>
      <c r="T243" s="280">
        <f t="shared" si="243"/>
        <v>34.663914953182356</v>
      </c>
      <c r="U243" s="280">
        <f t="shared" si="243"/>
        <v>35.461912807800097</v>
      </c>
      <c r="V243" s="280">
        <f t="shared" si="243"/>
        <v>36.281313010461943</v>
      </c>
      <c r="W243" s="280">
        <f t="shared" si="243"/>
        <v>37.122815727676354</v>
      </c>
      <c r="X243" s="280">
        <f t="shared" si="243"/>
        <v>37.825303237316888</v>
      </c>
      <c r="Y243" s="280">
        <f t="shared" si="243"/>
        <v>38.713223152877063</v>
      </c>
      <c r="Z243" s="280">
        <f t="shared" si="243"/>
        <v>39.625516726965209</v>
      </c>
      <c r="AA243" s="280"/>
      <c r="AB243" s="280"/>
      <c r="AC243" s="280"/>
      <c r="AD243" s="280"/>
      <c r="AE243" s="280"/>
      <c r="AF243" s="280"/>
      <c r="AG243" s="280"/>
      <c r="AH243" s="280"/>
      <c r="AI243" s="280"/>
      <c r="AJ243" s="280"/>
    </row>
    <row r="244" spans="1:36" outlineLevel="1" x14ac:dyDescent="0.25">
      <c r="A244" t="s">
        <v>423</v>
      </c>
      <c r="H244" s="556" t="s">
        <v>454</v>
      </c>
      <c r="I244" s="557" t="str">
        <f t="shared" si="234"/>
        <v>tr. VND/tấn</v>
      </c>
      <c r="K244" s="566">
        <f>SUM(K245:K246)</f>
        <v>0</v>
      </c>
      <c r="L244" s="566">
        <f t="shared" ref="L244:AJ244" si="244">SUM(L245:L246)</f>
        <v>26.838709677419356</v>
      </c>
      <c r="M244" s="566">
        <f t="shared" si="244"/>
        <v>26.838709677419359</v>
      </c>
      <c r="N244" s="566">
        <f t="shared" si="244"/>
        <v>27.375483870967745</v>
      </c>
      <c r="O244" s="566">
        <f t="shared" si="244"/>
        <v>27.922993548387105</v>
      </c>
      <c r="P244" s="566">
        <f t="shared" si="244"/>
        <v>28.481453419354843</v>
      </c>
      <c r="Q244" s="566">
        <f t="shared" si="244"/>
        <v>29.05108248774194</v>
      </c>
      <c r="R244" s="566">
        <f t="shared" si="244"/>
        <v>29.632104137496778</v>
      </c>
      <c r="S244" s="566">
        <f t="shared" si="244"/>
        <v>30.224746220246715</v>
      </c>
      <c r="T244" s="566">
        <f t="shared" si="244"/>
        <v>30.829241144651643</v>
      </c>
      <c r="U244" s="566">
        <f t="shared" si="244"/>
        <v>31.445825967544675</v>
      </c>
      <c r="V244" s="566">
        <f t="shared" si="244"/>
        <v>32.074742486895573</v>
      </c>
      <c r="W244" s="566">
        <f t="shared" si="244"/>
        <v>32.71623733663349</v>
      </c>
      <c r="X244" s="566">
        <f t="shared" si="244"/>
        <v>33.370562083366146</v>
      </c>
      <c r="Y244" s="566">
        <f t="shared" si="244"/>
        <v>34.037973325033477</v>
      </c>
      <c r="Z244" s="566">
        <f t="shared" si="244"/>
        <v>34.718732791534151</v>
      </c>
      <c r="AA244" s="566"/>
      <c r="AB244" s="566"/>
      <c r="AC244" s="566"/>
      <c r="AD244" s="566"/>
      <c r="AE244" s="566"/>
      <c r="AF244" s="566"/>
      <c r="AG244" s="566"/>
      <c r="AH244" s="566"/>
      <c r="AI244" s="566"/>
      <c r="AJ244" s="566"/>
    </row>
    <row r="245" spans="1:36" s="299" customFormat="1" outlineLevel="1" x14ac:dyDescent="0.25">
      <c r="A245" s="299" t="s">
        <v>423</v>
      </c>
      <c r="C245" s="299" t="s">
        <v>504</v>
      </c>
      <c r="E245" s="331"/>
      <c r="F245" s="331"/>
      <c r="H245" s="560" t="s">
        <v>167</v>
      </c>
      <c r="I245" s="561" t="str">
        <f t="shared" si="234"/>
        <v>tr. VND/tấn</v>
      </c>
      <c r="K245" s="565"/>
      <c r="L245" s="565">
        <f t="shared" ref="L245" si="245">-IF($H$9="VND",L213/L190/$H$10/10^3,L213/L190/$H$10*10^3)</f>
        <v>24.96</v>
      </c>
      <c r="M245" s="565">
        <f>-IF($H$9="VND",M213/M190/$H$10/10^3,M213/M190/$H$10*10^3)</f>
        <v>24.96</v>
      </c>
      <c r="N245" s="565">
        <f t="shared" ref="N245:AJ245" si="246">-IF($H$9="VND",N213/N190/$H$10/10^3,N213/N190/$H$10*10^3)</f>
        <v>25.459199999999999</v>
      </c>
      <c r="O245" s="565">
        <f t="shared" si="246"/>
        <v>25.968384000000004</v>
      </c>
      <c r="P245" s="565">
        <f t="shared" si="246"/>
        <v>26.487751680000002</v>
      </c>
      <c r="Q245" s="565">
        <f t="shared" si="246"/>
        <v>27.017506713600003</v>
      </c>
      <c r="R245" s="565">
        <f t="shared" si="246"/>
        <v>27.557856847872003</v>
      </c>
      <c r="S245" s="565">
        <f t="shared" si="246"/>
        <v>28.109013984829442</v>
      </c>
      <c r="T245" s="565">
        <f t="shared" si="246"/>
        <v>28.671194264526026</v>
      </c>
      <c r="U245" s="565">
        <f t="shared" si="246"/>
        <v>29.244618149816546</v>
      </c>
      <c r="V245" s="565">
        <f t="shared" si="246"/>
        <v>29.829510512812881</v>
      </c>
      <c r="W245" s="565">
        <f t="shared" si="246"/>
        <v>30.426100723069144</v>
      </c>
      <c r="X245" s="565">
        <f t="shared" si="246"/>
        <v>31.034622737530515</v>
      </c>
      <c r="Y245" s="565">
        <f t="shared" si="246"/>
        <v>31.655315192281126</v>
      </c>
      <c r="Z245" s="565">
        <f t="shared" si="246"/>
        <v>32.288421496126759</v>
      </c>
      <c r="AA245" s="565"/>
      <c r="AB245" s="565"/>
      <c r="AC245" s="565"/>
      <c r="AD245" s="565"/>
      <c r="AE245" s="565"/>
      <c r="AF245" s="565"/>
      <c r="AG245" s="565"/>
      <c r="AH245" s="565"/>
      <c r="AI245" s="565"/>
      <c r="AJ245" s="565"/>
    </row>
    <row r="246" spans="1:36" s="299" customFormat="1" outlineLevel="1" x14ac:dyDescent="0.25">
      <c r="A246" s="299" t="s">
        <v>423</v>
      </c>
      <c r="C246" s="299" t="s">
        <v>387</v>
      </c>
      <c r="E246" s="331"/>
      <c r="F246" s="331"/>
      <c r="H246" s="640" t="s">
        <v>203</v>
      </c>
      <c r="I246" s="641" t="str">
        <f t="shared" si="234"/>
        <v>tr. VND/tấn</v>
      </c>
      <c r="K246" s="642"/>
      <c r="L246" s="642">
        <f t="shared" ref="L246:AJ246" si="247">-IF($H$9="VND",L214/L190/$H$10/10^3,L214/L190/$H$10*10^3)</f>
        <v>1.8787096774193559</v>
      </c>
      <c r="M246" s="642">
        <f t="shared" si="247"/>
        <v>1.8787096774193583</v>
      </c>
      <c r="N246" s="642">
        <f t="shared" si="247"/>
        <v>1.9162838709677454</v>
      </c>
      <c r="O246" s="642">
        <f t="shared" si="247"/>
        <v>1.9546095483871007</v>
      </c>
      <c r="P246" s="642">
        <f t="shared" si="247"/>
        <v>1.9937017393548417</v>
      </c>
      <c r="Q246" s="642">
        <f t="shared" si="247"/>
        <v>2.0335757741419362</v>
      </c>
      <c r="R246" s="642">
        <f t="shared" si="247"/>
        <v>2.0742472896247759</v>
      </c>
      <c r="S246" s="642">
        <f t="shared" si="247"/>
        <v>2.1157322354172718</v>
      </c>
      <c r="T246" s="642">
        <f t="shared" si="247"/>
        <v>2.1580468801256183</v>
      </c>
      <c r="U246" s="642">
        <f t="shared" si="247"/>
        <v>2.2012078177281285</v>
      </c>
      <c r="V246" s="642">
        <f t="shared" si="247"/>
        <v>2.2452319740826931</v>
      </c>
      <c r="W246" s="642">
        <f t="shared" si="247"/>
        <v>2.2901366135643446</v>
      </c>
      <c r="X246" s="642">
        <f t="shared" si="247"/>
        <v>2.3359393458356301</v>
      </c>
      <c r="Y246" s="642">
        <f t="shared" si="247"/>
        <v>2.3826581327523475</v>
      </c>
      <c r="Z246" s="642">
        <f t="shared" si="247"/>
        <v>2.430311295407392</v>
      </c>
      <c r="AA246" s="642"/>
      <c r="AB246" s="642"/>
      <c r="AC246" s="642"/>
      <c r="AD246" s="642"/>
      <c r="AE246" s="642"/>
      <c r="AF246" s="642"/>
      <c r="AG246" s="642"/>
      <c r="AH246" s="642"/>
      <c r="AI246" s="642"/>
      <c r="AJ246" s="642"/>
    </row>
    <row r="247" spans="1:36" outlineLevel="1" x14ac:dyDescent="0.25">
      <c r="A247" t="s">
        <v>423</v>
      </c>
      <c r="H247" s="558" t="s">
        <v>676</v>
      </c>
      <c r="I247" s="559" t="str">
        <f t="shared" si="234"/>
        <v>tr. VND/tấn</v>
      </c>
      <c r="K247" s="567">
        <f>SUM(K248:K249)</f>
        <v>0</v>
      </c>
      <c r="L247" s="567">
        <f t="shared" ref="L247:AJ247" si="248">SUM(L248:L249)</f>
        <v>0.20420258064516131</v>
      </c>
      <c r="M247" s="567">
        <f t="shared" si="248"/>
        <v>0.20420258064516134</v>
      </c>
      <c r="N247" s="567">
        <f t="shared" si="248"/>
        <v>0.21441270967741941</v>
      </c>
      <c r="O247" s="567">
        <f t="shared" si="248"/>
        <v>0.22513334516129035</v>
      </c>
      <c r="P247" s="567">
        <f t="shared" si="248"/>
        <v>0.23639001241935489</v>
      </c>
      <c r="Q247" s="567">
        <f t="shared" si="248"/>
        <v>0.24820951304032263</v>
      </c>
      <c r="R247" s="567">
        <f t="shared" si="248"/>
        <v>0.26061998869233877</v>
      </c>
      <c r="S247" s="567">
        <f t="shared" si="248"/>
        <v>0.27365098812695565</v>
      </c>
      <c r="T247" s="567">
        <f t="shared" si="248"/>
        <v>0.28733353753330354</v>
      </c>
      <c r="U247" s="567">
        <f t="shared" si="248"/>
        <v>0.30170021440996864</v>
      </c>
      <c r="V247" s="567">
        <f t="shared" si="248"/>
        <v>0.31678522513046709</v>
      </c>
      <c r="W247" s="567">
        <f t="shared" si="248"/>
        <v>0.33262448638699044</v>
      </c>
      <c r="X247" s="567">
        <f t="shared" si="248"/>
        <v>0.34925571070633998</v>
      </c>
      <c r="Y247" s="567">
        <f t="shared" si="248"/>
        <v>0.36671849624165698</v>
      </c>
      <c r="Z247" s="567">
        <f t="shared" si="248"/>
        <v>0.38505442105373988</v>
      </c>
      <c r="AA247" s="567"/>
      <c r="AB247" s="567"/>
      <c r="AC247" s="567"/>
      <c r="AD247" s="567"/>
      <c r="AE247" s="567"/>
      <c r="AF247" s="567"/>
      <c r="AG247" s="567"/>
      <c r="AH247" s="567"/>
      <c r="AI247" s="567"/>
      <c r="AJ247" s="567"/>
    </row>
    <row r="248" spans="1:36" s="299" customFormat="1" outlineLevel="1" x14ac:dyDescent="0.25">
      <c r="A248" s="299" t="s">
        <v>423</v>
      </c>
      <c r="C248" s="299" t="s">
        <v>367</v>
      </c>
      <c r="E248" s="331"/>
      <c r="F248" s="331"/>
      <c r="H248" s="560" t="s">
        <v>673</v>
      </c>
      <c r="I248" s="561" t="str">
        <f t="shared" si="234"/>
        <v>tr. VND/tấn</v>
      </c>
      <c r="K248" s="565"/>
      <c r="L248" s="565">
        <f>-IF($H$9="VND",L216/L190/$H$10/10^3,L216/L190/$H$10*10^3)</f>
        <v>0.20420258064516131</v>
      </c>
      <c r="M248" s="565">
        <f t="shared" ref="M248:AJ248" si="249">-IF($H$9="VND",M216/M190/$H$10/10^3,M216/M190/$H$10*10^3)</f>
        <v>0.20420258064516134</v>
      </c>
      <c r="N248" s="565">
        <f t="shared" si="249"/>
        <v>0.21441270967741941</v>
      </c>
      <c r="O248" s="565">
        <f t="shared" si="249"/>
        <v>0.22513334516129035</v>
      </c>
      <c r="P248" s="565">
        <f t="shared" si="249"/>
        <v>0.23639001241935489</v>
      </c>
      <c r="Q248" s="565">
        <f t="shared" si="249"/>
        <v>0.24820951304032263</v>
      </c>
      <c r="R248" s="565">
        <f t="shared" si="249"/>
        <v>0.26061998869233877</v>
      </c>
      <c r="S248" s="565">
        <f t="shared" si="249"/>
        <v>0.27365098812695565</v>
      </c>
      <c r="T248" s="565">
        <f t="shared" si="249"/>
        <v>0.28733353753330354</v>
      </c>
      <c r="U248" s="565">
        <f t="shared" si="249"/>
        <v>0.30170021440996864</v>
      </c>
      <c r="V248" s="565">
        <f t="shared" si="249"/>
        <v>0.31678522513046709</v>
      </c>
      <c r="W248" s="565">
        <f t="shared" si="249"/>
        <v>0.33262448638699044</v>
      </c>
      <c r="X248" s="565">
        <f t="shared" si="249"/>
        <v>0.34925571070633998</v>
      </c>
      <c r="Y248" s="565">
        <f t="shared" si="249"/>
        <v>0.36671849624165698</v>
      </c>
      <c r="Z248" s="565">
        <f t="shared" si="249"/>
        <v>0.38505442105373988</v>
      </c>
      <c r="AA248" s="565"/>
      <c r="AB248" s="565"/>
      <c r="AC248" s="565"/>
      <c r="AD248" s="565"/>
      <c r="AE248" s="565"/>
      <c r="AF248" s="565"/>
      <c r="AG248" s="565"/>
      <c r="AH248" s="565"/>
      <c r="AI248" s="565"/>
      <c r="AJ248" s="565"/>
    </row>
    <row r="249" spans="1:36" s="299" customFormat="1" outlineLevel="1" x14ac:dyDescent="0.25">
      <c r="A249" s="299" t="s">
        <v>423</v>
      </c>
      <c r="C249" s="299" t="s">
        <v>367</v>
      </c>
      <c r="E249" s="331"/>
      <c r="F249" s="331"/>
      <c r="H249" s="560" t="s">
        <v>674</v>
      </c>
      <c r="I249" s="561" t="str">
        <f t="shared" si="234"/>
        <v>tr. VND/tấn</v>
      </c>
      <c r="K249" s="565"/>
      <c r="L249" s="565">
        <f>-IF($H$9="VND",L217/L190/$H$10/10^3,L217/L190/$H$10*10^3)</f>
        <v>0</v>
      </c>
      <c r="M249" s="565">
        <f t="shared" ref="M249:AJ249" si="250">-IF($H$9="VND",M217/M190/$H$10/10^3,M217/M190/$H$10*10^3)</f>
        <v>0</v>
      </c>
      <c r="N249" s="565">
        <f t="shared" si="250"/>
        <v>0</v>
      </c>
      <c r="O249" s="565">
        <f t="shared" si="250"/>
        <v>0</v>
      </c>
      <c r="P249" s="565">
        <f t="shared" si="250"/>
        <v>0</v>
      </c>
      <c r="Q249" s="565">
        <f t="shared" si="250"/>
        <v>0</v>
      </c>
      <c r="R249" s="565">
        <f t="shared" si="250"/>
        <v>0</v>
      </c>
      <c r="S249" s="565">
        <f t="shared" si="250"/>
        <v>0</v>
      </c>
      <c r="T249" s="565">
        <f t="shared" si="250"/>
        <v>0</v>
      </c>
      <c r="U249" s="565">
        <f t="shared" si="250"/>
        <v>0</v>
      </c>
      <c r="V249" s="565">
        <f t="shared" si="250"/>
        <v>0</v>
      </c>
      <c r="W249" s="565">
        <f t="shared" si="250"/>
        <v>0</v>
      </c>
      <c r="X249" s="565">
        <f t="shared" si="250"/>
        <v>0</v>
      </c>
      <c r="Y249" s="565">
        <f t="shared" si="250"/>
        <v>0</v>
      </c>
      <c r="Z249" s="565">
        <f t="shared" si="250"/>
        <v>0</v>
      </c>
      <c r="AA249" s="565"/>
      <c r="AB249" s="565"/>
      <c r="AC249" s="565"/>
      <c r="AD249" s="565"/>
      <c r="AE249" s="565"/>
      <c r="AF249" s="565"/>
      <c r="AG249" s="565"/>
      <c r="AH249" s="565"/>
      <c r="AI249" s="565"/>
      <c r="AJ249" s="565"/>
    </row>
    <row r="250" spans="1:36" outlineLevel="1" x14ac:dyDescent="0.25">
      <c r="A250" t="s">
        <v>423</v>
      </c>
      <c r="H250" s="558" t="s">
        <v>180</v>
      </c>
      <c r="I250" s="559" t="str">
        <f t="shared" si="234"/>
        <v>tr. VND/tấn</v>
      </c>
      <c r="K250" s="567">
        <f>SUM(K251:K253)</f>
        <v>0</v>
      </c>
      <c r="L250" s="567">
        <f>SUM(L251:L253)</f>
        <v>2.9033083970449769</v>
      </c>
      <c r="M250" s="567">
        <f t="shared" ref="M250:AJ250" si="251">SUM(M251:M253)</f>
        <v>2.7189879914035204</v>
      </c>
      <c r="N250" s="567">
        <f t="shared" si="251"/>
        <v>2.6994644128292276</v>
      </c>
      <c r="O250" s="567">
        <f t="shared" si="251"/>
        <v>2.8241169747688661</v>
      </c>
      <c r="P250" s="567">
        <f t="shared" si="251"/>
        <v>2.9550021648054869</v>
      </c>
      <c r="Q250" s="567">
        <f t="shared" si="251"/>
        <v>3.0924316143439388</v>
      </c>
      <c r="R250" s="567">
        <f t="shared" si="251"/>
        <v>3.2367325363593134</v>
      </c>
      <c r="S250" s="567">
        <f t="shared" si="251"/>
        <v>3.3882485044754564</v>
      </c>
      <c r="T250" s="567">
        <f t="shared" si="251"/>
        <v>3.547340270997406</v>
      </c>
      <c r="U250" s="567">
        <f t="shared" si="251"/>
        <v>3.7143866258454539</v>
      </c>
      <c r="V250" s="567">
        <f t="shared" si="251"/>
        <v>3.8897852984359034</v>
      </c>
      <c r="W250" s="567">
        <f t="shared" si="251"/>
        <v>4.0739539046558768</v>
      </c>
      <c r="X250" s="567">
        <f t="shared" si="251"/>
        <v>4.1054854432444063</v>
      </c>
      <c r="Y250" s="567">
        <f t="shared" si="251"/>
        <v>4.3085313316019249</v>
      </c>
      <c r="Z250" s="567">
        <f t="shared" si="251"/>
        <v>4.5217295143773217</v>
      </c>
      <c r="AA250" s="567"/>
      <c r="AB250" s="567"/>
      <c r="AC250" s="567"/>
      <c r="AD250" s="567"/>
      <c r="AE250" s="567"/>
      <c r="AF250" s="567"/>
      <c r="AG250" s="567"/>
      <c r="AH250" s="567"/>
      <c r="AI250" s="567"/>
      <c r="AJ250" s="567"/>
    </row>
    <row r="251" spans="1:36" s="299" customFormat="1" outlineLevel="1" x14ac:dyDescent="0.25">
      <c r="A251" s="299" t="s">
        <v>423</v>
      </c>
      <c r="C251" s="299" t="s">
        <v>367</v>
      </c>
      <c r="H251" s="560" t="s">
        <v>73</v>
      </c>
      <c r="I251" s="561" t="str">
        <f t="shared" si="234"/>
        <v>tr. VND/tấn</v>
      </c>
      <c r="K251" s="565"/>
      <c r="L251" s="565">
        <f t="shared" ref="L251:AJ251" si="252">-IF($H$9="VND",L219/L190/$H$10/10^3,L219/L190/$H$10*10^3)</f>
        <v>1.8565188172043012</v>
      </c>
      <c r="M251" s="565">
        <f t="shared" si="252"/>
        <v>1.8565188172043008</v>
      </c>
      <c r="N251" s="565">
        <f t="shared" si="252"/>
        <v>1.949344758064516</v>
      </c>
      <c r="O251" s="565">
        <f t="shared" si="252"/>
        <v>2.046811995967742</v>
      </c>
      <c r="P251" s="565">
        <f t="shared" si="252"/>
        <v>2.1491525957661293</v>
      </c>
      <c r="Q251" s="565">
        <f t="shared" si="252"/>
        <v>2.2566102255544358</v>
      </c>
      <c r="R251" s="565">
        <f t="shared" si="252"/>
        <v>2.3694407368321579</v>
      </c>
      <c r="S251" s="565">
        <f t="shared" si="252"/>
        <v>2.4879127736737656</v>
      </c>
      <c r="T251" s="565">
        <f t="shared" si="252"/>
        <v>2.6123084123574536</v>
      </c>
      <c r="U251" s="565">
        <f t="shared" si="252"/>
        <v>2.7429238329753267</v>
      </c>
      <c r="V251" s="565">
        <f t="shared" si="252"/>
        <v>2.8800700246240925</v>
      </c>
      <c r="W251" s="565">
        <f t="shared" si="252"/>
        <v>3.0240735258552975</v>
      </c>
      <c r="X251" s="565">
        <f t="shared" si="252"/>
        <v>3.1752772021480626</v>
      </c>
      <c r="Y251" s="565">
        <f t="shared" si="252"/>
        <v>3.3340410622554648</v>
      </c>
      <c r="Z251" s="565">
        <f t="shared" si="252"/>
        <v>3.5007431153682393</v>
      </c>
      <c r="AA251" s="565"/>
      <c r="AB251" s="565"/>
      <c r="AC251" s="565"/>
      <c r="AD251" s="565"/>
      <c r="AE251" s="565"/>
      <c r="AF251" s="565"/>
      <c r="AG251" s="565"/>
      <c r="AH251" s="565"/>
      <c r="AI251" s="565"/>
      <c r="AJ251" s="565"/>
    </row>
    <row r="252" spans="1:36" s="299" customFormat="1" outlineLevel="1" x14ac:dyDescent="0.25">
      <c r="A252" s="299" t="s">
        <v>423</v>
      </c>
      <c r="C252" s="299" t="s">
        <v>370</v>
      </c>
      <c r="H252" s="560" t="s">
        <v>192</v>
      </c>
      <c r="I252" s="561" t="str">
        <f t="shared" si="234"/>
        <v>tr. VND/tấn</v>
      </c>
      <c r="K252" s="565"/>
      <c r="L252" s="565">
        <f t="shared" ref="L252:AJ252" si="253">-IF($H$9="VND",L220/L190/$H$10/10^3,L220/L190/$H$10*10^3)</f>
        <v>0.31481481481481483</v>
      </c>
      <c r="M252" s="565">
        <f t="shared" si="253"/>
        <v>0.31481481481481483</v>
      </c>
      <c r="N252" s="565">
        <f t="shared" si="253"/>
        <v>0.3305555555555556</v>
      </c>
      <c r="O252" s="565">
        <f t="shared" si="253"/>
        <v>0.34708333333333335</v>
      </c>
      <c r="P252" s="565">
        <f t="shared" si="253"/>
        <v>0.36443750000000008</v>
      </c>
      <c r="Q252" s="565">
        <f t="shared" si="253"/>
        <v>0.38265937500000002</v>
      </c>
      <c r="R252" s="565">
        <f t="shared" si="253"/>
        <v>0.40179234375000006</v>
      </c>
      <c r="S252" s="565">
        <f t="shared" si="253"/>
        <v>0.42188196093749997</v>
      </c>
      <c r="T252" s="565">
        <f t="shared" si="253"/>
        <v>0.44297605898437514</v>
      </c>
      <c r="U252" s="565">
        <f t="shared" si="253"/>
        <v>0.46512486193359376</v>
      </c>
      <c r="V252" s="565">
        <f t="shared" si="253"/>
        <v>0.48838110503027343</v>
      </c>
      <c r="W252" s="565">
        <f t="shared" si="253"/>
        <v>0.51280016028178721</v>
      </c>
      <c r="X252" s="565">
        <f t="shared" si="253"/>
        <v>0.5384401682958766</v>
      </c>
      <c r="Y252" s="565">
        <f t="shared" si="253"/>
        <v>0.56536217671067035</v>
      </c>
      <c r="Z252" s="565">
        <f t="shared" si="253"/>
        <v>0.5936302855462039</v>
      </c>
      <c r="AA252" s="565"/>
      <c r="AB252" s="565"/>
      <c r="AC252" s="565"/>
      <c r="AD252" s="565"/>
      <c r="AE252" s="565"/>
      <c r="AF252" s="565"/>
      <c r="AG252" s="565"/>
      <c r="AH252" s="565"/>
      <c r="AI252" s="565"/>
      <c r="AJ252" s="565"/>
    </row>
    <row r="253" spans="1:36" s="299" customFormat="1" outlineLevel="1" x14ac:dyDescent="0.25">
      <c r="A253" s="299" t="s">
        <v>423</v>
      </c>
      <c r="C253" s="299" t="s">
        <v>367</v>
      </c>
      <c r="H253" s="560" t="s">
        <v>175</v>
      </c>
      <c r="I253" s="561" t="str">
        <f t="shared" si="234"/>
        <v>tr. VND/tấn</v>
      </c>
      <c r="K253" s="565"/>
      <c r="L253" s="565">
        <f>-IF($H$9="VND",L221/L190/$H$10/10^3,L221/L190/$H$10*10^3)</f>
        <v>0.73197476502586101</v>
      </c>
      <c r="M253" s="565">
        <f t="shared" ref="M253:AJ253" si="254">-IF($H$9="VND",M221/M190/$H$10/10^3,M221/M190/$H$10*10^3)</f>
        <v>0.54765435938440488</v>
      </c>
      <c r="N253" s="565">
        <f t="shared" si="254"/>
        <v>0.41956409920915572</v>
      </c>
      <c r="O253" s="565">
        <f t="shared" si="254"/>
        <v>0.43022164546779085</v>
      </c>
      <c r="P253" s="565">
        <f t="shared" si="254"/>
        <v>0.4414120690393577</v>
      </c>
      <c r="Q253" s="565">
        <f t="shared" si="254"/>
        <v>0.45316201378950288</v>
      </c>
      <c r="R253" s="565">
        <f t="shared" si="254"/>
        <v>0.4654994557771554</v>
      </c>
      <c r="S253" s="565">
        <f t="shared" si="254"/>
        <v>0.47845376986419047</v>
      </c>
      <c r="T253" s="565">
        <f t="shared" si="254"/>
        <v>0.49205579965557728</v>
      </c>
      <c r="U253" s="565">
        <f t="shared" si="254"/>
        <v>0.50633793093653356</v>
      </c>
      <c r="V253" s="565">
        <f t="shared" si="254"/>
        <v>0.52133416878153738</v>
      </c>
      <c r="W253" s="565">
        <f t="shared" si="254"/>
        <v>0.53708021851879162</v>
      </c>
      <c r="X253" s="565">
        <f t="shared" si="254"/>
        <v>0.39176807280046666</v>
      </c>
      <c r="Y253" s="565">
        <f t="shared" si="254"/>
        <v>0.40912809263578942</v>
      </c>
      <c r="Z253" s="565">
        <f t="shared" si="254"/>
        <v>0.42735611346287838</v>
      </c>
      <c r="AA253" s="565"/>
      <c r="AB253" s="565"/>
      <c r="AC253" s="565"/>
      <c r="AD253" s="565"/>
      <c r="AE253" s="565"/>
      <c r="AF253" s="565"/>
      <c r="AG253" s="565"/>
      <c r="AH253" s="565"/>
      <c r="AI253" s="565"/>
      <c r="AJ253" s="565"/>
    </row>
    <row r="254" spans="1:36" outlineLevel="1" x14ac:dyDescent="0.25">
      <c r="A254" t="s">
        <v>423</v>
      </c>
      <c r="H254" s="247"/>
      <c r="I254" s="275"/>
      <c r="K254" s="281"/>
      <c r="L254" s="282"/>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row>
    <row r="255" spans="1:36" s="16" customFormat="1" outlineLevel="1" x14ac:dyDescent="0.25">
      <c r="A255" s="16" t="s">
        <v>423</v>
      </c>
      <c r="H255" s="276" t="s">
        <v>464</v>
      </c>
      <c r="I255" s="277" t="str">
        <f t="shared" si="234"/>
        <v>tr. VND/tấn</v>
      </c>
      <c r="K255" s="283">
        <f>K233+K243</f>
        <v>0</v>
      </c>
      <c r="L255" s="283">
        <f t="shared" ref="L255:AJ255" si="255">L233+L243</f>
        <v>46.074256148736893</v>
      </c>
      <c r="M255" s="283">
        <f t="shared" si="255"/>
        <v>41.28192560205904</v>
      </c>
      <c r="N255" s="283">
        <f t="shared" si="255"/>
        <v>38.498563160083208</v>
      </c>
      <c r="O255" s="283">
        <f t="shared" si="255"/>
        <v>39.333889675710957</v>
      </c>
      <c r="P255" s="283">
        <f t="shared" si="255"/>
        <v>40.1945572267975</v>
      </c>
      <c r="Q255" s="283">
        <f t="shared" si="255"/>
        <v>41.081504359309335</v>
      </c>
      <c r="R255" s="283">
        <f t="shared" si="255"/>
        <v>41.995709976395155</v>
      </c>
      <c r="S255" s="283">
        <f t="shared" si="255"/>
        <v>42.93819522484263</v>
      </c>
      <c r="T255" s="283">
        <f t="shared" si="255"/>
        <v>43.910025473229965</v>
      </c>
      <c r="U255" s="283">
        <f t="shared" si="255"/>
        <v>44.912312386304514</v>
      </c>
      <c r="V255" s="283">
        <f t="shared" si="255"/>
        <v>45.946216100346014</v>
      </c>
      <c r="W255" s="283">
        <f t="shared" si="255"/>
        <v>47.012947504509057</v>
      </c>
      <c r="X255" s="283">
        <f t="shared" si="255"/>
        <v>43.905787686884615</v>
      </c>
      <c r="Y255" s="283">
        <f t="shared" si="255"/>
        <v>45.04202222980566</v>
      </c>
      <c r="Z255" s="283">
        <f t="shared" si="255"/>
        <v>46.215046162622727</v>
      </c>
      <c r="AA255" s="283"/>
      <c r="AB255" s="283"/>
      <c r="AC255" s="283"/>
      <c r="AD255" s="283"/>
      <c r="AE255" s="283"/>
      <c r="AF255" s="283"/>
      <c r="AG255" s="283"/>
      <c r="AH255" s="283"/>
      <c r="AI255" s="283"/>
      <c r="AJ255" s="283"/>
    </row>
    <row r="256" spans="1:36" outlineLevel="1" x14ac:dyDescent="0.25">
      <c r="A256" t="s">
        <v>423</v>
      </c>
      <c r="H256" s="247"/>
      <c r="I256" s="275"/>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row>
    <row r="257" spans="1:36" outlineLevel="1" x14ac:dyDescent="0.25">
      <c r="A257" t="s">
        <v>423</v>
      </c>
      <c r="C257" t="s">
        <v>367</v>
      </c>
      <c r="H257" s="568" t="s">
        <v>166</v>
      </c>
      <c r="I257" s="569" t="str">
        <f t="shared" si="234"/>
        <v>tr. VND/tấn</v>
      </c>
      <c r="K257" s="570"/>
      <c r="L257" s="570">
        <f>-IF($H$9="VND",L225/L190/$H$10/10^3,L225/L190/$H$10*10^3)</f>
        <v>0.88888888888888906</v>
      </c>
      <c r="M257" s="570">
        <f t="shared" ref="M257:AJ257" si="256">-IF($H$9="VND",M225/M190/$H$10/10^3,M225/M190/$H$10*10^3)</f>
        <v>0.88888888888888895</v>
      </c>
      <c r="N257" s="570">
        <f t="shared" si="256"/>
        <v>0.93333333333333335</v>
      </c>
      <c r="O257" s="570">
        <f t="shared" si="256"/>
        <v>0.9800000000000002</v>
      </c>
      <c r="P257" s="570">
        <f t="shared" si="256"/>
        <v>1.0290000000000001</v>
      </c>
      <c r="Q257" s="570">
        <f t="shared" si="256"/>
        <v>1.0804500000000004</v>
      </c>
      <c r="R257" s="570">
        <f t="shared" si="256"/>
        <v>1.1344725000000002</v>
      </c>
      <c r="S257" s="570">
        <f t="shared" si="256"/>
        <v>1.1911961249999998</v>
      </c>
      <c r="T257" s="570">
        <f t="shared" si="256"/>
        <v>1.2507559312500003</v>
      </c>
      <c r="U257" s="570">
        <f t="shared" si="256"/>
        <v>1.3132937278125001</v>
      </c>
      <c r="V257" s="570">
        <f t="shared" si="256"/>
        <v>1.3789584142031253</v>
      </c>
      <c r="W257" s="570">
        <f t="shared" si="256"/>
        <v>1.4479063349132817</v>
      </c>
      <c r="X257" s="570">
        <f t="shared" si="256"/>
        <v>1.5203016516589456</v>
      </c>
      <c r="Y257" s="570">
        <f t="shared" si="256"/>
        <v>1.5963167342418931</v>
      </c>
      <c r="Z257" s="570">
        <f t="shared" si="256"/>
        <v>1.6761325709539878</v>
      </c>
      <c r="AA257" s="570"/>
      <c r="AB257" s="570"/>
      <c r="AC257" s="570"/>
      <c r="AD257" s="570"/>
      <c r="AE257" s="570"/>
      <c r="AF257" s="570"/>
      <c r="AG257" s="570"/>
      <c r="AH257" s="570"/>
      <c r="AI257" s="570"/>
      <c r="AJ257" s="570"/>
    </row>
    <row r="258" spans="1:36" outlineLevel="1" x14ac:dyDescent="0.25">
      <c r="A258" t="s">
        <v>423</v>
      </c>
      <c r="C258" t="s">
        <v>367</v>
      </c>
      <c r="H258" s="558" t="s">
        <v>469</v>
      </c>
      <c r="I258" s="559" t="str">
        <f t="shared" si="234"/>
        <v>tr. VND/tấn</v>
      </c>
      <c r="K258" s="571"/>
      <c r="L258" s="571">
        <f t="shared" ref="L258:AJ258" si="257">-IF($H$9="VND",L226/L190/$H$10/10^3,L226/L190/$H$10*10^3)</f>
        <v>0</v>
      </c>
      <c r="M258" s="571">
        <f t="shared" si="257"/>
        <v>0</v>
      </c>
      <c r="N258" s="571">
        <f t="shared" si="257"/>
        <v>0</v>
      </c>
      <c r="O258" s="571">
        <f t="shared" si="257"/>
        <v>0</v>
      </c>
      <c r="P258" s="571">
        <f t="shared" si="257"/>
        <v>0</v>
      </c>
      <c r="Q258" s="571">
        <f t="shared" si="257"/>
        <v>0</v>
      </c>
      <c r="R258" s="571">
        <f t="shared" si="257"/>
        <v>0</v>
      </c>
      <c r="S258" s="571">
        <f t="shared" si="257"/>
        <v>0</v>
      </c>
      <c r="T258" s="571">
        <f t="shared" si="257"/>
        <v>0</v>
      </c>
      <c r="U258" s="571">
        <f t="shared" si="257"/>
        <v>0</v>
      </c>
      <c r="V258" s="571">
        <f t="shared" si="257"/>
        <v>0</v>
      </c>
      <c r="W258" s="571">
        <f t="shared" si="257"/>
        <v>0</v>
      </c>
      <c r="X258" s="571">
        <f t="shared" si="257"/>
        <v>0</v>
      </c>
      <c r="Y258" s="571">
        <f t="shared" si="257"/>
        <v>0</v>
      </c>
      <c r="Z258" s="571">
        <f t="shared" si="257"/>
        <v>0</v>
      </c>
      <c r="AA258" s="571"/>
      <c r="AB258" s="571"/>
      <c r="AC258" s="571"/>
      <c r="AD258" s="571"/>
      <c r="AE258" s="571"/>
      <c r="AF258" s="571"/>
      <c r="AG258" s="571"/>
      <c r="AH258" s="571"/>
      <c r="AI258" s="571"/>
      <c r="AJ258" s="571"/>
    </row>
    <row r="259" spans="1:36" outlineLevel="1" x14ac:dyDescent="0.25">
      <c r="A259" t="s">
        <v>423</v>
      </c>
      <c r="C259" t="s">
        <v>367</v>
      </c>
      <c r="H259" s="558" t="s">
        <v>468</v>
      </c>
      <c r="I259" s="559" t="str">
        <f t="shared" si="234"/>
        <v>tr. VND/tấn</v>
      </c>
      <c r="K259" s="558"/>
      <c r="L259" s="571">
        <f t="shared" ref="L259:AJ259" si="258">-IF($H$9="VND",L227/L190/$H$10/10^3,L227/L190/$H$10*10^3)</f>
        <v>0</v>
      </c>
      <c r="M259" s="571">
        <f t="shared" si="258"/>
        <v>0</v>
      </c>
      <c r="N259" s="571">
        <f t="shared" si="258"/>
        <v>0</v>
      </c>
      <c r="O259" s="571">
        <f t="shared" si="258"/>
        <v>0</v>
      </c>
      <c r="P259" s="571">
        <f t="shared" si="258"/>
        <v>0</v>
      </c>
      <c r="Q259" s="571">
        <f t="shared" si="258"/>
        <v>0</v>
      </c>
      <c r="R259" s="571">
        <f t="shared" si="258"/>
        <v>0</v>
      </c>
      <c r="S259" s="571">
        <f t="shared" si="258"/>
        <v>0</v>
      </c>
      <c r="T259" s="571">
        <f t="shared" si="258"/>
        <v>0</v>
      </c>
      <c r="U259" s="571">
        <f t="shared" si="258"/>
        <v>0</v>
      </c>
      <c r="V259" s="571">
        <f t="shared" si="258"/>
        <v>0</v>
      </c>
      <c r="W259" s="571">
        <f t="shared" si="258"/>
        <v>0</v>
      </c>
      <c r="X259" s="571">
        <f t="shared" si="258"/>
        <v>0</v>
      </c>
      <c r="Y259" s="571">
        <f t="shared" si="258"/>
        <v>0</v>
      </c>
      <c r="Z259" s="571">
        <f t="shared" si="258"/>
        <v>0</v>
      </c>
      <c r="AA259" s="571"/>
      <c r="AB259" s="571"/>
      <c r="AC259" s="571"/>
      <c r="AD259" s="571"/>
      <c r="AE259" s="571"/>
      <c r="AF259" s="571"/>
      <c r="AG259" s="571"/>
      <c r="AH259" s="571"/>
      <c r="AI259" s="571"/>
      <c r="AJ259" s="571"/>
    </row>
    <row r="260" spans="1:36" outlineLevel="1" x14ac:dyDescent="0.25">
      <c r="A260" t="s">
        <v>423</v>
      </c>
      <c r="C260" t="s">
        <v>367</v>
      </c>
      <c r="H260" s="558" t="s">
        <v>470</v>
      </c>
      <c r="I260" s="559" t="str">
        <f t="shared" si="234"/>
        <v>tr. VND/tấn</v>
      </c>
      <c r="K260" s="558"/>
      <c r="L260" s="571">
        <f t="shared" ref="L260:AJ260" si="259">-IF($H$9="VND",L228/L190/$H$10/10^3,L228/L190/$H$10*10^3)</f>
        <v>7.131455047872385</v>
      </c>
      <c r="M260" s="571">
        <f t="shared" si="259"/>
        <v>4.8911867647644334</v>
      </c>
      <c r="N260" s="571">
        <f t="shared" si="259"/>
        <v>3.2720011715319366</v>
      </c>
      <c r="O260" s="571">
        <f t="shared" si="259"/>
        <v>3.1095435382625483</v>
      </c>
      <c r="P260" s="571">
        <f t="shared" si="259"/>
        <v>2.9357138706643027</v>
      </c>
      <c r="Q260" s="571">
        <f t="shared" si="259"/>
        <v>2.7497161263341807</v>
      </c>
      <c r="R260" s="571">
        <f t="shared" si="259"/>
        <v>2.5506985399009494</v>
      </c>
      <c r="S260" s="571">
        <f t="shared" si="259"/>
        <v>2.3377497224173927</v>
      </c>
      <c r="T260" s="571">
        <f t="shared" si="259"/>
        <v>2.1098944877099868</v>
      </c>
      <c r="U260" s="571">
        <f t="shared" si="259"/>
        <v>1.8660893865730617</v>
      </c>
      <c r="V260" s="571">
        <f t="shared" si="259"/>
        <v>1.6052179283565524</v>
      </c>
      <c r="W260" s="571">
        <f t="shared" si="259"/>
        <v>1.3260854680648875</v>
      </c>
      <c r="X260" s="571">
        <f t="shared" si="259"/>
        <v>1.0274137355528061</v>
      </c>
      <c r="Y260" s="571">
        <f t="shared" si="259"/>
        <v>0.70783498176487913</v>
      </c>
      <c r="Z260" s="571">
        <f t="shared" si="259"/>
        <v>0.36588571521179714</v>
      </c>
      <c r="AA260" s="571"/>
      <c r="AB260" s="571"/>
      <c r="AC260" s="571"/>
      <c r="AD260" s="571"/>
      <c r="AE260" s="571"/>
      <c r="AF260" s="571"/>
      <c r="AG260" s="571"/>
      <c r="AH260" s="571"/>
      <c r="AI260" s="571"/>
      <c r="AJ260" s="571"/>
    </row>
    <row r="261" spans="1:36" outlineLevel="1" x14ac:dyDescent="0.25">
      <c r="A261" t="s">
        <v>423</v>
      </c>
      <c r="H261" s="247"/>
      <c r="I261" s="275"/>
      <c r="K261" s="247"/>
      <c r="L261" s="247"/>
      <c r="M261" s="247"/>
      <c r="N261" s="247"/>
      <c r="O261" s="247"/>
      <c r="P261" s="247"/>
      <c r="Q261" s="247"/>
      <c r="R261" s="247"/>
      <c r="S261" s="247"/>
      <c r="T261" s="247"/>
      <c r="U261" s="247"/>
      <c r="V261" s="247"/>
      <c r="W261" s="247"/>
      <c r="X261" s="247"/>
      <c r="Y261" s="247"/>
      <c r="Z261" s="247"/>
      <c r="AA261" s="247"/>
      <c r="AB261" s="247"/>
      <c r="AC261" s="247"/>
      <c r="AD261" s="247"/>
      <c r="AE261" s="247"/>
      <c r="AF261" s="247"/>
      <c r="AG261" s="247"/>
      <c r="AH261" s="247"/>
      <c r="AI261" s="247"/>
      <c r="AJ261" s="247"/>
    </row>
    <row r="262" spans="1:36" s="16" customFormat="1" x14ac:dyDescent="0.25">
      <c r="A262" s="16" t="s">
        <v>423</v>
      </c>
      <c r="H262" s="276" t="s">
        <v>474</v>
      </c>
      <c r="I262" s="277" t="str">
        <f t="shared" si="234"/>
        <v>tr. VND/tấn</v>
      </c>
      <c r="K262" s="283">
        <f t="shared" ref="K262" si="260">K255+SUM(K257:K260)</f>
        <v>0</v>
      </c>
      <c r="L262" s="283">
        <f>L255+SUM(L257:L260)</f>
        <v>54.094600085498165</v>
      </c>
      <c r="M262" s="283">
        <f t="shared" ref="M262:AJ262" si="261">M255+SUM(M257:M260)</f>
        <v>47.06200125571236</v>
      </c>
      <c r="N262" s="283">
        <f t="shared" si="261"/>
        <v>42.703897664948478</v>
      </c>
      <c r="O262" s="283">
        <f t="shared" si="261"/>
        <v>43.423433213973503</v>
      </c>
      <c r="P262" s="283">
        <f t="shared" si="261"/>
        <v>44.159271097461804</v>
      </c>
      <c r="Q262" s="283">
        <f t="shared" si="261"/>
        <v>44.911670485643519</v>
      </c>
      <c r="R262" s="283">
        <f t="shared" si="261"/>
        <v>45.680881016296105</v>
      </c>
      <c r="S262" s="283">
        <f t="shared" si="261"/>
        <v>46.46714107226002</v>
      </c>
      <c r="T262" s="283">
        <f t="shared" si="261"/>
        <v>47.270675892189949</v>
      </c>
      <c r="U262" s="283">
        <f t="shared" si="261"/>
        <v>48.091695500690079</v>
      </c>
      <c r="V262" s="283">
        <f t="shared" si="261"/>
        <v>48.930392442905692</v>
      </c>
      <c r="W262" s="283">
        <f t="shared" si="261"/>
        <v>49.786939307487224</v>
      </c>
      <c r="X262" s="283">
        <f t="shared" si="261"/>
        <v>46.453503074096368</v>
      </c>
      <c r="Y262" s="283">
        <f t="shared" si="261"/>
        <v>47.346173945812431</v>
      </c>
      <c r="Z262" s="283">
        <f t="shared" si="261"/>
        <v>48.257064448788512</v>
      </c>
      <c r="AA262" s="283"/>
      <c r="AB262" s="283"/>
      <c r="AC262" s="283"/>
      <c r="AD262" s="283"/>
      <c r="AE262" s="283"/>
      <c r="AF262" s="283"/>
      <c r="AG262" s="283"/>
      <c r="AH262" s="283"/>
      <c r="AI262" s="283"/>
      <c r="AJ262" s="283"/>
    </row>
    <row r="263" spans="1:36" x14ac:dyDescent="0.25">
      <c r="A263" t="s">
        <v>423</v>
      </c>
    </row>
    <row r="264" spans="1:36" x14ac:dyDescent="0.25">
      <c r="A264" t="s">
        <v>423</v>
      </c>
      <c r="H264" s="568" t="s">
        <v>361</v>
      </c>
      <c r="I264" s="569" t="str">
        <f t="shared" si="234"/>
        <v>tr. VND/tấn</v>
      </c>
      <c r="K264" s="568"/>
      <c r="L264" s="589">
        <f>INDEX('Cover Page'!$H$12:$AJ$12,MATCH($A264,'Cover Page'!$H$5:$AJ$5,0))</f>
        <v>6.6666666666666666E-2</v>
      </c>
      <c r="M264" s="589">
        <f>INDEX('Cover Page'!$H$12:$AJ$12,MATCH($A264,'Cover Page'!$H$5:$AJ$5,0))</f>
        <v>6.6666666666666666E-2</v>
      </c>
      <c r="N264" s="589">
        <f>INDEX('Cover Page'!$H$12:$AJ$12,MATCH($A264,'Cover Page'!$H$5:$AJ$5,0))</f>
        <v>6.6666666666666666E-2</v>
      </c>
      <c r="O264" s="589">
        <f>INDEX('Cover Page'!$H$12:$AJ$12,MATCH($A264,'Cover Page'!$H$5:$AJ$5,0))</f>
        <v>6.6666666666666666E-2</v>
      </c>
      <c r="P264" s="589">
        <f>INDEX('Cover Page'!$H$12:$AJ$12,MATCH($A264,'Cover Page'!$H$5:$AJ$5,0))</f>
        <v>6.6666666666666666E-2</v>
      </c>
      <c r="Q264" s="589">
        <f>INDEX('Cover Page'!$H$12:$AJ$12,MATCH($A264,'Cover Page'!$H$5:$AJ$5,0))</f>
        <v>6.6666666666666666E-2</v>
      </c>
      <c r="R264" s="589">
        <f>INDEX('Cover Page'!$H$12:$AJ$12,MATCH($A264,'Cover Page'!$H$5:$AJ$5,0))</f>
        <v>6.6666666666666666E-2</v>
      </c>
      <c r="S264" s="589">
        <f>INDEX('Cover Page'!$H$12:$AJ$12,MATCH($A264,'Cover Page'!$H$5:$AJ$5,0))</f>
        <v>6.6666666666666666E-2</v>
      </c>
      <c r="T264" s="589">
        <f>INDEX('Cover Page'!$H$12:$AJ$12,MATCH($A264,'Cover Page'!$H$5:$AJ$5,0))</f>
        <v>6.6666666666666666E-2</v>
      </c>
      <c r="U264" s="589">
        <f>INDEX('Cover Page'!$H$12:$AJ$12,MATCH($A264,'Cover Page'!$H$5:$AJ$5,0))</f>
        <v>6.6666666666666666E-2</v>
      </c>
      <c r="V264" s="589">
        <f>INDEX('Cover Page'!$H$12:$AJ$12,MATCH($A264,'Cover Page'!$H$5:$AJ$5,0))</f>
        <v>6.6666666666666666E-2</v>
      </c>
      <c r="W264" s="589">
        <f>INDEX('Cover Page'!$H$12:$AJ$12,MATCH($A264,'Cover Page'!$H$5:$AJ$5,0))</f>
        <v>6.6666666666666666E-2</v>
      </c>
      <c r="X264" s="589">
        <f>INDEX('Cover Page'!$H$12:$AJ$12,MATCH($A264,'Cover Page'!$H$5:$AJ$5,0))</f>
        <v>6.6666666666666666E-2</v>
      </c>
      <c r="Y264" s="589">
        <f>INDEX('Cover Page'!$H$12:$AJ$12,MATCH($A264,'Cover Page'!$H$5:$AJ$5,0))</f>
        <v>6.6666666666666666E-2</v>
      </c>
      <c r="Z264" s="589">
        <f>INDEX('Cover Page'!$H$12:$AJ$12,MATCH($A264,'Cover Page'!$H$5:$AJ$5,0))</f>
        <v>6.6666666666666666E-2</v>
      </c>
      <c r="AA264" s="589"/>
      <c r="AB264" s="589"/>
      <c r="AC264" s="589"/>
      <c r="AD264" s="589"/>
      <c r="AE264" s="589"/>
      <c r="AF264" s="589"/>
      <c r="AG264" s="589"/>
      <c r="AH264" s="589"/>
      <c r="AI264" s="589"/>
      <c r="AJ264" s="589"/>
    </row>
    <row r="265" spans="1:36" s="1" customFormat="1" x14ac:dyDescent="0.25">
      <c r="A265" s="1" t="s">
        <v>423</v>
      </c>
      <c r="H265" s="585" t="s">
        <v>490</v>
      </c>
      <c r="I265" s="586" t="str">
        <f t="shared" si="234"/>
        <v>tr. VND/tấn</v>
      </c>
      <c r="K265" s="585"/>
      <c r="L265" s="590">
        <f t="shared" ref="L265:AJ265" si="262">L262*(1+L264)</f>
        <v>57.700906757864708</v>
      </c>
      <c r="M265" s="590">
        <f t="shared" si="262"/>
        <v>50.199468006093184</v>
      </c>
      <c r="N265" s="590">
        <f t="shared" si="262"/>
        <v>45.550824175945046</v>
      </c>
      <c r="O265" s="590">
        <f t="shared" si="262"/>
        <v>46.318328761571735</v>
      </c>
      <c r="P265" s="590">
        <f t="shared" si="262"/>
        <v>47.103222503959259</v>
      </c>
      <c r="Q265" s="590">
        <f t="shared" si="262"/>
        <v>47.905781851353083</v>
      </c>
      <c r="R265" s="590">
        <f t="shared" si="262"/>
        <v>48.726273084049176</v>
      </c>
      <c r="S265" s="590">
        <f t="shared" si="262"/>
        <v>49.564950477077353</v>
      </c>
      <c r="T265" s="590">
        <f t="shared" si="262"/>
        <v>50.422054285002609</v>
      </c>
      <c r="U265" s="590">
        <f t="shared" si="262"/>
        <v>51.297808534069418</v>
      </c>
      <c r="V265" s="590">
        <f t="shared" si="262"/>
        <v>52.192418605766072</v>
      </c>
      <c r="W265" s="590">
        <f t="shared" si="262"/>
        <v>53.106068594653038</v>
      </c>
      <c r="X265" s="590">
        <f t="shared" si="262"/>
        <v>49.550403279036125</v>
      </c>
      <c r="Y265" s="590">
        <f t="shared" si="262"/>
        <v>50.502585542199924</v>
      </c>
      <c r="Z265" s="590">
        <f t="shared" si="262"/>
        <v>51.474202078707748</v>
      </c>
      <c r="AA265" s="590"/>
      <c r="AB265" s="590"/>
      <c r="AC265" s="590"/>
      <c r="AD265" s="590"/>
      <c r="AE265" s="590"/>
      <c r="AF265" s="590"/>
      <c r="AG265" s="590"/>
      <c r="AH265" s="590"/>
      <c r="AI265" s="590"/>
      <c r="AJ265" s="590"/>
    </row>
    <row r="266" spans="1:36" x14ac:dyDescent="0.25">
      <c r="A266" t="s">
        <v>423</v>
      </c>
      <c r="H266" s="558" t="s">
        <v>292</v>
      </c>
      <c r="I266" s="559" t="str">
        <f t="shared" si="234"/>
        <v>tr. VND/tấn</v>
      </c>
      <c r="K266" s="558"/>
      <c r="L266" s="591">
        <f t="shared" ref="L266:AJ266" si="263">Tax_rate</f>
        <v>0.2</v>
      </c>
      <c r="M266" s="591">
        <f t="shared" si="263"/>
        <v>0.2</v>
      </c>
      <c r="N266" s="591">
        <f t="shared" si="263"/>
        <v>0.2</v>
      </c>
      <c r="O266" s="591">
        <f t="shared" si="263"/>
        <v>0.2</v>
      </c>
      <c r="P266" s="591">
        <f t="shared" si="263"/>
        <v>0.2</v>
      </c>
      <c r="Q266" s="591">
        <f t="shared" si="263"/>
        <v>0.2</v>
      </c>
      <c r="R266" s="591">
        <f t="shared" si="263"/>
        <v>0.2</v>
      </c>
      <c r="S266" s="591">
        <f t="shared" si="263"/>
        <v>0.2</v>
      </c>
      <c r="T266" s="591">
        <f t="shared" si="263"/>
        <v>0.2</v>
      </c>
      <c r="U266" s="591">
        <f t="shared" si="263"/>
        <v>0.2</v>
      </c>
      <c r="V266" s="591">
        <f t="shared" si="263"/>
        <v>0.2</v>
      </c>
      <c r="W266" s="591">
        <f t="shared" si="263"/>
        <v>0.2</v>
      </c>
      <c r="X266" s="591">
        <f t="shared" si="263"/>
        <v>0.2</v>
      </c>
      <c r="Y266" s="591">
        <f t="shared" si="263"/>
        <v>0.2</v>
      </c>
      <c r="Z266" s="591">
        <f t="shared" si="263"/>
        <v>0.2</v>
      </c>
      <c r="AA266" s="591"/>
      <c r="AB266" s="591"/>
      <c r="AC266" s="591"/>
      <c r="AD266" s="591"/>
      <c r="AE266" s="591"/>
      <c r="AF266" s="591"/>
      <c r="AG266" s="591"/>
      <c r="AH266" s="591"/>
      <c r="AI266" s="591"/>
      <c r="AJ266" s="591"/>
    </row>
    <row r="267" spans="1:36" s="1" customFormat="1" x14ac:dyDescent="0.25">
      <c r="A267" s="1" t="s">
        <v>423</v>
      </c>
      <c r="H267" s="585" t="s">
        <v>491</v>
      </c>
      <c r="I267" s="586" t="str">
        <f t="shared" si="234"/>
        <v>tr. VND/tấn</v>
      </c>
      <c r="K267" s="585"/>
      <c r="L267" s="590">
        <f>(L265-L262)*(1-L266)</f>
        <v>2.8850453378932346</v>
      </c>
      <c r="M267" s="590">
        <f t="shared" ref="M267:AJ267" si="264">(M265-M262)*(1-M266)</f>
        <v>2.5099734003046592</v>
      </c>
      <c r="N267" s="590">
        <f t="shared" si="264"/>
        <v>2.277541208797254</v>
      </c>
      <c r="O267" s="590">
        <f t="shared" si="264"/>
        <v>2.3159164380785855</v>
      </c>
      <c r="P267" s="590">
        <f t="shared" si="264"/>
        <v>2.3551611251979638</v>
      </c>
      <c r="Q267" s="590">
        <f t="shared" si="264"/>
        <v>2.3952890925676513</v>
      </c>
      <c r="R267" s="590">
        <f t="shared" si="264"/>
        <v>2.4363136542024564</v>
      </c>
      <c r="S267" s="590">
        <f t="shared" si="264"/>
        <v>2.4782475238538666</v>
      </c>
      <c r="T267" s="590">
        <f t="shared" si="264"/>
        <v>2.5211027142501283</v>
      </c>
      <c r="U267" s="590">
        <f t="shared" si="264"/>
        <v>2.5648904267034709</v>
      </c>
      <c r="V267" s="590">
        <f t="shared" si="264"/>
        <v>2.6096209302883042</v>
      </c>
      <c r="W267" s="590">
        <f t="shared" si="264"/>
        <v>2.6553034297326521</v>
      </c>
      <c r="X267" s="590">
        <f t="shared" si="264"/>
        <v>2.4775201639518061</v>
      </c>
      <c r="Y267" s="590">
        <f t="shared" si="264"/>
        <v>2.5251292771099942</v>
      </c>
      <c r="Z267" s="590">
        <f t="shared" si="264"/>
        <v>2.5737101039353889</v>
      </c>
      <c r="AA267" s="590"/>
      <c r="AB267" s="590"/>
      <c r="AC267" s="590"/>
      <c r="AD267" s="590"/>
      <c r="AE267" s="590"/>
      <c r="AF267" s="590"/>
      <c r="AG267" s="590"/>
      <c r="AH267" s="590"/>
      <c r="AI267" s="590"/>
      <c r="AJ267" s="590"/>
    </row>
    <row r="268" spans="1:36" s="146" customFormat="1" x14ac:dyDescent="0.25">
      <c r="A268" s="146" t="s">
        <v>423</v>
      </c>
      <c r="H268" s="587" t="s">
        <v>492</v>
      </c>
      <c r="I268" s="588"/>
      <c r="K268" s="587"/>
      <c r="L268" s="592">
        <f>IFERROR(L267/L265,0)</f>
        <v>4.9999999999999989E-2</v>
      </c>
      <c r="M268" s="592">
        <f>IFERROR(M267/M265,0)</f>
        <v>0.05</v>
      </c>
      <c r="N268" s="592">
        <f t="shared" ref="N268:AJ268" si="265">IFERROR(N267/N265,0)</f>
        <v>5.0000000000000037E-2</v>
      </c>
      <c r="O268" s="592">
        <f t="shared" si="265"/>
        <v>4.9999999999999975E-2</v>
      </c>
      <c r="P268" s="592">
        <f t="shared" si="265"/>
        <v>5.0000000000000017E-2</v>
      </c>
      <c r="Q268" s="592">
        <f t="shared" si="265"/>
        <v>4.999999999999994E-2</v>
      </c>
      <c r="R268" s="592">
        <f t="shared" si="265"/>
        <v>4.9999999999999954E-2</v>
      </c>
      <c r="S268" s="592">
        <f t="shared" si="265"/>
        <v>4.9999999999999982E-2</v>
      </c>
      <c r="T268" s="592">
        <f t="shared" si="265"/>
        <v>4.9999999999999961E-2</v>
      </c>
      <c r="U268" s="592">
        <f t="shared" si="265"/>
        <v>0.05</v>
      </c>
      <c r="V268" s="592">
        <f t="shared" si="265"/>
        <v>5.000000000000001E-2</v>
      </c>
      <c r="W268" s="592">
        <f t="shared" si="265"/>
        <v>0.05</v>
      </c>
      <c r="X268" s="592">
        <f t="shared" si="265"/>
        <v>4.9999999999999996E-2</v>
      </c>
      <c r="Y268" s="592">
        <f t="shared" si="265"/>
        <v>4.9999999999999961E-2</v>
      </c>
      <c r="Z268" s="592">
        <f t="shared" si="265"/>
        <v>5.0000000000000031E-2</v>
      </c>
      <c r="AA268" s="592"/>
      <c r="AB268" s="592"/>
      <c r="AC268" s="592"/>
      <c r="AD268" s="592"/>
      <c r="AE268" s="592"/>
      <c r="AF268" s="592"/>
      <c r="AG268" s="592"/>
      <c r="AH268" s="592"/>
      <c r="AI268" s="592"/>
      <c r="AJ268" s="592"/>
    </row>
    <row r="269" spans="1:36" x14ac:dyDescent="0.25">
      <c r="A269" t="s">
        <v>423</v>
      </c>
    </row>
    <row r="270" spans="1:36" s="24" customFormat="1" ht="17.25" x14ac:dyDescent="0.3">
      <c r="A270" s="24" t="s">
        <v>423</v>
      </c>
      <c r="H270" s="644" t="s">
        <v>476</v>
      </c>
      <c r="I270" s="644"/>
      <c r="K270" s="644"/>
      <c r="L270" s="644"/>
      <c r="M270" s="644"/>
      <c r="N270" s="644"/>
      <c r="O270" s="644"/>
      <c r="P270" s="644"/>
      <c r="Q270" s="644"/>
      <c r="R270" s="644"/>
      <c r="S270" s="644"/>
      <c r="T270" s="644"/>
      <c r="U270" s="644"/>
      <c r="V270" s="644"/>
      <c r="W270" s="644"/>
      <c r="X270" s="644"/>
      <c r="Y270" s="644"/>
      <c r="Z270" s="644"/>
      <c r="AA270" s="644"/>
      <c r="AB270" s="644"/>
      <c r="AC270" s="644"/>
      <c r="AD270" s="644"/>
      <c r="AE270" s="644"/>
      <c r="AF270" s="644"/>
      <c r="AG270" s="644"/>
      <c r="AH270" s="644"/>
      <c r="AI270" s="644"/>
      <c r="AJ270" s="644"/>
    </row>
    <row r="271" spans="1:36" s="1" customFormat="1" outlineLevel="1" x14ac:dyDescent="0.25">
      <c r="A271" s="1" t="s">
        <v>423</v>
      </c>
      <c r="H271" s="287" t="s">
        <v>434</v>
      </c>
      <c r="I271" s="288" t="str">
        <f>IF($H$9="USD","USD/1.000 phôi","VND/phôi")</f>
        <v>VND/phôi</v>
      </c>
      <c r="K271" s="293">
        <f t="shared" ref="K271" si="266">SUM(K272:K273,K276:K279,)</f>
        <v>0</v>
      </c>
      <c r="L271" s="293">
        <f>SUM(L272:L273,L276:L279,)</f>
        <v>241.92053240441103</v>
      </c>
      <c r="M271" s="293">
        <f t="shared" ref="M271:AJ271" si="267">SUM(M272:M273,M276:M279,)</f>
        <v>172.80038028886503</v>
      </c>
      <c r="N271" s="293">
        <f t="shared" si="267"/>
        <v>123.13803249913229</v>
      </c>
      <c r="O271" s="293">
        <f t="shared" si="267"/>
        <v>125.42468711090538</v>
      </c>
      <c r="P271" s="293">
        <f t="shared" si="267"/>
        <v>127.82567445326717</v>
      </c>
      <c r="Q271" s="293">
        <f t="shared" si="267"/>
        <v>130.34671116274703</v>
      </c>
      <c r="R271" s="293">
        <f t="shared" si="267"/>
        <v>132.99379970770087</v>
      </c>
      <c r="S271" s="293">
        <f t="shared" si="267"/>
        <v>135.77324267990244</v>
      </c>
      <c r="T271" s="293">
        <f t="shared" si="267"/>
        <v>138.69165780071404</v>
      </c>
      <c r="U271" s="293">
        <f t="shared" si="267"/>
        <v>141.75599367756624</v>
      </c>
      <c r="V271" s="293">
        <f t="shared" si="267"/>
        <v>144.97354634826104</v>
      </c>
      <c r="W271" s="293">
        <f t="shared" si="267"/>
        <v>148.35197665249063</v>
      </c>
      <c r="X271" s="293">
        <f t="shared" si="267"/>
        <v>91.207266743515888</v>
      </c>
      <c r="Y271" s="293">
        <f t="shared" si="267"/>
        <v>94.931986153928946</v>
      </c>
      <c r="Z271" s="293">
        <f t="shared" si="267"/>
        <v>98.842941534862703</v>
      </c>
      <c r="AA271" s="293"/>
      <c r="AB271" s="293"/>
      <c r="AC271" s="293"/>
      <c r="AD271" s="293"/>
      <c r="AE271" s="293"/>
      <c r="AF271" s="293"/>
      <c r="AG271" s="293"/>
      <c r="AH271" s="293"/>
      <c r="AI271" s="293"/>
      <c r="AJ271" s="293"/>
    </row>
    <row r="272" spans="1:36" outlineLevel="1" x14ac:dyDescent="0.25">
      <c r="A272" t="s">
        <v>423</v>
      </c>
      <c r="E272" t="s">
        <v>173</v>
      </c>
      <c r="H272" s="572" t="s">
        <v>190</v>
      </c>
      <c r="I272" s="573" t="str">
        <f t="shared" ref="I272:I279" si="268">IF($H$9="USD","USD/1.000 phôi","VND/phôi")</f>
        <v>VND/phôi</v>
      </c>
      <c r="K272" s="578"/>
      <c r="L272" s="579">
        <f t="shared" ref="L272:AJ272" si="269">-IF($H$9="USD",L202/L191/$H$10*10^3,L202/L191/$H$10)</f>
        <v>150.44368355925502</v>
      </c>
      <c r="M272" s="579">
        <f t="shared" si="269"/>
        <v>107.45977397089644</v>
      </c>
      <c r="N272" s="579">
        <f t="shared" si="269"/>
        <v>75.221841779627511</v>
      </c>
      <c r="O272" s="579">
        <f t="shared" si="269"/>
        <v>75.221841779627511</v>
      </c>
      <c r="P272" s="579">
        <f t="shared" si="269"/>
        <v>75.221841779627511</v>
      </c>
      <c r="Q272" s="579">
        <f t="shared" si="269"/>
        <v>75.221841779627511</v>
      </c>
      <c r="R272" s="579">
        <f t="shared" si="269"/>
        <v>75.221841779627511</v>
      </c>
      <c r="S272" s="579">
        <f t="shared" si="269"/>
        <v>75.221841779627511</v>
      </c>
      <c r="T272" s="579">
        <f t="shared" si="269"/>
        <v>75.221841779627511</v>
      </c>
      <c r="U272" s="579">
        <f t="shared" si="269"/>
        <v>75.221841779627511</v>
      </c>
      <c r="V272" s="579">
        <f t="shared" si="269"/>
        <v>75.221841779627511</v>
      </c>
      <c r="W272" s="579">
        <f t="shared" si="269"/>
        <v>75.221841779627511</v>
      </c>
      <c r="X272" s="579">
        <f t="shared" si="269"/>
        <v>14.529780051211779</v>
      </c>
      <c r="Y272" s="579">
        <f t="shared" si="269"/>
        <v>14.529780051211779</v>
      </c>
      <c r="Z272" s="579">
        <f t="shared" si="269"/>
        <v>14.529780051211779</v>
      </c>
      <c r="AA272" s="579"/>
      <c r="AB272" s="579"/>
      <c r="AC272" s="579"/>
      <c r="AD272" s="579"/>
      <c r="AE272" s="579"/>
      <c r="AF272" s="579"/>
      <c r="AG272" s="579"/>
      <c r="AH272" s="579"/>
      <c r="AI272" s="579"/>
      <c r="AJ272" s="579"/>
    </row>
    <row r="273" spans="1:36" outlineLevel="1" x14ac:dyDescent="0.25">
      <c r="A273" t="s">
        <v>423</v>
      </c>
      <c r="H273" s="574" t="s">
        <v>429</v>
      </c>
      <c r="I273" s="575" t="str">
        <f t="shared" si="268"/>
        <v>VND/phôi</v>
      </c>
      <c r="K273" s="580">
        <f>SUM(K274:K275)</f>
        <v>0</v>
      </c>
      <c r="L273" s="580">
        <f t="shared" ref="L273:AJ273" si="270">SUM(L274:L275)</f>
        <v>29.115063862219181</v>
      </c>
      <c r="M273" s="580">
        <f t="shared" si="270"/>
        <v>20.79647418729942</v>
      </c>
      <c r="N273" s="580">
        <f t="shared" si="270"/>
        <v>15.285408527665071</v>
      </c>
      <c r="O273" s="580">
        <f t="shared" si="270"/>
        <v>16.049678954048325</v>
      </c>
      <c r="P273" s="580">
        <f t="shared" si="270"/>
        <v>16.852162901750745</v>
      </c>
      <c r="Q273" s="580">
        <f t="shared" si="270"/>
        <v>17.69477104683828</v>
      </c>
      <c r="R273" s="580">
        <f t="shared" si="270"/>
        <v>18.579509599180195</v>
      </c>
      <c r="S273" s="580">
        <f t="shared" si="270"/>
        <v>19.508485079139202</v>
      </c>
      <c r="T273" s="580">
        <f t="shared" si="270"/>
        <v>20.483909333096165</v>
      </c>
      <c r="U273" s="580">
        <f t="shared" si="270"/>
        <v>21.508104799750974</v>
      </c>
      <c r="V273" s="580">
        <f t="shared" si="270"/>
        <v>22.58351003973852</v>
      </c>
      <c r="W273" s="580">
        <f t="shared" si="270"/>
        <v>23.712685541725449</v>
      </c>
      <c r="X273" s="580">
        <f t="shared" si="270"/>
        <v>24.898319818811725</v>
      </c>
      <c r="Y273" s="580">
        <f t="shared" si="270"/>
        <v>26.143235809752301</v>
      </c>
      <c r="Z273" s="580">
        <f t="shared" si="270"/>
        <v>27.450397600239924</v>
      </c>
      <c r="AA273" s="580"/>
      <c r="AB273" s="580"/>
      <c r="AC273" s="580"/>
      <c r="AD273" s="580"/>
      <c r="AE273" s="580"/>
      <c r="AF273" s="580"/>
      <c r="AG273" s="580"/>
      <c r="AH273" s="580"/>
      <c r="AI273" s="580"/>
      <c r="AJ273" s="580"/>
    </row>
    <row r="274" spans="1:36" s="299" customFormat="1" outlineLevel="1" x14ac:dyDescent="0.25">
      <c r="A274" s="299" t="s">
        <v>423</v>
      </c>
      <c r="E274" s="299" t="s">
        <v>171</v>
      </c>
      <c r="H274" s="576" t="s">
        <v>430</v>
      </c>
      <c r="I274" s="577" t="str">
        <f t="shared" si="268"/>
        <v>VND/phôi</v>
      </c>
      <c r="K274" s="581"/>
      <c r="L274" s="581">
        <f t="shared" ref="L274:AJ274" si="271">-IF($H$9="USD",L204/L191/$H$10*10^3,L204/L191/$H$10)</f>
        <v>4.7599559447769781</v>
      </c>
      <c r="M274" s="581">
        <f t="shared" si="271"/>
        <v>3.3999685319835566</v>
      </c>
      <c r="N274" s="581">
        <f t="shared" si="271"/>
        <v>2.4989768710079137</v>
      </c>
      <c r="O274" s="581">
        <f t="shared" si="271"/>
        <v>2.6239257145583097</v>
      </c>
      <c r="P274" s="581">
        <f t="shared" si="271"/>
        <v>2.7551220002862253</v>
      </c>
      <c r="Q274" s="581">
        <f t="shared" si="271"/>
        <v>2.8928781003005359</v>
      </c>
      <c r="R274" s="581">
        <f t="shared" si="271"/>
        <v>3.0375220053155632</v>
      </c>
      <c r="S274" s="581">
        <f t="shared" si="271"/>
        <v>3.1893981055813412</v>
      </c>
      <c r="T274" s="581">
        <f t="shared" si="271"/>
        <v>3.3488680108604085</v>
      </c>
      <c r="U274" s="581">
        <f t="shared" si="271"/>
        <v>3.5163114114034286</v>
      </c>
      <c r="V274" s="581">
        <f t="shared" si="271"/>
        <v>3.6921269819736002</v>
      </c>
      <c r="W274" s="581">
        <f t="shared" si="271"/>
        <v>3.8767333310722805</v>
      </c>
      <c r="X274" s="581">
        <f t="shared" si="271"/>
        <v>4.0705699976258947</v>
      </c>
      <c r="Y274" s="581">
        <f t="shared" si="271"/>
        <v>4.2740984975071887</v>
      </c>
      <c r="Z274" s="581">
        <f t="shared" si="271"/>
        <v>4.4878034223825489</v>
      </c>
      <c r="AA274" s="581"/>
      <c r="AB274" s="581"/>
      <c r="AC274" s="581"/>
      <c r="AD274" s="581"/>
      <c r="AE274" s="581"/>
      <c r="AF274" s="581"/>
      <c r="AG274" s="581"/>
      <c r="AH274" s="581"/>
      <c r="AI274" s="581"/>
      <c r="AJ274" s="581"/>
    </row>
    <row r="275" spans="1:36" s="299" customFormat="1" outlineLevel="1" x14ac:dyDescent="0.25">
      <c r="A275" s="299" t="s">
        <v>423</v>
      </c>
      <c r="E275" s="299" t="s">
        <v>171</v>
      </c>
      <c r="H275" s="576" t="s">
        <v>431</v>
      </c>
      <c r="I275" s="577" t="str">
        <f t="shared" si="268"/>
        <v>VND/phôi</v>
      </c>
      <c r="K275" s="581"/>
      <c r="L275" s="581">
        <f t="shared" ref="L275:AJ275" si="272">-IF($H$9="USD",L205/L191/$H$10*10^3,L205/L191/$H$10)</f>
        <v>24.355107917442204</v>
      </c>
      <c r="M275" s="581">
        <f t="shared" si="272"/>
        <v>17.396505655315863</v>
      </c>
      <c r="N275" s="581">
        <f t="shared" si="272"/>
        <v>12.786431656657157</v>
      </c>
      <c r="O275" s="581">
        <f t="shared" si="272"/>
        <v>13.425753239490016</v>
      </c>
      <c r="P275" s="581">
        <f t="shared" si="272"/>
        <v>14.097040901464521</v>
      </c>
      <c r="Q275" s="581">
        <f t="shared" si="272"/>
        <v>14.801892946537743</v>
      </c>
      <c r="R275" s="581">
        <f t="shared" si="272"/>
        <v>15.541987593864631</v>
      </c>
      <c r="S275" s="581">
        <f t="shared" si="272"/>
        <v>16.319086973557862</v>
      </c>
      <c r="T275" s="581">
        <f t="shared" si="272"/>
        <v>17.135041322235757</v>
      </c>
      <c r="U275" s="581">
        <f t="shared" si="272"/>
        <v>17.991793388347546</v>
      </c>
      <c r="V275" s="581">
        <f t="shared" si="272"/>
        <v>18.891383057764919</v>
      </c>
      <c r="W275" s="581">
        <f t="shared" si="272"/>
        <v>19.835952210653168</v>
      </c>
      <c r="X275" s="581">
        <f t="shared" si="272"/>
        <v>20.827749821185829</v>
      </c>
      <c r="Y275" s="581">
        <f t="shared" si="272"/>
        <v>21.869137312245112</v>
      </c>
      <c r="Z275" s="581">
        <f t="shared" si="272"/>
        <v>22.962594177857376</v>
      </c>
      <c r="AA275" s="581"/>
      <c r="AB275" s="581"/>
      <c r="AC275" s="581"/>
      <c r="AD275" s="581"/>
      <c r="AE275" s="581"/>
      <c r="AF275" s="581"/>
      <c r="AG275" s="581"/>
      <c r="AH275" s="581"/>
      <c r="AI275" s="581"/>
      <c r="AJ275" s="581"/>
    </row>
    <row r="276" spans="1:36" outlineLevel="1" x14ac:dyDescent="0.25">
      <c r="A276" t="s">
        <v>423</v>
      </c>
      <c r="E276" t="s">
        <v>172</v>
      </c>
      <c r="H276" s="574" t="s">
        <v>656</v>
      </c>
      <c r="I276" s="575" t="str">
        <f t="shared" si="268"/>
        <v>VND/phôi</v>
      </c>
      <c r="K276" s="580"/>
      <c r="L276" s="580">
        <f t="shared" ref="L276:AJ276" si="273">-IF($H$9="USD",L206/L191/$H$10*10^3,L206/L191/$H$10)</f>
        <v>11.623824040969422</v>
      </c>
      <c r="M276" s="580">
        <f t="shared" si="273"/>
        <v>8.3027314578353018</v>
      </c>
      <c r="N276" s="580">
        <f t="shared" si="273"/>
        <v>6.1025076215089467</v>
      </c>
      <c r="O276" s="580">
        <f t="shared" si="273"/>
        <v>6.4076330025843937</v>
      </c>
      <c r="P276" s="580">
        <f t="shared" si="273"/>
        <v>6.7280146527136147</v>
      </c>
      <c r="Q276" s="580">
        <f t="shared" si="273"/>
        <v>7.064415385349295</v>
      </c>
      <c r="R276" s="580">
        <f t="shared" si="273"/>
        <v>7.4176361546167602</v>
      </c>
      <c r="S276" s="580">
        <f t="shared" si="273"/>
        <v>7.7885179623475977</v>
      </c>
      <c r="T276" s="580">
        <f t="shared" si="273"/>
        <v>8.1779438604649783</v>
      </c>
      <c r="U276" s="580">
        <f t="shared" si="273"/>
        <v>8.5868410534882269</v>
      </c>
      <c r="V276" s="580">
        <f t="shared" si="273"/>
        <v>9.0161831061626376</v>
      </c>
      <c r="W276" s="580">
        <f t="shared" si="273"/>
        <v>9.4669922614707716</v>
      </c>
      <c r="X276" s="580">
        <f t="shared" si="273"/>
        <v>9.9403418745443091</v>
      </c>
      <c r="Y276" s="580">
        <f t="shared" si="273"/>
        <v>10.437358968271525</v>
      </c>
      <c r="Z276" s="580">
        <f t="shared" si="273"/>
        <v>10.959226916685102</v>
      </c>
      <c r="AA276" s="580"/>
      <c r="AB276" s="580"/>
      <c r="AC276" s="580"/>
      <c r="AD276" s="580"/>
      <c r="AE276" s="580"/>
      <c r="AF276" s="580"/>
      <c r="AG276" s="580"/>
      <c r="AH276" s="580"/>
      <c r="AI276" s="580"/>
      <c r="AJ276" s="580"/>
    </row>
    <row r="277" spans="1:36" outlineLevel="1" x14ac:dyDescent="0.25">
      <c r="A277" t="s">
        <v>423</v>
      </c>
      <c r="E277" t="s">
        <v>172</v>
      </c>
      <c r="H277" s="574" t="s">
        <v>432</v>
      </c>
      <c r="I277" s="575" t="str">
        <f t="shared" si="268"/>
        <v>VND/phôi</v>
      </c>
      <c r="K277" s="580"/>
      <c r="L277" s="580">
        <f t="shared" ref="L277:AJ277" si="274">-IF($H$9="USD",L207/L191/$H$10*10^3,L207/L191/$H$10)</f>
        <v>43.698284444459318</v>
      </c>
      <c r="M277" s="580">
        <f t="shared" si="274"/>
        <v>31.213060317470944</v>
      </c>
      <c r="N277" s="580">
        <f t="shared" si="274"/>
        <v>22.941599333341141</v>
      </c>
      <c r="O277" s="580">
        <f t="shared" si="274"/>
        <v>24.088679300008199</v>
      </c>
      <c r="P277" s="580">
        <f t="shared" si="274"/>
        <v>25.293113265008611</v>
      </c>
      <c r="Q277" s="580">
        <f t="shared" si="274"/>
        <v>26.557768928259037</v>
      </c>
      <c r="R277" s="580">
        <f t="shared" si="274"/>
        <v>27.88565737467199</v>
      </c>
      <c r="S277" s="580">
        <f t="shared" si="274"/>
        <v>29.279940243405587</v>
      </c>
      <c r="T277" s="580">
        <f t="shared" si="274"/>
        <v>30.743937255575872</v>
      </c>
      <c r="U277" s="580">
        <f t="shared" si="274"/>
        <v>32.281134118354665</v>
      </c>
      <c r="V277" s="580">
        <f t="shared" si="274"/>
        <v>33.895190824272397</v>
      </c>
      <c r="W277" s="580">
        <f t="shared" si="274"/>
        <v>35.589950365486018</v>
      </c>
      <c r="X277" s="580">
        <f t="shared" si="274"/>
        <v>37.369447883760323</v>
      </c>
      <c r="Y277" s="580">
        <f t="shared" si="274"/>
        <v>39.237920277948334</v>
      </c>
      <c r="Z277" s="580">
        <f t="shared" si="274"/>
        <v>41.199816291845757</v>
      </c>
      <c r="AA277" s="580"/>
      <c r="AB277" s="580"/>
      <c r="AC277" s="580"/>
      <c r="AD277" s="580"/>
      <c r="AE277" s="580"/>
      <c r="AF277" s="580"/>
      <c r="AG277" s="580"/>
      <c r="AH277" s="580"/>
      <c r="AI277" s="580"/>
      <c r="AJ277" s="580"/>
    </row>
    <row r="278" spans="1:36" outlineLevel="1" x14ac:dyDescent="0.25">
      <c r="A278" t="s">
        <v>423</v>
      </c>
      <c r="E278" t="s">
        <v>172</v>
      </c>
      <c r="H278" s="574" t="s">
        <v>433</v>
      </c>
      <c r="I278" s="575" t="str">
        <f t="shared" si="268"/>
        <v>VND/phôi</v>
      </c>
      <c r="K278" s="580"/>
      <c r="L278" s="580">
        <f t="shared" ref="L278:AJ278" si="275">-IF($H$9="USD",L208/L191/$H$10*10^3,L208/L191/$H$10)</f>
        <v>2.6734795294229672</v>
      </c>
      <c r="M278" s="580">
        <f t="shared" si="275"/>
        <v>1.9096282353021197</v>
      </c>
      <c r="N278" s="580">
        <f t="shared" si="275"/>
        <v>1.4035767529470577</v>
      </c>
      <c r="O278" s="580">
        <f t="shared" si="275"/>
        <v>1.4737555905944109</v>
      </c>
      <c r="P278" s="580">
        <f t="shared" si="275"/>
        <v>1.5474433701241312</v>
      </c>
      <c r="Q278" s="580">
        <f t="shared" si="275"/>
        <v>1.624815538630338</v>
      </c>
      <c r="R278" s="580">
        <f t="shared" si="275"/>
        <v>1.7060563155618549</v>
      </c>
      <c r="S278" s="580">
        <f t="shared" si="275"/>
        <v>1.7913591313399475</v>
      </c>
      <c r="T278" s="580">
        <f t="shared" si="275"/>
        <v>1.8809270879069451</v>
      </c>
      <c r="U278" s="580">
        <f t="shared" si="275"/>
        <v>1.9749734423022924</v>
      </c>
      <c r="V278" s="580">
        <f t="shared" si="275"/>
        <v>2.0737221144174067</v>
      </c>
      <c r="W278" s="580">
        <f t="shared" si="275"/>
        <v>2.1774082201382772</v>
      </c>
      <c r="X278" s="580">
        <f t="shared" si="275"/>
        <v>2.2862786311451915</v>
      </c>
      <c r="Y278" s="580">
        <f t="shared" si="275"/>
        <v>2.4005925627024505</v>
      </c>
      <c r="Z278" s="580">
        <f t="shared" si="275"/>
        <v>2.5206221908375732</v>
      </c>
      <c r="AA278" s="580"/>
      <c r="AB278" s="580"/>
      <c r="AC278" s="580"/>
      <c r="AD278" s="580"/>
      <c r="AE278" s="580"/>
      <c r="AF278" s="580"/>
      <c r="AG278" s="580"/>
      <c r="AH278" s="580"/>
      <c r="AI278" s="580"/>
      <c r="AJ278" s="580"/>
    </row>
    <row r="279" spans="1:36" outlineLevel="1" x14ac:dyDescent="0.25">
      <c r="A279" t="s">
        <v>423</v>
      </c>
      <c r="E279" t="s">
        <v>172</v>
      </c>
      <c r="H279" s="574" t="s">
        <v>520</v>
      </c>
      <c r="I279" s="575" t="str">
        <f t="shared" si="268"/>
        <v>VND/phôi</v>
      </c>
      <c r="K279" s="580"/>
      <c r="L279" s="580">
        <f t="shared" ref="L279:AJ279" si="276">-IF($H$9="USD",L209/L191/$H$10*10^3,L209/L191/$H$10)</f>
        <v>4.3661969680851325</v>
      </c>
      <c r="M279" s="580">
        <f t="shared" si="276"/>
        <v>3.1187121200608092</v>
      </c>
      <c r="N279" s="580">
        <f t="shared" si="276"/>
        <v>2.1830984840425662</v>
      </c>
      <c r="O279" s="580">
        <f t="shared" si="276"/>
        <v>2.1830984840425662</v>
      </c>
      <c r="P279" s="580">
        <f t="shared" si="276"/>
        <v>2.1830984840425662</v>
      </c>
      <c r="Q279" s="580">
        <f t="shared" si="276"/>
        <v>2.1830984840425662</v>
      </c>
      <c r="R279" s="580">
        <f t="shared" si="276"/>
        <v>2.1830984840425662</v>
      </c>
      <c r="S279" s="580">
        <f t="shared" si="276"/>
        <v>2.1830984840425662</v>
      </c>
      <c r="T279" s="580">
        <f t="shared" si="276"/>
        <v>2.1830984840425662</v>
      </c>
      <c r="U279" s="580">
        <f t="shared" si="276"/>
        <v>2.1830984840425662</v>
      </c>
      <c r="V279" s="580">
        <f t="shared" si="276"/>
        <v>2.1830984840425662</v>
      </c>
      <c r="W279" s="580">
        <f t="shared" si="276"/>
        <v>2.1830984840425662</v>
      </c>
      <c r="X279" s="580">
        <f t="shared" si="276"/>
        <v>2.1830984840425662</v>
      </c>
      <c r="Y279" s="580">
        <f t="shared" si="276"/>
        <v>2.1830984840425662</v>
      </c>
      <c r="Z279" s="580">
        <f t="shared" si="276"/>
        <v>2.1830984840425662</v>
      </c>
      <c r="AA279" s="580"/>
      <c r="AB279" s="580"/>
      <c r="AC279" s="580"/>
      <c r="AD279" s="580"/>
      <c r="AE279" s="580"/>
      <c r="AF279" s="580"/>
      <c r="AG279" s="580"/>
      <c r="AH279" s="580"/>
      <c r="AI279" s="580"/>
      <c r="AJ279" s="580"/>
    </row>
    <row r="280" spans="1:36" outlineLevel="1" x14ac:dyDescent="0.25">
      <c r="A280" t="s">
        <v>423</v>
      </c>
      <c r="H280" s="289"/>
      <c r="I280" s="290"/>
      <c r="K280" s="294"/>
      <c r="L280" s="294"/>
      <c r="M280" s="294"/>
      <c r="N280" s="294"/>
      <c r="O280" s="294"/>
      <c r="P280" s="294"/>
      <c r="Q280" s="294"/>
      <c r="R280" s="294"/>
      <c r="S280" s="294"/>
      <c r="T280" s="294"/>
      <c r="U280" s="294"/>
      <c r="V280" s="294"/>
      <c r="W280" s="294"/>
      <c r="X280" s="294"/>
      <c r="Y280" s="294"/>
      <c r="Z280" s="294"/>
      <c r="AA280" s="294"/>
      <c r="AB280" s="294"/>
      <c r="AC280" s="294"/>
      <c r="AD280" s="294"/>
      <c r="AE280" s="294"/>
      <c r="AF280" s="294"/>
      <c r="AG280" s="294"/>
      <c r="AH280" s="294"/>
      <c r="AI280" s="294"/>
      <c r="AJ280" s="294"/>
    </row>
    <row r="281" spans="1:36" s="1" customFormat="1" outlineLevel="1" x14ac:dyDescent="0.25">
      <c r="A281" s="1" t="s">
        <v>423</v>
      </c>
      <c r="H281" s="287" t="s">
        <v>435</v>
      </c>
      <c r="I281" s="288" t="str">
        <f t="shared" ref="I281:I305" si="277">IF($H$9="USD","USD/1.000 phôi","VND/phôi")</f>
        <v>VND/phôi</v>
      </c>
      <c r="K281" s="295">
        <f>K282+K285+K288</f>
        <v>0</v>
      </c>
      <c r="L281" s="295">
        <f t="shared" ref="L281:AJ281" si="278">L282+L285+L288</f>
        <v>449.19330982664235</v>
      </c>
      <c r="M281" s="295">
        <f t="shared" si="278"/>
        <v>446.42850374202067</v>
      </c>
      <c r="N281" s="295">
        <f t="shared" si="278"/>
        <v>454.34041490211587</v>
      </c>
      <c r="O281" s="295">
        <f t="shared" si="278"/>
        <v>464.58365802475885</v>
      </c>
      <c r="P281" s="295">
        <f t="shared" si="278"/>
        <v>475.09268394869514</v>
      </c>
      <c r="Q281" s="295">
        <f t="shared" si="278"/>
        <v>485.87585422689295</v>
      </c>
      <c r="R281" s="295">
        <f t="shared" si="278"/>
        <v>496.94184993822643</v>
      </c>
      <c r="S281" s="295">
        <f t="shared" si="278"/>
        <v>508.29968569273683</v>
      </c>
      <c r="T281" s="295">
        <f t="shared" si="278"/>
        <v>519.95872429773522</v>
      </c>
      <c r="U281" s="295">
        <f t="shared" si="278"/>
        <v>531.92869211700133</v>
      </c>
      <c r="V281" s="295">
        <f t="shared" si="278"/>
        <v>544.21969515692911</v>
      </c>
      <c r="W281" s="295">
        <f t="shared" si="278"/>
        <v>556.84223591514524</v>
      </c>
      <c r="X281" s="295">
        <f t="shared" si="278"/>
        <v>567.37954855975329</v>
      </c>
      <c r="Y281" s="295">
        <f t="shared" si="278"/>
        <v>580.69834729315585</v>
      </c>
      <c r="Z281" s="295">
        <f t="shared" si="278"/>
        <v>594.38275090447803</v>
      </c>
      <c r="AA281" s="295"/>
      <c r="AB281" s="295"/>
      <c r="AC281" s="295"/>
      <c r="AD281" s="295"/>
      <c r="AE281" s="295"/>
      <c r="AF281" s="295"/>
      <c r="AG281" s="295"/>
      <c r="AH281" s="295"/>
      <c r="AI281" s="295"/>
      <c r="AJ281" s="295"/>
    </row>
    <row r="282" spans="1:36" outlineLevel="1" x14ac:dyDescent="0.25">
      <c r="A282" t="s">
        <v>423</v>
      </c>
      <c r="H282" s="572" t="s">
        <v>454</v>
      </c>
      <c r="I282" s="573" t="str">
        <f t="shared" si="277"/>
        <v>VND/phôi</v>
      </c>
      <c r="K282" s="582">
        <f>SUM(K283:K284)</f>
        <v>0</v>
      </c>
      <c r="L282" s="582">
        <f t="shared" ref="L282:AJ282" si="279">SUM(L283:L284)</f>
        <v>402.58064516129031</v>
      </c>
      <c r="M282" s="582">
        <f t="shared" si="279"/>
        <v>402.58064516129042</v>
      </c>
      <c r="N282" s="582">
        <f t="shared" si="279"/>
        <v>410.63225806451618</v>
      </c>
      <c r="O282" s="582">
        <f t="shared" si="279"/>
        <v>418.84490322580649</v>
      </c>
      <c r="P282" s="582">
        <f t="shared" si="279"/>
        <v>427.22180129032256</v>
      </c>
      <c r="Q282" s="582">
        <f t="shared" si="279"/>
        <v>435.76623731612904</v>
      </c>
      <c r="R282" s="582">
        <f t="shared" si="279"/>
        <v>444.48156206245164</v>
      </c>
      <c r="S282" s="582">
        <f t="shared" si="279"/>
        <v>453.37119330370069</v>
      </c>
      <c r="T282" s="582">
        <f t="shared" si="279"/>
        <v>462.4386171697746</v>
      </c>
      <c r="U282" s="582">
        <f t="shared" si="279"/>
        <v>471.68738951317005</v>
      </c>
      <c r="V282" s="582">
        <f t="shared" si="279"/>
        <v>481.12113730343356</v>
      </c>
      <c r="W282" s="582">
        <f t="shared" si="279"/>
        <v>490.74356004950221</v>
      </c>
      <c r="X282" s="582">
        <f t="shared" si="279"/>
        <v>500.55843125049216</v>
      </c>
      <c r="Y282" s="582">
        <f t="shared" si="279"/>
        <v>510.56959987550215</v>
      </c>
      <c r="Z282" s="582">
        <f t="shared" si="279"/>
        <v>520.78099187301211</v>
      </c>
      <c r="AA282" s="582"/>
      <c r="AB282" s="582"/>
      <c r="AC282" s="582"/>
      <c r="AD282" s="582"/>
      <c r="AE282" s="582"/>
      <c r="AF282" s="582"/>
      <c r="AG282" s="582"/>
      <c r="AH282" s="582"/>
      <c r="AI282" s="582"/>
      <c r="AJ282" s="582"/>
    </row>
    <row r="283" spans="1:36" s="299" customFormat="1" outlineLevel="1" x14ac:dyDescent="0.25">
      <c r="A283" s="299" t="s">
        <v>423</v>
      </c>
      <c r="E283" s="299" t="s">
        <v>536</v>
      </c>
      <c r="H283" s="576" t="s">
        <v>167</v>
      </c>
      <c r="I283" s="577" t="str">
        <f t="shared" si="277"/>
        <v>VND/phôi</v>
      </c>
      <c r="K283" s="581"/>
      <c r="L283" s="581">
        <f>-IF($H$9="USD",L213/L191/$H$10*10^3,L213/L191/$H$10)</f>
        <v>374.4</v>
      </c>
      <c r="M283" s="581">
        <f t="shared" ref="M283:AJ283" si="280">-IF($H$9="USD",M213/M191/$H$10*10^3,M213/M191/$H$10)</f>
        <v>374.40000000000003</v>
      </c>
      <c r="N283" s="581">
        <f t="shared" si="280"/>
        <v>381.88799999999998</v>
      </c>
      <c r="O283" s="581">
        <f t="shared" si="280"/>
        <v>389.52575999999999</v>
      </c>
      <c r="P283" s="581">
        <f t="shared" si="280"/>
        <v>397.31627519999995</v>
      </c>
      <c r="Q283" s="581">
        <f t="shared" si="280"/>
        <v>405.26260070400002</v>
      </c>
      <c r="R283" s="581">
        <f t="shared" si="280"/>
        <v>413.36785271808003</v>
      </c>
      <c r="S283" s="581">
        <f t="shared" si="280"/>
        <v>421.63520977244161</v>
      </c>
      <c r="T283" s="581">
        <f t="shared" si="280"/>
        <v>430.06791396789032</v>
      </c>
      <c r="U283" s="581">
        <f t="shared" si="280"/>
        <v>438.66927224724816</v>
      </c>
      <c r="V283" s="581">
        <f t="shared" si="280"/>
        <v>447.44265769219317</v>
      </c>
      <c r="W283" s="581">
        <f t="shared" si="280"/>
        <v>456.39151084603702</v>
      </c>
      <c r="X283" s="581">
        <f t="shared" si="280"/>
        <v>465.51934106295772</v>
      </c>
      <c r="Y283" s="581">
        <f t="shared" si="280"/>
        <v>474.82972788421694</v>
      </c>
      <c r="Z283" s="581">
        <f t="shared" si="280"/>
        <v>484.32632244190125</v>
      </c>
      <c r="AA283" s="581"/>
      <c r="AB283" s="581"/>
      <c r="AC283" s="581"/>
      <c r="AD283" s="581"/>
      <c r="AE283" s="581"/>
      <c r="AF283" s="581"/>
      <c r="AG283" s="581"/>
      <c r="AH283" s="581"/>
      <c r="AI283" s="581"/>
      <c r="AJ283" s="581"/>
    </row>
    <row r="284" spans="1:36" s="299" customFormat="1" outlineLevel="1" x14ac:dyDescent="0.25">
      <c r="A284" s="299" t="s">
        <v>423</v>
      </c>
      <c r="E284" s="299" t="s">
        <v>537</v>
      </c>
      <c r="H284" s="645" t="s">
        <v>203</v>
      </c>
      <c r="I284" s="646" t="str">
        <f t="shared" si="277"/>
        <v>VND/phôi</v>
      </c>
      <c r="K284" s="647"/>
      <c r="L284" s="647">
        <f>-IF($H$9="USD",L214/L191/$H$10*10^3,L214/L191/$H$10)</f>
        <v>28.180645161290336</v>
      </c>
      <c r="M284" s="647">
        <f t="shared" ref="M284:AJ284" si="281">-IF($H$9="USD",M214/M191/$H$10*10^3,M214/M191/$H$10)</f>
        <v>28.180645161290371</v>
      </c>
      <c r="N284" s="647">
        <f t="shared" si="281"/>
        <v>28.744258064516178</v>
      </c>
      <c r="O284" s="647">
        <f t="shared" si="281"/>
        <v>29.319143225806506</v>
      </c>
      <c r="P284" s="647">
        <f t="shared" si="281"/>
        <v>29.905526090322624</v>
      </c>
      <c r="Q284" s="647">
        <f t="shared" si="281"/>
        <v>30.503636612129036</v>
      </c>
      <c r="R284" s="647">
        <f t="shared" si="281"/>
        <v>31.113709344371639</v>
      </c>
      <c r="S284" s="647">
        <f t="shared" si="281"/>
        <v>31.735983531259077</v>
      </c>
      <c r="T284" s="647">
        <f t="shared" si="281"/>
        <v>32.370703201884282</v>
      </c>
      <c r="U284" s="647">
        <f t="shared" si="281"/>
        <v>33.018117265921916</v>
      </c>
      <c r="V284" s="647">
        <f t="shared" si="281"/>
        <v>33.678479611240391</v>
      </c>
      <c r="W284" s="647">
        <f t="shared" si="281"/>
        <v>34.352049203465171</v>
      </c>
      <c r="X284" s="647">
        <f t="shared" si="281"/>
        <v>35.039090187534455</v>
      </c>
      <c r="Y284" s="647">
        <f t="shared" si="281"/>
        <v>35.739871991285206</v>
      </c>
      <c r="Z284" s="647">
        <f t="shared" si="281"/>
        <v>36.454669431110879</v>
      </c>
      <c r="AA284" s="647"/>
      <c r="AB284" s="647"/>
      <c r="AC284" s="647"/>
      <c r="AD284" s="647"/>
      <c r="AE284" s="647"/>
      <c r="AF284" s="647"/>
      <c r="AG284" s="647"/>
      <c r="AH284" s="647"/>
      <c r="AI284" s="647"/>
      <c r="AJ284" s="647"/>
    </row>
    <row r="285" spans="1:36" outlineLevel="1" x14ac:dyDescent="0.25">
      <c r="A285" t="s">
        <v>423</v>
      </c>
      <c r="E285" t="s">
        <v>177</v>
      </c>
      <c r="H285" s="574" t="s">
        <v>676</v>
      </c>
      <c r="I285" s="575" t="str">
        <f t="shared" si="277"/>
        <v>VND/phôi</v>
      </c>
      <c r="K285" s="583">
        <f>SUM(K286:K287)</f>
        <v>0</v>
      </c>
      <c r="L285" s="583">
        <f t="shared" ref="L285:AJ285" si="282">SUM(L286:L287)</f>
        <v>3.0630387096774192</v>
      </c>
      <c r="M285" s="583">
        <f t="shared" si="282"/>
        <v>3.0630387096774196</v>
      </c>
      <c r="N285" s="583">
        <f t="shared" si="282"/>
        <v>3.2161906451612912</v>
      </c>
      <c r="O285" s="583">
        <f t="shared" si="282"/>
        <v>3.377000177419355</v>
      </c>
      <c r="P285" s="583">
        <f t="shared" si="282"/>
        <v>3.5458501862903229</v>
      </c>
      <c r="Q285" s="583">
        <f t="shared" si="282"/>
        <v>3.7231426956048392</v>
      </c>
      <c r="R285" s="583">
        <f t="shared" si="282"/>
        <v>3.9092998303850814</v>
      </c>
      <c r="S285" s="583">
        <f t="shared" si="282"/>
        <v>4.1047648219043342</v>
      </c>
      <c r="T285" s="583">
        <f t="shared" si="282"/>
        <v>4.3100030629995523</v>
      </c>
      <c r="U285" s="583">
        <f t="shared" si="282"/>
        <v>4.525503216149529</v>
      </c>
      <c r="V285" s="583">
        <f t="shared" si="282"/>
        <v>4.7517783769570059</v>
      </c>
      <c r="W285" s="583">
        <f t="shared" si="282"/>
        <v>4.9893672958048558</v>
      </c>
      <c r="X285" s="583">
        <f t="shared" si="282"/>
        <v>5.2388356605950994</v>
      </c>
      <c r="Y285" s="583">
        <f t="shared" si="282"/>
        <v>5.5007774436248544</v>
      </c>
      <c r="Z285" s="583">
        <f t="shared" si="282"/>
        <v>5.7758163158060976</v>
      </c>
      <c r="AA285" s="583"/>
      <c r="AB285" s="583"/>
      <c r="AC285" s="583"/>
      <c r="AD285" s="583"/>
      <c r="AE285" s="583"/>
      <c r="AF285" s="583"/>
      <c r="AG285" s="583"/>
      <c r="AH285" s="583"/>
      <c r="AI285" s="583"/>
      <c r="AJ285" s="583"/>
    </row>
    <row r="286" spans="1:36" s="299" customFormat="1" outlineLevel="1" x14ac:dyDescent="0.25">
      <c r="A286" s="299" t="s">
        <v>423</v>
      </c>
      <c r="H286" s="576" t="s">
        <v>673</v>
      </c>
      <c r="I286" s="577" t="str">
        <f t="shared" si="277"/>
        <v>VND/phôi</v>
      </c>
      <c r="K286" s="581"/>
      <c r="L286" s="581">
        <f>-IF($H$9="USD",L216/L191/$H$10*10^3,L216/L191/$H$10)</f>
        <v>3.0630387096774192</v>
      </c>
      <c r="M286" s="581">
        <f t="shared" ref="M286:AJ286" si="283">-IF($H$9="USD",M216/M191/$H$10*10^3,M216/M191/$H$10)</f>
        <v>3.0630387096774196</v>
      </c>
      <c r="N286" s="581">
        <f t="shared" si="283"/>
        <v>3.2161906451612912</v>
      </c>
      <c r="O286" s="581">
        <f t="shared" si="283"/>
        <v>3.377000177419355</v>
      </c>
      <c r="P286" s="581">
        <f t="shared" si="283"/>
        <v>3.5458501862903229</v>
      </c>
      <c r="Q286" s="581">
        <f t="shared" si="283"/>
        <v>3.7231426956048392</v>
      </c>
      <c r="R286" s="581">
        <f t="shared" si="283"/>
        <v>3.9092998303850814</v>
      </c>
      <c r="S286" s="581">
        <f t="shared" si="283"/>
        <v>4.1047648219043342</v>
      </c>
      <c r="T286" s="581">
        <f t="shared" si="283"/>
        <v>4.3100030629995523</v>
      </c>
      <c r="U286" s="581">
        <f t="shared" si="283"/>
        <v>4.525503216149529</v>
      </c>
      <c r="V286" s="581">
        <f t="shared" si="283"/>
        <v>4.7517783769570059</v>
      </c>
      <c r="W286" s="581">
        <f t="shared" si="283"/>
        <v>4.9893672958048558</v>
      </c>
      <c r="X286" s="581">
        <f t="shared" si="283"/>
        <v>5.2388356605950994</v>
      </c>
      <c r="Y286" s="581">
        <f t="shared" si="283"/>
        <v>5.5007774436248544</v>
      </c>
      <c r="Z286" s="581">
        <f t="shared" si="283"/>
        <v>5.7758163158060976</v>
      </c>
      <c r="AA286" s="581"/>
      <c r="AB286" s="581"/>
      <c r="AC286" s="581"/>
      <c r="AD286" s="581"/>
      <c r="AE286" s="581"/>
      <c r="AF286" s="581"/>
      <c r="AG286" s="581"/>
      <c r="AH286" s="581"/>
      <c r="AI286" s="581"/>
      <c r="AJ286" s="581"/>
    </row>
    <row r="287" spans="1:36" s="299" customFormat="1" outlineLevel="1" x14ac:dyDescent="0.25">
      <c r="A287" s="299" t="s">
        <v>423</v>
      </c>
      <c r="H287" s="576" t="s">
        <v>674</v>
      </c>
      <c r="I287" s="577" t="str">
        <f t="shared" si="277"/>
        <v>VND/phôi</v>
      </c>
      <c r="K287" s="581"/>
      <c r="L287" s="581">
        <f>-IF($H$9="USD",L217/L191/$H$10*10^3,L217/L191/$H$10)</f>
        <v>0</v>
      </c>
      <c r="M287" s="581">
        <f t="shared" ref="M287:AJ287" si="284">-IF($H$9="USD",M217/M191/$H$10*10^3,M217/M191/$H$10)</f>
        <v>0</v>
      </c>
      <c r="N287" s="581">
        <f t="shared" si="284"/>
        <v>0</v>
      </c>
      <c r="O287" s="581">
        <f t="shared" si="284"/>
        <v>0</v>
      </c>
      <c r="P287" s="581">
        <f t="shared" si="284"/>
        <v>0</v>
      </c>
      <c r="Q287" s="581">
        <f t="shared" si="284"/>
        <v>0</v>
      </c>
      <c r="R287" s="581">
        <f t="shared" si="284"/>
        <v>0</v>
      </c>
      <c r="S287" s="581">
        <f t="shared" si="284"/>
        <v>0</v>
      </c>
      <c r="T287" s="581">
        <f t="shared" si="284"/>
        <v>0</v>
      </c>
      <c r="U287" s="581">
        <f t="shared" si="284"/>
        <v>0</v>
      </c>
      <c r="V287" s="581">
        <f t="shared" si="284"/>
        <v>0</v>
      </c>
      <c r="W287" s="581">
        <f t="shared" si="284"/>
        <v>0</v>
      </c>
      <c r="X287" s="581">
        <f t="shared" si="284"/>
        <v>0</v>
      </c>
      <c r="Y287" s="581">
        <f t="shared" si="284"/>
        <v>0</v>
      </c>
      <c r="Z287" s="581">
        <f t="shared" si="284"/>
        <v>0</v>
      </c>
      <c r="AA287" s="581"/>
      <c r="AB287" s="581"/>
      <c r="AC287" s="581"/>
      <c r="AD287" s="581"/>
      <c r="AE287" s="581"/>
      <c r="AF287" s="581"/>
      <c r="AG287" s="581"/>
      <c r="AH287" s="581"/>
      <c r="AI287" s="581"/>
      <c r="AJ287" s="581"/>
    </row>
    <row r="288" spans="1:36" outlineLevel="1" x14ac:dyDescent="0.25">
      <c r="A288" t="s">
        <v>423</v>
      </c>
      <c r="H288" s="574" t="s">
        <v>180</v>
      </c>
      <c r="I288" s="575" t="str">
        <f t="shared" si="277"/>
        <v>VND/phôi</v>
      </c>
      <c r="K288" s="583">
        <f>SUM(K289:K291)</f>
        <v>0</v>
      </c>
      <c r="L288" s="583">
        <f>SUM(L289:L291)</f>
        <v>43.549625955674657</v>
      </c>
      <c r="M288" s="583">
        <f t="shared" ref="M288:AJ288" si="285">SUM(M289:M291)</f>
        <v>40.784819871052804</v>
      </c>
      <c r="N288" s="583">
        <f t="shared" si="285"/>
        <v>40.491966192438404</v>
      </c>
      <c r="O288" s="583">
        <f t="shared" si="285"/>
        <v>42.361754621532988</v>
      </c>
      <c r="P288" s="583">
        <f t="shared" si="285"/>
        <v>44.325032472082299</v>
      </c>
      <c r="Q288" s="583">
        <f t="shared" si="285"/>
        <v>46.386474215159069</v>
      </c>
      <c r="R288" s="583">
        <f t="shared" si="285"/>
        <v>48.550988045389694</v>
      </c>
      <c r="S288" s="583">
        <f t="shared" si="285"/>
        <v>50.823727567131826</v>
      </c>
      <c r="T288" s="583">
        <f t="shared" si="285"/>
        <v>53.210104064961087</v>
      </c>
      <c r="U288" s="583">
        <f t="shared" si="285"/>
        <v>55.715799387681798</v>
      </c>
      <c r="V288" s="583">
        <f t="shared" si="285"/>
        <v>58.346779476538543</v>
      </c>
      <c r="W288" s="583">
        <f t="shared" si="285"/>
        <v>61.109308569838142</v>
      </c>
      <c r="X288" s="583">
        <f t="shared" si="285"/>
        <v>61.582281648666068</v>
      </c>
      <c r="Y288" s="583">
        <f t="shared" si="285"/>
        <v>64.627969974028858</v>
      </c>
      <c r="Z288" s="583">
        <f t="shared" si="285"/>
        <v>67.825942715659806</v>
      </c>
      <c r="AA288" s="583"/>
      <c r="AB288" s="583"/>
      <c r="AC288" s="583"/>
      <c r="AD288" s="583"/>
      <c r="AE288" s="583"/>
      <c r="AF288" s="583"/>
      <c r="AG288" s="583"/>
      <c r="AH288" s="583"/>
      <c r="AI288" s="583"/>
      <c r="AJ288" s="583"/>
    </row>
    <row r="289" spans="1:36" s="299" customFormat="1" outlineLevel="1" x14ac:dyDescent="0.25">
      <c r="A289" s="299" t="s">
        <v>423</v>
      </c>
      <c r="E289" s="299" t="s">
        <v>174</v>
      </c>
      <c r="H289" s="576" t="s">
        <v>73</v>
      </c>
      <c r="I289" s="577" t="str">
        <f t="shared" si="277"/>
        <v>VND/phôi</v>
      </c>
      <c r="K289" s="581"/>
      <c r="L289" s="581">
        <f t="shared" ref="L289:AJ289" si="286">-IF($H$9="USD",L219/L191/$H$10*10^3,L219/L191/$H$10)</f>
        <v>27.847782258064516</v>
      </c>
      <c r="M289" s="581">
        <f t="shared" si="286"/>
        <v>27.847782258064512</v>
      </c>
      <c r="N289" s="581">
        <f t="shared" si="286"/>
        <v>29.24017137096774</v>
      </c>
      <c r="O289" s="581">
        <f t="shared" si="286"/>
        <v>30.702179939516128</v>
      </c>
      <c r="P289" s="581">
        <f t="shared" si="286"/>
        <v>32.237288936491936</v>
      </c>
      <c r="Q289" s="581">
        <f t="shared" si="286"/>
        <v>33.849153383316526</v>
      </c>
      <c r="R289" s="581">
        <f t="shared" si="286"/>
        <v>35.541611052482359</v>
      </c>
      <c r="S289" s="581">
        <f t="shared" si="286"/>
        <v>37.318691605106473</v>
      </c>
      <c r="T289" s="581">
        <f t="shared" si="286"/>
        <v>39.1846261853618</v>
      </c>
      <c r="U289" s="581">
        <f t="shared" si="286"/>
        <v>41.143857494629891</v>
      </c>
      <c r="V289" s="581">
        <f t="shared" si="286"/>
        <v>43.201050369361383</v>
      </c>
      <c r="W289" s="581">
        <f t="shared" si="286"/>
        <v>45.36110288782946</v>
      </c>
      <c r="X289" s="581">
        <f t="shared" si="286"/>
        <v>47.629158032220928</v>
      </c>
      <c r="Y289" s="581">
        <f t="shared" si="286"/>
        <v>50.010615933831971</v>
      </c>
      <c r="Z289" s="581">
        <f t="shared" si="286"/>
        <v>52.511146730523578</v>
      </c>
      <c r="AA289" s="581"/>
      <c r="AB289" s="581"/>
      <c r="AC289" s="581"/>
      <c r="AD289" s="581"/>
      <c r="AE289" s="581"/>
      <c r="AF289" s="581"/>
      <c r="AG289" s="581"/>
      <c r="AH289" s="581"/>
      <c r="AI289" s="581"/>
      <c r="AJ289" s="581"/>
    </row>
    <row r="290" spans="1:36" s="299" customFormat="1" outlineLevel="1" x14ac:dyDescent="0.25">
      <c r="A290" s="299" t="s">
        <v>423</v>
      </c>
      <c r="E290" s="299" t="s">
        <v>306</v>
      </c>
      <c r="H290" s="576" t="s">
        <v>192</v>
      </c>
      <c r="I290" s="577" t="str">
        <f t="shared" si="277"/>
        <v>VND/phôi</v>
      </c>
      <c r="K290" s="581"/>
      <c r="L290" s="581">
        <f t="shared" ref="L290:AJ290" si="287">-IF($H$9="USD",L220/L191/$H$10*10^3,L220/L191/$H$10)</f>
        <v>4.7222222222222214</v>
      </c>
      <c r="M290" s="581">
        <f t="shared" si="287"/>
        <v>4.7222222222222214</v>
      </c>
      <c r="N290" s="581">
        <f t="shared" si="287"/>
        <v>4.958333333333333</v>
      </c>
      <c r="O290" s="581">
        <f t="shared" si="287"/>
        <v>5.2062499999999998</v>
      </c>
      <c r="P290" s="581">
        <f t="shared" si="287"/>
        <v>5.4665624999999993</v>
      </c>
      <c r="Q290" s="581">
        <f t="shared" si="287"/>
        <v>5.7398906249999992</v>
      </c>
      <c r="R290" s="581">
        <f t="shared" si="287"/>
        <v>6.0268851562500005</v>
      </c>
      <c r="S290" s="581">
        <f t="shared" si="287"/>
        <v>6.3282294140624984</v>
      </c>
      <c r="T290" s="581">
        <f t="shared" si="287"/>
        <v>6.6446408847656251</v>
      </c>
      <c r="U290" s="581">
        <f t="shared" si="287"/>
        <v>6.976872929003906</v>
      </c>
      <c r="V290" s="581">
        <f t="shared" si="287"/>
        <v>7.3257165754541012</v>
      </c>
      <c r="W290" s="581">
        <f t="shared" si="287"/>
        <v>7.6920024042268071</v>
      </c>
      <c r="X290" s="581">
        <f t="shared" si="287"/>
        <v>8.0766025244381474</v>
      </c>
      <c r="Y290" s="581">
        <f t="shared" si="287"/>
        <v>8.4804326506600525</v>
      </c>
      <c r="Z290" s="581">
        <f t="shared" si="287"/>
        <v>8.9044542831930595</v>
      </c>
      <c r="AA290" s="581"/>
      <c r="AB290" s="581"/>
      <c r="AC290" s="581"/>
      <c r="AD290" s="581"/>
      <c r="AE290" s="581"/>
      <c r="AF290" s="581"/>
      <c r="AG290" s="581"/>
      <c r="AH290" s="581"/>
      <c r="AI290" s="581"/>
      <c r="AJ290" s="581"/>
    </row>
    <row r="291" spans="1:36" s="299" customFormat="1" outlineLevel="1" x14ac:dyDescent="0.25">
      <c r="A291" s="299" t="s">
        <v>423</v>
      </c>
      <c r="E291" s="299" t="s">
        <v>172</v>
      </c>
      <c r="H291" s="576" t="s">
        <v>175</v>
      </c>
      <c r="I291" s="577" t="str">
        <f t="shared" si="277"/>
        <v>VND/phôi</v>
      </c>
      <c r="K291" s="581"/>
      <c r="L291" s="581">
        <f t="shared" ref="L291:AJ291" si="288">-IF($H$9="USD",L221/L191/$H$10*10^3,L221/L191/$H$10)</f>
        <v>10.979621475387912</v>
      </c>
      <c r="M291" s="581">
        <f t="shared" si="288"/>
        <v>8.2148153907660717</v>
      </c>
      <c r="N291" s="581">
        <f t="shared" si="288"/>
        <v>6.2934614881373347</v>
      </c>
      <c r="O291" s="581">
        <f t="shared" si="288"/>
        <v>6.4533246820168619</v>
      </c>
      <c r="P291" s="581">
        <f t="shared" si="288"/>
        <v>6.6211810355903635</v>
      </c>
      <c r="Q291" s="581">
        <f t="shared" si="288"/>
        <v>6.7974302068425425</v>
      </c>
      <c r="R291" s="581">
        <f t="shared" si="288"/>
        <v>6.9824918366573296</v>
      </c>
      <c r="S291" s="581">
        <f t="shared" si="288"/>
        <v>7.1768065479628564</v>
      </c>
      <c r="T291" s="581">
        <f t="shared" si="288"/>
        <v>7.3808369948336585</v>
      </c>
      <c r="U291" s="581">
        <f t="shared" si="288"/>
        <v>7.5950689640480018</v>
      </c>
      <c r="V291" s="581">
        <f t="shared" si="288"/>
        <v>7.8200125317230604</v>
      </c>
      <c r="W291" s="581">
        <f t="shared" si="288"/>
        <v>8.056203277781874</v>
      </c>
      <c r="X291" s="581">
        <f t="shared" si="288"/>
        <v>5.8765210920069988</v>
      </c>
      <c r="Y291" s="581">
        <f t="shared" si="288"/>
        <v>6.1369213895368393</v>
      </c>
      <c r="Z291" s="581">
        <f t="shared" si="288"/>
        <v>6.4103417019431745</v>
      </c>
      <c r="AA291" s="581"/>
      <c r="AB291" s="581"/>
      <c r="AC291" s="581"/>
      <c r="AD291" s="581"/>
      <c r="AE291" s="581"/>
      <c r="AF291" s="581"/>
      <c r="AG291" s="581"/>
      <c r="AH291" s="581"/>
      <c r="AI291" s="581"/>
      <c r="AJ291" s="581"/>
    </row>
    <row r="292" spans="1:36" outlineLevel="1" x14ac:dyDescent="0.25">
      <c r="A292" t="s">
        <v>423</v>
      </c>
      <c r="H292" s="289"/>
      <c r="I292" s="290"/>
      <c r="K292" s="296"/>
      <c r="L292" s="297"/>
      <c r="M292" s="296"/>
      <c r="N292" s="296"/>
      <c r="O292" s="296"/>
      <c r="P292" s="296"/>
      <c r="Q292" s="296"/>
      <c r="R292" s="296"/>
      <c r="S292" s="296"/>
      <c r="T292" s="296"/>
      <c r="U292" s="296"/>
      <c r="V292" s="296"/>
      <c r="W292" s="296"/>
      <c r="X292" s="296"/>
      <c r="Y292" s="296"/>
      <c r="Z292" s="296"/>
      <c r="AA292" s="296"/>
      <c r="AB292" s="296"/>
      <c r="AC292" s="296"/>
      <c r="AD292" s="296"/>
      <c r="AE292" s="296"/>
      <c r="AF292" s="296"/>
      <c r="AG292" s="296"/>
      <c r="AH292" s="296"/>
      <c r="AI292" s="296"/>
      <c r="AJ292" s="296"/>
    </row>
    <row r="293" spans="1:36" s="16" customFormat="1" outlineLevel="1" x14ac:dyDescent="0.25">
      <c r="A293" s="16" t="s">
        <v>423</v>
      </c>
      <c r="H293" s="291" t="s">
        <v>464</v>
      </c>
      <c r="I293" s="292" t="str">
        <f t="shared" si="277"/>
        <v>VND/phôi</v>
      </c>
      <c r="K293" s="298">
        <f>K271+K281</f>
        <v>0</v>
      </c>
      <c r="L293" s="298">
        <f t="shared" ref="L293:AJ293" si="289">L271+L281</f>
        <v>691.11384223105335</v>
      </c>
      <c r="M293" s="298">
        <f t="shared" si="289"/>
        <v>619.22888403088564</v>
      </c>
      <c r="N293" s="298">
        <f t="shared" si="289"/>
        <v>577.4784474012481</v>
      </c>
      <c r="O293" s="298">
        <f t="shared" si="289"/>
        <v>590.00834513566429</v>
      </c>
      <c r="P293" s="298">
        <f t="shared" si="289"/>
        <v>602.91835840196234</v>
      </c>
      <c r="Q293" s="298">
        <f t="shared" si="289"/>
        <v>616.22256538963995</v>
      </c>
      <c r="R293" s="298">
        <f t="shared" si="289"/>
        <v>629.93564964592724</v>
      </c>
      <c r="S293" s="298">
        <f t="shared" si="289"/>
        <v>644.07292837263924</v>
      </c>
      <c r="T293" s="298">
        <f t="shared" si="289"/>
        <v>658.6503820984492</v>
      </c>
      <c r="U293" s="298">
        <f t="shared" si="289"/>
        <v>673.6846857945676</v>
      </c>
      <c r="V293" s="298">
        <f t="shared" si="289"/>
        <v>689.19324150519014</v>
      </c>
      <c r="W293" s="298">
        <f t="shared" si="289"/>
        <v>705.19421256763587</v>
      </c>
      <c r="X293" s="298">
        <f t="shared" si="289"/>
        <v>658.58681530326919</v>
      </c>
      <c r="Y293" s="298">
        <f t="shared" si="289"/>
        <v>675.63033344708481</v>
      </c>
      <c r="Z293" s="298">
        <f t="shared" si="289"/>
        <v>693.22569243934072</v>
      </c>
      <c r="AA293" s="298"/>
      <c r="AB293" s="298"/>
      <c r="AC293" s="298"/>
      <c r="AD293" s="298"/>
      <c r="AE293" s="298"/>
      <c r="AF293" s="298"/>
      <c r="AG293" s="298"/>
      <c r="AH293" s="298"/>
      <c r="AI293" s="298"/>
      <c r="AJ293" s="298"/>
    </row>
    <row r="294" spans="1:36" outlineLevel="1" x14ac:dyDescent="0.25">
      <c r="A294" t="s">
        <v>423</v>
      </c>
      <c r="H294" s="289"/>
      <c r="I294" s="290"/>
      <c r="K294" s="296"/>
      <c r="L294" s="296"/>
      <c r="M294" s="296"/>
      <c r="N294" s="296"/>
      <c r="O294" s="296"/>
      <c r="P294" s="296"/>
      <c r="Q294" s="296"/>
      <c r="R294" s="296"/>
      <c r="S294" s="296"/>
      <c r="T294" s="296"/>
      <c r="U294" s="296"/>
      <c r="V294" s="296"/>
      <c r="W294" s="296"/>
      <c r="X294" s="296"/>
      <c r="Y294" s="296"/>
      <c r="Z294" s="296"/>
      <c r="AA294" s="296"/>
      <c r="AB294" s="296"/>
      <c r="AC294" s="296"/>
      <c r="AD294" s="296"/>
      <c r="AE294" s="296"/>
      <c r="AF294" s="296"/>
      <c r="AG294" s="296"/>
      <c r="AH294" s="296"/>
      <c r="AI294" s="296"/>
      <c r="AJ294" s="296"/>
    </row>
    <row r="295" spans="1:36" outlineLevel="1" x14ac:dyDescent="0.25">
      <c r="A295" t="s">
        <v>423</v>
      </c>
      <c r="E295" t="s">
        <v>172</v>
      </c>
      <c r="H295" s="593" t="s">
        <v>166</v>
      </c>
      <c r="I295" s="594" t="str">
        <f t="shared" si="277"/>
        <v>VND/phôi</v>
      </c>
      <c r="K295" s="604"/>
      <c r="L295" s="604">
        <f>-IF($H$9="USD",L225/L191/$H$10*10^3,L225/L191/$H$10)</f>
        <v>13.333333333333334</v>
      </c>
      <c r="M295" s="604">
        <f t="shared" ref="M295:AJ295" si="290">-IF($H$9="USD",M225/M191/$H$10*10^3,M225/M191/$H$10)</f>
        <v>13.333333333333332</v>
      </c>
      <c r="N295" s="604">
        <f t="shared" si="290"/>
        <v>13.999999999999998</v>
      </c>
      <c r="O295" s="604">
        <f t="shared" si="290"/>
        <v>14.700000000000001</v>
      </c>
      <c r="P295" s="604">
        <f t="shared" si="290"/>
        <v>15.435</v>
      </c>
      <c r="Q295" s="604">
        <f t="shared" si="290"/>
        <v>16.20675</v>
      </c>
      <c r="R295" s="604">
        <f t="shared" si="290"/>
        <v>17.017087500000002</v>
      </c>
      <c r="S295" s="604">
        <f t="shared" si="290"/>
        <v>17.867941875</v>
      </c>
      <c r="T295" s="604">
        <f t="shared" si="290"/>
        <v>18.761338968750003</v>
      </c>
      <c r="U295" s="604">
        <f t="shared" si="290"/>
        <v>19.699405917187502</v>
      </c>
      <c r="V295" s="604">
        <f t="shared" si="290"/>
        <v>20.684376213046878</v>
      </c>
      <c r="W295" s="604">
        <f t="shared" si="290"/>
        <v>21.718595023699219</v>
      </c>
      <c r="X295" s="604">
        <f t="shared" si="290"/>
        <v>22.804524774884179</v>
      </c>
      <c r="Y295" s="604">
        <f t="shared" si="290"/>
        <v>23.944751013628391</v>
      </c>
      <c r="Z295" s="604">
        <f t="shared" si="290"/>
        <v>25.141988564309816</v>
      </c>
      <c r="AA295" s="604"/>
      <c r="AB295" s="604"/>
      <c r="AC295" s="604"/>
      <c r="AD295" s="604"/>
      <c r="AE295" s="604"/>
      <c r="AF295" s="604"/>
      <c r="AG295" s="604"/>
      <c r="AH295" s="604"/>
      <c r="AI295" s="604"/>
      <c r="AJ295" s="604"/>
    </row>
    <row r="296" spans="1:36" outlineLevel="1" x14ac:dyDescent="0.25">
      <c r="A296" t="s">
        <v>423</v>
      </c>
      <c r="E296" t="s">
        <v>171</v>
      </c>
      <c r="H296" s="574" t="s">
        <v>469</v>
      </c>
      <c r="I296" s="575" t="str">
        <f t="shared" si="277"/>
        <v>VND/phôi</v>
      </c>
      <c r="K296" s="584"/>
      <c r="L296" s="584">
        <f t="shared" ref="L296:AJ296" si="291">-IF($H$9="USD",L226/L191/$H$10*10^3,L226/L191/$H$10)</f>
        <v>0</v>
      </c>
      <c r="M296" s="584">
        <f t="shared" si="291"/>
        <v>0</v>
      </c>
      <c r="N296" s="584">
        <f t="shared" si="291"/>
        <v>0</v>
      </c>
      <c r="O296" s="584">
        <f t="shared" si="291"/>
        <v>0</v>
      </c>
      <c r="P296" s="584">
        <f t="shared" si="291"/>
        <v>0</v>
      </c>
      <c r="Q296" s="584">
        <f t="shared" si="291"/>
        <v>0</v>
      </c>
      <c r="R296" s="584">
        <f t="shared" si="291"/>
        <v>0</v>
      </c>
      <c r="S296" s="584">
        <f t="shared" si="291"/>
        <v>0</v>
      </c>
      <c r="T296" s="584">
        <f t="shared" si="291"/>
        <v>0</v>
      </c>
      <c r="U296" s="584">
        <f t="shared" si="291"/>
        <v>0</v>
      </c>
      <c r="V296" s="584">
        <f t="shared" si="291"/>
        <v>0</v>
      </c>
      <c r="W296" s="584">
        <f t="shared" si="291"/>
        <v>0</v>
      </c>
      <c r="X296" s="584">
        <f t="shared" si="291"/>
        <v>0</v>
      </c>
      <c r="Y296" s="584">
        <f t="shared" si="291"/>
        <v>0</v>
      </c>
      <c r="Z296" s="584">
        <f t="shared" si="291"/>
        <v>0</v>
      </c>
      <c r="AA296" s="584"/>
      <c r="AB296" s="584"/>
      <c r="AC296" s="584"/>
      <c r="AD296" s="584"/>
      <c r="AE296" s="584"/>
      <c r="AF296" s="584"/>
      <c r="AG296" s="584"/>
      <c r="AH296" s="584"/>
      <c r="AI296" s="584"/>
      <c r="AJ296" s="584"/>
    </row>
    <row r="297" spans="1:36" outlineLevel="1" x14ac:dyDescent="0.25">
      <c r="A297" t="s">
        <v>423</v>
      </c>
      <c r="E297" t="s">
        <v>182</v>
      </c>
      <c r="H297" s="574" t="s">
        <v>468</v>
      </c>
      <c r="I297" s="575" t="str">
        <f t="shared" si="277"/>
        <v>VND/phôi</v>
      </c>
      <c r="K297" s="574"/>
      <c r="L297" s="584">
        <f t="shared" ref="L297:AJ297" si="292">-IF($H$9="USD",L227/L191/$H$10*10^3,L227/L191/$H$10)</f>
        <v>0</v>
      </c>
      <c r="M297" s="584">
        <f t="shared" si="292"/>
        <v>0</v>
      </c>
      <c r="N297" s="584">
        <f t="shared" si="292"/>
        <v>0</v>
      </c>
      <c r="O297" s="584">
        <f t="shared" si="292"/>
        <v>0</v>
      </c>
      <c r="P297" s="584">
        <f t="shared" si="292"/>
        <v>0</v>
      </c>
      <c r="Q297" s="584">
        <f t="shared" si="292"/>
        <v>0</v>
      </c>
      <c r="R297" s="584">
        <f t="shared" si="292"/>
        <v>0</v>
      </c>
      <c r="S297" s="584">
        <f t="shared" si="292"/>
        <v>0</v>
      </c>
      <c r="T297" s="584">
        <f t="shared" si="292"/>
        <v>0</v>
      </c>
      <c r="U297" s="584">
        <f t="shared" si="292"/>
        <v>0</v>
      </c>
      <c r="V297" s="584">
        <f t="shared" si="292"/>
        <v>0</v>
      </c>
      <c r="W297" s="584">
        <f t="shared" si="292"/>
        <v>0</v>
      </c>
      <c r="X297" s="584">
        <f t="shared" si="292"/>
        <v>0</v>
      </c>
      <c r="Y297" s="584">
        <f t="shared" si="292"/>
        <v>0</v>
      </c>
      <c r="Z297" s="584">
        <f t="shared" si="292"/>
        <v>0</v>
      </c>
      <c r="AA297" s="584"/>
      <c r="AB297" s="584"/>
      <c r="AC297" s="584"/>
      <c r="AD297" s="584"/>
      <c r="AE297" s="584"/>
      <c r="AF297" s="584"/>
      <c r="AG297" s="584"/>
      <c r="AH297" s="584"/>
      <c r="AI297" s="584"/>
      <c r="AJ297" s="584"/>
    </row>
    <row r="298" spans="1:36" outlineLevel="1" x14ac:dyDescent="0.25">
      <c r="A298" t="s">
        <v>423</v>
      </c>
      <c r="E298" t="s">
        <v>182</v>
      </c>
      <c r="H298" s="574" t="s">
        <v>470</v>
      </c>
      <c r="I298" s="575" t="str">
        <f t="shared" si="277"/>
        <v>VND/phôi</v>
      </c>
      <c r="K298" s="574"/>
      <c r="L298" s="584">
        <f>-IF($H$9="USD",L228/L191/$H$10*10^3,L228/L191/$H$10)</f>
        <v>106.97182571808577</v>
      </c>
      <c r="M298" s="584">
        <f t="shared" ref="M298:AJ298" si="293">-IF($H$9="USD",M228/M191/$H$10*10^3,M228/M191/$H$10)</f>
        <v>73.367801471466493</v>
      </c>
      <c r="N298" s="584">
        <f t="shared" si="293"/>
        <v>49.080017572979045</v>
      </c>
      <c r="O298" s="584">
        <f t="shared" si="293"/>
        <v>46.643153073938215</v>
      </c>
      <c r="P298" s="584">
        <f t="shared" si="293"/>
        <v>44.035708059964541</v>
      </c>
      <c r="Q298" s="584">
        <f t="shared" si="293"/>
        <v>41.245741895012706</v>
      </c>
      <c r="R298" s="584">
        <f t="shared" si="293"/>
        <v>38.260478098514241</v>
      </c>
      <c r="S298" s="584">
        <f t="shared" si="293"/>
        <v>35.066245836260883</v>
      </c>
      <c r="T298" s="584">
        <f t="shared" si="293"/>
        <v>31.648417315649791</v>
      </c>
      <c r="U298" s="584">
        <f t="shared" si="293"/>
        <v>27.991340798595921</v>
      </c>
      <c r="V298" s="584">
        <f t="shared" si="293"/>
        <v>24.078268925348286</v>
      </c>
      <c r="W298" s="584">
        <f t="shared" si="293"/>
        <v>19.891282020973311</v>
      </c>
      <c r="X298" s="584">
        <f t="shared" si="293"/>
        <v>15.411206033292091</v>
      </c>
      <c r="Y298" s="584">
        <f t="shared" si="293"/>
        <v>10.617524726473185</v>
      </c>
      <c r="Z298" s="584">
        <f t="shared" si="293"/>
        <v>5.4882857281769573</v>
      </c>
      <c r="AA298" s="584"/>
      <c r="AB298" s="584"/>
      <c r="AC298" s="584"/>
      <c r="AD298" s="584"/>
      <c r="AE298" s="584"/>
      <c r="AF298" s="584"/>
      <c r="AG298" s="584"/>
      <c r="AH298" s="584"/>
      <c r="AI298" s="584"/>
      <c r="AJ298" s="584"/>
    </row>
    <row r="299" spans="1:36" outlineLevel="1" x14ac:dyDescent="0.25">
      <c r="A299" t="s">
        <v>423</v>
      </c>
      <c r="H299" s="289"/>
      <c r="I299" s="290"/>
      <c r="K299" s="289"/>
      <c r="L299" s="289"/>
      <c r="M299" s="289"/>
      <c r="N299" s="289"/>
      <c r="O299" s="289"/>
      <c r="P299" s="289"/>
      <c r="Q299" s="289"/>
      <c r="R299" s="289"/>
      <c r="S299" s="289"/>
      <c r="T299" s="289"/>
      <c r="U299" s="289"/>
      <c r="V299" s="289"/>
      <c r="W299" s="289"/>
      <c r="X299" s="289"/>
      <c r="Y299" s="289"/>
      <c r="Z299" s="289"/>
      <c r="AA299" s="289"/>
      <c r="AB299" s="289"/>
      <c r="AC299" s="289"/>
      <c r="AD299" s="289"/>
      <c r="AE299" s="289"/>
      <c r="AF299" s="289"/>
      <c r="AG299" s="289"/>
      <c r="AH299" s="289"/>
      <c r="AI299" s="289"/>
      <c r="AJ299" s="289"/>
    </row>
    <row r="300" spans="1:36" s="16" customFormat="1" x14ac:dyDescent="0.25">
      <c r="A300" s="16" t="s">
        <v>423</v>
      </c>
      <c r="H300" s="291" t="s">
        <v>487</v>
      </c>
      <c r="I300" s="292" t="str">
        <f t="shared" si="277"/>
        <v>VND/phôi</v>
      </c>
      <c r="K300" s="298">
        <f>K293+SUM(K295:K298)</f>
        <v>0</v>
      </c>
      <c r="L300" s="298">
        <f t="shared" ref="L300:AJ300" si="294">L293+SUM(L295:L298)</f>
        <v>811.41900128247244</v>
      </c>
      <c r="M300" s="298">
        <f t="shared" si="294"/>
        <v>705.93001883568547</v>
      </c>
      <c r="N300" s="298">
        <f t="shared" si="294"/>
        <v>640.55846497422715</v>
      </c>
      <c r="O300" s="298">
        <f t="shared" si="294"/>
        <v>651.35149820960248</v>
      </c>
      <c r="P300" s="298">
        <f t="shared" si="294"/>
        <v>662.38906646192686</v>
      </c>
      <c r="Q300" s="298">
        <f t="shared" si="294"/>
        <v>673.67505728465267</v>
      </c>
      <c r="R300" s="298">
        <f t="shared" si="294"/>
        <v>685.21321524444147</v>
      </c>
      <c r="S300" s="298">
        <f t="shared" si="294"/>
        <v>697.00711608390009</v>
      </c>
      <c r="T300" s="298">
        <f t="shared" si="294"/>
        <v>709.060138382849</v>
      </c>
      <c r="U300" s="298">
        <f t="shared" si="294"/>
        <v>721.37543251035106</v>
      </c>
      <c r="V300" s="298">
        <f t="shared" si="294"/>
        <v>733.95588664358536</v>
      </c>
      <c r="W300" s="298">
        <f t="shared" si="294"/>
        <v>746.80408961230842</v>
      </c>
      <c r="X300" s="298">
        <f t="shared" si="294"/>
        <v>696.80254611144551</v>
      </c>
      <c r="Y300" s="298">
        <f t="shared" si="294"/>
        <v>710.19260918718635</v>
      </c>
      <c r="Z300" s="298">
        <f t="shared" si="294"/>
        <v>723.85596673182749</v>
      </c>
      <c r="AA300" s="298"/>
      <c r="AB300" s="298"/>
      <c r="AC300" s="298"/>
      <c r="AD300" s="298"/>
      <c r="AE300" s="298"/>
      <c r="AF300" s="298"/>
      <c r="AG300" s="298"/>
      <c r="AH300" s="298"/>
      <c r="AI300" s="298"/>
      <c r="AJ300" s="298"/>
    </row>
    <row r="301" spans="1:36" x14ac:dyDescent="0.25">
      <c r="A301" t="s">
        <v>423</v>
      </c>
    </row>
    <row r="302" spans="1:36" x14ac:dyDescent="0.25">
      <c r="A302" t="s">
        <v>423</v>
      </c>
      <c r="H302" s="593" t="s">
        <v>361</v>
      </c>
      <c r="I302" s="594" t="str">
        <f t="shared" si="277"/>
        <v>VND/phôi</v>
      </c>
      <c r="K302" s="593"/>
      <c r="L302" s="599">
        <f>INDEX('Cover Page'!$H$12:$AJ$12,MATCH($A302,'Cover Page'!$H$5:$AJ$5,0))</f>
        <v>6.6666666666666666E-2</v>
      </c>
      <c r="M302" s="599">
        <f>INDEX('Cover Page'!$H$12:$AJ$12,MATCH($A302,'Cover Page'!$H$5:$AJ$5,0))</f>
        <v>6.6666666666666666E-2</v>
      </c>
      <c r="N302" s="599">
        <f>INDEX('Cover Page'!$H$12:$AJ$12,MATCH($A302,'Cover Page'!$H$5:$AJ$5,0))</f>
        <v>6.6666666666666666E-2</v>
      </c>
      <c r="O302" s="599">
        <f>INDEX('Cover Page'!$H$12:$AJ$12,MATCH($A302,'Cover Page'!$H$5:$AJ$5,0))</f>
        <v>6.6666666666666666E-2</v>
      </c>
      <c r="P302" s="599">
        <f>INDEX('Cover Page'!$H$12:$AJ$12,MATCH($A302,'Cover Page'!$H$5:$AJ$5,0))</f>
        <v>6.6666666666666666E-2</v>
      </c>
      <c r="Q302" s="599">
        <f>INDEX('Cover Page'!$H$12:$AJ$12,MATCH($A302,'Cover Page'!$H$5:$AJ$5,0))</f>
        <v>6.6666666666666666E-2</v>
      </c>
      <c r="R302" s="599">
        <f>INDEX('Cover Page'!$H$12:$AJ$12,MATCH($A302,'Cover Page'!$H$5:$AJ$5,0))</f>
        <v>6.6666666666666666E-2</v>
      </c>
      <c r="S302" s="599">
        <f>INDEX('Cover Page'!$H$12:$AJ$12,MATCH($A302,'Cover Page'!$H$5:$AJ$5,0))</f>
        <v>6.6666666666666666E-2</v>
      </c>
      <c r="T302" s="599">
        <f>INDEX('Cover Page'!$H$12:$AJ$12,MATCH($A302,'Cover Page'!$H$5:$AJ$5,0))</f>
        <v>6.6666666666666666E-2</v>
      </c>
      <c r="U302" s="599">
        <f>INDEX('Cover Page'!$H$12:$AJ$12,MATCH($A302,'Cover Page'!$H$5:$AJ$5,0))</f>
        <v>6.6666666666666666E-2</v>
      </c>
      <c r="V302" s="599">
        <f>INDEX('Cover Page'!$H$12:$AJ$12,MATCH($A302,'Cover Page'!$H$5:$AJ$5,0))</f>
        <v>6.6666666666666666E-2</v>
      </c>
      <c r="W302" s="599">
        <f>INDEX('Cover Page'!$H$12:$AJ$12,MATCH($A302,'Cover Page'!$H$5:$AJ$5,0))</f>
        <v>6.6666666666666666E-2</v>
      </c>
      <c r="X302" s="599">
        <f>INDEX('Cover Page'!$H$12:$AJ$12,MATCH($A302,'Cover Page'!$H$5:$AJ$5,0))</f>
        <v>6.6666666666666666E-2</v>
      </c>
      <c r="Y302" s="599">
        <f>INDEX('Cover Page'!$H$12:$AJ$12,MATCH($A302,'Cover Page'!$H$5:$AJ$5,0))</f>
        <v>6.6666666666666666E-2</v>
      </c>
      <c r="Z302" s="599">
        <f>INDEX('Cover Page'!$H$12:$AJ$12,MATCH($A302,'Cover Page'!$H$5:$AJ$5,0))</f>
        <v>6.6666666666666666E-2</v>
      </c>
      <c r="AA302" s="599"/>
      <c r="AB302" s="599"/>
      <c r="AC302" s="599"/>
      <c r="AD302" s="599"/>
      <c r="AE302" s="599"/>
      <c r="AF302" s="599"/>
      <c r="AG302" s="599"/>
      <c r="AH302" s="599"/>
      <c r="AI302" s="599"/>
      <c r="AJ302" s="599"/>
    </row>
    <row r="303" spans="1:36" s="1" customFormat="1" x14ac:dyDescent="0.25">
      <c r="A303" s="1" t="s">
        <v>423</v>
      </c>
      <c r="H303" s="595" t="s">
        <v>490</v>
      </c>
      <c r="I303" s="596" t="str">
        <f t="shared" si="277"/>
        <v>VND/phôi</v>
      </c>
      <c r="K303" s="595"/>
      <c r="L303" s="600">
        <f>L300*(1+L302)</f>
        <v>865.51360136797064</v>
      </c>
      <c r="M303" s="600">
        <f t="shared" ref="M303:AJ303" si="295">M300*(1+M302)</f>
        <v>752.99202009139788</v>
      </c>
      <c r="N303" s="600">
        <f t="shared" si="295"/>
        <v>683.26236263917565</v>
      </c>
      <c r="O303" s="600">
        <f t="shared" si="295"/>
        <v>694.77493142357594</v>
      </c>
      <c r="P303" s="600">
        <f t="shared" si="295"/>
        <v>706.54833755938864</v>
      </c>
      <c r="Q303" s="600">
        <f t="shared" si="295"/>
        <v>718.58672777029619</v>
      </c>
      <c r="R303" s="600">
        <f t="shared" si="295"/>
        <v>730.89409626073757</v>
      </c>
      <c r="S303" s="600">
        <f t="shared" si="295"/>
        <v>743.47425715616009</v>
      </c>
      <c r="T303" s="600">
        <f t="shared" si="295"/>
        <v>756.33081427503896</v>
      </c>
      <c r="U303" s="600">
        <f t="shared" si="295"/>
        <v>769.46712801104115</v>
      </c>
      <c r="V303" s="600">
        <f t="shared" si="295"/>
        <v>782.88627908649107</v>
      </c>
      <c r="W303" s="600">
        <f t="shared" si="295"/>
        <v>796.59102891979569</v>
      </c>
      <c r="X303" s="600">
        <f t="shared" si="295"/>
        <v>743.25604918554188</v>
      </c>
      <c r="Y303" s="600">
        <f t="shared" si="295"/>
        <v>757.53878313299879</v>
      </c>
      <c r="Z303" s="600">
        <f t="shared" si="295"/>
        <v>772.11303118061596</v>
      </c>
      <c r="AA303" s="600"/>
      <c r="AB303" s="600"/>
      <c r="AC303" s="600"/>
      <c r="AD303" s="600"/>
      <c r="AE303" s="600"/>
      <c r="AF303" s="600"/>
      <c r="AG303" s="600"/>
      <c r="AH303" s="600"/>
      <c r="AI303" s="600"/>
      <c r="AJ303" s="600"/>
    </row>
    <row r="304" spans="1:36" x14ac:dyDescent="0.25">
      <c r="A304" t="s">
        <v>423</v>
      </c>
      <c r="H304" s="574" t="s">
        <v>292</v>
      </c>
      <c r="I304" s="575" t="str">
        <f t="shared" si="277"/>
        <v>VND/phôi</v>
      </c>
      <c r="K304" s="574"/>
      <c r="L304" s="601">
        <f t="shared" ref="L304:AJ304" si="296">Tax_rate</f>
        <v>0.2</v>
      </c>
      <c r="M304" s="601">
        <f t="shared" si="296"/>
        <v>0.2</v>
      </c>
      <c r="N304" s="601">
        <f t="shared" si="296"/>
        <v>0.2</v>
      </c>
      <c r="O304" s="601">
        <f t="shared" si="296"/>
        <v>0.2</v>
      </c>
      <c r="P304" s="601">
        <f t="shared" si="296"/>
        <v>0.2</v>
      </c>
      <c r="Q304" s="601">
        <f t="shared" si="296"/>
        <v>0.2</v>
      </c>
      <c r="R304" s="601">
        <f t="shared" si="296"/>
        <v>0.2</v>
      </c>
      <c r="S304" s="601">
        <f t="shared" si="296"/>
        <v>0.2</v>
      </c>
      <c r="T304" s="601">
        <f t="shared" si="296"/>
        <v>0.2</v>
      </c>
      <c r="U304" s="601">
        <f t="shared" si="296"/>
        <v>0.2</v>
      </c>
      <c r="V304" s="601">
        <f t="shared" si="296"/>
        <v>0.2</v>
      </c>
      <c r="W304" s="601">
        <f t="shared" si="296"/>
        <v>0.2</v>
      </c>
      <c r="X304" s="601">
        <f t="shared" si="296"/>
        <v>0.2</v>
      </c>
      <c r="Y304" s="601">
        <f t="shared" si="296"/>
        <v>0.2</v>
      </c>
      <c r="Z304" s="601">
        <f t="shared" si="296"/>
        <v>0.2</v>
      </c>
      <c r="AA304" s="601"/>
      <c r="AB304" s="601"/>
      <c r="AC304" s="601"/>
      <c r="AD304" s="601"/>
      <c r="AE304" s="601"/>
      <c r="AF304" s="601"/>
      <c r="AG304" s="601"/>
      <c r="AH304" s="601"/>
      <c r="AI304" s="601"/>
      <c r="AJ304" s="601"/>
    </row>
    <row r="305" spans="1:36" s="1" customFormat="1" x14ac:dyDescent="0.25">
      <c r="A305" s="1" t="s">
        <v>423</v>
      </c>
      <c r="H305" s="595" t="s">
        <v>491</v>
      </c>
      <c r="I305" s="596" t="str">
        <f t="shared" si="277"/>
        <v>VND/phôi</v>
      </c>
      <c r="K305" s="595"/>
      <c r="L305" s="600">
        <f>(L303-L300)*(1-L304)</f>
        <v>43.275680068398565</v>
      </c>
      <c r="M305" s="600">
        <f t="shared" ref="M305:AJ305" si="297">(M303-M300)*(1-M304)</f>
        <v>37.649601004569924</v>
      </c>
      <c r="N305" s="600">
        <f t="shared" si="297"/>
        <v>34.163118131958804</v>
      </c>
      <c r="O305" s="600">
        <f t="shared" si="297"/>
        <v>34.738746571178766</v>
      </c>
      <c r="P305" s="600">
        <f t="shared" si="297"/>
        <v>35.327416877969426</v>
      </c>
      <c r="Q305" s="600">
        <f t="shared" si="297"/>
        <v>35.92933638851482</v>
      </c>
      <c r="R305" s="600">
        <f t="shared" si="297"/>
        <v>36.54470481303688</v>
      </c>
      <c r="S305" s="600">
        <f t="shared" si="297"/>
        <v>37.173712857808006</v>
      </c>
      <c r="T305" s="600">
        <f t="shared" si="297"/>
        <v>37.816540713751969</v>
      </c>
      <c r="U305" s="600">
        <f t="shared" si="297"/>
        <v>38.473356400552078</v>
      </c>
      <c r="V305" s="600">
        <f t="shared" si="297"/>
        <v>39.144313954324574</v>
      </c>
      <c r="W305" s="600">
        <f t="shared" si="297"/>
        <v>39.829551445989821</v>
      </c>
      <c r="X305" s="600">
        <f t="shared" si="297"/>
        <v>37.162802459277103</v>
      </c>
      <c r="Y305" s="600">
        <f t="shared" si="297"/>
        <v>37.876939156649954</v>
      </c>
      <c r="Z305" s="600">
        <f t="shared" si="297"/>
        <v>38.605651559030775</v>
      </c>
      <c r="AA305" s="600"/>
      <c r="AB305" s="600"/>
      <c r="AC305" s="600"/>
      <c r="AD305" s="600"/>
      <c r="AE305" s="600"/>
      <c r="AF305" s="600"/>
      <c r="AG305" s="600"/>
      <c r="AH305" s="600"/>
      <c r="AI305" s="600"/>
      <c r="AJ305" s="600"/>
    </row>
    <row r="306" spans="1:36" s="146" customFormat="1" x14ac:dyDescent="0.25">
      <c r="A306" s="146" t="s">
        <v>423</v>
      </c>
      <c r="H306" s="597" t="s">
        <v>492</v>
      </c>
      <c r="I306" s="598"/>
      <c r="K306" s="597"/>
      <c r="L306" s="602">
        <f>IFERROR(L305/L303,0)</f>
        <v>5.0000000000000037E-2</v>
      </c>
      <c r="M306" s="602">
        <f>IFERROR(M305/M303,0)</f>
        <v>5.0000000000000037E-2</v>
      </c>
      <c r="N306" s="602">
        <f t="shared" ref="N306:AJ306" si="298">IFERROR(N305/N303,0)</f>
        <v>5.0000000000000031E-2</v>
      </c>
      <c r="O306" s="602">
        <f t="shared" si="298"/>
        <v>4.9999999999999954E-2</v>
      </c>
      <c r="P306" s="602">
        <f t="shared" si="298"/>
        <v>4.9999999999999989E-2</v>
      </c>
      <c r="Q306" s="602">
        <f t="shared" si="298"/>
        <v>5.0000000000000017E-2</v>
      </c>
      <c r="R306" s="602">
        <f t="shared" si="298"/>
        <v>0.05</v>
      </c>
      <c r="S306" s="602">
        <f t="shared" si="298"/>
        <v>0.05</v>
      </c>
      <c r="T306" s="602">
        <f t="shared" si="298"/>
        <v>5.0000000000000031E-2</v>
      </c>
      <c r="U306" s="602">
        <f t="shared" si="298"/>
        <v>5.0000000000000024E-2</v>
      </c>
      <c r="V306" s="602">
        <f t="shared" si="298"/>
        <v>5.0000000000000024E-2</v>
      </c>
      <c r="W306" s="602">
        <f t="shared" si="298"/>
        <v>5.0000000000000044E-2</v>
      </c>
      <c r="X306" s="602">
        <f t="shared" si="298"/>
        <v>5.000000000000001E-2</v>
      </c>
      <c r="Y306" s="602">
        <f t="shared" si="298"/>
        <v>5.0000000000000017E-2</v>
      </c>
      <c r="Z306" s="602">
        <f t="shared" si="298"/>
        <v>4.9999999999999968E-2</v>
      </c>
      <c r="AA306" s="602"/>
      <c r="AB306" s="602"/>
      <c r="AC306" s="602"/>
      <c r="AD306" s="602"/>
      <c r="AE306" s="602"/>
      <c r="AF306" s="602"/>
      <c r="AG306" s="602"/>
      <c r="AH306" s="602"/>
      <c r="AI306" s="602"/>
      <c r="AJ306" s="602"/>
    </row>
    <row r="307" spans="1:36" x14ac:dyDescent="0.25">
      <c r="A307" t="s">
        <v>423</v>
      </c>
      <c r="L307" s="64"/>
    </row>
    <row r="308" spans="1:36" x14ac:dyDescent="0.25">
      <c r="A308" t="s">
        <v>423</v>
      </c>
      <c r="H308" s="1" t="s">
        <v>493</v>
      </c>
    </row>
    <row r="309" spans="1:36" x14ac:dyDescent="0.25">
      <c r="A309" t="s">
        <v>423</v>
      </c>
      <c r="H309" t="s">
        <v>493</v>
      </c>
      <c r="I309" s="65" t="s">
        <v>475</v>
      </c>
      <c r="K309" s="15"/>
      <c r="L309" s="15">
        <f t="shared" ref="L309:AJ309" si="299">L310*PHOI_KG*10^3/10^6</f>
        <v>45.333333333333336</v>
      </c>
      <c r="M309" s="15">
        <f t="shared" si="299"/>
        <v>46.240000000000009</v>
      </c>
      <c r="N309" s="15">
        <f t="shared" si="299"/>
        <v>47.1648</v>
      </c>
      <c r="O309" s="15">
        <f t="shared" si="299"/>
        <v>48.10809600000001</v>
      </c>
      <c r="P309" s="15">
        <f t="shared" si="299"/>
        <v>49.070257920000003</v>
      </c>
      <c r="Q309" s="15">
        <f t="shared" si="299"/>
        <v>50.051663078400004</v>
      </c>
      <c r="R309" s="15">
        <f t="shared" si="299"/>
        <v>51.052696339968008</v>
      </c>
      <c r="S309" s="15">
        <f t="shared" si="299"/>
        <v>52.073750266767355</v>
      </c>
      <c r="T309" s="15">
        <f t="shared" si="299"/>
        <v>53.115225272102705</v>
      </c>
      <c r="U309" s="15">
        <f t="shared" si="299"/>
        <v>54.177529777544763</v>
      </c>
      <c r="V309" s="15">
        <f t="shared" si="299"/>
        <v>55.261080373095652</v>
      </c>
      <c r="W309" s="15">
        <f t="shared" si="299"/>
        <v>56.366301980557566</v>
      </c>
      <c r="X309" s="15">
        <f t="shared" si="299"/>
        <v>57.493628020168721</v>
      </c>
      <c r="Y309" s="15">
        <f t="shared" si="299"/>
        <v>58.643500580572088</v>
      </c>
      <c r="Z309" s="15">
        <f t="shared" si="299"/>
        <v>59.816370592183539</v>
      </c>
      <c r="AA309" s="15"/>
      <c r="AB309" s="15"/>
      <c r="AC309" s="15"/>
      <c r="AD309" s="15"/>
      <c r="AE309" s="15"/>
      <c r="AF309" s="15"/>
      <c r="AG309" s="15"/>
      <c r="AH309" s="15"/>
      <c r="AI309" s="15"/>
      <c r="AJ309" s="15"/>
    </row>
    <row r="310" spans="1:36" x14ac:dyDescent="0.25">
      <c r="A310" t="s">
        <v>423</v>
      </c>
      <c r="F310" t="s">
        <v>570</v>
      </c>
      <c r="H310" t="s">
        <v>493</v>
      </c>
      <c r="I310" s="65" t="s">
        <v>368</v>
      </c>
      <c r="K310" s="27"/>
      <c r="L310" s="27">
        <f>INDEX('Cover Page'!$H$14:$AJ$14,MATCH($A310,'Cover Page'!$H$5:$AJ$5,0))*POWER(1+INDEX('Cover Page'!$H$17:$AJ$17,MATCH($A310,'Cover Page'!$H$5:$AJ$5,0)),L$12+1)</f>
        <v>680</v>
      </c>
      <c r="M310" s="27">
        <f>INDEX('Cover Page'!$H$14:$AJ$14,MATCH($A310,'Cover Page'!$H$5:$AJ$5,0))*POWER(1+INDEX('Cover Page'!$H$17:$AJ$17,MATCH($A310,'Cover Page'!$H$5:$AJ$5,0)),M$12+1)</f>
        <v>693.6</v>
      </c>
      <c r="N310" s="27">
        <f>INDEX('Cover Page'!$H$14:$AJ$14,MATCH($A310,'Cover Page'!$H$5:$AJ$5,0))*POWER(1+INDEX('Cover Page'!$H$17:$AJ$17,MATCH($A310,'Cover Page'!$H$5:$AJ$5,0)),N$12+1)</f>
        <v>707.47199999999998</v>
      </c>
      <c r="O310" s="27">
        <f>INDEX('Cover Page'!$H$14:$AJ$14,MATCH($A310,'Cover Page'!$H$5:$AJ$5,0))*POWER(1+INDEX('Cover Page'!$H$17:$AJ$17,MATCH($A310,'Cover Page'!$H$5:$AJ$5,0)),O$12+1)</f>
        <v>721.62144000000001</v>
      </c>
      <c r="P310" s="27">
        <f>INDEX('Cover Page'!$H$14:$AJ$14,MATCH($A310,'Cover Page'!$H$5:$AJ$5,0))*POWER(1+INDEX('Cover Page'!$H$17:$AJ$17,MATCH($A310,'Cover Page'!$H$5:$AJ$5,0)),P$12+1)</f>
        <v>736.05386880000003</v>
      </c>
      <c r="Q310" s="27">
        <f>INDEX('Cover Page'!$H$14:$AJ$14,MATCH($A310,'Cover Page'!$H$5:$AJ$5,0))*POWER(1+INDEX('Cover Page'!$H$17:$AJ$17,MATCH($A310,'Cover Page'!$H$5:$AJ$5,0)),Q$12+1)</f>
        <v>750.77494617599996</v>
      </c>
      <c r="R310" s="27">
        <f>INDEX('Cover Page'!$H$14:$AJ$14,MATCH($A310,'Cover Page'!$H$5:$AJ$5,0))*POWER(1+INDEX('Cover Page'!$H$17:$AJ$17,MATCH($A310,'Cover Page'!$H$5:$AJ$5,0)),R$12+1)</f>
        <v>765.79044509952007</v>
      </c>
      <c r="S310" s="27">
        <f>INDEX('Cover Page'!$H$14:$AJ$14,MATCH($A310,'Cover Page'!$H$5:$AJ$5,0))*POWER(1+INDEX('Cover Page'!$H$17:$AJ$17,MATCH($A310,'Cover Page'!$H$5:$AJ$5,0)),S$12+1)</f>
        <v>781.10625400151025</v>
      </c>
      <c r="T310" s="27">
        <f>INDEX('Cover Page'!$H$14:$AJ$14,MATCH($A310,'Cover Page'!$H$5:$AJ$5,0))*POWER(1+INDEX('Cover Page'!$H$17:$AJ$17,MATCH($A310,'Cover Page'!$H$5:$AJ$5,0)),T$12+1)</f>
        <v>796.72837908154054</v>
      </c>
      <c r="U310" s="27">
        <f>INDEX('Cover Page'!$H$14:$AJ$14,MATCH($A310,'Cover Page'!$H$5:$AJ$5,0))*POWER(1+INDEX('Cover Page'!$H$17:$AJ$17,MATCH($A310,'Cover Page'!$H$5:$AJ$5,0)),U$12+1)</f>
        <v>812.6629466631714</v>
      </c>
      <c r="V310" s="27">
        <f>INDEX('Cover Page'!$H$14:$AJ$14,MATCH($A310,'Cover Page'!$H$5:$AJ$5,0))*POWER(1+INDEX('Cover Page'!$H$17:$AJ$17,MATCH($A310,'Cover Page'!$H$5:$AJ$5,0)),V$12+1)</f>
        <v>828.91620559643479</v>
      </c>
      <c r="W310" s="27">
        <f>INDEX('Cover Page'!$H$14:$AJ$14,MATCH($A310,'Cover Page'!$H$5:$AJ$5,0))*POWER(1+INDEX('Cover Page'!$H$17:$AJ$17,MATCH($A310,'Cover Page'!$H$5:$AJ$5,0)),W$12+1)</f>
        <v>845.49452970836342</v>
      </c>
      <c r="X310" s="27">
        <f>INDEX('Cover Page'!$H$14:$AJ$14,MATCH($A310,'Cover Page'!$H$5:$AJ$5,0))*POWER(1+INDEX('Cover Page'!$H$17:$AJ$17,MATCH($A310,'Cover Page'!$H$5:$AJ$5,0)),X$12+1)</f>
        <v>862.40442030253075</v>
      </c>
      <c r="Y310" s="27">
        <f>INDEX('Cover Page'!$H$14:$AJ$14,MATCH($A310,'Cover Page'!$H$5:$AJ$5,0))*POWER(1+INDEX('Cover Page'!$H$17:$AJ$17,MATCH($A310,'Cover Page'!$H$5:$AJ$5,0)),Y$12+1)</f>
        <v>879.65250870858131</v>
      </c>
      <c r="Z310" s="27">
        <f>INDEX('Cover Page'!$H$14:$AJ$14,MATCH($A310,'Cover Page'!$H$5:$AJ$5,0))*POWER(1+INDEX('Cover Page'!$H$17:$AJ$17,MATCH($A310,'Cover Page'!$H$5:$AJ$5,0)),Z$12+1)</f>
        <v>897.24555888275302</v>
      </c>
      <c r="AA310" s="27"/>
      <c r="AB310" s="27"/>
      <c r="AC310" s="27"/>
      <c r="AD310" s="27"/>
      <c r="AE310" s="27"/>
      <c r="AF310" s="27"/>
      <c r="AG310" s="27"/>
      <c r="AH310" s="27"/>
      <c r="AI310" s="27"/>
      <c r="AJ310" s="27"/>
    </row>
    <row r="311" spans="1:36" x14ac:dyDescent="0.25">
      <c r="A311" t="s">
        <v>423</v>
      </c>
      <c r="H311" t="s">
        <v>493</v>
      </c>
      <c r="I311" s="65" t="s">
        <v>369</v>
      </c>
      <c r="K311" s="15"/>
      <c r="L311" s="15">
        <f t="shared" ref="L311:AJ311" si="300">L309/EXR*10^6</f>
        <v>1743.5897435897436</v>
      </c>
      <c r="M311" s="15">
        <f t="shared" si="300"/>
        <v>1778.4615384615388</v>
      </c>
      <c r="N311" s="15">
        <f t="shared" si="300"/>
        <v>1814.0307692307692</v>
      </c>
      <c r="O311" s="15">
        <f t="shared" si="300"/>
        <v>1850.3113846153849</v>
      </c>
      <c r="P311" s="15">
        <f t="shared" si="300"/>
        <v>1887.3176123076926</v>
      </c>
      <c r="Q311" s="15">
        <f t="shared" si="300"/>
        <v>1925.0639645538463</v>
      </c>
      <c r="R311" s="15">
        <f t="shared" si="300"/>
        <v>1963.5652438449235</v>
      </c>
      <c r="S311" s="15">
        <f t="shared" si="300"/>
        <v>2002.8365487218214</v>
      </c>
      <c r="T311" s="15">
        <f t="shared" si="300"/>
        <v>2042.8932796962579</v>
      </c>
      <c r="U311" s="15">
        <f t="shared" si="300"/>
        <v>2083.7511452901831</v>
      </c>
      <c r="V311" s="15">
        <f t="shared" si="300"/>
        <v>2125.426168195987</v>
      </c>
      <c r="W311" s="15">
        <f t="shared" si="300"/>
        <v>2167.9346915599062</v>
      </c>
      <c r="X311" s="15">
        <f t="shared" si="300"/>
        <v>2211.2933853911045</v>
      </c>
      <c r="Y311" s="15">
        <f t="shared" si="300"/>
        <v>2255.5192530989266</v>
      </c>
      <c r="Z311" s="15">
        <f t="shared" si="300"/>
        <v>2300.6296381609054</v>
      </c>
      <c r="AA311" s="15"/>
      <c r="AB311" s="15"/>
      <c r="AC311" s="15"/>
      <c r="AD311" s="15"/>
      <c r="AE311" s="15"/>
      <c r="AF311" s="15"/>
      <c r="AG311" s="15"/>
      <c r="AH311" s="15"/>
      <c r="AI311" s="15"/>
      <c r="AJ311" s="15"/>
    </row>
    <row r="312" spans="1:36" x14ac:dyDescent="0.25">
      <c r="A312" t="s">
        <v>423</v>
      </c>
      <c r="H312" t="s">
        <v>493</v>
      </c>
      <c r="I312" s="65" t="s">
        <v>494</v>
      </c>
      <c r="K312" s="15"/>
      <c r="L312" s="15">
        <f t="shared" ref="L312:AJ312" si="301">L310*1000/EXR</f>
        <v>26.153846153846153</v>
      </c>
      <c r="M312" s="15">
        <f t="shared" si="301"/>
        <v>26.676923076923078</v>
      </c>
      <c r="N312" s="15">
        <f t="shared" si="301"/>
        <v>27.210461538461537</v>
      </c>
      <c r="O312" s="15">
        <f t="shared" si="301"/>
        <v>27.754670769230771</v>
      </c>
      <c r="P312" s="15">
        <f t="shared" si="301"/>
        <v>28.309764184615386</v>
      </c>
      <c r="Q312" s="15">
        <f t="shared" si="301"/>
        <v>28.875959468307691</v>
      </c>
      <c r="R312" s="15">
        <f t="shared" si="301"/>
        <v>29.453478657673848</v>
      </c>
      <c r="S312" s="15">
        <f t="shared" si="301"/>
        <v>30.042548230827315</v>
      </c>
      <c r="T312" s="15">
        <f t="shared" si="301"/>
        <v>30.643399195443866</v>
      </c>
      <c r="U312" s="15">
        <f t="shared" si="301"/>
        <v>31.256267179352747</v>
      </c>
      <c r="V312" s="15">
        <f t="shared" si="301"/>
        <v>31.881392522939798</v>
      </c>
      <c r="W312" s="15">
        <f t="shared" si="301"/>
        <v>32.519020373398597</v>
      </c>
      <c r="X312" s="15">
        <f t="shared" si="301"/>
        <v>33.169400780866567</v>
      </c>
      <c r="Y312" s="15">
        <f t="shared" si="301"/>
        <v>33.832788796483896</v>
      </c>
      <c r="Z312" s="15">
        <f t="shared" si="301"/>
        <v>34.509444572413578</v>
      </c>
      <c r="AA312" s="15"/>
      <c r="AB312" s="15"/>
      <c r="AC312" s="15"/>
      <c r="AD312" s="15"/>
      <c r="AE312" s="15"/>
      <c r="AF312" s="15"/>
      <c r="AG312" s="15"/>
      <c r="AH312" s="15"/>
      <c r="AI312" s="15"/>
      <c r="AJ312" s="15"/>
    </row>
    <row r="313" spans="1:36" x14ac:dyDescent="0.25">
      <c r="A313" t="s">
        <v>423</v>
      </c>
    </row>
    <row r="314" spans="1:36" s="16" customFormat="1" x14ac:dyDescent="0.25">
      <c r="A314" s="16" t="s">
        <v>423</v>
      </c>
      <c r="D314" s="16" t="s">
        <v>722</v>
      </c>
      <c r="H314" s="270" t="s">
        <v>497</v>
      </c>
      <c r="I314" s="271" t="str">
        <f>IF($H$9="USD","USD","tr. VND")</f>
        <v>tr. VND</v>
      </c>
      <c r="K314" s="270"/>
      <c r="L314" s="272">
        <f t="shared" ref="L314:AJ314" si="302">IF($H$9="USD",L311*L190/10^3,L309*L190/10^3)</f>
        <v>140401.29945600001</v>
      </c>
      <c r="M314" s="272">
        <f t="shared" si="302"/>
        <v>200493.05562316801</v>
      </c>
      <c r="N314" s="272">
        <f t="shared" si="302"/>
        <v>292147.02390804479</v>
      </c>
      <c r="O314" s="272">
        <f t="shared" si="302"/>
        <v>297989.96438620571</v>
      </c>
      <c r="P314" s="272">
        <f t="shared" si="302"/>
        <v>303949.76367392979</v>
      </c>
      <c r="Q314" s="272">
        <f t="shared" si="302"/>
        <v>310028.75894740841</v>
      </c>
      <c r="R314" s="272">
        <f t="shared" si="302"/>
        <v>316229.33412635658</v>
      </c>
      <c r="S314" s="272">
        <f t="shared" si="302"/>
        <v>322553.92080888367</v>
      </c>
      <c r="T314" s="272">
        <f t="shared" si="302"/>
        <v>329004.99922506133</v>
      </c>
      <c r="U314" s="272">
        <f t="shared" si="302"/>
        <v>335585.09920956258</v>
      </c>
      <c r="V314" s="272">
        <f t="shared" si="302"/>
        <v>342296.80119375384</v>
      </c>
      <c r="W314" s="272">
        <f t="shared" si="302"/>
        <v>349142.73721762892</v>
      </c>
      <c r="X314" s="272">
        <f t="shared" si="302"/>
        <v>356125.5919619815</v>
      </c>
      <c r="Y314" s="272">
        <f t="shared" si="302"/>
        <v>363248.10380122106</v>
      </c>
      <c r="Z314" s="272">
        <f t="shared" si="302"/>
        <v>370513.06587724556</v>
      </c>
      <c r="AA314" s="272"/>
      <c r="AB314" s="272"/>
      <c r="AC314" s="272"/>
      <c r="AD314" s="272"/>
      <c r="AE314" s="272"/>
      <c r="AF314" s="272"/>
      <c r="AG314" s="272"/>
      <c r="AH314" s="272"/>
      <c r="AI314" s="272"/>
      <c r="AJ314" s="272"/>
    </row>
    <row r="315" spans="1:36" x14ac:dyDescent="0.25">
      <c r="A315" t="s">
        <v>423</v>
      </c>
    </row>
    <row r="316" spans="1:36" s="1" customFormat="1" x14ac:dyDescent="0.25">
      <c r="A316" s="1" t="s">
        <v>423</v>
      </c>
      <c r="H316" s="266" t="s">
        <v>495</v>
      </c>
      <c r="I316" s="267" t="str">
        <f>IF($H$9="USD","USD","tr. VND")</f>
        <v>tr. VND</v>
      </c>
      <c r="K316" s="266"/>
      <c r="L316" s="269">
        <f>L314+L230</f>
        <v>-27134.409637160104</v>
      </c>
      <c r="M316" s="269">
        <f t="shared" ref="M316:AJ316" si="303">M314+M230</f>
        <v>-3564.1337258618732</v>
      </c>
      <c r="N316" s="269">
        <f t="shared" si="303"/>
        <v>27631.60961415607</v>
      </c>
      <c r="O316" s="269">
        <f t="shared" si="303"/>
        <v>29017.621000203828</v>
      </c>
      <c r="P316" s="269">
        <f t="shared" si="303"/>
        <v>30419.511683631863</v>
      </c>
      <c r="Q316" s="269">
        <f t="shared" si="303"/>
        <v>31838.01349487761</v>
      </c>
      <c r="R316" s="269">
        <f t="shared" si="303"/>
        <v>33273.96405358176</v>
      </c>
      <c r="S316" s="269">
        <f t="shared" si="303"/>
        <v>34728.318372828886</v>
      </c>
      <c r="T316" s="269">
        <f t="shared" si="303"/>
        <v>36202.161515051965</v>
      </c>
      <c r="U316" s="269">
        <f t="shared" si="303"/>
        <v>37696.722385776287</v>
      </c>
      <c r="V316" s="269">
        <f t="shared" si="303"/>
        <v>39213.38875804795</v>
      </c>
      <c r="W316" s="269">
        <f t="shared" si="303"/>
        <v>40753.723627560772</v>
      </c>
      <c r="X316" s="269">
        <f t="shared" si="303"/>
        <v>68384.465672874707</v>
      </c>
      <c r="Y316" s="269">
        <f t="shared" si="303"/>
        <v>69977.617936726601</v>
      </c>
      <c r="Z316" s="269">
        <f t="shared" si="303"/>
        <v>71600.364853340609</v>
      </c>
      <c r="AA316" s="269"/>
      <c r="AB316" s="269"/>
      <c r="AC316" s="269"/>
      <c r="AD316" s="269"/>
      <c r="AE316" s="269"/>
      <c r="AF316" s="269"/>
      <c r="AG316" s="269"/>
      <c r="AH316" s="269"/>
      <c r="AI316" s="269"/>
      <c r="AJ316" s="269"/>
    </row>
    <row r="317" spans="1:36" s="146" customFormat="1" x14ac:dyDescent="0.25">
      <c r="A317" s="146" t="s">
        <v>423</v>
      </c>
      <c r="H317" s="146" t="s">
        <v>496</v>
      </c>
      <c r="I317" s="144"/>
      <c r="L317" s="147">
        <f>IFERROR(L316/L314,0)</f>
        <v>-0.19326323718010663</v>
      </c>
      <c r="M317" s="147">
        <f t="shared" ref="M317:AJ317" si="304">IFERROR(M316/M314,0)</f>
        <v>-1.7776843765405805E-2</v>
      </c>
      <c r="N317" s="147">
        <f t="shared" si="304"/>
        <v>9.4581177807422409E-2</v>
      </c>
      <c r="O317" s="147">
        <f t="shared" si="304"/>
        <v>9.737784646531232E-2</v>
      </c>
      <c r="P317" s="147">
        <f t="shared" si="304"/>
        <v>0.10008072161643529</v>
      </c>
      <c r="Q317" s="147">
        <f t="shared" si="304"/>
        <v>0.10269374235787732</v>
      </c>
      <c r="R317" s="147">
        <f t="shared" si="304"/>
        <v>0.10522099142227709</v>
      </c>
      <c r="S317" s="147">
        <f t="shared" si="304"/>
        <v>0.10766670665710416</v>
      </c>
      <c r="T317" s="147">
        <f t="shared" si="304"/>
        <v>0.11003529308163271</v>
      </c>
      <c r="U317" s="147">
        <f t="shared" si="304"/>
        <v>0.11233133555264277</v>
      </c>
      <c r="V317" s="147">
        <f t="shared" si="304"/>
        <v>0.11455961207143033</v>
      </c>
      <c r="W317" s="147">
        <f t="shared" si="304"/>
        <v>0.11672510776633459</v>
      </c>
      <c r="X317" s="147">
        <f t="shared" si="304"/>
        <v>0.19202345244588642</v>
      </c>
      <c r="Y317" s="147">
        <f t="shared" si="304"/>
        <v>0.19264413827475943</v>
      </c>
      <c r="Z317" s="147">
        <f t="shared" si="304"/>
        <v>0.19324653149225912</v>
      </c>
      <c r="AA317" s="147"/>
      <c r="AB317" s="147"/>
      <c r="AC317" s="147"/>
      <c r="AD317" s="147"/>
      <c r="AE317" s="147"/>
      <c r="AF317" s="147"/>
      <c r="AG317" s="147"/>
      <c r="AH317" s="147"/>
      <c r="AI317" s="147"/>
      <c r="AJ317" s="147"/>
    </row>
    <row r="318" spans="1:36" x14ac:dyDescent="0.25">
      <c r="A318" t="s">
        <v>423</v>
      </c>
    </row>
    <row r="319" spans="1:36" s="16" customFormat="1" x14ac:dyDescent="0.25">
      <c r="A319" s="16" t="s">
        <v>423</v>
      </c>
      <c r="D319" s="16" t="s">
        <v>488</v>
      </c>
      <c r="H319" s="270" t="s">
        <v>488</v>
      </c>
      <c r="I319" s="271" t="str">
        <f>IF($H$9="USD","USD","tr. VND")</f>
        <v>tr. VND</v>
      </c>
      <c r="K319" s="270"/>
      <c r="L319" s="272">
        <f t="shared" ref="L319:AJ319" si="305">L316*(1-Tax_rate)</f>
        <v>-21707.527709728085</v>
      </c>
      <c r="M319" s="272">
        <f t="shared" si="305"/>
        <v>-2851.3069806894987</v>
      </c>
      <c r="N319" s="272">
        <f t="shared" si="305"/>
        <v>22105.287691324858</v>
      </c>
      <c r="O319" s="272">
        <f t="shared" si="305"/>
        <v>23214.096800163064</v>
      </c>
      <c r="P319" s="272">
        <f t="shared" si="305"/>
        <v>24335.60934690549</v>
      </c>
      <c r="Q319" s="272">
        <f t="shared" si="305"/>
        <v>25470.410795902091</v>
      </c>
      <c r="R319" s="272">
        <f t="shared" si="305"/>
        <v>26619.17124286541</v>
      </c>
      <c r="S319" s="272">
        <f t="shared" si="305"/>
        <v>27782.654698263112</v>
      </c>
      <c r="T319" s="272">
        <f t="shared" si="305"/>
        <v>28961.729212041573</v>
      </c>
      <c r="U319" s="272">
        <f t="shared" si="305"/>
        <v>30157.377908621031</v>
      </c>
      <c r="V319" s="272">
        <f t="shared" si="305"/>
        <v>31370.71100643836</v>
      </c>
      <c r="W319" s="272">
        <f t="shared" si="305"/>
        <v>32602.978902048621</v>
      </c>
      <c r="X319" s="272">
        <f t="shared" si="305"/>
        <v>54707.57253829977</v>
      </c>
      <c r="Y319" s="272">
        <f t="shared" si="305"/>
        <v>55982.094349381281</v>
      </c>
      <c r="Z319" s="272">
        <f t="shared" si="305"/>
        <v>57280.291882672493</v>
      </c>
      <c r="AA319" s="272"/>
      <c r="AB319" s="272"/>
      <c r="AC319" s="272"/>
      <c r="AD319" s="272"/>
      <c r="AE319" s="272"/>
      <c r="AF319" s="272"/>
      <c r="AG319" s="272"/>
      <c r="AH319" s="272"/>
      <c r="AI319" s="272"/>
      <c r="AJ319" s="272"/>
    </row>
    <row r="320" spans="1:36" s="146" customFormat="1" x14ac:dyDescent="0.25">
      <c r="A320" s="146" t="s">
        <v>423</v>
      </c>
      <c r="H320" s="146" t="s">
        <v>489</v>
      </c>
      <c r="I320" s="144"/>
      <c r="L320" s="147">
        <f>IFERROR(L319/L314,0)</f>
        <v>-0.15461058974408531</v>
      </c>
      <c r="M320" s="147">
        <f t="shared" ref="M320:AJ320" si="306">IFERROR(M319/M314,0)</f>
        <v>-1.4221475012324644E-2</v>
      </c>
      <c r="N320" s="147">
        <f t="shared" si="306"/>
        <v>7.5664942245937936E-2</v>
      </c>
      <c r="O320" s="147">
        <f t="shared" si="306"/>
        <v>7.7902277172249873E-2</v>
      </c>
      <c r="P320" s="147">
        <f t="shared" si="306"/>
        <v>8.0064577293148226E-2</v>
      </c>
      <c r="Q320" s="147">
        <f t="shared" si="306"/>
        <v>8.2154993886301861E-2</v>
      </c>
      <c r="R320" s="147">
        <f t="shared" si="306"/>
        <v>8.417679313782167E-2</v>
      </c>
      <c r="S320" s="147">
        <f t="shared" si="306"/>
        <v>8.6133365325683345E-2</v>
      </c>
      <c r="T320" s="147">
        <f t="shared" si="306"/>
        <v>8.8028234465306165E-2</v>
      </c>
      <c r="U320" s="147">
        <f t="shared" si="306"/>
        <v>8.9865068442114213E-2</v>
      </c>
      <c r="V320" s="147">
        <f t="shared" si="306"/>
        <v>9.164768965714426E-2</v>
      </c>
      <c r="W320" s="147">
        <f t="shared" si="306"/>
        <v>9.3380086213067676E-2</v>
      </c>
      <c r="X320" s="147">
        <f t="shared" si="306"/>
        <v>0.15361876195670915</v>
      </c>
      <c r="Y320" s="147">
        <f t="shared" si="306"/>
        <v>0.15411531061980754</v>
      </c>
      <c r="Z320" s="147">
        <f t="shared" si="306"/>
        <v>0.15459722519380731</v>
      </c>
      <c r="AA320" s="147"/>
      <c r="AB320" s="147"/>
      <c r="AC320" s="147"/>
      <c r="AD320" s="147"/>
      <c r="AE320" s="147"/>
      <c r="AF320" s="147"/>
      <c r="AG320" s="147"/>
      <c r="AH320" s="147"/>
      <c r="AI320" s="147"/>
      <c r="AJ320" s="147"/>
    </row>
    <row r="321" spans="1:36" x14ac:dyDescent="0.25">
      <c r="A321" t="s">
        <v>423</v>
      </c>
    </row>
    <row r="322" spans="1:36" s="16" customFormat="1" x14ac:dyDescent="0.25">
      <c r="A322" s="16" t="s">
        <v>423</v>
      </c>
      <c r="H322" s="270" t="s">
        <v>477</v>
      </c>
      <c r="I322" s="271" t="str">
        <f>IF($H$9="USD","USD","tr. VND")</f>
        <v>tr. VND</v>
      </c>
      <c r="K322" s="272">
        <f>SUM(K324:K327)</f>
        <v>-450749.80000000005</v>
      </c>
      <c r="L322" s="272">
        <f t="shared" ref="L322:AJ322" si="307">SUM(L324:L327)</f>
        <v>0</v>
      </c>
      <c r="M322" s="272">
        <f t="shared" si="307"/>
        <v>0</v>
      </c>
      <c r="N322" s="272">
        <f t="shared" si="307"/>
        <v>0</v>
      </c>
      <c r="O322" s="272">
        <f t="shared" si="307"/>
        <v>0</v>
      </c>
      <c r="P322" s="272">
        <f t="shared" si="307"/>
        <v>0</v>
      </c>
      <c r="Q322" s="272">
        <f t="shared" si="307"/>
        <v>0</v>
      </c>
      <c r="R322" s="272">
        <f t="shared" si="307"/>
        <v>0</v>
      </c>
      <c r="S322" s="272">
        <f t="shared" si="307"/>
        <v>0</v>
      </c>
      <c r="T322" s="272">
        <f t="shared" si="307"/>
        <v>0</v>
      </c>
      <c r="U322" s="272">
        <f t="shared" si="307"/>
        <v>0</v>
      </c>
      <c r="V322" s="272">
        <f t="shared" si="307"/>
        <v>0</v>
      </c>
      <c r="W322" s="272">
        <f t="shared" si="307"/>
        <v>0</v>
      </c>
      <c r="X322" s="272">
        <f t="shared" si="307"/>
        <v>0</v>
      </c>
      <c r="Y322" s="272">
        <f t="shared" si="307"/>
        <v>0</v>
      </c>
      <c r="Z322" s="272">
        <f t="shared" si="307"/>
        <v>0</v>
      </c>
      <c r="AA322" s="272"/>
      <c r="AB322" s="272"/>
      <c r="AC322" s="272"/>
      <c r="AD322" s="272"/>
      <c r="AE322" s="272"/>
      <c r="AF322" s="272"/>
      <c r="AG322" s="272"/>
      <c r="AH322" s="272"/>
      <c r="AI322" s="272"/>
      <c r="AJ322" s="272"/>
    </row>
    <row r="323" spans="1:36" x14ac:dyDescent="0.25">
      <c r="A323" t="s">
        <v>423</v>
      </c>
    </row>
    <row r="324" spans="1:36" outlineLevel="1" x14ac:dyDescent="0.25">
      <c r="A324" t="s">
        <v>423</v>
      </c>
      <c r="B324" t="s">
        <v>480</v>
      </c>
      <c r="H324" s="459" t="s">
        <v>30</v>
      </c>
      <c r="I324" s="493" t="str">
        <f t="shared" ref="I324:I327" si="308">IF($H$9="USD","USD","tr. VND")</f>
        <v>tr. VND</v>
      </c>
      <c r="K324" s="461" cm="1">
        <f t="array" ref="K324">-SUMPRODUCT('W1'!$H$10:$BC$60*('W1'!$A$10:$A$60=$B324)*('W1'!$H$7:$BC$7="Giá trị đầu tư")*('W1'!$H$6:$BC$6=$A324))*$H$10</f>
        <v>-246389.00000000003</v>
      </c>
      <c r="L324" s="461"/>
      <c r="M324" s="461"/>
      <c r="N324" s="461"/>
      <c r="O324" s="461"/>
      <c r="P324" s="461"/>
      <c r="Q324" s="461"/>
      <c r="R324" s="461"/>
      <c r="S324" s="461"/>
      <c r="T324" s="461"/>
      <c r="U324" s="461"/>
      <c r="V324" s="461"/>
      <c r="W324" s="461"/>
      <c r="X324" s="461"/>
      <c r="Y324" s="461"/>
      <c r="Z324" s="461"/>
      <c r="AA324" s="461"/>
      <c r="AB324" s="461"/>
      <c r="AC324" s="461"/>
      <c r="AD324" s="461"/>
      <c r="AE324" s="461"/>
      <c r="AF324" s="461"/>
      <c r="AG324" s="461"/>
      <c r="AH324" s="461"/>
      <c r="AI324" s="461"/>
      <c r="AJ324" s="461"/>
    </row>
    <row r="325" spans="1:36" outlineLevel="1" x14ac:dyDescent="0.25">
      <c r="A325" t="s">
        <v>423</v>
      </c>
      <c r="B325" t="s">
        <v>481</v>
      </c>
      <c r="H325" s="454" t="s">
        <v>32</v>
      </c>
      <c r="I325" s="496" t="str">
        <f t="shared" si="308"/>
        <v>tr. VND</v>
      </c>
      <c r="K325" s="457" cm="1">
        <f t="array" ref="K325">-SUMPRODUCT('W1'!$H$10:$BC$60*('W1'!$A$10:$A$60=$B325)*('W1'!$H$7:$BC$7="Giá trị đầu tư")*('W1'!$H$6:$BC$6=$A325))*$H$10</f>
        <v>-38110.799999999996</v>
      </c>
      <c r="L325" s="457"/>
      <c r="M325" s="457"/>
      <c r="N325" s="457"/>
      <c r="O325" s="457"/>
      <c r="P325" s="457"/>
      <c r="Q325" s="457"/>
      <c r="R325" s="457"/>
      <c r="S325" s="457"/>
      <c r="T325" s="457"/>
      <c r="U325" s="457"/>
      <c r="V325" s="457"/>
      <c r="W325" s="457"/>
      <c r="X325" s="457"/>
      <c r="Y325" s="457"/>
      <c r="Z325" s="457"/>
      <c r="AA325" s="457"/>
      <c r="AB325" s="457"/>
      <c r="AC325" s="457"/>
      <c r="AD325" s="457"/>
      <c r="AE325" s="457"/>
      <c r="AF325" s="457"/>
      <c r="AG325" s="457"/>
      <c r="AH325" s="457"/>
      <c r="AI325" s="457"/>
      <c r="AJ325" s="457"/>
    </row>
    <row r="326" spans="1:36" outlineLevel="1" x14ac:dyDescent="0.25">
      <c r="A326" t="s">
        <v>423</v>
      </c>
      <c r="B326" t="s">
        <v>482</v>
      </c>
      <c r="H326" s="454" t="s">
        <v>478</v>
      </c>
      <c r="I326" s="496" t="str">
        <f t="shared" si="308"/>
        <v>tr. VND</v>
      </c>
      <c r="K326" s="457" cm="1">
        <f t="array" ref="K326">-SUMPRODUCT('W1'!$H$10:$BC$60*('W1'!$A$10:$A$60=$B326)*('W1'!$H$7:$BC$7="Giá trị đầu tư")*('W1'!$H$6:$BC$6=$A326))*$H$10</f>
        <v>-150000</v>
      </c>
      <c r="L326" s="457"/>
      <c r="M326" s="457"/>
      <c r="N326" s="457"/>
      <c r="O326" s="457"/>
      <c r="P326" s="457"/>
      <c r="Q326" s="457"/>
      <c r="R326" s="457"/>
      <c r="S326" s="457"/>
      <c r="T326" s="457"/>
      <c r="U326" s="457"/>
      <c r="V326" s="457"/>
      <c r="W326" s="457"/>
      <c r="X326" s="457"/>
      <c r="Y326" s="457"/>
      <c r="Z326" s="457"/>
      <c r="AA326" s="457"/>
      <c r="AB326" s="457"/>
      <c r="AC326" s="457"/>
      <c r="AD326" s="457"/>
      <c r="AE326" s="457"/>
      <c r="AF326" s="457"/>
      <c r="AG326" s="457"/>
      <c r="AH326" s="457"/>
      <c r="AI326" s="457"/>
      <c r="AJ326" s="457"/>
    </row>
    <row r="327" spans="1:36" outlineLevel="1" x14ac:dyDescent="0.25">
      <c r="A327" t="s">
        <v>423</v>
      </c>
      <c r="B327" t="s">
        <v>483</v>
      </c>
      <c r="H327" s="454" t="s">
        <v>479</v>
      </c>
      <c r="I327" s="496" t="str">
        <f t="shared" si="308"/>
        <v>tr. VND</v>
      </c>
      <c r="K327" s="457" cm="1">
        <f t="array" ref="K327">-SUMPRODUCT('W1'!$H$10:$BC$60*('W1'!$A$10:$A$60=$B327)*('W1'!$H$7:$BC$7="Giá trị đầu tư")*('W1'!$H$6:$BC$6=$A327))*$H$10</f>
        <v>-16250</v>
      </c>
      <c r="L327" s="457"/>
      <c r="M327" s="457"/>
      <c r="N327" s="457"/>
      <c r="O327" s="457"/>
      <c r="P327" s="457"/>
      <c r="Q327" s="457"/>
      <c r="R327" s="457"/>
      <c r="S327" s="457"/>
      <c r="T327" s="457"/>
      <c r="U327" s="457"/>
      <c r="V327" s="457"/>
      <c r="W327" s="457"/>
      <c r="X327" s="457"/>
      <c r="Y327" s="457"/>
      <c r="Z327" s="457"/>
      <c r="AA327" s="457"/>
      <c r="AB327" s="457"/>
      <c r="AC327" s="457"/>
      <c r="AD327" s="457"/>
      <c r="AE327" s="457"/>
      <c r="AF327" s="457"/>
      <c r="AG327" s="457"/>
      <c r="AH327" s="457"/>
      <c r="AI327" s="457"/>
      <c r="AJ327" s="457"/>
    </row>
    <row r="328" spans="1:36" x14ac:dyDescent="0.25">
      <c r="A328" t="s">
        <v>423</v>
      </c>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row>
    <row r="329" spans="1:36" s="16" customFormat="1" x14ac:dyDescent="0.25">
      <c r="A329" s="16" t="s">
        <v>423</v>
      </c>
      <c r="H329" s="270" t="s">
        <v>498</v>
      </c>
      <c r="I329" s="271" t="str">
        <f>IF($H$9="USD","USD","tr. VND")</f>
        <v>tr. VND</v>
      </c>
      <c r="K329" s="272">
        <f>K322</f>
        <v>-450749.80000000005</v>
      </c>
      <c r="L329" s="272">
        <f t="shared" ref="L329:AJ329" si="309">L314+L230-(L202+L228)</f>
        <v>26014.813896173233</v>
      </c>
      <c r="M329" s="272">
        <f t="shared" si="309"/>
        <v>48706.156270343832</v>
      </c>
      <c r="N329" s="272">
        <f t="shared" si="309"/>
        <v>78961.440725635213</v>
      </c>
      <c r="O329" s="272">
        <f t="shared" si="309"/>
        <v>79341.161105025531</v>
      </c>
      <c r="P329" s="272">
        <f t="shared" si="309"/>
        <v>79666.320411330118</v>
      </c>
      <c r="Q329" s="272">
        <f t="shared" si="309"/>
        <v>79932.719649053775</v>
      </c>
      <c r="R329" s="272">
        <f t="shared" si="309"/>
        <v>80135.920454089297</v>
      </c>
      <c r="S329" s="272">
        <f t="shared" si="309"/>
        <v>80271.232536910975</v>
      </c>
      <c r="T329" s="272">
        <f t="shared" si="309"/>
        <v>80333.700486158836</v>
      </c>
      <c r="U329" s="272">
        <f t="shared" si="309"/>
        <v>80318.089900399675</v>
      </c>
      <c r="V329" s="272">
        <f t="shared" si="309"/>
        <v>80218.872814233997</v>
      </c>
      <c r="W329" s="272">
        <f t="shared" si="309"/>
        <v>80030.212383218881</v>
      </c>
      <c r="X329" s="272">
        <f t="shared" si="309"/>
        <v>80748.446123634581</v>
      </c>
      <c r="Y329" s="272">
        <f t="shared" si="309"/>
        <v>80362.071667912038</v>
      </c>
      <c r="Z329" s="272">
        <f t="shared" si="309"/>
        <v>79866.724994581382</v>
      </c>
      <c r="AA329" s="272"/>
      <c r="AB329" s="272"/>
      <c r="AC329" s="272"/>
      <c r="AD329" s="272"/>
      <c r="AE329" s="272"/>
      <c r="AF329" s="272"/>
      <c r="AG329" s="272"/>
      <c r="AH329" s="272"/>
      <c r="AI329" s="272"/>
      <c r="AJ329" s="272"/>
    </row>
    <row r="330" spans="1:36" x14ac:dyDescent="0.25">
      <c r="A330" t="s">
        <v>423</v>
      </c>
      <c r="H330" t="s">
        <v>292</v>
      </c>
      <c r="I330" s="65" t="str">
        <f t="shared" ref="I330:I337" si="310">IF($H$9="USD","USD","tr. VND")</f>
        <v>tr. VND</v>
      </c>
      <c r="L330" s="15">
        <f>-(L329+L202)*Tax_rate</f>
        <v>1009.5338874320202</v>
      </c>
      <c r="M330" s="15">
        <f t="shared" ref="M330:AJ330" si="311">-(M329+M202)*Tax_rate</f>
        <v>-3528.7345874020998</v>
      </c>
      <c r="N330" s="15">
        <f t="shared" si="311"/>
        <v>-9579.7914784603763</v>
      </c>
      <c r="O330" s="15">
        <f t="shared" si="311"/>
        <v>-9655.7355543384383</v>
      </c>
      <c r="P330" s="15">
        <f t="shared" si="311"/>
        <v>-9720.7674155993573</v>
      </c>
      <c r="Q330" s="15">
        <f t="shared" si="311"/>
        <v>-9774.047263144088</v>
      </c>
      <c r="R330" s="15">
        <f t="shared" si="311"/>
        <v>-9814.6874241511923</v>
      </c>
      <c r="S330" s="15">
        <f t="shared" si="311"/>
        <v>-9841.749840715529</v>
      </c>
      <c r="T330" s="15">
        <f t="shared" si="311"/>
        <v>-9854.2434305651004</v>
      </c>
      <c r="U330" s="15">
        <f t="shared" si="311"/>
        <v>-9851.1213134132686</v>
      </c>
      <c r="V330" s="15">
        <f t="shared" si="311"/>
        <v>-9831.2778961801323</v>
      </c>
      <c r="W330" s="15">
        <f t="shared" si="311"/>
        <v>-9793.5458099771095</v>
      </c>
      <c r="X330" s="15">
        <f t="shared" si="311"/>
        <v>-14949.689224726917</v>
      </c>
      <c r="Y330" s="15">
        <f t="shared" si="311"/>
        <v>-14872.414333582408</v>
      </c>
      <c r="Z330" s="15">
        <f t="shared" si="311"/>
        <v>-14773.344998916276</v>
      </c>
      <c r="AA330" s="15"/>
      <c r="AB330" s="15"/>
      <c r="AC330" s="15"/>
      <c r="AD330" s="15"/>
      <c r="AE330" s="15"/>
      <c r="AF330" s="15"/>
      <c r="AG330" s="15"/>
      <c r="AH330" s="15"/>
      <c r="AI330" s="15"/>
      <c r="AJ330" s="15"/>
    </row>
    <row r="331" spans="1:36" s="16" customFormat="1" x14ac:dyDescent="0.25">
      <c r="A331" s="16" t="s">
        <v>423</v>
      </c>
      <c r="H331" s="270" t="s">
        <v>499</v>
      </c>
      <c r="I331" s="271" t="str">
        <f t="shared" si="310"/>
        <v>tr. VND</v>
      </c>
      <c r="K331" s="272">
        <f>K329+K330</f>
        <v>-450749.80000000005</v>
      </c>
      <c r="L331" s="272">
        <f t="shared" ref="L331:AJ331" si="312">L329+L330</f>
        <v>27024.347783605252</v>
      </c>
      <c r="M331" s="272">
        <f t="shared" si="312"/>
        <v>45177.421682941735</v>
      </c>
      <c r="N331" s="272">
        <f t="shared" si="312"/>
        <v>69381.649247174835</v>
      </c>
      <c r="O331" s="272">
        <f t="shared" si="312"/>
        <v>69685.425550687098</v>
      </c>
      <c r="P331" s="272">
        <f t="shared" si="312"/>
        <v>69945.552995730759</v>
      </c>
      <c r="Q331" s="272">
        <f t="shared" si="312"/>
        <v>70158.672385909682</v>
      </c>
      <c r="R331" s="272">
        <f t="shared" si="312"/>
        <v>70321.233029938099</v>
      </c>
      <c r="S331" s="272">
        <f t="shared" si="312"/>
        <v>70429.482696195453</v>
      </c>
      <c r="T331" s="272">
        <f t="shared" si="312"/>
        <v>70479.457055593739</v>
      </c>
      <c r="U331" s="272">
        <f t="shared" si="312"/>
        <v>70466.968586986404</v>
      </c>
      <c r="V331" s="272">
        <f t="shared" si="312"/>
        <v>70387.594918053859</v>
      </c>
      <c r="W331" s="272">
        <f t="shared" si="312"/>
        <v>70236.666573241775</v>
      </c>
      <c r="X331" s="272">
        <f t="shared" si="312"/>
        <v>65798.756898907668</v>
      </c>
      <c r="Y331" s="272">
        <f t="shared" si="312"/>
        <v>65489.657334329633</v>
      </c>
      <c r="Z331" s="272">
        <f t="shared" si="312"/>
        <v>65093.379995665106</v>
      </c>
      <c r="AA331" s="272"/>
      <c r="AB331" s="272"/>
      <c r="AC331" s="272"/>
      <c r="AD331" s="272"/>
      <c r="AE331" s="272"/>
      <c r="AF331" s="272"/>
      <c r="AG331" s="272"/>
      <c r="AH331" s="272"/>
      <c r="AI331" s="272"/>
      <c r="AJ331" s="272"/>
    </row>
    <row r="332" spans="1:36" x14ac:dyDescent="0.25">
      <c r="A332" t="s">
        <v>423</v>
      </c>
      <c r="H332" t="s">
        <v>500</v>
      </c>
      <c r="K332" s="95">
        <f>INDEX('Cover Page'!$H$23:$AJ$23,MATCH($A332,'Cover Page'!$H$5:$AJ$5,0))</f>
        <v>7.2660000000000016E-2</v>
      </c>
    </row>
    <row r="333" spans="1:36" s="16" customFormat="1" x14ac:dyDescent="0.25">
      <c r="A333" s="16" t="s">
        <v>423</v>
      </c>
      <c r="D333" s="16" t="s">
        <v>515</v>
      </c>
      <c r="H333" s="270" t="s">
        <v>501</v>
      </c>
      <c r="I333" s="271" t="str">
        <f t="shared" si="310"/>
        <v>tr. VND</v>
      </c>
      <c r="K333" s="272">
        <f>K331/POWER(1+$K332,K$14)</f>
        <v>-450749.80000000005</v>
      </c>
      <c r="L333" s="272">
        <f t="shared" ref="L333:AJ333" si="313">L331/POWER(1+$K332,L$14)</f>
        <v>25193.768560033237</v>
      </c>
      <c r="M333" s="272">
        <f t="shared" si="313"/>
        <v>39264.246717462811</v>
      </c>
      <c r="N333" s="272">
        <f t="shared" si="313"/>
        <v>56215.795602428887</v>
      </c>
      <c r="O333" s="272">
        <f t="shared" si="313"/>
        <v>52637.301055435077</v>
      </c>
      <c r="P333" s="272">
        <f t="shared" si="313"/>
        <v>49254.926882417029</v>
      </c>
      <c r="Q333" s="272">
        <f t="shared" si="313"/>
        <v>46058.399985117845</v>
      </c>
      <c r="R333" s="272">
        <f t="shared" si="313"/>
        <v>43037.979664966428</v>
      </c>
      <c r="S333" s="272">
        <f t="shared" si="313"/>
        <v>40184.429915170651</v>
      </c>
      <c r="T333" s="272">
        <f t="shared" si="313"/>
        <v>37488.993172505041</v>
      </c>
      <c r="U333" s="272">
        <f t="shared" si="313"/>
        <v>34943.365450545207</v>
      </c>
      <c r="V333" s="272">
        <f t="shared" si="313"/>
        <v>32539.672780384935</v>
      </c>
      <c r="W333" s="272">
        <f t="shared" si="313"/>
        <v>30270.448888914871</v>
      </c>
      <c r="X333" s="272">
        <f t="shared" si="313"/>
        <v>26436.902685318502</v>
      </c>
      <c r="Y333" s="272">
        <f t="shared" si="313"/>
        <v>24530.337064554456</v>
      </c>
      <c r="Z333" s="272">
        <f t="shared" si="313"/>
        <v>22730.319217111504</v>
      </c>
      <c r="AA333" s="272"/>
      <c r="AB333" s="272"/>
      <c r="AC333" s="272"/>
      <c r="AD333" s="272"/>
      <c r="AE333" s="272"/>
      <c r="AF333" s="272"/>
      <c r="AG333" s="272"/>
      <c r="AH333" s="272"/>
      <c r="AI333" s="272"/>
      <c r="AJ333" s="272"/>
    </row>
    <row r="334" spans="1:36" x14ac:dyDescent="0.25">
      <c r="A334" t="s">
        <v>423</v>
      </c>
      <c r="H334" t="s">
        <v>503</v>
      </c>
      <c r="I334" s="65" t="str">
        <f t="shared" si="310"/>
        <v>tr. VND</v>
      </c>
      <c r="K334" s="15">
        <f>SUM($K333:K333)</f>
        <v>-450749.80000000005</v>
      </c>
      <c r="L334" s="15">
        <f>SUM($K333:L333)</f>
        <v>-425556.03143996681</v>
      </c>
      <c r="M334" s="15">
        <f>SUM($K333:M333)</f>
        <v>-386291.78472250397</v>
      </c>
      <c r="N334" s="15">
        <f>SUM($K333:N333)</f>
        <v>-330075.98912007507</v>
      </c>
      <c r="O334" s="15">
        <f>SUM($K333:O333)</f>
        <v>-277438.68806463998</v>
      </c>
      <c r="P334" s="15">
        <f>SUM($K333:P333)</f>
        <v>-228183.76118222295</v>
      </c>
      <c r="Q334" s="15">
        <f>SUM($K333:Q333)</f>
        <v>-182125.36119710511</v>
      </c>
      <c r="R334" s="15">
        <f>SUM($K333:R333)</f>
        <v>-139087.38153213868</v>
      </c>
      <c r="S334" s="15">
        <f>SUM($K333:S333)</f>
        <v>-98902.951616968028</v>
      </c>
      <c r="T334" s="15">
        <f>SUM($K333:T333)</f>
        <v>-61413.958444462987</v>
      </c>
      <c r="U334" s="15">
        <f>SUM($K333:U333)</f>
        <v>-26470.59299391778</v>
      </c>
      <c r="V334" s="15">
        <f>SUM($K333:V333)</f>
        <v>6069.0797864671549</v>
      </c>
      <c r="W334" s="15">
        <f>SUM($K333:W333)</f>
        <v>36339.528675382026</v>
      </c>
      <c r="X334" s="15">
        <f>SUM($K333:X333)</f>
        <v>62776.431360700532</v>
      </c>
      <c r="Y334" s="15">
        <f>SUM($K333:Y333)</f>
        <v>87306.768425254995</v>
      </c>
      <c r="Z334" s="15">
        <f>SUM($K333:Z333)</f>
        <v>110037.0876423665</v>
      </c>
      <c r="AA334" s="15"/>
      <c r="AB334" s="15"/>
      <c r="AC334" s="15"/>
      <c r="AD334" s="15"/>
      <c r="AE334" s="15"/>
      <c r="AF334" s="15"/>
      <c r="AG334" s="15"/>
      <c r="AH334" s="15"/>
      <c r="AI334" s="15"/>
      <c r="AJ334" s="15"/>
    </row>
    <row r="335" spans="1:36" x14ac:dyDescent="0.25">
      <c r="A335" t="s">
        <v>423</v>
      </c>
    </row>
    <row r="336" spans="1:36" ht="15.75" thickBot="1" x14ac:dyDescent="0.3">
      <c r="A336" t="s">
        <v>423</v>
      </c>
    </row>
    <row r="337" spans="1:36" x14ac:dyDescent="0.25">
      <c r="A337" t="s">
        <v>423</v>
      </c>
      <c r="D337" t="s">
        <v>544</v>
      </c>
      <c r="H337" s="96" t="s">
        <v>401</v>
      </c>
      <c r="I337" s="310" t="str">
        <f t="shared" si="310"/>
        <v>tr. VND</v>
      </c>
      <c r="J337" s="311"/>
      <c r="K337" s="97">
        <f>SUM(K333:AJ333)</f>
        <v>110037.0876423665</v>
      </c>
      <c r="L337" s="263"/>
      <c r="M337" s="70"/>
      <c r="N337" s="70"/>
    </row>
    <row r="338" spans="1:36" x14ac:dyDescent="0.25">
      <c r="A338" t="s">
        <v>423</v>
      </c>
      <c r="D338" t="s">
        <v>516</v>
      </c>
      <c r="H338" s="212" t="s">
        <v>402</v>
      </c>
      <c r="I338" s="255"/>
      <c r="J338" s="48"/>
      <c r="K338" s="314">
        <f>IFERROR(IRR(K331:AJ331),0)</f>
        <v>0.10663649141917064</v>
      </c>
    </row>
    <row r="339" spans="1:36" ht="15.75" thickBot="1" x14ac:dyDescent="0.3">
      <c r="A339" t="s">
        <v>423</v>
      </c>
      <c r="D339" t="s">
        <v>517</v>
      </c>
      <c r="H339" s="98" t="s">
        <v>403</v>
      </c>
      <c r="I339" s="312" t="s">
        <v>290</v>
      </c>
      <c r="J339" s="313"/>
      <c r="K339" s="315" cm="1">
        <f t="array" ref="K339">ROUNDUP(IF(K337&lt;0,0,INDEX(K$14:AJ$14,,MATCH(_xlfn.MINIFS(K334:AJ334,K334:AJ334,"&gt;"&amp;0),K334:AJ334))-1-INDEX(K334:AJ334,,MATCH(_xlfn.MINIFS(K334:AJ334,K334:AJ334,"&gt;"&amp;0),K334:AJ334)-1)/INDEX(K333:AJ333,,MATCH(_xlfn.MINIFS(K334:AJ334,K334:AJ334,"&gt;"&amp;0),K334:AJ334))),1)</f>
        <v>10.9</v>
      </c>
    </row>
    <row r="340" spans="1:36" x14ac:dyDescent="0.25">
      <c r="A340" t="s">
        <v>423</v>
      </c>
      <c r="H340" s="316" t="str">
        <f>INT(K339)&amp;" năm"&amp;IF(MOD(K339,1)*12=0,," "&amp;TEXT(MOD(K339,1)*12,"00")&amp;" tháng")</f>
        <v>10 năm 11 tháng</v>
      </c>
    </row>
    <row r="341" spans="1:36" x14ac:dyDescent="0.25">
      <c r="A341" t="s">
        <v>423</v>
      </c>
    </row>
    <row r="342" spans="1:36" x14ac:dyDescent="0.25">
      <c r="A342" t="s">
        <v>423</v>
      </c>
    </row>
    <row r="343" spans="1:36" s="304" customFormat="1" x14ac:dyDescent="0.25">
      <c r="I343" s="305"/>
    </row>
    <row r="344" spans="1:36" s="631" customFormat="1" ht="19.5" x14ac:dyDescent="0.3">
      <c r="A344" s="631" t="s">
        <v>424</v>
      </c>
      <c r="H344" s="632" t="s">
        <v>424</v>
      </c>
      <c r="K344" s="633"/>
      <c r="L344" s="633"/>
      <c r="M344" s="633"/>
      <c r="N344" s="633"/>
      <c r="O344" s="633"/>
      <c r="P344" s="633"/>
      <c r="Q344" s="633"/>
      <c r="R344" s="633"/>
      <c r="S344" s="633"/>
      <c r="T344" s="633"/>
      <c r="U344" s="633"/>
      <c r="V344" s="633"/>
      <c r="W344" s="633"/>
      <c r="X344" s="633"/>
      <c r="Y344" s="633"/>
      <c r="Z344" s="633"/>
      <c r="AA344" s="633"/>
      <c r="AB344" s="633"/>
      <c r="AC344" s="633"/>
      <c r="AD344" s="633"/>
      <c r="AE344" s="633"/>
      <c r="AF344" s="633"/>
      <c r="AG344" s="633"/>
      <c r="AH344" s="633"/>
      <c r="AI344" s="633"/>
      <c r="AJ344" s="633"/>
    </row>
    <row r="345" spans="1:36" x14ac:dyDescent="0.25">
      <c r="A345" t="s">
        <v>424</v>
      </c>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row>
    <row r="346" spans="1:36" s="24" customFormat="1" ht="17.25" x14ac:dyDescent="0.3">
      <c r="A346" s="24" t="s">
        <v>424</v>
      </c>
      <c r="H346" s="24" t="s">
        <v>669</v>
      </c>
      <c r="K346" s="634"/>
      <c r="L346" s="634"/>
      <c r="M346" s="634"/>
      <c r="N346" s="634"/>
      <c r="O346" s="634"/>
      <c r="P346" s="634"/>
      <c r="Q346" s="634"/>
      <c r="R346" s="634"/>
      <c r="S346" s="634"/>
      <c r="T346" s="634"/>
      <c r="U346" s="634"/>
      <c r="V346" s="634"/>
      <c r="W346" s="634"/>
      <c r="X346" s="634"/>
      <c r="Y346" s="634"/>
      <c r="Z346" s="634"/>
      <c r="AA346" s="634"/>
      <c r="AB346" s="634"/>
      <c r="AC346" s="634"/>
      <c r="AD346" s="634"/>
      <c r="AE346" s="634"/>
      <c r="AF346" s="634"/>
      <c r="AG346" s="634"/>
      <c r="AH346" s="634"/>
      <c r="AI346" s="634"/>
      <c r="AJ346" s="634"/>
    </row>
    <row r="347" spans="1:36" x14ac:dyDescent="0.25">
      <c r="A347" t="s">
        <v>424</v>
      </c>
      <c r="H347" s="459" t="s">
        <v>427</v>
      </c>
      <c r="I347" s="493" t="s">
        <v>436</v>
      </c>
      <c r="K347" s="548"/>
      <c r="L347" s="548">
        <f t="shared" ref="L347:AA348" si="314">Capacity*24*365</f>
        <v>7568640</v>
      </c>
      <c r="M347" s="548">
        <f t="shared" si="314"/>
        <v>7568640</v>
      </c>
      <c r="N347" s="548">
        <f t="shared" si="314"/>
        <v>7568640</v>
      </c>
      <c r="O347" s="548">
        <f t="shared" si="314"/>
        <v>7568640</v>
      </c>
      <c r="P347" s="548">
        <f t="shared" si="314"/>
        <v>7568640</v>
      </c>
      <c r="Q347" s="548">
        <f t="shared" si="314"/>
        <v>7568640</v>
      </c>
      <c r="R347" s="548">
        <f t="shared" si="314"/>
        <v>7568640</v>
      </c>
      <c r="S347" s="548">
        <f t="shared" si="314"/>
        <v>7568640</v>
      </c>
      <c r="T347" s="548">
        <f t="shared" si="314"/>
        <v>7568640</v>
      </c>
      <c r="U347" s="548">
        <f t="shared" si="314"/>
        <v>7568640</v>
      </c>
      <c r="V347" s="548">
        <f t="shared" si="314"/>
        <v>7568640</v>
      </c>
      <c r="W347" s="548">
        <f t="shared" si="314"/>
        <v>7568640</v>
      </c>
      <c r="X347" s="548">
        <f t="shared" si="314"/>
        <v>7568640</v>
      </c>
      <c r="Y347" s="548">
        <f t="shared" si="314"/>
        <v>7568640</v>
      </c>
      <c r="Z347" s="548">
        <f t="shared" si="314"/>
        <v>7568640</v>
      </c>
      <c r="AA347" s="548"/>
      <c r="AB347" s="548"/>
      <c r="AC347" s="548"/>
      <c r="AD347" s="548"/>
      <c r="AE347" s="548"/>
      <c r="AF347" s="548"/>
      <c r="AG347" s="548"/>
      <c r="AH347" s="548"/>
      <c r="AI347" s="548"/>
      <c r="AJ347" s="548"/>
    </row>
    <row r="348" spans="1:36" x14ac:dyDescent="0.25">
      <c r="A348" t="s">
        <v>424</v>
      </c>
      <c r="H348" s="454" t="s">
        <v>427</v>
      </c>
      <c r="I348" s="496" t="s">
        <v>320</v>
      </c>
      <c r="K348" s="549"/>
      <c r="L348" s="549">
        <f t="shared" si="314"/>
        <v>7568640</v>
      </c>
      <c r="M348" s="549">
        <f t="shared" si="314"/>
        <v>7568640</v>
      </c>
      <c r="N348" s="549">
        <f t="shared" si="314"/>
        <v>7568640</v>
      </c>
      <c r="O348" s="549">
        <f t="shared" si="314"/>
        <v>7568640</v>
      </c>
      <c r="P348" s="549">
        <f t="shared" si="314"/>
        <v>7568640</v>
      </c>
      <c r="Q348" s="549">
        <f t="shared" si="314"/>
        <v>7568640</v>
      </c>
      <c r="R348" s="549">
        <f t="shared" si="314"/>
        <v>7568640</v>
      </c>
      <c r="S348" s="549">
        <f t="shared" si="314"/>
        <v>7568640</v>
      </c>
      <c r="T348" s="549">
        <f t="shared" si="314"/>
        <v>7568640</v>
      </c>
      <c r="U348" s="549">
        <f t="shared" si="314"/>
        <v>7568640</v>
      </c>
      <c r="V348" s="549">
        <f t="shared" si="314"/>
        <v>7568640</v>
      </c>
      <c r="W348" s="549">
        <f t="shared" si="314"/>
        <v>7568640</v>
      </c>
      <c r="X348" s="549">
        <f t="shared" si="314"/>
        <v>7568640</v>
      </c>
      <c r="Y348" s="549">
        <f t="shared" si="314"/>
        <v>7568640</v>
      </c>
      <c r="Z348" s="549">
        <f t="shared" si="314"/>
        <v>7568640</v>
      </c>
      <c r="AA348" s="549"/>
      <c r="AB348" s="549"/>
      <c r="AC348" s="549"/>
      <c r="AD348" s="549"/>
      <c r="AE348" s="549"/>
      <c r="AF348" s="549"/>
      <c r="AG348" s="549"/>
      <c r="AH348" s="549"/>
      <c r="AI348" s="549"/>
      <c r="AJ348" s="549"/>
    </row>
    <row r="349" spans="1:36" s="250" customFormat="1" x14ac:dyDescent="0.25">
      <c r="A349" s="250" t="s">
        <v>424</v>
      </c>
      <c r="H349" s="536" t="s">
        <v>460</v>
      </c>
      <c r="I349" s="547"/>
      <c r="K349" s="550"/>
      <c r="L349" s="551">
        <v>0.88</v>
      </c>
      <c r="M349" s="551">
        <v>0.88</v>
      </c>
      <c r="N349" s="551">
        <v>0.88</v>
      </c>
      <c r="O349" s="551">
        <v>0.88</v>
      </c>
      <c r="P349" s="551">
        <v>0.88</v>
      </c>
      <c r="Q349" s="551">
        <v>0.88</v>
      </c>
      <c r="R349" s="551">
        <v>0.88</v>
      </c>
      <c r="S349" s="551">
        <v>0.88</v>
      </c>
      <c r="T349" s="551">
        <v>0.88</v>
      </c>
      <c r="U349" s="551">
        <v>0.88</v>
      </c>
      <c r="V349" s="551">
        <v>0.88</v>
      </c>
      <c r="W349" s="551">
        <v>0.88</v>
      </c>
      <c r="X349" s="551">
        <v>0.88</v>
      </c>
      <c r="Y349" s="551">
        <v>0.88</v>
      </c>
      <c r="Z349" s="551">
        <v>0.88</v>
      </c>
      <c r="AA349" s="551"/>
      <c r="AB349" s="551"/>
      <c r="AC349" s="551"/>
      <c r="AD349" s="551"/>
      <c r="AE349" s="551"/>
      <c r="AF349" s="551"/>
      <c r="AG349" s="551"/>
      <c r="AH349" s="551"/>
      <c r="AI349" s="551"/>
      <c r="AJ349" s="551"/>
    </row>
    <row r="350" spans="1:36" s="250" customFormat="1" x14ac:dyDescent="0.25">
      <c r="A350" s="250" t="s">
        <v>424</v>
      </c>
      <c r="H350" s="536" t="s">
        <v>461</v>
      </c>
      <c r="I350" s="547"/>
      <c r="K350" s="550"/>
      <c r="L350" s="551">
        <v>0.5</v>
      </c>
      <c r="M350" s="551">
        <v>0.7</v>
      </c>
      <c r="N350" s="551">
        <v>1</v>
      </c>
      <c r="O350" s="551">
        <v>1</v>
      </c>
      <c r="P350" s="551">
        <v>1</v>
      </c>
      <c r="Q350" s="551">
        <v>1</v>
      </c>
      <c r="R350" s="551">
        <v>1</v>
      </c>
      <c r="S350" s="551">
        <v>1</v>
      </c>
      <c r="T350" s="551">
        <v>1</v>
      </c>
      <c r="U350" s="551">
        <v>1</v>
      </c>
      <c r="V350" s="551">
        <v>1</v>
      </c>
      <c r="W350" s="551">
        <v>1</v>
      </c>
      <c r="X350" s="551">
        <v>1</v>
      </c>
      <c r="Y350" s="551">
        <v>1</v>
      </c>
      <c r="Z350" s="551">
        <v>1</v>
      </c>
      <c r="AA350" s="551"/>
      <c r="AB350" s="551"/>
      <c r="AC350" s="551"/>
      <c r="AD350" s="551"/>
      <c r="AE350" s="551"/>
      <c r="AF350" s="551"/>
      <c r="AG350" s="551"/>
      <c r="AH350" s="551"/>
      <c r="AI350" s="551"/>
      <c r="AJ350" s="551"/>
    </row>
    <row r="351" spans="1:36" x14ac:dyDescent="0.25">
      <c r="A351" t="s">
        <v>424</v>
      </c>
      <c r="B351" t="s">
        <v>437</v>
      </c>
      <c r="H351" s="454" t="s">
        <v>70</v>
      </c>
      <c r="I351" s="496"/>
      <c r="K351" s="549"/>
      <c r="L351" s="552" cm="1">
        <f t="array" ref="L351">SUMPRODUCT('W2'!$M$12:$V$112*('W2'!$M$7:$V$7=$A351)*('W2'!$A$12:$A$112=$B351))</f>
        <v>7.0000000000000007E-2</v>
      </c>
      <c r="M351" s="552">
        <f>L351</f>
        <v>7.0000000000000007E-2</v>
      </c>
      <c r="N351" s="552">
        <f t="shared" ref="N351" si="315">M351</f>
        <v>7.0000000000000007E-2</v>
      </c>
      <c r="O351" s="552">
        <f t="shared" ref="O351" si="316">N351</f>
        <v>7.0000000000000007E-2</v>
      </c>
      <c r="P351" s="552">
        <f t="shared" ref="P351" si="317">O351</f>
        <v>7.0000000000000007E-2</v>
      </c>
      <c r="Q351" s="552">
        <f t="shared" ref="Q351" si="318">P351</f>
        <v>7.0000000000000007E-2</v>
      </c>
      <c r="R351" s="552">
        <f t="shared" ref="R351" si="319">Q351</f>
        <v>7.0000000000000007E-2</v>
      </c>
      <c r="S351" s="552">
        <f t="shared" ref="S351" si="320">R351</f>
        <v>7.0000000000000007E-2</v>
      </c>
      <c r="T351" s="552">
        <f t="shared" ref="T351" si="321">S351</f>
        <v>7.0000000000000007E-2</v>
      </c>
      <c r="U351" s="552">
        <f t="shared" ref="U351" si="322">T351</f>
        <v>7.0000000000000007E-2</v>
      </c>
      <c r="V351" s="552">
        <f t="shared" ref="V351" si="323">U351</f>
        <v>7.0000000000000007E-2</v>
      </c>
      <c r="W351" s="552">
        <f t="shared" ref="W351" si="324">V351</f>
        <v>7.0000000000000007E-2</v>
      </c>
      <c r="X351" s="552">
        <f t="shared" ref="X351" si="325">W351</f>
        <v>7.0000000000000007E-2</v>
      </c>
      <c r="Y351" s="552">
        <f t="shared" ref="Y351" si="326">X351</f>
        <v>7.0000000000000007E-2</v>
      </c>
      <c r="Z351" s="552">
        <f t="shared" ref="Z351" si="327">Y351</f>
        <v>7.0000000000000007E-2</v>
      </c>
      <c r="AA351" s="552"/>
      <c r="AB351" s="552"/>
      <c r="AC351" s="552"/>
      <c r="AD351" s="552"/>
      <c r="AE351" s="552"/>
      <c r="AF351" s="552"/>
      <c r="AG351" s="552"/>
      <c r="AH351" s="552"/>
      <c r="AI351" s="552"/>
      <c r="AJ351" s="552"/>
    </row>
    <row r="352" spans="1:36" x14ac:dyDescent="0.25">
      <c r="A352" t="s">
        <v>424</v>
      </c>
      <c r="H352" s="454" t="s">
        <v>59</v>
      </c>
      <c r="I352" s="496"/>
      <c r="K352" s="549"/>
      <c r="L352" s="549">
        <f>365*L349*L350</f>
        <v>160.6</v>
      </c>
      <c r="M352" s="549">
        <f t="shared" ref="M352:AJ352" si="328">365*M349*M350</f>
        <v>224.83999999999997</v>
      </c>
      <c r="N352" s="549">
        <f t="shared" si="328"/>
        <v>321.2</v>
      </c>
      <c r="O352" s="549">
        <f t="shared" si="328"/>
        <v>321.2</v>
      </c>
      <c r="P352" s="549">
        <f t="shared" si="328"/>
        <v>321.2</v>
      </c>
      <c r="Q352" s="549">
        <f t="shared" si="328"/>
        <v>321.2</v>
      </c>
      <c r="R352" s="549">
        <f t="shared" si="328"/>
        <v>321.2</v>
      </c>
      <c r="S352" s="549">
        <f t="shared" si="328"/>
        <v>321.2</v>
      </c>
      <c r="T352" s="549">
        <f t="shared" si="328"/>
        <v>321.2</v>
      </c>
      <c r="U352" s="549">
        <f t="shared" si="328"/>
        <v>321.2</v>
      </c>
      <c r="V352" s="549">
        <f t="shared" si="328"/>
        <v>321.2</v>
      </c>
      <c r="W352" s="549">
        <f t="shared" si="328"/>
        <v>321.2</v>
      </c>
      <c r="X352" s="549">
        <f t="shared" si="328"/>
        <v>321.2</v>
      </c>
      <c r="Y352" s="549">
        <f t="shared" si="328"/>
        <v>321.2</v>
      </c>
      <c r="Z352" s="549">
        <f t="shared" si="328"/>
        <v>321.2</v>
      </c>
      <c r="AA352" s="549"/>
      <c r="AB352" s="549"/>
      <c r="AC352" s="549"/>
      <c r="AD352" s="549"/>
      <c r="AE352" s="549"/>
      <c r="AF352" s="549"/>
      <c r="AG352" s="549"/>
      <c r="AH352" s="549"/>
      <c r="AI352" s="549"/>
      <c r="AJ352" s="549"/>
    </row>
    <row r="353" spans="1:36" x14ac:dyDescent="0.25">
      <c r="A353" t="s">
        <v>424</v>
      </c>
      <c r="C353" t="s">
        <v>574</v>
      </c>
      <c r="H353" s="454" t="s">
        <v>202</v>
      </c>
      <c r="I353" s="496" t="s">
        <v>436</v>
      </c>
      <c r="K353" s="549"/>
      <c r="L353" s="549">
        <f>L347*L349*(1-L351)*L350</f>
        <v>3097087.4879999999</v>
      </c>
      <c r="M353" s="549">
        <f t="shared" ref="M353:AJ353" si="329">M347*M349*(1-M351)*M350</f>
        <v>4335922.4831999997</v>
      </c>
      <c r="N353" s="549">
        <f t="shared" si="329"/>
        <v>6194174.9759999998</v>
      </c>
      <c r="O353" s="549">
        <f t="shared" si="329"/>
        <v>6194174.9759999998</v>
      </c>
      <c r="P353" s="549">
        <f t="shared" si="329"/>
        <v>6194174.9759999998</v>
      </c>
      <c r="Q353" s="549">
        <f t="shared" si="329"/>
        <v>6194174.9759999998</v>
      </c>
      <c r="R353" s="549">
        <f t="shared" si="329"/>
        <v>6194174.9759999998</v>
      </c>
      <c r="S353" s="549">
        <f t="shared" si="329"/>
        <v>6194174.9759999998</v>
      </c>
      <c r="T353" s="549">
        <f t="shared" si="329"/>
        <v>6194174.9759999998</v>
      </c>
      <c r="U353" s="549">
        <f t="shared" si="329"/>
        <v>6194174.9759999998</v>
      </c>
      <c r="V353" s="549">
        <f t="shared" si="329"/>
        <v>6194174.9759999998</v>
      </c>
      <c r="W353" s="549">
        <f t="shared" si="329"/>
        <v>6194174.9759999998</v>
      </c>
      <c r="X353" s="549">
        <f t="shared" si="329"/>
        <v>6194174.9759999998</v>
      </c>
      <c r="Y353" s="549">
        <f t="shared" si="329"/>
        <v>6194174.9759999998</v>
      </c>
      <c r="Z353" s="549">
        <f t="shared" si="329"/>
        <v>6194174.9759999998</v>
      </c>
      <c r="AA353" s="549"/>
      <c r="AB353" s="549"/>
      <c r="AC353" s="549"/>
      <c r="AD353" s="549"/>
      <c r="AE353" s="549"/>
      <c r="AF353" s="549"/>
      <c r="AG353" s="549"/>
      <c r="AH353" s="549"/>
      <c r="AI353" s="549"/>
      <c r="AJ353" s="549"/>
    </row>
    <row r="354" spans="1:36" x14ac:dyDescent="0.25">
      <c r="A354" t="s">
        <v>424</v>
      </c>
      <c r="C354" t="s">
        <v>575</v>
      </c>
      <c r="H354" s="454" t="s">
        <v>202</v>
      </c>
      <c r="I354" s="496" t="s">
        <v>320</v>
      </c>
      <c r="K354" s="549"/>
      <c r="L354" s="549">
        <f t="shared" ref="L354:AJ354" si="330">L353*PHOI_KG</f>
        <v>206472499.20000002</v>
      </c>
      <c r="M354" s="549">
        <f t="shared" si="330"/>
        <v>289061498.88</v>
      </c>
      <c r="N354" s="549">
        <f t="shared" si="330"/>
        <v>412944998.40000004</v>
      </c>
      <c r="O354" s="549">
        <f t="shared" si="330"/>
        <v>412944998.40000004</v>
      </c>
      <c r="P354" s="549">
        <f t="shared" si="330"/>
        <v>412944998.40000004</v>
      </c>
      <c r="Q354" s="549">
        <f t="shared" si="330"/>
        <v>412944998.40000004</v>
      </c>
      <c r="R354" s="549">
        <f t="shared" si="330"/>
        <v>412944998.40000004</v>
      </c>
      <c r="S354" s="549">
        <f t="shared" si="330"/>
        <v>412944998.40000004</v>
      </c>
      <c r="T354" s="549">
        <f t="shared" si="330"/>
        <v>412944998.40000004</v>
      </c>
      <c r="U354" s="549">
        <f t="shared" si="330"/>
        <v>412944998.40000004</v>
      </c>
      <c r="V354" s="549">
        <f t="shared" si="330"/>
        <v>412944998.40000004</v>
      </c>
      <c r="W354" s="549">
        <f t="shared" si="330"/>
        <v>412944998.40000004</v>
      </c>
      <c r="X354" s="549">
        <f t="shared" si="330"/>
        <v>412944998.40000004</v>
      </c>
      <c r="Y354" s="549">
        <f t="shared" si="330"/>
        <v>412944998.40000004</v>
      </c>
      <c r="Z354" s="549">
        <f t="shared" si="330"/>
        <v>412944998.40000004</v>
      </c>
      <c r="AA354" s="549"/>
      <c r="AB354" s="549"/>
      <c r="AC354" s="549"/>
      <c r="AD354" s="549"/>
      <c r="AE354" s="549"/>
      <c r="AF354" s="549"/>
      <c r="AG354" s="549"/>
      <c r="AH354" s="549"/>
      <c r="AI354" s="549"/>
      <c r="AJ354" s="549"/>
    </row>
    <row r="355" spans="1:36" x14ac:dyDescent="0.25">
      <c r="A355" t="s">
        <v>424</v>
      </c>
      <c r="K355" s="243"/>
      <c r="L355" s="243"/>
      <c r="M355" s="243"/>
      <c r="N355" s="243"/>
      <c r="O355" s="243"/>
      <c r="P355" s="243"/>
      <c r="Q355" s="243"/>
      <c r="R355" s="243"/>
      <c r="S355" s="243"/>
      <c r="T355" s="243"/>
      <c r="U355" s="243"/>
      <c r="V355" s="243"/>
      <c r="W355" s="243"/>
      <c r="X355" s="243"/>
      <c r="Y355" s="243"/>
      <c r="Z355" s="243"/>
      <c r="AA355" s="243"/>
      <c r="AB355" s="243"/>
      <c r="AC355" s="243"/>
      <c r="AD355" s="243"/>
      <c r="AE355" s="243"/>
      <c r="AF355" s="243"/>
      <c r="AG355" s="243"/>
      <c r="AH355" s="243"/>
      <c r="AI355" s="243"/>
      <c r="AJ355" s="243"/>
    </row>
    <row r="356" spans="1:36" s="24" customFormat="1" ht="17.25" x14ac:dyDescent="0.3">
      <c r="A356" s="24" t="s">
        <v>424</v>
      </c>
      <c r="H356" s="24" t="s">
        <v>670</v>
      </c>
      <c r="K356" s="635"/>
      <c r="L356" s="635"/>
      <c r="M356" s="635"/>
      <c r="N356" s="635"/>
      <c r="O356" s="635"/>
      <c r="P356" s="635"/>
      <c r="Q356" s="635"/>
      <c r="R356" s="635"/>
      <c r="S356" s="635"/>
      <c r="T356" s="635"/>
      <c r="U356" s="635"/>
      <c r="V356" s="635"/>
      <c r="W356" s="635"/>
      <c r="X356" s="635"/>
      <c r="Y356" s="635"/>
      <c r="Z356" s="635"/>
      <c r="AA356" s="635"/>
      <c r="AB356" s="635"/>
      <c r="AC356" s="635"/>
      <c r="AD356" s="635"/>
      <c r="AE356" s="635"/>
      <c r="AF356" s="635"/>
      <c r="AG356" s="635"/>
      <c r="AH356" s="635"/>
      <c r="AI356" s="635"/>
      <c r="AJ356" s="635"/>
    </row>
    <row r="357" spans="1:36" s="250" customFormat="1" x14ac:dyDescent="0.25">
      <c r="A357" s="250" t="s">
        <v>424</v>
      </c>
      <c r="B357" s="250" t="s">
        <v>665</v>
      </c>
      <c r="H357" s="625" t="s">
        <v>663</v>
      </c>
      <c r="I357" s="626" t="s">
        <v>71</v>
      </c>
      <c r="K357" s="627"/>
      <c r="L357" s="630" cm="1">
        <f t="array" ref="L357">SUMPRODUCT('W2'!$M$12:$V$112*('W2'!$M$7:$V$7=$A357)*('W2'!$A$12:$A$112=$B357))</f>
        <v>2.0000000000000001E-4</v>
      </c>
      <c r="M357" s="629">
        <f>L357</f>
        <v>2.0000000000000001E-4</v>
      </c>
      <c r="N357" s="629">
        <f t="shared" ref="N357:N358" si="331">M357</f>
        <v>2.0000000000000001E-4</v>
      </c>
      <c r="O357" s="629">
        <f t="shared" ref="O357:O358" si="332">N357</f>
        <v>2.0000000000000001E-4</v>
      </c>
      <c r="P357" s="629">
        <f t="shared" ref="P357:P358" si="333">O357</f>
        <v>2.0000000000000001E-4</v>
      </c>
      <c r="Q357" s="629">
        <f t="shared" ref="Q357:Q358" si="334">P357</f>
        <v>2.0000000000000001E-4</v>
      </c>
      <c r="R357" s="629">
        <f t="shared" ref="R357:R358" si="335">Q357</f>
        <v>2.0000000000000001E-4</v>
      </c>
      <c r="S357" s="629">
        <f t="shared" ref="S357:S358" si="336">R357</f>
        <v>2.0000000000000001E-4</v>
      </c>
      <c r="T357" s="629">
        <f t="shared" ref="T357:T358" si="337">S357</f>
        <v>2.0000000000000001E-4</v>
      </c>
      <c r="U357" s="629">
        <f t="shared" ref="U357:U358" si="338">T357</f>
        <v>2.0000000000000001E-4</v>
      </c>
      <c r="V357" s="629">
        <f t="shared" ref="V357:V358" si="339">U357</f>
        <v>2.0000000000000001E-4</v>
      </c>
      <c r="W357" s="629">
        <f t="shared" ref="W357:W358" si="340">V357</f>
        <v>2.0000000000000001E-4</v>
      </c>
      <c r="X357" s="629">
        <f t="shared" ref="X357:X358" si="341">W357</f>
        <v>2.0000000000000001E-4</v>
      </c>
      <c r="Y357" s="629">
        <f t="shared" ref="Y357:Y358" si="342">X357</f>
        <v>2.0000000000000001E-4</v>
      </c>
      <c r="Z357" s="629">
        <f t="shared" ref="Z357:Z358" si="343">Y357</f>
        <v>2.0000000000000001E-4</v>
      </c>
      <c r="AA357" s="629"/>
      <c r="AB357" s="629"/>
      <c r="AC357" s="629"/>
      <c r="AD357" s="629"/>
      <c r="AE357" s="629"/>
      <c r="AF357" s="629"/>
      <c r="AG357" s="629"/>
      <c r="AH357" s="629"/>
      <c r="AI357" s="629"/>
      <c r="AJ357" s="629"/>
    </row>
    <row r="358" spans="1:36" s="250" customFormat="1" x14ac:dyDescent="0.25">
      <c r="A358" s="250" t="s">
        <v>424</v>
      </c>
      <c r="B358" s="250" t="s">
        <v>666</v>
      </c>
      <c r="H358" s="536" t="s">
        <v>664</v>
      </c>
      <c r="I358" s="547" t="s">
        <v>71</v>
      </c>
      <c r="K358" s="628"/>
      <c r="L358" s="630" cm="1">
        <f t="array" ref="L358">SUMPRODUCT('W2'!$M$12:$V$112*('W2'!$M$7:$V$7=$A358)*('W2'!$A$12:$A$112=$B358))</f>
        <v>0</v>
      </c>
      <c r="M358" s="629">
        <f>L358</f>
        <v>0</v>
      </c>
      <c r="N358" s="629">
        <f t="shared" si="331"/>
        <v>0</v>
      </c>
      <c r="O358" s="629">
        <f t="shared" si="332"/>
        <v>0</v>
      </c>
      <c r="P358" s="629">
        <f t="shared" si="333"/>
        <v>0</v>
      </c>
      <c r="Q358" s="629">
        <f t="shared" si="334"/>
        <v>0</v>
      </c>
      <c r="R358" s="629">
        <f t="shared" si="335"/>
        <v>0</v>
      </c>
      <c r="S358" s="629">
        <f t="shared" si="336"/>
        <v>0</v>
      </c>
      <c r="T358" s="629">
        <f t="shared" si="337"/>
        <v>0</v>
      </c>
      <c r="U358" s="629">
        <f t="shared" si="338"/>
        <v>0</v>
      </c>
      <c r="V358" s="629">
        <f t="shared" si="339"/>
        <v>0</v>
      </c>
      <c r="W358" s="629">
        <f t="shared" si="340"/>
        <v>0</v>
      </c>
      <c r="X358" s="629">
        <f t="shared" si="341"/>
        <v>0</v>
      </c>
      <c r="Y358" s="629">
        <f t="shared" si="342"/>
        <v>0</v>
      </c>
      <c r="Z358" s="629">
        <f t="shared" si="343"/>
        <v>0</v>
      </c>
      <c r="AA358" s="629"/>
      <c r="AB358" s="629"/>
      <c r="AC358" s="629"/>
      <c r="AD358" s="629"/>
      <c r="AE358" s="629"/>
      <c r="AF358" s="629"/>
      <c r="AG358" s="629"/>
      <c r="AH358" s="629"/>
      <c r="AI358" s="629"/>
      <c r="AJ358" s="629"/>
    </row>
    <row r="359" spans="1:36" x14ac:dyDescent="0.25">
      <c r="A359" t="s">
        <v>424</v>
      </c>
      <c r="H359" s="454" t="s">
        <v>671</v>
      </c>
      <c r="I359" s="496" t="s">
        <v>436</v>
      </c>
      <c r="K359" s="549"/>
      <c r="L359" s="549">
        <f>L357*L353/(1-L351)</f>
        <v>666.04032000000007</v>
      </c>
      <c r="M359" s="549">
        <f>M357*M353/(1-M351)</f>
        <v>932.45644800000014</v>
      </c>
      <c r="N359" s="549">
        <f t="shared" ref="N359:AJ359" si="344">N357*N353/(1-N351)</f>
        <v>1332.0806400000001</v>
      </c>
      <c r="O359" s="549">
        <f t="shared" si="344"/>
        <v>1332.0806400000001</v>
      </c>
      <c r="P359" s="549">
        <f t="shared" si="344"/>
        <v>1332.0806400000001</v>
      </c>
      <c r="Q359" s="549">
        <f t="shared" si="344"/>
        <v>1332.0806400000001</v>
      </c>
      <c r="R359" s="549">
        <f t="shared" si="344"/>
        <v>1332.0806400000001</v>
      </c>
      <c r="S359" s="549">
        <f t="shared" si="344"/>
        <v>1332.0806400000001</v>
      </c>
      <c r="T359" s="549">
        <f t="shared" si="344"/>
        <v>1332.0806400000001</v>
      </c>
      <c r="U359" s="549">
        <f t="shared" si="344"/>
        <v>1332.0806400000001</v>
      </c>
      <c r="V359" s="549">
        <f t="shared" si="344"/>
        <v>1332.0806400000001</v>
      </c>
      <c r="W359" s="549">
        <f t="shared" si="344"/>
        <v>1332.0806400000001</v>
      </c>
      <c r="X359" s="549">
        <f t="shared" si="344"/>
        <v>1332.0806400000001</v>
      </c>
      <c r="Y359" s="549">
        <f t="shared" si="344"/>
        <v>1332.0806400000001</v>
      </c>
      <c r="Z359" s="549">
        <f t="shared" si="344"/>
        <v>1332.0806400000001</v>
      </c>
      <c r="AA359" s="549"/>
      <c r="AB359" s="549"/>
      <c r="AC359" s="549"/>
      <c r="AD359" s="549"/>
      <c r="AE359" s="549"/>
      <c r="AF359" s="549"/>
      <c r="AG359" s="549"/>
      <c r="AH359" s="549"/>
      <c r="AI359" s="549"/>
      <c r="AJ359" s="549"/>
    </row>
    <row r="360" spans="1:36" x14ac:dyDescent="0.25">
      <c r="A360" t="s">
        <v>424</v>
      </c>
      <c r="H360" s="454" t="s">
        <v>675</v>
      </c>
      <c r="I360" s="496" t="s">
        <v>436</v>
      </c>
      <c r="K360" s="549"/>
      <c r="L360" s="549">
        <f>L358*L353/(1-L351)</f>
        <v>0</v>
      </c>
      <c r="M360" s="549">
        <f t="shared" ref="M360:AJ360" si="345">M358*M353/(1-M351)</f>
        <v>0</v>
      </c>
      <c r="N360" s="549">
        <f t="shared" si="345"/>
        <v>0</v>
      </c>
      <c r="O360" s="549">
        <f t="shared" si="345"/>
        <v>0</v>
      </c>
      <c r="P360" s="549">
        <f t="shared" si="345"/>
        <v>0</v>
      </c>
      <c r="Q360" s="549">
        <f t="shared" si="345"/>
        <v>0</v>
      </c>
      <c r="R360" s="549">
        <f t="shared" si="345"/>
        <v>0</v>
      </c>
      <c r="S360" s="549">
        <f t="shared" si="345"/>
        <v>0</v>
      </c>
      <c r="T360" s="549">
        <f t="shared" si="345"/>
        <v>0</v>
      </c>
      <c r="U360" s="549">
        <f t="shared" si="345"/>
        <v>0</v>
      </c>
      <c r="V360" s="549">
        <f t="shared" si="345"/>
        <v>0</v>
      </c>
      <c r="W360" s="549">
        <f t="shared" si="345"/>
        <v>0</v>
      </c>
      <c r="X360" s="549">
        <f t="shared" si="345"/>
        <v>0</v>
      </c>
      <c r="Y360" s="549">
        <f t="shared" si="345"/>
        <v>0</v>
      </c>
      <c r="Z360" s="549">
        <f t="shared" si="345"/>
        <v>0</v>
      </c>
      <c r="AA360" s="549"/>
      <c r="AB360" s="549"/>
      <c r="AC360" s="549"/>
      <c r="AD360" s="549"/>
      <c r="AE360" s="549"/>
      <c r="AF360" s="549"/>
      <c r="AG360" s="549"/>
      <c r="AH360" s="549"/>
      <c r="AI360" s="549"/>
      <c r="AJ360" s="549"/>
    </row>
    <row r="361" spans="1:36" x14ac:dyDescent="0.25">
      <c r="A361" t="s">
        <v>424</v>
      </c>
      <c r="K361" s="243"/>
      <c r="L361" s="243"/>
      <c r="M361" s="243"/>
      <c r="N361" s="243"/>
      <c r="O361" s="243"/>
      <c r="P361" s="243"/>
      <c r="Q361" s="243"/>
      <c r="R361" s="243"/>
      <c r="S361" s="243"/>
      <c r="T361" s="243"/>
      <c r="U361" s="243"/>
      <c r="V361" s="243"/>
      <c r="W361" s="243"/>
      <c r="X361" s="243"/>
      <c r="Y361" s="243"/>
      <c r="Z361" s="243"/>
      <c r="AA361" s="243"/>
      <c r="AB361" s="243"/>
      <c r="AC361" s="243"/>
      <c r="AD361" s="243"/>
      <c r="AE361" s="243"/>
      <c r="AF361" s="243"/>
      <c r="AG361" s="243"/>
      <c r="AH361" s="243"/>
      <c r="AI361" s="243"/>
      <c r="AJ361" s="243"/>
    </row>
    <row r="362" spans="1:36" x14ac:dyDescent="0.25">
      <c r="A362" t="s">
        <v>424</v>
      </c>
      <c r="K362" s="243"/>
      <c r="L362" s="243"/>
      <c r="M362" s="243"/>
      <c r="N362" s="243"/>
      <c r="O362" s="243"/>
      <c r="P362" s="243"/>
      <c r="Q362" s="243"/>
      <c r="R362" s="243"/>
      <c r="S362" s="243"/>
      <c r="T362" s="243"/>
      <c r="U362" s="243"/>
      <c r="V362" s="243"/>
      <c r="W362" s="243"/>
      <c r="X362" s="243"/>
      <c r="Y362" s="243"/>
      <c r="Z362" s="243"/>
      <c r="AA362" s="243"/>
      <c r="AB362" s="243"/>
      <c r="AC362" s="243"/>
      <c r="AD362" s="243"/>
      <c r="AE362" s="243"/>
      <c r="AF362" s="243"/>
      <c r="AG362" s="243"/>
      <c r="AH362" s="243"/>
      <c r="AI362" s="243"/>
      <c r="AJ362" s="243"/>
    </row>
    <row r="363" spans="1:36" x14ac:dyDescent="0.25">
      <c r="A363" t="s">
        <v>424</v>
      </c>
      <c r="K363" s="243"/>
      <c r="L363" s="243"/>
      <c r="M363" s="243"/>
      <c r="N363" s="243"/>
      <c r="O363" s="243"/>
      <c r="P363" s="243"/>
      <c r="Q363" s="243"/>
      <c r="R363" s="243"/>
      <c r="S363" s="243"/>
      <c r="T363" s="243"/>
      <c r="U363" s="243"/>
      <c r="V363" s="243"/>
      <c r="W363" s="243"/>
      <c r="X363" s="243"/>
      <c r="Y363" s="243"/>
      <c r="Z363" s="243"/>
      <c r="AA363" s="243"/>
      <c r="AB363" s="243"/>
      <c r="AC363" s="243"/>
      <c r="AD363" s="243"/>
      <c r="AE363" s="243"/>
      <c r="AF363" s="243"/>
      <c r="AG363" s="243"/>
      <c r="AH363" s="243"/>
      <c r="AI363" s="243"/>
      <c r="AJ363" s="243"/>
    </row>
    <row r="364" spans="1:36" s="1" customFormat="1" x14ac:dyDescent="0.25">
      <c r="A364" s="1" t="s">
        <v>424</v>
      </c>
      <c r="H364" s="266" t="s">
        <v>434</v>
      </c>
      <c r="I364" s="267" t="str">
        <f t="shared" ref="I364:I372" si="346">IF($H$9="USD","USD","tr. VND")</f>
        <v>tr. VND</v>
      </c>
      <c r="K364" s="268">
        <f t="shared" ref="K364" si="347">SUM(K365:K366,K369:K372,)</f>
        <v>0</v>
      </c>
      <c r="L364" s="268">
        <f>SUM(L365:L366,L369:L372,)</f>
        <v>-43649.936933333331</v>
      </c>
      <c r="M364" s="268">
        <f t="shared" ref="M364:AJ364" si="348">SUM(M365:M366,M369:M372,)</f>
        <v>-43649.936933333331</v>
      </c>
      <c r="N364" s="268">
        <f t="shared" si="348"/>
        <v>-44549.234633333333</v>
      </c>
      <c r="O364" s="268">
        <f t="shared" si="348"/>
        <v>-45493.497218333338</v>
      </c>
      <c r="P364" s="268">
        <f t="shared" si="348"/>
        <v>-46484.97293258334</v>
      </c>
      <c r="Q364" s="268">
        <f t="shared" si="348"/>
        <v>-47526.022432545833</v>
      </c>
      <c r="R364" s="268">
        <f t="shared" si="348"/>
        <v>-48619.124407506461</v>
      </c>
      <c r="S364" s="268">
        <f t="shared" si="348"/>
        <v>-49766.881481215125</v>
      </c>
      <c r="T364" s="268">
        <f t="shared" si="348"/>
        <v>-50972.026408609207</v>
      </c>
      <c r="U364" s="268">
        <f t="shared" si="348"/>
        <v>-52237.428582373002</v>
      </c>
      <c r="V364" s="268">
        <f t="shared" si="348"/>
        <v>-53566.100864824984</v>
      </c>
      <c r="W364" s="268">
        <f t="shared" si="348"/>
        <v>-54961.20676139956</v>
      </c>
      <c r="X364" s="268">
        <f t="shared" si="348"/>
        <v>-31363.584619469544</v>
      </c>
      <c r="Y364" s="268">
        <f t="shared" si="348"/>
        <v>-32901.688870443017</v>
      </c>
      <c r="Z364" s="268">
        <f t="shared" si="348"/>
        <v>-34516.698333965178</v>
      </c>
      <c r="AA364" s="268"/>
      <c r="AB364" s="268"/>
      <c r="AC364" s="268"/>
      <c r="AD364" s="268"/>
      <c r="AE364" s="268"/>
      <c r="AF364" s="268"/>
      <c r="AG364" s="268"/>
      <c r="AH364" s="268"/>
      <c r="AI364" s="268"/>
      <c r="AJ364" s="268"/>
    </row>
    <row r="365" spans="1:36" x14ac:dyDescent="0.25">
      <c r="A365" t="s">
        <v>424</v>
      </c>
      <c r="B365" t="s">
        <v>173</v>
      </c>
      <c r="H365" s="459" t="s">
        <v>190</v>
      </c>
      <c r="I365" s="493" t="str">
        <f t="shared" si="346"/>
        <v>tr. VND</v>
      </c>
      <c r="K365" s="492"/>
      <c r="L365" s="548" cm="1">
        <f t="array" ref="L365">-SUMPRODUCT('W1'!$BI$10:$NE$60*('W1'!$BI$7:$NE$7=$A365)*('W1'!$BI$8:$NE$8=L$14)*('W1'!$A$10:$A$60=$B365))*$H$10</f>
        <v>-25062.483333333334</v>
      </c>
      <c r="M365" s="548" cm="1">
        <f t="array" ref="M365">-SUMPRODUCT('W1'!$BI$10:$NE$60*('W1'!$BI$7:$NE$7=$A365)*('W1'!$BI$8:$NE$8=M$14)*('W1'!$A$10:$A$60=$B365))*$H$10</f>
        <v>-25062.483333333334</v>
      </c>
      <c r="N365" s="548" cm="1">
        <f t="array" ref="N365">-SUMPRODUCT('W1'!$BI$10:$NE$60*('W1'!$BI$7:$NE$7=$A365)*('W1'!$BI$8:$NE$8=N$14)*('W1'!$A$10:$A$60=$B365))*$H$10</f>
        <v>-25062.483333333334</v>
      </c>
      <c r="O365" s="548" cm="1">
        <f t="array" ref="O365">-SUMPRODUCT('W1'!$BI$10:$NE$60*('W1'!$BI$7:$NE$7=$A365)*('W1'!$BI$8:$NE$8=O$14)*('W1'!$A$10:$A$60=$B365))*$H$10</f>
        <v>-25062.483333333334</v>
      </c>
      <c r="P365" s="548" cm="1">
        <f t="array" ref="P365">-SUMPRODUCT('W1'!$BI$10:$NE$60*('W1'!$BI$7:$NE$7=$A365)*('W1'!$BI$8:$NE$8=P$14)*('W1'!$A$10:$A$60=$B365))*$H$10</f>
        <v>-25062.483333333334</v>
      </c>
      <c r="Q365" s="548" cm="1">
        <f t="array" ref="Q365">-SUMPRODUCT('W1'!$BI$10:$NE$60*('W1'!$BI$7:$NE$7=$A365)*('W1'!$BI$8:$NE$8=Q$14)*('W1'!$A$10:$A$60=$B365))*$H$10</f>
        <v>-25062.483333333334</v>
      </c>
      <c r="R365" s="548" cm="1">
        <f t="array" ref="R365">-SUMPRODUCT('W1'!$BI$10:$NE$60*('W1'!$BI$7:$NE$7=$A365)*('W1'!$BI$8:$NE$8=R$14)*('W1'!$A$10:$A$60=$B365))*$H$10</f>
        <v>-25062.483333333334</v>
      </c>
      <c r="S365" s="548" cm="1">
        <f t="array" ref="S365">-SUMPRODUCT('W1'!$BI$10:$NE$60*('W1'!$BI$7:$NE$7=$A365)*('W1'!$BI$8:$NE$8=S$14)*('W1'!$A$10:$A$60=$B365))*$H$10</f>
        <v>-25062.483333333334</v>
      </c>
      <c r="T365" s="548" cm="1">
        <f t="array" ref="T365">-SUMPRODUCT('W1'!$BI$10:$NE$60*('W1'!$BI$7:$NE$7=$A365)*('W1'!$BI$8:$NE$8=T$14)*('W1'!$A$10:$A$60=$B365))*$H$10</f>
        <v>-25062.483333333334</v>
      </c>
      <c r="U365" s="548" cm="1">
        <f t="array" ref="U365">-SUMPRODUCT('W1'!$BI$10:$NE$60*('W1'!$BI$7:$NE$7=$A365)*('W1'!$BI$8:$NE$8=U$14)*('W1'!$A$10:$A$60=$B365))*$H$10</f>
        <v>-25062.483333333334</v>
      </c>
      <c r="V365" s="548" cm="1">
        <f t="array" ref="V365">-SUMPRODUCT('W1'!$BI$10:$NE$60*('W1'!$BI$7:$NE$7=$A365)*('W1'!$BI$8:$NE$8=V$14)*('W1'!$A$10:$A$60=$B365))*$H$10</f>
        <v>-25062.483333333334</v>
      </c>
      <c r="W365" s="548" cm="1">
        <f t="array" ref="W365">-SUMPRODUCT('W1'!$BI$10:$NE$60*('W1'!$BI$7:$NE$7=$A365)*('W1'!$BI$8:$NE$8=W$14)*('W1'!$A$10:$A$60=$B365))*$H$10</f>
        <v>-25062.483333333334</v>
      </c>
      <c r="X365" s="548" cm="1">
        <f t="array" ref="X365">-SUMPRODUCT('W1'!$BI$10:$NE$60*('W1'!$BI$7:$NE$7=$A365)*('W1'!$BI$8:$NE$8=X$14)*('W1'!$A$10:$A$60=$B365))*$H$10</f>
        <v>0</v>
      </c>
      <c r="Y365" s="548" cm="1">
        <f t="array" ref="Y365">-SUMPRODUCT('W1'!$BI$10:$NE$60*('W1'!$BI$7:$NE$7=$A365)*('W1'!$BI$8:$NE$8=Y$14)*('W1'!$A$10:$A$60=$B365))*$H$10</f>
        <v>0</v>
      </c>
      <c r="Z365" s="548" cm="1">
        <f t="array" ref="Z365">-SUMPRODUCT('W1'!$BI$10:$NE$60*('W1'!$BI$7:$NE$7=$A365)*('W1'!$BI$8:$NE$8=Z$14)*('W1'!$A$10:$A$60=$B365))*$H$10</f>
        <v>0</v>
      </c>
      <c r="AA365" s="548"/>
      <c r="AB365" s="548"/>
      <c r="AC365" s="548"/>
      <c r="AD365" s="548"/>
      <c r="AE365" s="548"/>
      <c r="AF365" s="548"/>
      <c r="AG365" s="548"/>
      <c r="AH365" s="548"/>
      <c r="AI365" s="548"/>
      <c r="AJ365" s="548"/>
    </row>
    <row r="366" spans="1:36" x14ac:dyDescent="0.25">
      <c r="A366" t="s">
        <v>424</v>
      </c>
      <c r="H366" s="454" t="s">
        <v>429</v>
      </c>
      <c r="I366" s="496" t="str">
        <f t="shared" si="346"/>
        <v>tr. VND</v>
      </c>
      <c r="K366" s="549">
        <f>SUM(K367:K368)</f>
        <v>0</v>
      </c>
      <c r="L366" s="549">
        <f t="shared" ref="L366:AJ366" si="349">SUM(L367:L368)</f>
        <v>-6011.46</v>
      </c>
      <c r="M366" s="549">
        <f t="shared" si="349"/>
        <v>-6011.46</v>
      </c>
      <c r="N366" s="549">
        <f t="shared" si="349"/>
        <v>-6312.0329999999994</v>
      </c>
      <c r="O366" s="549">
        <f t="shared" si="349"/>
        <v>-6627.63465</v>
      </c>
      <c r="P366" s="549">
        <f t="shared" si="349"/>
        <v>-6959.0163825000009</v>
      </c>
      <c r="Q366" s="549">
        <f t="shared" si="349"/>
        <v>-7306.9672016249997</v>
      </c>
      <c r="R366" s="549">
        <f t="shared" si="349"/>
        <v>-7672.3155617062503</v>
      </c>
      <c r="S366" s="549">
        <f t="shared" si="349"/>
        <v>-8055.931339791563</v>
      </c>
      <c r="T366" s="549">
        <f t="shared" si="349"/>
        <v>-8458.7279067811414</v>
      </c>
      <c r="U366" s="549">
        <f t="shared" si="349"/>
        <v>-8881.664302120198</v>
      </c>
      <c r="V366" s="549">
        <f t="shared" si="349"/>
        <v>-9325.7475172262075</v>
      </c>
      <c r="W366" s="549">
        <f t="shared" si="349"/>
        <v>-9792.0348930875189</v>
      </c>
      <c r="X366" s="549">
        <f t="shared" si="349"/>
        <v>-10281.636637741896</v>
      </c>
      <c r="Y366" s="549">
        <f t="shared" si="349"/>
        <v>-10795.718469628988</v>
      </c>
      <c r="Z366" s="549">
        <f t="shared" si="349"/>
        <v>-11335.504393110441</v>
      </c>
      <c r="AA366" s="549"/>
      <c r="AB366" s="549"/>
      <c r="AC366" s="549"/>
      <c r="AD366" s="549"/>
      <c r="AE366" s="549"/>
      <c r="AF366" s="549"/>
      <c r="AG366" s="549"/>
      <c r="AH366" s="549"/>
      <c r="AI366" s="549"/>
      <c r="AJ366" s="549"/>
    </row>
    <row r="367" spans="1:36" s="299" customFormat="1" x14ac:dyDescent="0.25">
      <c r="A367" s="299" t="s">
        <v>424</v>
      </c>
      <c r="B367" s="299" t="s">
        <v>449</v>
      </c>
      <c r="H367" s="553" t="s">
        <v>430</v>
      </c>
      <c r="I367" s="554" t="str">
        <f t="shared" si="346"/>
        <v>tr. VND</v>
      </c>
      <c r="K367" s="555"/>
      <c r="L367" s="555" cm="1">
        <f t="array" ref="L367">-SUMPRODUCT('W2'!$M$12:$V$112*('W2'!$M$7:$V$7=$A367)*('W2'!$A$12:$A$112=$B367))*$H$10*POWER(1+Inflation,L$11+1)</f>
        <v>-982.8</v>
      </c>
      <c r="M367" s="555" cm="1">
        <f t="array" ref="M367">-SUMPRODUCT('W2'!$M$12:$V$112*('W2'!$M$7:$V$7=$A367)*('W2'!$A$12:$A$112=$B367))*$H$10*POWER(1+Inflation,M$11+1)</f>
        <v>-982.8</v>
      </c>
      <c r="N367" s="555" cm="1">
        <f t="array" ref="N367">-SUMPRODUCT('W2'!$M$12:$V$112*('W2'!$M$7:$V$7=$A367)*('W2'!$A$12:$A$112=$B367))*$H$10*POWER(1+Inflation,N$11+1)</f>
        <v>-1031.94</v>
      </c>
      <c r="O367" s="555" cm="1">
        <f t="array" ref="O367">-SUMPRODUCT('W2'!$M$12:$V$112*('W2'!$M$7:$V$7=$A367)*('W2'!$A$12:$A$112=$B367))*$H$10*POWER(1+Inflation,O$11+1)</f>
        <v>-1083.537</v>
      </c>
      <c r="P367" s="555" cm="1">
        <f t="array" ref="P367">-SUMPRODUCT('W2'!$M$12:$V$112*('W2'!$M$7:$V$7=$A367)*('W2'!$A$12:$A$112=$B367))*$H$10*POWER(1+Inflation,P$11+1)</f>
        <v>-1137.7138500000001</v>
      </c>
      <c r="Q367" s="555" cm="1">
        <f t="array" ref="Q367">-SUMPRODUCT('W2'!$M$12:$V$112*('W2'!$M$7:$V$7=$A367)*('W2'!$A$12:$A$112=$B367))*$H$10*POWER(1+Inflation,Q$11+1)</f>
        <v>-1194.5995424999999</v>
      </c>
      <c r="R367" s="555" cm="1">
        <f t="array" ref="R367">-SUMPRODUCT('W2'!$M$12:$V$112*('W2'!$M$7:$V$7=$A367)*('W2'!$A$12:$A$112=$B367))*$H$10*POWER(1+Inflation,R$11+1)</f>
        <v>-1254.3295196250001</v>
      </c>
      <c r="S367" s="555" cm="1">
        <f t="array" ref="S367">-SUMPRODUCT('W2'!$M$12:$V$112*('W2'!$M$7:$V$7=$A367)*('W2'!$A$12:$A$112=$B367))*$H$10*POWER(1+Inflation,S$11+1)</f>
        <v>-1317.04599560625</v>
      </c>
      <c r="T367" s="555" cm="1">
        <f t="array" ref="T367">-SUMPRODUCT('W2'!$M$12:$V$112*('W2'!$M$7:$V$7=$A367)*('W2'!$A$12:$A$112=$B367))*$H$10*POWER(1+Inflation,T$11+1)</f>
        <v>-1382.8982953865627</v>
      </c>
      <c r="U367" s="555" cm="1">
        <f t="array" ref="U367">-SUMPRODUCT('W2'!$M$12:$V$112*('W2'!$M$7:$V$7=$A367)*('W2'!$A$12:$A$112=$B367))*$H$10*POWER(1+Inflation,U$11+1)</f>
        <v>-1452.0432101558906</v>
      </c>
      <c r="V367" s="555" cm="1">
        <f t="array" ref="V367">-SUMPRODUCT('W2'!$M$12:$V$112*('W2'!$M$7:$V$7=$A367)*('W2'!$A$12:$A$112=$B367))*$H$10*POWER(1+Inflation,V$11+1)</f>
        <v>-1524.6453706636853</v>
      </c>
      <c r="W367" s="555" cm="1">
        <f t="array" ref="W367">-SUMPRODUCT('W2'!$M$12:$V$112*('W2'!$M$7:$V$7=$A367)*('W2'!$A$12:$A$112=$B367))*$H$10*POWER(1+Inflation,W$11+1)</f>
        <v>-1600.8776391968695</v>
      </c>
      <c r="X367" s="555" cm="1">
        <f t="array" ref="X367">-SUMPRODUCT('W2'!$M$12:$V$112*('W2'!$M$7:$V$7=$A367)*('W2'!$A$12:$A$112=$B367))*$H$10*POWER(1+Inflation,X$11+1)</f>
        <v>-1680.9215211567132</v>
      </c>
      <c r="Y367" s="555" cm="1">
        <f t="array" ref="Y367">-SUMPRODUCT('W2'!$M$12:$V$112*('W2'!$M$7:$V$7=$A367)*('W2'!$A$12:$A$112=$B367))*$H$10*POWER(1+Inflation,Y$11+1)</f>
        <v>-1764.9675972145485</v>
      </c>
      <c r="Z367" s="555" cm="1">
        <f t="array" ref="Z367">-SUMPRODUCT('W2'!$M$12:$V$112*('W2'!$M$7:$V$7=$A367)*('W2'!$A$12:$A$112=$B367))*$H$10*POWER(1+Inflation,Z$11+1)</f>
        <v>-1853.2159770752762</v>
      </c>
      <c r="AA367" s="555"/>
      <c r="AB367" s="555"/>
      <c r="AC367" s="555"/>
      <c r="AD367" s="555"/>
      <c r="AE367" s="555"/>
      <c r="AF367" s="555"/>
      <c r="AG367" s="555"/>
      <c r="AH367" s="555"/>
      <c r="AI367" s="555"/>
      <c r="AJ367" s="555"/>
    </row>
    <row r="368" spans="1:36" s="299" customFormat="1" x14ac:dyDescent="0.25">
      <c r="A368" s="299" t="s">
        <v>424</v>
      </c>
      <c r="B368" s="299" t="s">
        <v>450</v>
      </c>
      <c r="H368" s="553" t="s">
        <v>431</v>
      </c>
      <c r="I368" s="554" t="str">
        <f t="shared" si="346"/>
        <v>tr. VND</v>
      </c>
      <c r="K368" s="555"/>
      <c r="L368" s="555" cm="1">
        <f t="array" ref="L368">-SUMPRODUCT('W2'!$M$12:$V$112*('W2'!$M$7:$V$7=$A368)*('W2'!$A$12:$A$112=$B368))*$H$10*POWER(1+Inflation,L$11+1)</f>
        <v>-5028.66</v>
      </c>
      <c r="M368" s="555" cm="1">
        <f t="array" ref="M368">-SUMPRODUCT('W2'!$M$12:$V$112*('W2'!$M$7:$V$7=$A368)*('W2'!$A$12:$A$112=$B368))*$H$10*POWER(1+Inflation,M$11+1)</f>
        <v>-5028.66</v>
      </c>
      <c r="N368" s="555" cm="1">
        <f t="array" ref="N368">-SUMPRODUCT('W2'!$M$12:$V$112*('W2'!$M$7:$V$7=$A368)*('W2'!$A$12:$A$112=$B368))*$H$10*POWER(1+Inflation,N$11+1)</f>
        <v>-5280.0929999999998</v>
      </c>
      <c r="O368" s="555" cm="1">
        <f t="array" ref="O368">-SUMPRODUCT('W2'!$M$12:$V$112*('W2'!$M$7:$V$7=$A368)*('W2'!$A$12:$A$112=$B368))*$H$10*POWER(1+Inflation,O$11+1)</f>
        <v>-5544.0976499999997</v>
      </c>
      <c r="P368" s="555" cm="1">
        <f t="array" ref="P368">-SUMPRODUCT('W2'!$M$12:$V$112*('W2'!$M$7:$V$7=$A368)*('W2'!$A$12:$A$112=$B368))*$H$10*POWER(1+Inflation,P$11+1)</f>
        <v>-5821.3025325000008</v>
      </c>
      <c r="Q368" s="555" cm="1">
        <f t="array" ref="Q368">-SUMPRODUCT('W2'!$M$12:$V$112*('W2'!$M$7:$V$7=$A368)*('W2'!$A$12:$A$112=$B368))*$H$10*POWER(1+Inflation,Q$11+1)</f>
        <v>-6112.3676591249996</v>
      </c>
      <c r="R368" s="555" cm="1">
        <f t="array" ref="R368">-SUMPRODUCT('W2'!$M$12:$V$112*('W2'!$M$7:$V$7=$A368)*('W2'!$A$12:$A$112=$B368))*$H$10*POWER(1+Inflation,R$11+1)</f>
        <v>-6417.9860420812502</v>
      </c>
      <c r="S368" s="555" cm="1">
        <f t="array" ref="S368">-SUMPRODUCT('W2'!$M$12:$V$112*('W2'!$M$7:$V$7=$A368)*('W2'!$A$12:$A$112=$B368))*$H$10*POWER(1+Inflation,S$11+1)</f>
        <v>-6738.8853441853125</v>
      </c>
      <c r="T368" s="555" cm="1">
        <f t="array" ref="T368">-SUMPRODUCT('W2'!$M$12:$V$112*('W2'!$M$7:$V$7=$A368)*('W2'!$A$12:$A$112=$B368))*$H$10*POWER(1+Inflation,T$11+1)</f>
        <v>-7075.8296113945789</v>
      </c>
      <c r="U368" s="555" cm="1">
        <f t="array" ref="U368">-SUMPRODUCT('W2'!$M$12:$V$112*('W2'!$M$7:$V$7=$A368)*('W2'!$A$12:$A$112=$B368))*$H$10*POWER(1+Inflation,U$11+1)</f>
        <v>-7429.6210919643072</v>
      </c>
      <c r="V368" s="555" cm="1">
        <f t="array" ref="V368">-SUMPRODUCT('W2'!$M$12:$V$112*('W2'!$M$7:$V$7=$A368)*('W2'!$A$12:$A$112=$B368))*$H$10*POWER(1+Inflation,V$11+1)</f>
        <v>-7801.1021465625226</v>
      </c>
      <c r="W368" s="555" cm="1">
        <f t="array" ref="W368">-SUMPRODUCT('W2'!$M$12:$V$112*('W2'!$M$7:$V$7=$A368)*('W2'!$A$12:$A$112=$B368))*$H$10*POWER(1+Inflation,W$11+1)</f>
        <v>-8191.1572538906494</v>
      </c>
      <c r="X368" s="555" cm="1">
        <f t="array" ref="X368">-SUMPRODUCT('W2'!$M$12:$V$112*('W2'!$M$7:$V$7=$A368)*('W2'!$A$12:$A$112=$B368))*$H$10*POWER(1+Inflation,X$11+1)</f>
        <v>-8600.7151165851828</v>
      </c>
      <c r="Y368" s="555" cm="1">
        <f t="array" ref="Y368">-SUMPRODUCT('W2'!$M$12:$V$112*('W2'!$M$7:$V$7=$A368)*('W2'!$A$12:$A$112=$B368))*$H$10*POWER(1+Inflation,Y$11+1)</f>
        <v>-9030.7508724144391</v>
      </c>
      <c r="Z368" s="555" cm="1">
        <f t="array" ref="Z368">-SUMPRODUCT('W2'!$M$12:$V$112*('W2'!$M$7:$V$7=$A368)*('W2'!$A$12:$A$112=$B368))*$H$10*POWER(1+Inflation,Z$11+1)</f>
        <v>-9482.2884160351641</v>
      </c>
      <c r="AA368" s="555"/>
      <c r="AB368" s="555"/>
      <c r="AC368" s="555"/>
      <c r="AD368" s="555"/>
      <c r="AE368" s="555"/>
      <c r="AF368" s="555"/>
      <c r="AG368" s="555"/>
      <c r="AH368" s="555"/>
      <c r="AI368" s="555"/>
      <c r="AJ368" s="555"/>
    </row>
    <row r="369" spans="1:36" x14ac:dyDescent="0.25">
      <c r="A369" t="s">
        <v>424</v>
      </c>
      <c r="B369" t="s">
        <v>451</v>
      </c>
      <c r="H369" s="454" t="s">
        <v>656</v>
      </c>
      <c r="I369" s="496" t="str">
        <f t="shared" si="346"/>
        <v>tr. VND</v>
      </c>
      <c r="K369" s="549"/>
      <c r="L369" s="549" cm="1">
        <f t="array" ref="L369">-SUMPRODUCT('W2'!$M$12:$V$112*('W2'!$M$7:$V$7=$A369)*('W2'!$A$12:$A$112=$B369))*$H$10*POWER(1+Inflation,L$11+1)</f>
        <v>-2400</v>
      </c>
      <c r="M369" s="549" cm="1">
        <f t="array" ref="M369">-SUMPRODUCT('W2'!$M$12:$V$112*('W2'!$M$7:$V$7=$A369)*('W2'!$A$12:$A$112=$B369))*$H$10*POWER(1+Inflation,M$11+1)</f>
        <v>-2400</v>
      </c>
      <c r="N369" s="549" cm="1">
        <f t="array" ref="N369">-SUMPRODUCT('W2'!$M$12:$V$112*('W2'!$M$7:$V$7=$A369)*('W2'!$A$12:$A$112=$B369))*$H$10*POWER(1+Inflation,N$11+1)</f>
        <v>-2520</v>
      </c>
      <c r="O369" s="549" cm="1">
        <f t="array" ref="O369">-SUMPRODUCT('W2'!$M$12:$V$112*('W2'!$M$7:$V$7=$A369)*('W2'!$A$12:$A$112=$B369))*$H$10*POWER(1+Inflation,O$11+1)</f>
        <v>-2646</v>
      </c>
      <c r="P369" s="549" cm="1">
        <f t="array" ref="P369">-SUMPRODUCT('W2'!$M$12:$V$112*('W2'!$M$7:$V$7=$A369)*('W2'!$A$12:$A$112=$B369))*$H$10*POWER(1+Inflation,P$11+1)</f>
        <v>-2778.3</v>
      </c>
      <c r="Q369" s="549" cm="1">
        <f t="array" ref="Q369">-SUMPRODUCT('W2'!$M$12:$V$112*('W2'!$M$7:$V$7=$A369)*('W2'!$A$12:$A$112=$B369))*$H$10*POWER(1+Inflation,Q$11+1)</f>
        <v>-2917.2150000000001</v>
      </c>
      <c r="R369" s="549" cm="1">
        <f t="array" ref="R369">-SUMPRODUCT('W2'!$M$12:$V$112*('W2'!$M$7:$V$7=$A369)*('W2'!$A$12:$A$112=$B369))*$H$10*POWER(1+Inflation,R$11+1)</f>
        <v>-3063.0757500000004</v>
      </c>
      <c r="S369" s="549" cm="1">
        <f t="array" ref="S369">-SUMPRODUCT('W2'!$M$12:$V$112*('W2'!$M$7:$V$7=$A369)*('W2'!$A$12:$A$112=$B369))*$H$10*POWER(1+Inflation,S$11+1)</f>
        <v>-3216.2295374999999</v>
      </c>
      <c r="T369" s="549" cm="1">
        <f t="array" ref="T369">-SUMPRODUCT('W2'!$M$12:$V$112*('W2'!$M$7:$V$7=$A369)*('W2'!$A$12:$A$112=$B369))*$H$10*POWER(1+Inflation,T$11+1)</f>
        <v>-3377.0410143750005</v>
      </c>
      <c r="U369" s="549" cm="1">
        <f t="array" ref="U369">-SUMPRODUCT('W2'!$M$12:$V$112*('W2'!$M$7:$V$7=$A369)*('W2'!$A$12:$A$112=$B369))*$H$10*POWER(1+Inflation,U$11+1)</f>
        <v>-3545.89306509375</v>
      </c>
      <c r="V369" s="549" cm="1">
        <f t="array" ref="V369">-SUMPRODUCT('W2'!$M$12:$V$112*('W2'!$M$7:$V$7=$A369)*('W2'!$A$12:$A$112=$B369))*$H$10*POWER(1+Inflation,V$11+1)</f>
        <v>-3723.187718348438</v>
      </c>
      <c r="W369" s="549" cm="1">
        <f t="array" ref="W369">-SUMPRODUCT('W2'!$M$12:$V$112*('W2'!$M$7:$V$7=$A369)*('W2'!$A$12:$A$112=$B369))*$H$10*POWER(1+Inflation,W$11+1)</f>
        <v>-3909.3471042658598</v>
      </c>
      <c r="X369" s="549" cm="1">
        <f t="array" ref="X369">-SUMPRODUCT('W2'!$M$12:$V$112*('W2'!$M$7:$V$7=$A369)*('W2'!$A$12:$A$112=$B369))*$H$10*POWER(1+Inflation,X$11+1)</f>
        <v>-4104.8144594791529</v>
      </c>
      <c r="Y369" s="549" cm="1">
        <f t="array" ref="Y369">-SUMPRODUCT('W2'!$M$12:$V$112*('W2'!$M$7:$V$7=$A369)*('W2'!$A$12:$A$112=$B369))*$H$10*POWER(1+Inflation,Y$11+1)</f>
        <v>-4310.0551824531103</v>
      </c>
      <c r="Z369" s="549" cm="1">
        <f t="array" ref="Z369">-SUMPRODUCT('W2'!$M$12:$V$112*('W2'!$M$7:$V$7=$A369)*('W2'!$A$12:$A$112=$B369))*$H$10*POWER(1+Inflation,Z$11+1)</f>
        <v>-4525.5579415757666</v>
      </c>
      <c r="AA369" s="549"/>
      <c r="AB369" s="549"/>
      <c r="AC369" s="549"/>
      <c r="AD369" s="549"/>
      <c r="AE369" s="549"/>
      <c r="AF369" s="549"/>
      <c r="AG369" s="549"/>
      <c r="AH369" s="549"/>
      <c r="AI369" s="549"/>
      <c r="AJ369" s="549"/>
    </row>
    <row r="370" spans="1:36" x14ac:dyDescent="0.25">
      <c r="A370" t="s">
        <v>424</v>
      </c>
      <c r="B370" t="s">
        <v>452</v>
      </c>
      <c r="H370" s="454" t="s">
        <v>432</v>
      </c>
      <c r="I370" s="496" t="str">
        <f t="shared" si="346"/>
        <v>tr. VND</v>
      </c>
      <c r="K370" s="549"/>
      <c r="L370" s="549" cm="1">
        <f t="array" ref="L370">-SUMPRODUCT('W2'!$M$12:$V$112*('W2'!$M$7:$V$7=$A370)*('W2'!$A$12:$A$112=$B370))*$H$10*POWER(1+Inflation,L$11+1)</f>
        <v>-9022.4939999999988</v>
      </c>
      <c r="M370" s="549" cm="1">
        <f t="array" ref="M370">-SUMPRODUCT('W2'!$M$12:$V$112*('W2'!$M$7:$V$7=$A370)*('W2'!$A$12:$A$112=$B370))*$H$10*POWER(1+Inflation,M$11+1)</f>
        <v>-9022.4939999999988</v>
      </c>
      <c r="N370" s="549" cm="1">
        <f t="array" ref="N370">-SUMPRODUCT('W2'!$M$12:$V$112*('W2'!$M$7:$V$7=$A370)*('W2'!$A$12:$A$112=$B370))*$H$10*POWER(1+Inflation,N$11+1)</f>
        <v>-9473.6186999999991</v>
      </c>
      <c r="O370" s="549" cm="1">
        <f t="array" ref="O370">-SUMPRODUCT('W2'!$M$12:$V$112*('W2'!$M$7:$V$7=$A370)*('W2'!$A$12:$A$112=$B370))*$H$10*POWER(1+Inflation,O$11+1)</f>
        <v>-9947.2996349999994</v>
      </c>
      <c r="P370" s="549" cm="1">
        <f t="array" ref="P370">-SUMPRODUCT('W2'!$M$12:$V$112*('W2'!$M$7:$V$7=$A370)*('W2'!$A$12:$A$112=$B370))*$H$10*POWER(1+Inflation,P$11+1)</f>
        <v>-10444.66461675</v>
      </c>
      <c r="Q370" s="549" cm="1">
        <f t="array" ref="Q370">-SUMPRODUCT('W2'!$M$12:$V$112*('W2'!$M$7:$V$7=$A370)*('W2'!$A$12:$A$112=$B370))*$H$10*POWER(1+Inflation,Q$11+1)</f>
        <v>-10966.897847587499</v>
      </c>
      <c r="R370" s="549" cm="1">
        <f t="array" ref="R370">-SUMPRODUCT('W2'!$M$12:$V$112*('W2'!$M$7:$V$7=$A370)*('W2'!$A$12:$A$112=$B370))*$H$10*POWER(1+Inflation,R$11+1)</f>
        <v>-11515.242739966874</v>
      </c>
      <c r="S370" s="549" cm="1">
        <f t="array" ref="S370">-SUMPRODUCT('W2'!$M$12:$V$112*('W2'!$M$7:$V$7=$A370)*('W2'!$A$12:$A$112=$B370))*$H$10*POWER(1+Inflation,S$11+1)</f>
        <v>-12091.004876965217</v>
      </c>
      <c r="T370" s="549" cm="1">
        <f t="array" ref="T370">-SUMPRODUCT('W2'!$M$12:$V$112*('W2'!$M$7:$V$7=$A370)*('W2'!$A$12:$A$112=$B370))*$H$10*POWER(1+Inflation,T$11+1)</f>
        <v>-12695.55512081348</v>
      </c>
      <c r="U370" s="549" cm="1">
        <f t="array" ref="U370">-SUMPRODUCT('W2'!$M$12:$V$112*('W2'!$M$7:$V$7=$A370)*('W2'!$A$12:$A$112=$B370))*$H$10*POWER(1+Inflation,U$11+1)</f>
        <v>-13330.332876854152</v>
      </c>
      <c r="V370" s="549" cm="1">
        <f t="array" ref="V370">-SUMPRODUCT('W2'!$M$12:$V$112*('W2'!$M$7:$V$7=$A370)*('W2'!$A$12:$A$112=$B370))*$H$10*POWER(1+Inflation,V$11+1)</f>
        <v>-13996.84952069686</v>
      </c>
      <c r="W370" s="549" cm="1">
        <f t="array" ref="W370">-SUMPRODUCT('W2'!$M$12:$V$112*('W2'!$M$7:$V$7=$A370)*('W2'!$A$12:$A$112=$B370))*$H$10*POWER(1+Inflation,W$11+1)</f>
        <v>-14696.691996731704</v>
      </c>
      <c r="X370" s="549" cm="1">
        <f t="array" ref="X370">-SUMPRODUCT('W2'!$M$12:$V$112*('W2'!$M$7:$V$7=$A370)*('W2'!$A$12:$A$112=$B370))*$H$10*POWER(1+Inflation,X$11+1)</f>
        <v>-15431.52659656829</v>
      </c>
      <c r="Y370" s="549" cm="1">
        <f t="array" ref="Y370">-SUMPRODUCT('W2'!$M$12:$V$112*('W2'!$M$7:$V$7=$A370)*('W2'!$A$12:$A$112=$B370))*$H$10*POWER(1+Inflation,Y$11+1)</f>
        <v>-16203.102926396703</v>
      </c>
      <c r="Z370" s="549" cm="1">
        <f t="array" ref="Z370">-SUMPRODUCT('W2'!$M$12:$V$112*('W2'!$M$7:$V$7=$A370)*('W2'!$A$12:$A$112=$B370))*$H$10*POWER(1+Inflation,Z$11+1)</f>
        <v>-17013.25807271654</v>
      </c>
      <c r="AA370" s="549"/>
      <c r="AB370" s="549"/>
      <c r="AC370" s="549"/>
      <c r="AD370" s="549"/>
      <c r="AE370" s="549"/>
      <c r="AF370" s="549"/>
      <c r="AG370" s="549"/>
      <c r="AH370" s="549"/>
      <c r="AI370" s="549"/>
      <c r="AJ370" s="549"/>
    </row>
    <row r="371" spans="1:36" x14ac:dyDescent="0.25">
      <c r="A371" t="s">
        <v>424</v>
      </c>
      <c r="B371" t="s">
        <v>453</v>
      </c>
      <c r="H371" s="454" t="s">
        <v>433</v>
      </c>
      <c r="I371" s="496" t="str">
        <f t="shared" si="346"/>
        <v>tr. VND</v>
      </c>
      <c r="K371" s="549"/>
      <c r="L371" s="549" cm="1">
        <f t="array" ref="L371">-SUMPRODUCT('W2'!$M$12:$V$112*('W2'!$M$7:$V$7=$A371)*('W2'!$A$12:$A$112=$B371))*$H$10*POWER(1+Inflation,L$11+1)</f>
        <v>-552</v>
      </c>
      <c r="M371" s="549" cm="1">
        <f t="array" ref="M371">-SUMPRODUCT('W2'!$M$12:$V$112*('W2'!$M$7:$V$7=$A371)*('W2'!$A$12:$A$112=$B371))*$H$10*POWER(1+Inflation,M$11+1)</f>
        <v>-552</v>
      </c>
      <c r="N371" s="549" cm="1">
        <f t="array" ref="N371">-SUMPRODUCT('W2'!$M$12:$V$112*('W2'!$M$7:$V$7=$A371)*('W2'!$A$12:$A$112=$B371))*$H$10*POWER(1+Inflation,N$11+1)</f>
        <v>-579.6</v>
      </c>
      <c r="O371" s="549" cm="1">
        <f t="array" ref="O371">-SUMPRODUCT('W2'!$M$12:$V$112*('W2'!$M$7:$V$7=$A371)*('W2'!$A$12:$A$112=$B371))*$H$10*POWER(1+Inflation,O$11+1)</f>
        <v>-608.58000000000004</v>
      </c>
      <c r="P371" s="549" cm="1">
        <f t="array" ref="P371">-SUMPRODUCT('W2'!$M$12:$V$112*('W2'!$M$7:$V$7=$A371)*('W2'!$A$12:$A$112=$B371))*$H$10*POWER(1+Inflation,P$11+1)</f>
        <v>-639.00900000000001</v>
      </c>
      <c r="Q371" s="549" cm="1">
        <f t="array" ref="Q371">-SUMPRODUCT('W2'!$M$12:$V$112*('W2'!$M$7:$V$7=$A371)*('W2'!$A$12:$A$112=$B371))*$H$10*POWER(1+Inflation,Q$11+1)</f>
        <v>-670.95945000000006</v>
      </c>
      <c r="R371" s="549" cm="1">
        <f t="array" ref="R371">-SUMPRODUCT('W2'!$M$12:$V$112*('W2'!$M$7:$V$7=$A371)*('W2'!$A$12:$A$112=$B371))*$H$10*POWER(1+Inflation,R$11+1)</f>
        <v>-704.50742250000008</v>
      </c>
      <c r="S371" s="549" cm="1">
        <f t="array" ref="S371">-SUMPRODUCT('W2'!$M$12:$V$112*('W2'!$M$7:$V$7=$A371)*('W2'!$A$12:$A$112=$B371))*$H$10*POWER(1+Inflation,S$11+1)</f>
        <v>-739.732793625</v>
      </c>
      <c r="T371" s="549" cm="1">
        <f t="array" ref="T371">-SUMPRODUCT('W2'!$M$12:$V$112*('W2'!$M$7:$V$7=$A371)*('W2'!$A$12:$A$112=$B371))*$H$10*POWER(1+Inflation,T$11+1)</f>
        <v>-776.71943330625015</v>
      </c>
      <c r="U371" s="549" cm="1">
        <f t="array" ref="U371">-SUMPRODUCT('W2'!$M$12:$V$112*('W2'!$M$7:$V$7=$A371)*('W2'!$A$12:$A$112=$B371))*$H$10*POWER(1+Inflation,U$11+1)</f>
        <v>-815.55540497156255</v>
      </c>
      <c r="V371" s="549" cm="1">
        <f t="array" ref="V371">-SUMPRODUCT('W2'!$M$12:$V$112*('W2'!$M$7:$V$7=$A371)*('W2'!$A$12:$A$112=$B371))*$H$10*POWER(1+Inflation,V$11+1)</f>
        <v>-856.33317522014067</v>
      </c>
      <c r="W371" s="549" cm="1">
        <f t="array" ref="W371">-SUMPRODUCT('W2'!$M$12:$V$112*('W2'!$M$7:$V$7=$A371)*('W2'!$A$12:$A$112=$B371))*$H$10*POWER(1+Inflation,W$11+1)</f>
        <v>-899.14983398114771</v>
      </c>
      <c r="X371" s="549" cm="1">
        <f t="array" ref="X371">-SUMPRODUCT('W2'!$M$12:$V$112*('W2'!$M$7:$V$7=$A371)*('W2'!$A$12:$A$112=$B371))*$H$10*POWER(1+Inflation,X$11+1)</f>
        <v>-944.10732568020524</v>
      </c>
      <c r="Y371" s="549" cm="1">
        <f t="array" ref="Y371">-SUMPRODUCT('W2'!$M$12:$V$112*('W2'!$M$7:$V$7=$A371)*('W2'!$A$12:$A$112=$B371))*$H$10*POWER(1+Inflation,Y$11+1)</f>
        <v>-991.31269196421533</v>
      </c>
      <c r="Z371" s="549" cm="1">
        <f t="array" ref="Z371">-SUMPRODUCT('W2'!$M$12:$V$112*('W2'!$M$7:$V$7=$A371)*('W2'!$A$12:$A$112=$B371))*$H$10*POWER(1+Inflation,Z$11+1)</f>
        <v>-1040.8783265624263</v>
      </c>
      <c r="AA371" s="549"/>
      <c r="AB371" s="549"/>
      <c r="AC371" s="549"/>
      <c r="AD371" s="549"/>
      <c r="AE371" s="549"/>
      <c r="AF371" s="549"/>
      <c r="AG371" s="549"/>
      <c r="AH371" s="549"/>
      <c r="AI371" s="549"/>
      <c r="AJ371" s="549"/>
    </row>
    <row r="372" spans="1:36" x14ac:dyDescent="0.25">
      <c r="A372" t="s">
        <v>424</v>
      </c>
      <c r="B372" t="s">
        <v>521</v>
      </c>
      <c r="H372" s="454" t="s">
        <v>520</v>
      </c>
      <c r="I372" s="496" t="str">
        <f t="shared" si="346"/>
        <v>tr. VND</v>
      </c>
      <c r="K372" s="549"/>
      <c r="L372" s="549" cm="1">
        <f t="array" ref="L372">-SUMPRODUCT('W2'!$M$12:$V$112*('W2'!$M$7:$V$7=$A372)*('W2'!$A$12:$A$112=$B372))*$H$10</f>
        <v>-601.49959999999999</v>
      </c>
      <c r="M372" s="549" cm="1">
        <f t="array" ref="M372">-SUMPRODUCT('W2'!$M$12:$V$112*('W2'!$M$7:$V$7=$A372)*('W2'!$A$12:$A$112=$B372))*$H$10</f>
        <v>-601.49959999999999</v>
      </c>
      <c r="N372" s="549" cm="1">
        <f t="array" ref="N372">-SUMPRODUCT('W2'!$M$12:$V$112*('W2'!$M$7:$V$7=$A372)*('W2'!$A$12:$A$112=$B372))*$H$10</f>
        <v>-601.49959999999999</v>
      </c>
      <c r="O372" s="549" cm="1">
        <f t="array" ref="O372">-SUMPRODUCT('W2'!$M$12:$V$112*('W2'!$M$7:$V$7=$A372)*('W2'!$A$12:$A$112=$B372))*$H$10</f>
        <v>-601.49959999999999</v>
      </c>
      <c r="P372" s="549" cm="1">
        <f t="array" ref="P372">-SUMPRODUCT('W2'!$M$12:$V$112*('W2'!$M$7:$V$7=$A372)*('W2'!$A$12:$A$112=$B372))*$H$10</f>
        <v>-601.49959999999999</v>
      </c>
      <c r="Q372" s="549" cm="1">
        <f t="array" ref="Q372">-SUMPRODUCT('W2'!$M$12:$V$112*('W2'!$M$7:$V$7=$A372)*('W2'!$A$12:$A$112=$B372))*$H$10</f>
        <v>-601.49959999999999</v>
      </c>
      <c r="R372" s="549" cm="1">
        <f t="array" ref="R372">-SUMPRODUCT('W2'!$M$12:$V$112*('W2'!$M$7:$V$7=$A372)*('W2'!$A$12:$A$112=$B372))*$H$10</f>
        <v>-601.49959999999999</v>
      </c>
      <c r="S372" s="549" cm="1">
        <f t="array" ref="S372">-SUMPRODUCT('W2'!$M$12:$V$112*('W2'!$M$7:$V$7=$A372)*('W2'!$A$12:$A$112=$B372))*$H$10</f>
        <v>-601.49959999999999</v>
      </c>
      <c r="T372" s="549" cm="1">
        <f t="array" ref="T372">-SUMPRODUCT('W2'!$M$12:$V$112*('W2'!$M$7:$V$7=$A372)*('W2'!$A$12:$A$112=$B372))*$H$10</f>
        <v>-601.49959999999999</v>
      </c>
      <c r="U372" s="549" cm="1">
        <f t="array" ref="U372">-SUMPRODUCT('W2'!$M$12:$V$112*('W2'!$M$7:$V$7=$A372)*('W2'!$A$12:$A$112=$B372))*$H$10</f>
        <v>-601.49959999999999</v>
      </c>
      <c r="V372" s="549" cm="1">
        <f t="array" ref="V372">-SUMPRODUCT('W2'!$M$12:$V$112*('W2'!$M$7:$V$7=$A372)*('W2'!$A$12:$A$112=$B372))*$H$10</f>
        <v>-601.49959999999999</v>
      </c>
      <c r="W372" s="549" cm="1">
        <f t="array" ref="W372">-SUMPRODUCT('W2'!$M$12:$V$112*('W2'!$M$7:$V$7=$A372)*('W2'!$A$12:$A$112=$B372))*$H$10</f>
        <v>-601.49959999999999</v>
      </c>
      <c r="X372" s="549" cm="1">
        <f t="array" ref="X372">-SUMPRODUCT('W2'!$M$12:$V$112*('W2'!$M$7:$V$7=$A372)*('W2'!$A$12:$A$112=$B372))*$H$10</f>
        <v>-601.49959999999999</v>
      </c>
      <c r="Y372" s="549" cm="1">
        <f t="array" ref="Y372">-SUMPRODUCT('W2'!$M$12:$V$112*('W2'!$M$7:$V$7=$A372)*('W2'!$A$12:$A$112=$B372))*$H$10</f>
        <v>-601.49959999999999</v>
      </c>
      <c r="Z372" s="549" cm="1">
        <f t="array" ref="Z372">-SUMPRODUCT('W2'!$M$12:$V$112*('W2'!$M$7:$V$7=$A372)*('W2'!$A$12:$A$112=$B372))*$H$10</f>
        <v>-601.49959999999999</v>
      </c>
      <c r="AA372" s="549"/>
      <c r="AB372" s="549"/>
      <c r="AC372" s="549"/>
      <c r="AD372" s="549"/>
      <c r="AE372" s="549"/>
      <c r="AF372" s="549"/>
      <c r="AG372" s="549"/>
      <c r="AH372" s="549"/>
      <c r="AI372" s="549"/>
      <c r="AJ372" s="549"/>
    </row>
    <row r="373" spans="1:36" x14ac:dyDescent="0.25">
      <c r="A373" t="s">
        <v>424</v>
      </c>
      <c r="K373" s="243"/>
      <c r="L373" s="243"/>
      <c r="M373" s="243"/>
      <c r="N373" s="243"/>
      <c r="O373" s="243"/>
      <c r="P373" s="243"/>
      <c r="Q373" s="243"/>
      <c r="R373" s="243"/>
      <c r="S373" s="243"/>
      <c r="T373" s="243"/>
      <c r="U373" s="243"/>
      <c r="V373" s="243"/>
      <c r="W373" s="243"/>
      <c r="X373" s="243"/>
      <c r="Y373" s="243"/>
      <c r="Z373" s="243"/>
      <c r="AA373" s="243"/>
      <c r="AB373" s="243"/>
      <c r="AC373" s="243"/>
      <c r="AD373" s="243"/>
      <c r="AE373" s="243"/>
      <c r="AF373" s="243"/>
      <c r="AG373" s="243"/>
      <c r="AH373" s="243"/>
      <c r="AI373" s="243"/>
      <c r="AJ373" s="243"/>
    </row>
    <row r="374" spans="1:36" s="1" customFormat="1" x14ac:dyDescent="0.25">
      <c r="A374" s="1" t="s">
        <v>424</v>
      </c>
      <c r="H374" s="266" t="s">
        <v>435</v>
      </c>
      <c r="I374" s="267" t="str">
        <f t="shared" ref="I374:I377" si="350">IF($H$9="USD","USD","tr. VND")</f>
        <v>tr. VND</v>
      </c>
      <c r="K374" s="269">
        <f>K375+K378+K381</f>
        <v>0</v>
      </c>
      <c r="L374" s="269">
        <f t="shared" ref="L374:AJ374" si="351">L375+L378+L381</f>
        <v>-92494.065303826777</v>
      </c>
      <c r="M374" s="269">
        <f t="shared" si="351"/>
        <v>-128793.29243442416</v>
      </c>
      <c r="N374" s="269">
        <f t="shared" si="351"/>
        <v>-187365.60190480959</v>
      </c>
      <c r="O374" s="269">
        <f t="shared" si="351"/>
        <v>-191595.4979197002</v>
      </c>
      <c r="P374" s="269">
        <f t="shared" si="351"/>
        <v>-195935.14761304564</v>
      </c>
      <c r="Q374" s="269">
        <f t="shared" si="351"/>
        <v>-200388.00384632294</v>
      </c>
      <c r="R374" s="269">
        <f t="shared" si="351"/>
        <v>-204957.65142763397</v>
      </c>
      <c r="S374" s="269">
        <f t="shared" si="351"/>
        <v>-209647.81289510772</v>
      </c>
      <c r="T374" s="269">
        <f t="shared" si="351"/>
        <v>-214462.35457319432</v>
      </c>
      <c r="U374" s="269">
        <f t="shared" si="351"/>
        <v>-219405.29291516927</v>
      </c>
      <c r="V374" s="269">
        <f t="shared" si="351"/>
        <v>-224480.80114582658</v>
      </c>
      <c r="W374" s="269">
        <f t="shared" si="351"/>
        <v>-229693.21621903207</v>
      </c>
      <c r="X374" s="269">
        <f t="shared" si="351"/>
        <v>-234044.54677220009</v>
      </c>
      <c r="Y374" s="269">
        <f t="shared" si="351"/>
        <v>-239544.47809385488</v>
      </c>
      <c r="Z374" s="269">
        <f t="shared" si="351"/>
        <v>-245195.38412123729</v>
      </c>
      <c r="AA374" s="269"/>
      <c r="AB374" s="269"/>
      <c r="AC374" s="269"/>
      <c r="AD374" s="269"/>
      <c r="AE374" s="269"/>
      <c r="AF374" s="269"/>
      <c r="AG374" s="269"/>
      <c r="AH374" s="269"/>
      <c r="AI374" s="269"/>
      <c r="AJ374" s="269"/>
    </row>
    <row r="375" spans="1:36" x14ac:dyDescent="0.25">
      <c r="A375" t="s">
        <v>424</v>
      </c>
      <c r="H375" s="636" t="s">
        <v>454</v>
      </c>
      <c r="I375" s="637" t="str">
        <f t="shared" si="350"/>
        <v>tr. VND</v>
      </c>
      <c r="K375" s="638">
        <f>SUM(K376:K377)</f>
        <v>0</v>
      </c>
      <c r="L375" s="638">
        <f t="shared" ref="L375:AJ375" si="352">SUM(L376:L377)</f>
        <v>-83121.831936000002</v>
      </c>
      <c r="M375" s="638">
        <f t="shared" si="352"/>
        <v>-116370.56471040001</v>
      </c>
      <c r="N375" s="638">
        <f t="shared" si="352"/>
        <v>-169568.53714944003</v>
      </c>
      <c r="O375" s="638">
        <f t="shared" si="352"/>
        <v>-172959.90789242883</v>
      </c>
      <c r="P375" s="638">
        <f t="shared" si="352"/>
        <v>-176419.10605027739</v>
      </c>
      <c r="Q375" s="638">
        <f t="shared" si="352"/>
        <v>-179947.48817128292</v>
      </c>
      <c r="R375" s="638">
        <f t="shared" si="352"/>
        <v>-183546.43793470861</v>
      </c>
      <c r="S375" s="638">
        <f t="shared" si="352"/>
        <v>-187217.36669340279</v>
      </c>
      <c r="T375" s="638">
        <f t="shared" si="352"/>
        <v>-190961.71402727079</v>
      </c>
      <c r="U375" s="638">
        <f t="shared" si="352"/>
        <v>-194780.9483078162</v>
      </c>
      <c r="V375" s="638">
        <f t="shared" si="352"/>
        <v>-198676.56727397256</v>
      </c>
      <c r="W375" s="638">
        <f t="shared" si="352"/>
        <v>-202650.09861945201</v>
      </c>
      <c r="X375" s="638">
        <f t="shared" si="352"/>
        <v>-206703.10059184101</v>
      </c>
      <c r="Y375" s="638">
        <f t="shared" si="352"/>
        <v>-210837.16260367786</v>
      </c>
      <c r="Z375" s="638">
        <f t="shared" si="352"/>
        <v>-215053.90585575142</v>
      </c>
      <c r="AA375" s="638"/>
      <c r="AB375" s="638"/>
      <c r="AC375" s="638"/>
      <c r="AD375" s="638"/>
      <c r="AE375" s="638"/>
      <c r="AF375" s="638"/>
      <c r="AG375" s="638"/>
      <c r="AH375" s="638"/>
      <c r="AI375" s="638"/>
      <c r="AJ375" s="638"/>
    </row>
    <row r="376" spans="1:36" s="299" customFormat="1" x14ac:dyDescent="0.25">
      <c r="A376" s="299" t="s">
        <v>424</v>
      </c>
      <c r="B376" s="299" t="s">
        <v>459</v>
      </c>
      <c r="H376" s="553" t="s">
        <v>167</v>
      </c>
      <c r="I376" s="554" t="str">
        <f t="shared" si="350"/>
        <v>tr. VND</v>
      </c>
      <c r="K376" s="555"/>
      <c r="L376" s="555" cm="1">
        <f t="array" ref="L376">-SUMPRODUCT('W2'!$M$12:$V$112*('W2'!$M$7:$V$7=$A376)*('W2'!$A$12:$A$112=$B376))*L353*$H$10*POWER(1+INDEX('Cover Page'!$H$8:$AJ$8,MATCH($A376,'Cover Page'!$H$5:$AJ$5,0)),1+L$13)</f>
        <v>-77303.303700479999</v>
      </c>
      <c r="M376" s="555" cm="1">
        <f t="array" ref="M376">-SUMPRODUCT('W2'!$M$12:$V$112*('W2'!$M$7:$V$7=$A376)*('W2'!$A$12:$A$112=$B376))*M353*$H$10*POWER(1+INDEX('Cover Page'!$H$8:$AJ$8,MATCH($A376,'Cover Page'!$H$5:$AJ$5,0)),1+M$13)</f>
        <v>-108224.625180672</v>
      </c>
      <c r="N376" s="555" cm="1">
        <f t="array" ref="N376">-SUMPRODUCT('W2'!$M$12:$V$112*('W2'!$M$7:$V$7=$A376)*('W2'!$A$12:$A$112=$B376))*N353*$H$10*POWER(1+INDEX('Cover Page'!$H$8:$AJ$8,MATCH($A376,'Cover Page'!$H$5:$AJ$5,0)),1+N$13)</f>
        <v>-157698.73954897921</v>
      </c>
      <c r="O376" s="555" cm="1">
        <f t="array" ref="O376">-SUMPRODUCT('W2'!$M$12:$V$112*('W2'!$M$7:$V$7=$A376)*('W2'!$A$12:$A$112=$B376))*O353*$H$10*POWER(1+INDEX('Cover Page'!$H$8:$AJ$8,MATCH($A376,'Cover Page'!$H$5:$AJ$5,0)),1+O$13)</f>
        <v>-160852.71433995879</v>
      </c>
      <c r="P376" s="555" cm="1">
        <f t="array" ref="P376">-SUMPRODUCT('W2'!$M$12:$V$112*('W2'!$M$7:$V$7=$A376)*('W2'!$A$12:$A$112=$B376))*P353*$H$10*POWER(1+INDEX('Cover Page'!$H$8:$AJ$8,MATCH($A376,'Cover Page'!$H$5:$AJ$5,0)),1+P$13)</f>
        <v>-164069.76862675796</v>
      </c>
      <c r="Q376" s="555" cm="1">
        <f t="array" ref="Q376">-SUMPRODUCT('W2'!$M$12:$V$112*('W2'!$M$7:$V$7=$A376)*('W2'!$A$12:$A$112=$B376))*Q353*$H$10*POWER(1+INDEX('Cover Page'!$H$8:$AJ$8,MATCH($A376,'Cover Page'!$H$5:$AJ$5,0)),1+Q$13)</f>
        <v>-167351.16399929312</v>
      </c>
      <c r="R376" s="555" cm="1">
        <f t="array" ref="R376">-SUMPRODUCT('W2'!$M$12:$V$112*('W2'!$M$7:$V$7=$A376)*('W2'!$A$12:$A$112=$B376))*R353*$H$10*POWER(1+INDEX('Cover Page'!$H$8:$AJ$8,MATCH($A376,'Cover Page'!$H$5:$AJ$5,0)),1+R$13)</f>
        <v>-170698.18727927899</v>
      </c>
      <c r="S376" s="555" cm="1">
        <f t="array" ref="S376">-SUMPRODUCT('W2'!$M$12:$V$112*('W2'!$M$7:$V$7=$A376)*('W2'!$A$12:$A$112=$B376))*S353*$H$10*POWER(1+INDEX('Cover Page'!$H$8:$AJ$8,MATCH($A376,'Cover Page'!$H$5:$AJ$5,0)),1+S$13)</f>
        <v>-174112.15102486458</v>
      </c>
      <c r="T376" s="555" cm="1">
        <f t="array" ref="T376">-SUMPRODUCT('W2'!$M$12:$V$112*('W2'!$M$7:$V$7=$A376)*('W2'!$A$12:$A$112=$B376))*T353*$H$10*POWER(1+INDEX('Cover Page'!$H$8:$AJ$8,MATCH($A376,'Cover Page'!$H$5:$AJ$5,0)),1+T$13)</f>
        <v>-177594.39404536181</v>
      </c>
      <c r="U376" s="555" cm="1">
        <f t="array" ref="U376">-SUMPRODUCT('W2'!$M$12:$V$112*('W2'!$M$7:$V$7=$A376)*('W2'!$A$12:$A$112=$B376))*U353*$H$10*POWER(1+INDEX('Cover Page'!$H$8:$AJ$8,MATCH($A376,'Cover Page'!$H$5:$AJ$5,0)),1+U$13)</f>
        <v>-181146.28192626906</v>
      </c>
      <c r="V376" s="555" cm="1">
        <f t="array" ref="V376">-SUMPRODUCT('W2'!$M$12:$V$112*('W2'!$M$7:$V$7=$A376)*('W2'!$A$12:$A$112=$B376))*V353*$H$10*POWER(1+INDEX('Cover Page'!$H$8:$AJ$8,MATCH($A376,'Cover Page'!$H$5:$AJ$5,0)),1+V$13)</f>
        <v>-184769.20756479446</v>
      </c>
      <c r="W376" s="555" cm="1">
        <f t="array" ref="W376">-SUMPRODUCT('W2'!$M$12:$V$112*('W2'!$M$7:$V$7=$A376)*('W2'!$A$12:$A$112=$B376))*W353*$H$10*POWER(1+INDEX('Cover Page'!$H$8:$AJ$8,MATCH($A376,'Cover Page'!$H$5:$AJ$5,0)),1+W$13)</f>
        <v>-188464.59171609036</v>
      </c>
      <c r="X376" s="555" cm="1">
        <f t="array" ref="X376">-SUMPRODUCT('W2'!$M$12:$V$112*('W2'!$M$7:$V$7=$A376)*('W2'!$A$12:$A$112=$B376))*X353*$H$10*POWER(1+INDEX('Cover Page'!$H$8:$AJ$8,MATCH($A376,'Cover Page'!$H$5:$AJ$5,0)),1+X$13)</f>
        <v>-192233.88355041214</v>
      </c>
      <c r="Y376" s="555" cm="1">
        <f t="array" ref="Y376">-SUMPRODUCT('W2'!$M$12:$V$112*('W2'!$M$7:$V$7=$A376)*('W2'!$A$12:$A$112=$B376))*Y353*$H$10*POWER(1+INDEX('Cover Page'!$H$8:$AJ$8,MATCH($A376,'Cover Page'!$H$5:$AJ$5,0)),1+Y$13)</f>
        <v>-196078.56122142039</v>
      </c>
      <c r="Z376" s="555" cm="1">
        <f t="array" ref="Z376">-SUMPRODUCT('W2'!$M$12:$V$112*('W2'!$M$7:$V$7=$A376)*('W2'!$A$12:$A$112=$B376))*Z353*$H$10*POWER(1+INDEX('Cover Page'!$H$8:$AJ$8,MATCH($A376,'Cover Page'!$H$5:$AJ$5,0)),1+Z$13)</f>
        <v>-200000.13244584881</v>
      </c>
      <c r="AA376" s="555"/>
      <c r="AB376" s="555"/>
      <c r="AC376" s="555"/>
      <c r="AD376" s="555"/>
      <c r="AE376" s="555"/>
      <c r="AF376" s="555"/>
      <c r="AG376" s="555"/>
      <c r="AH376" s="555"/>
      <c r="AI376" s="555"/>
      <c r="AJ376" s="555"/>
    </row>
    <row r="377" spans="1:36" s="299" customFormat="1" x14ac:dyDescent="0.25">
      <c r="A377" s="299" t="s">
        <v>424</v>
      </c>
      <c r="H377" s="553" t="s">
        <v>203</v>
      </c>
      <c r="I377" s="554" t="str">
        <f t="shared" si="350"/>
        <v>tr. VND</v>
      </c>
      <c r="K377" s="639"/>
      <c r="L377" s="639">
        <f>L376/(1-L351)-L376</f>
        <v>-5818.5282355200034</v>
      </c>
      <c r="M377" s="639">
        <f t="shared" ref="M377:AJ377" si="353">M376/(1-M351)-M376</f>
        <v>-8145.9395297280134</v>
      </c>
      <c r="N377" s="639">
        <f t="shared" si="353"/>
        <v>-11869.797600460821</v>
      </c>
      <c r="O377" s="639">
        <f t="shared" si="353"/>
        <v>-12107.193552470038</v>
      </c>
      <c r="P377" s="639">
        <f t="shared" si="353"/>
        <v>-12349.337423519435</v>
      </c>
      <c r="Q377" s="639">
        <f t="shared" si="353"/>
        <v>-12596.324171989807</v>
      </c>
      <c r="R377" s="639">
        <f t="shared" si="353"/>
        <v>-12848.250655429612</v>
      </c>
      <c r="S377" s="639">
        <f t="shared" si="353"/>
        <v>-13105.215668538207</v>
      </c>
      <c r="T377" s="639">
        <f t="shared" si="353"/>
        <v>-13367.319981908979</v>
      </c>
      <c r="U377" s="639">
        <f t="shared" si="353"/>
        <v>-13634.66638154714</v>
      </c>
      <c r="V377" s="639">
        <f t="shared" si="353"/>
        <v>-13907.359709178098</v>
      </c>
      <c r="W377" s="639">
        <f t="shared" si="353"/>
        <v>-14185.506903361646</v>
      </c>
      <c r="X377" s="639">
        <f t="shared" si="353"/>
        <v>-14469.21704142887</v>
      </c>
      <c r="Y377" s="639">
        <f t="shared" si="353"/>
        <v>-14758.601382257475</v>
      </c>
      <c r="Z377" s="639">
        <f t="shared" si="353"/>
        <v>-15053.773409902613</v>
      </c>
      <c r="AA377" s="639"/>
      <c r="AB377" s="639"/>
      <c r="AC377" s="639"/>
      <c r="AD377" s="639"/>
      <c r="AE377" s="639"/>
      <c r="AF377" s="639"/>
      <c r="AG377" s="639"/>
      <c r="AH377" s="639"/>
      <c r="AI377" s="639"/>
      <c r="AJ377" s="639"/>
    </row>
    <row r="378" spans="1:36" x14ac:dyDescent="0.25">
      <c r="A378" t="s">
        <v>424</v>
      </c>
      <c r="H378" s="454" t="s">
        <v>676</v>
      </c>
      <c r="I378" s="496" t="s">
        <v>672</v>
      </c>
      <c r="K378" s="616">
        <f t="shared" ref="K378:AJ378" si="354">SUM(K379:K380)</f>
        <v>0</v>
      </c>
      <c r="L378" s="616">
        <f t="shared" si="354"/>
        <v>-632.43325753344004</v>
      </c>
      <c r="M378" s="616">
        <f t="shared" si="354"/>
        <v>-885.40656054681608</v>
      </c>
      <c r="N378" s="616">
        <f t="shared" si="354"/>
        <v>-1328.1098408202242</v>
      </c>
      <c r="O378" s="616">
        <f t="shared" si="354"/>
        <v>-1394.5153328612353</v>
      </c>
      <c r="P378" s="616">
        <f t="shared" si="354"/>
        <v>-1464.2410995042972</v>
      </c>
      <c r="Q378" s="616">
        <f t="shared" si="354"/>
        <v>-1537.453154479512</v>
      </c>
      <c r="R378" s="616">
        <f t="shared" si="354"/>
        <v>-1614.3258122034877</v>
      </c>
      <c r="S378" s="616">
        <f t="shared" si="354"/>
        <v>-1695.0421028136618</v>
      </c>
      <c r="T378" s="616">
        <f t="shared" si="354"/>
        <v>-1779.7942079543452</v>
      </c>
      <c r="U378" s="616">
        <f t="shared" si="354"/>
        <v>-1868.7839183520623</v>
      </c>
      <c r="V378" s="616">
        <f t="shared" si="354"/>
        <v>-1962.2231142696655</v>
      </c>
      <c r="W378" s="616">
        <f t="shared" si="354"/>
        <v>-2060.3342699831487</v>
      </c>
      <c r="X378" s="616">
        <f t="shared" si="354"/>
        <v>-2163.3509834823062</v>
      </c>
      <c r="Y378" s="616">
        <f t="shared" si="354"/>
        <v>-2271.5185326564215</v>
      </c>
      <c r="Z378" s="616">
        <f t="shared" si="354"/>
        <v>-2385.0944592892429</v>
      </c>
      <c r="AA378" s="616"/>
      <c r="AB378" s="616"/>
      <c r="AC378" s="616"/>
      <c r="AD378" s="616"/>
      <c r="AE378" s="616"/>
      <c r="AF378" s="616"/>
      <c r="AG378" s="616"/>
      <c r="AH378" s="616"/>
      <c r="AI378" s="616"/>
      <c r="AJ378" s="616"/>
    </row>
    <row r="379" spans="1:36" s="299" customFormat="1" x14ac:dyDescent="0.25">
      <c r="A379" s="299" t="s">
        <v>424</v>
      </c>
      <c r="B379" s="299" t="s">
        <v>667</v>
      </c>
      <c r="H379" s="553" t="s">
        <v>673</v>
      </c>
      <c r="I379" s="554" t="s">
        <v>672</v>
      </c>
      <c r="K379" s="555"/>
      <c r="L379" s="555" cm="1">
        <f t="array" ref="L379">-SUMPRODUCT('W2'!$M$12:$V$112*('W2'!$M$7:$V$7=$A379)*('W2'!$A$12:$A$112=$B379))*L359*$H$10*POWER(1+Inflation,L$11+1)</f>
        <v>-632.43325753344004</v>
      </c>
      <c r="M379" s="555" cm="1">
        <f t="array" ref="M379">-SUMPRODUCT('W2'!$M$12:$V$112*('W2'!$M$7:$V$7=$A379)*('W2'!$A$12:$A$112=$B379))*M359*$H$10*POWER(1+Inflation,M$11+1)</f>
        <v>-885.40656054681608</v>
      </c>
      <c r="N379" s="555" cm="1">
        <f t="array" ref="N379">-SUMPRODUCT('W2'!$M$12:$V$112*('W2'!$M$7:$V$7=$A379)*('W2'!$A$12:$A$112=$B379))*N359*$H$10*POWER(1+Inflation,N$11+1)</f>
        <v>-1328.1098408202242</v>
      </c>
      <c r="O379" s="555" cm="1">
        <f t="array" ref="O379">-SUMPRODUCT('W2'!$M$12:$V$112*('W2'!$M$7:$V$7=$A379)*('W2'!$A$12:$A$112=$B379))*O359*$H$10*POWER(1+Inflation,O$11+1)</f>
        <v>-1394.5153328612353</v>
      </c>
      <c r="P379" s="555" cm="1">
        <f t="array" ref="P379">-SUMPRODUCT('W2'!$M$12:$V$112*('W2'!$M$7:$V$7=$A379)*('W2'!$A$12:$A$112=$B379))*P359*$H$10*POWER(1+Inflation,P$11+1)</f>
        <v>-1464.2410995042972</v>
      </c>
      <c r="Q379" s="555" cm="1">
        <f t="array" ref="Q379">-SUMPRODUCT('W2'!$M$12:$V$112*('W2'!$M$7:$V$7=$A379)*('W2'!$A$12:$A$112=$B379))*Q359*$H$10*POWER(1+Inflation,Q$11+1)</f>
        <v>-1537.453154479512</v>
      </c>
      <c r="R379" s="555" cm="1">
        <f t="array" ref="R379">-SUMPRODUCT('W2'!$M$12:$V$112*('W2'!$M$7:$V$7=$A379)*('W2'!$A$12:$A$112=$B379))*R359*$H$10*POWER(1+Inflation,R$11+1)</f>
        <v>-1614.3258122034877</v>
      </c>
      <c r="S379" s="555" cm="1">
        <f t="array" ref="S379">-SUMPRODUCT('W2'!$M$12:$V$112*('W2'!$M$7:$V$7=$A379)*('W2'!$A$12:$A$112=$B379))*S359*$H$10*POWER(1+Inflation,S$11+1)</f>
        <v>-1695.0421028136618</v>
      </c>
      <c r="T379" s="555" cm="1">
        <f t="array" ref="T379">-SUMPRODUCT('W2'!$M$12:$V$112*('W2'!$M$7:$V$7=$A379)*('W2'!$A$12:$A$112=$B379))*T359*$H$10*POWER(1+Inflation,T$11+1)</f>
        <v>-1779.7942079543452</v>
      </c>
      <c r="U379" s="555" cm="1">
        <f t="array" ref="U379">-SUMPRODUCT('W2'!$M$12:$V$112*('W2'!$M$7:$V$7=$A379)*('W2'!$A$12:$A$112=$B379))*U359*$H$10*POWER(1+Inflation,U$11+1)</f>
        <v>-1868.7839183520623</v>
      </c>
      <c r="V379" s="555" cm="1">
        <f t="array" ref="V379">-SUMPRODUCT('W2'!$M$12:$V$112*('W2'!$M$7:$V$7=$A379)*('W2'!$A$12:$A$112=$B379))*V359*$H$10*POWER(1+Inflation,V$11+1)</f>
        <v>-1962.2231142696655</v>
      </c>
      <c r="W379" s="555" cm="1">
        <f t="array" ref="W379">-SUMPRODUCT('W2'!$M$12:$V$112*('W2'!$M$7:$V$7=$A379)*('W2'!$A$12:$A$112=$B379))*W359*$H$10*POWER(1+Inflation,W$11+1)</f>
        <v>-2060.3342699831487</v>
      </c>
      <c r="X379" s="555" cm="1">
        <f t="array" ref="X379">-SUMPRODUCT('W2'!$M$12:$V$112*('W2'!$M$7:$V$7=$A379)*('W2'!$A$12:$A$112=$B379))*X359*$H$10*POWER(1+Inflation,X$11+1)</f>
        <v>-2163.3509834823062</v>
      </c>
      <c r="Y379" s="555" cm="1">
        <f t="array" ref="Y379">-SUMPRODUCT('W2'!$M$12:$V$112*('W2'!$M$7:$V$7=$A379)*('W2'!$A$12:$A$112=$B379))*Y359*$H$10*POWER(1+Inflation,Y$11+1)</f>
        <v>-2271.5185326564215</v>
      </c>
      <c r="Z379" s="555" cm="1">
        <f t="array" ref="Z379">-SUMPRODUCT('W2'!$M$12:$V$112*('W2'!$M$7:$V$7=$A379)*('W2'!$A$12:$A$112=$B379))*Z359*$H$10*POWER(1+Inflation,Z$11+1)</f>
        <v>-2385.0944592892429</v>
      </c>
      <c r="AA379" s="555"/>
      <c r="AB379" s="555"/>
      <c r="AC379" s="555"/>
      <c r="AD379" s="555"/>
      <c r="AE379" s="555"/>
      <c r="AF379" s="555"/>
      <c r="AG379" s="555"/>
      <c r="AH379" s="555"/>
      <c r="AI379" s="555"/>
      <c r="AJ379" s="555"/>
    </row>
    <row r="380" spans="1:36" s="299" customFormat="1" x14ac:dyDescent="0.25">
      <c r="A380" s="299" t="s">
        <v>424</v>
      </c>
      <c r="B380" s="299" t="s">
        <v>668</v>
      </c>
      <c r="H380" s="553" t="s">
        <v>674</v>
      </c>
      <c r="I380" s="554" t="s">
        <v>672</v>
      </c>
      <c r="K380" s="555"/>
      <c r="L380" s="555" cm="1">
        <f t="array" ref="L380">-SUMPRODUCT('W2'!$M$12:$V$112*('W2'!$M$7:$V$7=$A380)*('W2'!$A$12:$A$112=$B380))*L360*$H$10*POWER(1+Inflation,L$11+1)</f>
        <v>0</v>
      </c>
      <c r="M380" s="555" cm="1">
        <f t="array" ref="M380">-SUMPRODUCT('W2'!$M$12:$V$112*('W2'!$M$7:$V$7=$A380)*('W2'!$A$12:$A$112=$B380))*M360*$H$10*POWER(1+Inflation,M$11+1)</f>
        <v>0</v>
      </c>
      <c r="N380" s="555" cm="1">
        <f t="array" ref="N380">-SUMPRODUCT('W2'!$M$12:$V$112*('W2'!$M$7:$V$7=$A380)*('W2'!$A$12:$A$112=$B380))*N360*$H$10*POWER(1+Inflation,N$11+1)</f>
        <v>0</v>
      </c>
      <c r="O380" s="555" cm="1">
        <f t="array" ref="O380">-SUMPRODUCT('W2'!$M$12:$V$112*('W2'!$M$7:$V$7=$A380)*('W2'!$A$12:$A$112=$B380))*O360*$H$10*POWER(1+Inflation,O$11+1)</f>
        <v>0</v>
      </c>
      <c r="P380" s="555" cm="1">
        <f t="array" ref="P380">-SUMPRODUCT('W2'!$M$12:$V$112*('W2'!$M$7:$V$7=$A380)*('W2'!$A$12:$A$112=$B380))*P360*$H$10*POWER(1+Inflation,P$11+1)</f>
        <v>0</v>
      </c>
      <c r="Q380" s="555" cm="1">
        <f t="array" ref="Q380">-SUMPRODUCT('W2'!$M$12:$V$112*('W2'!$M$7:$V$7=$A380)*('W2'!$A$12:$A$112=$B380))*Q360*$H$10*POWER(1+Inflation,Q$11+1)</f>
        <v>0</v>
      </c>
      <c r="R380" s="555" cm="1">
        <f t="array" ref="R380">-SUMPRODUCT('W2'!$M$12:$V$112*('W2'!$M$7:$V$7=$A380)*('W2'!$A$12:$A$112=$B380))*R360*$H$10*POWER(1+Inflation,R$11+1)</f>
        <v>0</v>
      </c>
      <c r="S380" s="555" cm="1">
        <f t="array" ref="S380">-SUMPRODUCT('W2'!$M$12:$V$112*('W2'!$M$7:$V$7=$A380)*('W2'!$A$12:$A$112=$B380))*S360*$H$10*POWER(1+Inflation,S$11+1)</f>
        <v>0</v>
      </c>
      <c r="T380" s="555" cm="1">
        <f t="array" ref="T380">-SUMPRODUCT('W2'!$M$12:$V$112*('W2'!$M$7:$V$7=$A380)*('W2'!$A$12:$A$112=$B380))*T360*$H$10*POWER(1+Inflation,T$11+1)</f>
        <v>0</v>
      </c>
      <c r="U380" s="555" cm="1">
        <f t="array" ref="U380">-SUMPRODUCT('W2'!$M$12:$V$112*('W2'!$M$7:$V$7=$A380)*('W2'!$A$12:$A$112=$B380))*U360*$H$10*POWER(1+Inflation,U$11+1)</f>
        <v>0</v>
      </c>
      <c r="V380" s="555" cm="1">
        <f t="array" ref="V380">-SUMPRODUCT('W2'!$M$12:$V$112*('W2'!$M$7:$V$7=$A380)*('W2'!$A$12:$A$112=$B380))*V360*$H$10*POWER(1+Inflation,V$11+1)</f>
        <v>0</v>
      </c>
      <c r="W380" s="555" cm="1">
        <f t="array" ref="W380">-SUMPRODUCT('W2'!$M$12:$V$112*('W2'!$M$7:$V$7=$A380)*('W2'!$A$12:$A$112=$B380))*W360*$H$10*POWER(1+Inflation,W$11+1)</f>
        <v>0</v>
      </c>
      <c r="X380" s="555" cm="1">
        <f t="array" ref="X380">-SUMPRODUCT('W2'!$M$12:$V$112*('W2'!$M$7:$V$7=$A380)*('W2'!$A$12:$A$112=$B380))*X360*$H$10*POWER(1+Inflation,X$11+1)</f>
        <v>0</v>
      </c>
      <c r="Y380" s="555" cm="1">
        <f t="array" ref="Y380">-SUMPRODUCT('W2'!$M$12:$V$112*('W2'!$M$7:$V$7=$A380)*('W2'!$A$12:$A$112=$B380))*Y360*$H$10*POWER(1+Inflation,Y$11+1)</f>
        <v>0</v>
      </c>
      <c r="Z380" s="555" cm="1">
        <f t="array" ref="Z380">-SUMPRODUCT('W2'!$M$12:$V$112*('W2'!$M$7:$V$7=$A380)*('W2'!$A$12:$A$112=$B380))*Z360*$H$10*POWER(1+Inflation,Z$11+1)</f>
        <v>0</v>
      </c>
      <c r="AA380" s="555"/>
      <c r="AB380" s="555"/>
      <c r="AC380" s="555"/>
      <c r="AD380" s="555"/>
      <c r="AE380" s="555"/>
      <c r="AF380" s="555"/>
      <c r="AG380" s="555"/>
      <c r="AH380" s="555"/>
      <c r="AI380" s="555"/>
      <c r="AJ380" s="555"/>
    </row>
    <row r="381" spans="1:36" x14ac:dyDescent="0.25">
      <c r="A381" t="s">
        <v>424</v>
      </c>
      <c r="H381" s="454" t="s">
        <v>180</v>
      </c>
      <c r="I381" s="496" t="str">
        <f t="shared" ref="I381:I384" si="355">IF($H$9="USD","USD","tr. VND")</f>
        <v>tr. VND</v>
      </c>
      <c r="K381" s="616">
        <f>SUM(K382:K384)</f>
        <v>0</v>
      </c>
      <c r="L381" s="616">
        <f>SUM(L382:L384)</f>
        <v>-8739.800110293334</v>
      </c>
      <c r="M381" s="616">
        <f t="shared" ref="M381:AJ381" si="356">SUM(M382:M384)</f>
        <v>-11537.321163477332</v>
      </c>
      <c r="N381" s="616">
        <f t="shared" si="356"/>
        <v>-16468.954914549333</v>
      </c>
      <c r="O381" s="616">
        <f t="shared" si="356"/>
        <v>-17241.074694410134</v>
      </c>
      <c r="P381" s="616">
        <f t="shared" si="356"/>
        <v>-18051.800463263975</v>
      </c>
      <c r="Q381" s="616">
        <f t="shared" si="356"/>
        <v>-18903.062520560507</v>
      </c>
      <c r="R381" s="616">
        <f t="shared" si="356"/>
        <v>-19796.887680721866</v>
      </c>
      <c r="S381" s="616">
        <f t="shared" si="356"/>
        <v>-20735.404098891289</v>
      </c>
      <c r="T381" s="616">
        <f t="shared" si="356"/>
        <v>-21720.846337969193</v>
      </c>
      <c r="U381" s="616">
        <f t="shared" si="356"/>
        <v>-22755.560689000984</v>
      </c>
      <c r="V381" s="616">
        <f t="shared" si="356"/>
        <v>-23842.010757584365</v>
      </c>
      <c r="W381" s="616">
        <f t="shared" si="356"/>
        <v>-24982.783329596918</v>
      </c>
      <c r="X381" s="616">
        <f t="shared" si="356"/>
        <v>-25178.095196876766</v>
      </c>
      <c r="Y381" s="616">
        <f t="shared" si="356"/>
        <v>-26435.796957520601</v>
      </c>
      <c r="Z381" s="616">
        <f t="shared" si="356"/>
        <v>-27756.383806196634</v>
      </c>
      <c r="AA381" s="616"/>
      <c r="AB381" s="616"/>
      <c r="AC381" s="616"/>
      <c r="AD381" s="616"/>
      <c r="AE381" s="616"/>
      <c r="AF381" s="616"/>
      <c r="AG381" s="616"/>
      <c r="AH381" s="616"/>
      <c r="AI381" s="616"/>
      <c r="AJ381" s="616"/>
    </row>
    <row r="382" spans="1:36" s="299" customFormat="1" x14ac:dyDescent="0.25">
      <c r="A382" s="299" t="s">
        <v>424</v>
      </c>
      <c r="B382" s="299" t="s">
        <v>174</v>
      </c>
      <c r="H382" s="553" t="s">
        <v>73</v>
      </c>
      <c r="I382" s="554" t="str">
        <f t="shared" si="355"/>
        <v>tr. VND</v>
      </c>
      <c r="K382" s="555"/>
      <c r="L382" s="555" cm="1">
        <f t="array" ref="L382">-SUMPRODUCT('W2'!$M$12:$V$112*('W2'!$M$7:$V$7=$A382)*('W2'!$A$12:$A$112=$B382))*L352*24*$H$10*POWER(1+Inflation,L$11+1)</f>
        <v>-5749.8011999999999</v>
      </c>
      <c r="M382" s="555" cm="1">
        <f t="array" ref="M382">-SUMPRODUCT('W2'!$M$12:$V$112*('W2'!$M$7:$V$7=$A382)*('W2'!$A$12:$A$112=$B382))*M352*24*$H$10*POWER(1+Inflation,M$11+1)</f>
        <v>-8049.7216799999978</v>
      </c>
      <c r="N382" s="555" cm="1">
        <f t="array" ref="N382">-SUMPRODUCT('W2'!$M$12:$V$112*('W2'!$M$7:$V$7=$A382)*('W2'!$A$12:$A$112=$B382))*N352*24*$H$10*POWER(1+Inflation,N$11+1)</f>
        <v>-12074.58252</v>
      </c>
      <c r="O382" s="555" cm="1">
        <f t="array" ref="O382">-SUMPRODUCT('W2'!$M$12:$V$112*('W2'!$M$7:$V$7=$A382)*('W2'!$A$12:$A$112=$B382))*O352*24*$H$10*POWER(1+Inflation,O$11+1)</f>
        <v>-12678.311646</v>
      </c>
      <c r="P382" s="555" cm="1">
        <f t="array" ref="P382">-SUMPRODUCT('W2'!$M$12:$V$112*('W2'!$M$7:$V$7=$A382)*('W2'!$A$12:$A$112=$B382))*P352*24*$H$10*POWER(1+Inflation,P$11+1)</f>
        <v>-13312.227228300002</v>
      </c>
      <c r="Q382" s="555" cm="1">
        <f t="array" ref="Q382">-SUMPRODUCT('W2'!$M$12:$V$112*('W2'!$M$7:$V$7=$A382)*('W2'!$A$12:$A$112=$B382))*Q352*24*$H$10*POWER(1+Inflation,Q$11+1)</f>
        <v>-13977.838589715</v>
      </c>
      <c r="R382" s="555" cm="1">
        <f t="array" ref="R382">-SUMPRODUCT('W2'!$M$12:$V$112*('W2'!$M$7:$V$7=$A382)*('W2'!$A$12:$A$112=$B382))*R352*24*$H$10*POWER(1+Inflation,R$11+1)</f>
        <v>-14676.730519200752</v>
      </c>
      <c r="S382" s="555" cm="1">
        <f t="array" ref="S382">-SUMPRODUCT('W2'!$M$12:$V$112*('W2'!$M$7:$V$7=$A382)*('W2'!$A$12:$A$112=$B382))*S352*24*$H$10*POWER(1+Inflation,S$11+1)</f>
        <v>-15410.567045160788</v>
      </c>
      <c r="T382" s="555" cm="1">
        <f t="array" ref="T382">-SUMPRODUCT('W2'!$M$12:$V$112*('W2'!$M$7:$V$7=$A382)*('W2'!$A$12:$A$112=$B382))*T352*24*$H$10*POWER(1+Inflation,T$11+1)</f>
        <v>-16181.095397418829</v>
      </c>
      <c r="U382" s="555" cm="1">
        <f t="array" ref="U382">-SUMPRODUCT('W2'!$M$12:$V$112*('W2'!$M$7:$V$7=$A382)*('W2'!$A$12:$A$112=$B382))*U352*24*$H$10*POWER(1+Inflation,U$11+1)</f>
        <v>-16990.150167289768</v>
      </c>
      <c r="V382" s="555" cm="1">
        <f t="array" ref="V382">-SUMPRODUCT('W2'!$M$12:$V$112*('W2'!$M$7:$V$7=$A382)*('W2'!$A$12:$A$112=$B382))*V352*24*$H$10*POWER(1+Inflation,V$11+1)</f>
        <v>-17839.657675654256</v>
      </c>
      <c r="W382" s="555" cm="1">
        <f t="array" ref="W382">-SUMPRODUCT('W2'!$M$12:$V$112*('W2'!$M$7:$V$7=$A382)*('W2'!$A$12:$A$112=$B382))*W352*24*$H$10*POWER(1+Inflation,W$11+1)</f>
        <v>-18731.640559436972</v>
      </c>
      <c r="X382" s="555" cm="1">
        <f t="array" ref="X382">-SUMPRODUCT('W2'!$M$12:$V$112*('W2'!$M$7:$V$7=$A382)*('W2'!$A$12:$A$112=$B382))*X352*24*$H$10*POWER(1+Inflation,X$11+1)</f>
        <v>-19668.222587408822</v>
      </c>
      <c r="Y382" s="555" cm="1">
        <f t="array" ref="Y382">-SUMPRODUCT('W2'!$M$12:$V$112*('W2'!$M$7:$V$7=$A382)*('W2'!$A$12:$A$112=$B382))*Y352*24*$H$10*POWER(1+Inflation,Y$11+1)</f>
        <v>-20651.633716779259</v>
      </c>
      <c r="Z382" s="555" cm="1">
        <f t="array" ref="Z382">-SUMPRODUCT('W2'!$M$12:$V$112*('W2'!$M$7:$V$7=$A382)*('W2'!$A$12:$A$112=$B382))*Z352*24*$H$10*POWER(1+Inflation,Z$11+1)</f>
        <v>-21684.215402618225</v>
      </c>
      <c r="AA382" s="555"/>
      <c r="AB382" s="555"/>
      <c r="AC382" s="555"/>
      <c r="AD382" s="555"/>
      <c r="AE382" s="555"/>
      <c r="AF382" s="555"/>
      <c r="AG382" s="555"/>
      <c r="AH382" s="555"/>
      <c r="AI382" s="555"/>
      <c r="AJ382" s="555"/>
    </row>
    <row r="383" spans="1:36" s="299" customFormat="1" x14ac:dyDescent="0.25">
      <c r="A383" s="299" t="s">
        <v>424</v>
      </c>
      <c r="B383" s="299" t="s">
        <v>462</v>
      </c>
      <c r="H383" s="553" t="s">
        <v>192</v>
      </c>
      <c r="I383" s="554" t="str">
        <f t="shared" si="355"/>
        <v>tr. VND</v>
      </c>
      <c r="K383" s="555"/>
      <c r="L383" s="555" cm="1">
        <f t="array" ref="L383">-SUMPRODUCT('W2'!$M$12:$V$112*('W2'!$M$7:$V$7=$A383)*('W2'!$A$12:$A$112=$B383))*L353*$H$10*POWER(1+Inflation,L$11+1)</f>
        <v>-975.00902399999995</v>
      </c>
      <c r="M383" s="555" cm="1">
        <f t="array" ref="M383">-SUMPRODUCT('W2'!$M$12:$V$112*('W2'!$M$7:$V$7=$A383)*('W2'!$A$12:$A$112=$B383))*M353*$H$10*POWER(1+Inflation,M$11+1)</f>
        <v>-1365.0126335999998</v>
      </c>
      <c r="N383" s="555" cm="1">
        <f t="array" ref="N383">-SUMPRODUCT('W2'!$M$12:$V$112*('W2'!$M$7:$V$7=$A383)*('W2'!$A$12:$A$112=$B383))*N353*$H$10*POWER(1+Inflation,N$11+1)</f>
        <v>-2047.5189504</v>
      </c>
      <c r="O383" s="555" cm="1">
        <f t="array" ref="O383">-SUMPRODUCT('W2'!$M$12:$V$112*('W2'!$M$7:$V$7=$A383)*('W2'!$A$12:$A$112=$B383))*O353*$H$10*POWER(1+Inflation,O$11+1)</f>
        <v>-2149.8948979199999</v>
      </c>
      <c r="P383" s="555" cm="1">
        <f t="array" ref="P383">-SUMPRODUCT('W2'!$M$12:$V$112*('W2'!$M$7:$V$7=$A383)*('W2'!$A$12:$A$112=$B383))*P353*$H$10*POWER(1+Inflation,P$11+1)</f>
        <v>-2257.3896428160001</v>
      </c>
      <c r="Q383" s="555" cm="1">
        <f t="array" ref="Q383">-SUMPRODUCT('W2'!$M$12:$V$112*('W2'!$M$7:$V$7=$A383)*('W2'!$A$12:$A$112=$B383))*Q353*$H$10*POWER(1+Inflation,Q$11+1)</f>
        <v>-2370.2591249568</v>
      </c>
      <c r="R383" s="555" cm="1">
        <f t="array" ref="R383">-SUMPRODUCT('W2'!$M$12:$V$112*('W2'!$M$7:$V$7=$A383)*('W2'!$A$12:$A$112=$B383))*R353*$H$10*POWER(1+Inflation,R$11+1)</f>
        <v>-2488.77208120464</v>
      </c>
      <c r="S383" s="555" cm="1">
        <f t="array" ref="S383">-SUMPRODUCT('W2'!$M$12:$V$112*('W2'!$M$7:$V$7=$A383)*('W2'!$A$12:$A$112=$B383))*S353*$H$10*POWER(1+Inflation,S$11+1)</f>
        <v>-2613.2106852648717</v>
      </c>
      <c r="T383" s="555" cm="1">
        <f t="array" ref="T383">-SUMPRODUCT('W2'!$M$12:$V$112*('W2'!$M$7:$V$7=$A383)*('W2'!$A$12:$A$112=$B383))*T353*$H$10*POWER(1+Inflation,T$11+1)</f>
        <v>-2743.8712195281159</v>
      </c>
      <c r="U383" s="555" cm="1">
        <f t="array" ref="U383">-SUMPRODUCT('W2'!$M$12:$V$112*('W2'!$M$7:$V$7=$A383)*('W2'!$A$12:$A$112=$B383))*U353*$H$10*POWER(1+Inflation,U$11+1)</f>
        <v>-2881.0647805045214</v>
      </c>
      <c r="V383" s="555" cm="1">
        <f t="array" ref="V383">-SUMPRODUCT('W2'!$M$12:$V$112*('W2'!$M$7:$V$7=$A383)*('W2'!$A$12:$A$112=$B383))*V353*$H$10*POWER(1+Inflation,V$11+1)</f>
        <v>-3025.1180195297475</v>
      </c>
      <c r="W383" s="555" cm="1">
        <f t="array" ref="W383">-SUMPRODUCT('W2'!$M$12:$V$112*('W2'!$M$7:$V$7=$A383)*('W2'!$A$12:$A$112=$B383))*W353*$H$10*POWER(1+Inflation,W$11+1)</f>
        <v>-3176.3739205062352</v>
      </c>
      <c r="X383" s="555" cm="1">
        <f t="array" ref="X383">-SUMPRODUCT('W2'!$M$12:$V$112*('W2'!$M$7:$V$7=$A383)*('W2'!$A$12:$A$112=$B383))*X353*$H$10*POWER(1+Inflation,X$11+1)</f>
        <v>-3335.1926165315472</v>
      </c>
      <c r="Y383" s="555" cm="1">
        <f t="array" ref="Y383">-SUMPRODUCT('W2'!$M$12:$V$112*('W2'!$M$7:$V$7=$A383)*('W2'!$A$12:$A$112=$B383))*Y353*$H$10*POWER(1+Inflation,Y$11+1)</f>
        <v>-3501.9522473581237</v>
      </c>
      <c r="Z383" s="555" cm="1">
        <f t="array" ref="Z383">-SUMPRODUCT('W2'!$M$12:$V$112*('W2'!$M$7:$V$7=$A383)*('W2'!$A$12:$A$112=$B383))*Z353*$H$10*POWER(1+Inflation,Z$11+1)</f>
        <v>-3677.0498597260307</v>
      </c>
      <c r="AA383" s="555"/>
      <c r="AB383" s="555"/>
      <c r="AC383" s="555"/>
      <c r="AD383" s="555"/>
      <c r="AE383" s="555"/>
      <c r="AF383" s="555"/>
      <c r="AG383" s="555"/>
      <c r="AH383" s="555"/>
      <c r="AI383" s="555"/>
      <c r="AJ383" s="555"/>
    </row>
    <row r="384" spans="1:36" s="299" customFormat="1" x14ac:dyDescent="0.25">
      <c r="A384" s="299" t="s">
        <v>424</v>
      </c>
      <c r="B384" s="299" t="s">
        <v>140</v>
      </c>
      <c r="H384" s="553" t="s">
        <v>175</v>
      </c>
      <c r="I384" s="554" t="str">
        <f t="shared" si="355"/>
        <v>tr. VND</v>
      </c>
      <c r="K384" s="555"/>
      <c r="L384" s="555" cm="1">
        <f t="array" ref="L384">SUMPRODUCT('W2'!$M$12:$V$112*('W2'!$M$7:$V$7=$A384)*('W2'!$A$12:$A$112=$B384))*(SUM(L364,L382:L383))</f>
        <v>-2014.9898862933333</v>
      </c>
      <c r="M384" s="555" cm="1">
        <f t="array" ref="M384">SUMPRODUCT('W2'!$M$12:$V$112*('W2'!$M$7:$V$7=$A384)*('W2'!$A$12:$A$112=$B384))*(SUM(M364,M382:M383))</f>
        <v>-2122.5868498773334</v>
      </c>
      <c r="N384" s="555" cm="1">
        <f t="array" ref="N384">SUMPRODUCT('W2'!$M$12:$V$112*('W2'!$M$7:$V$7=$A384)*('W2'!$A$12:$A$112=$B384))*(SUM(N364,N382:N383))</f>
        <v>-2346.8534441493334</v>
      </c>
      <c r="O384" s="555" cm="1">
        <f t="array" ref="O384">SUMPRODUCT('W2'!$M$12:$V$112*('W2'!$M$7:$V$7=$A384)*('W2'!$A$12:$A$112=$B384))*(SUM(O364,O382:O383))</f>
        <v>-2412.8681504901338</v>
      </c>
      <c r="P384" s="555" cm="1">
        <f t="array" ref="P384">SUMPRODUCT('W2'!$M$12:$V$112*('W2'!$M$7:$V$7=$A384)*('W2'!$A$12:$A$112=$B384))*(SUM(P364,P382:P383))</f>
        <v>-2482.1835921479737</v>
      </c>
      <c r="Q384" s="555" cm="1">
        <f t="array" ref="Q384">SUMPRODUCT('W2'!$M$12:$V$112*('W2'!$M$7:$V$7=$A384)*('W2'!$A$12:$A$112=$B384))*(SUM(Q364,Q382:Q383))</f>
        <v>-2554.9648058887055</v>
      </c>
      <c r="R384" s="555" cm="1">
        <f t="array" ref="R384">SUMPRODUCT('W2'!$M$12:$V$112*('W2'!$M$7:$V$7=$A384)*('W2'!$A$12:$A$112=$B384))*(SUM(R364,R382:R383))</f>
        <v>-2631.3850803164742</v>
      </c>
      <c r="S384" s="555" cm="1">
        <f t="array" ref="S384">SUMPRODUCT('W2'!$M$12:$V$112*('W2'!$M$7:$V$7=$A384)*('W2'!$A$12:$A$112=$B384))*(SUM(S364,S382:S383))</f>
        <v>-2711.6263684656315</v>
      </c>
      <c r="T384" s="555" cm="1">
        <f t="array" ref="T384">SUMPRODUCT('W2'!$M$12:$V$112*('W2'!$M$7:$V$7=$A384)*('W2'!$A$12:$A$112=$B384))*(SUM(T364,T382:T383))</f>
        <v>-2795.879721022246</v>
      </c>
      <c r="U384" s="555" cm="1">
        <f t="array" ref="U384">SUMPRODUCT('W2'!$M$12:$V$112*('W2'!$M$7:$V$7=$A384)*('W2'!$A$12:$A$112=$B384))*(SUM(U364,U382:U383))</f>
        <v>-2884.3457412066919</v>
      </c>
      <c r="V384" s="555" cm="1">
        <f t="array" ref="V384">SUMPRODUCT('W2'!$M$12:$V$112*('W2'!$M$7:$V$7=$A384)*('W2'!$A$12:$A$112=$B384))*(SUM(V364,V382:V383))</f>
        <v>-2977.2350624003593</v>
      </c>
      <c r="W384" s="555" cm="1">
        <f t="array" ref="W384">SUMPRODUCT('W2'!$M$12:$V$112*('W2'!$M$7:$V$7=$A384)*('W2'!$A$12:$A$112=$B384))*(SUM(W364,W382:W383))</f>
        <v>-3074.7688496537107</v>
      </c>
      <c r="X384" s="555" cm="1">
        <f t="array" ref="X384">SUMPRODUCT('W2'!$M$12:$V$112*('W2'!$M$7:$V$7=$A384)*('W2'!$A$12:$A$112=$B384))*(SUM(X364,X382:X383))</f>
        <v>-2174.6799929363965</v>
      </c>
      <c r="Y384" s="555" cm="1">
        <f t="array" ref="Y384">SUMPRODUCT('W2'!$M$12:$V$112*('W2'!$M$7:$V$7=$A384)*('W2'!$A$12:$A$112=$B384))*(SUM(Y364,Y382:Y383))</f>
        <v>-2282.2109933832162</v>
      </c>
      <c r="Z384" s="555" cm="1">
        <f t="array" ref="Z384">SUMPRODUCT('W2'!$M$12:$V$112*('W2'!$M$7:$V$7=$A384)*('W2'!$A$12:$A$112=$B384))*(SUM(Z364,Z382:Z383))</f>
        <v>-2395.1185438523776</v>
      </c>
      <c r="AA384" s="555"/>
      <c r="AB384" s="555"/>
      <c r="AC384" s="555"/>
      <c r="AD384" s="555"/>
      <c r="AE384" s="555"/>
      <c r="AF384" s="555"/>
      <c r="AG384" s="555"/>
      <c r="AH384" s="555"/>
      <c r="AI384" s="555"/>
      <c r="AJ384" s="555"/>
    </row>
    <row r="385" spans="1:36" x14ac:dyDescent="0.25">
      <c r="A385" t="s">
        <v>424</v>
      </c>
      <c r="K385" s="15"/>
      <c r="L385" s="263"/>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row>
    <row r="386" spans="1:36" s="300" customFormat="1" x14ac:dyDescent="0.25">
      <c r="A386" s="300" t="s">
        <v>424</v>
      </c>
      <c r="H386" s="301" t="s">
        <v>464</v>
      </c>
      <c r="I386" s="302" t="str">
        <f>IF($H$9="USD","USD","tr. VND")</f>
        <v>tr. VND</v>
      </c>
      <c r="K386" s="303">
        <f>K364+K374</f>
        <v>0</v>
      </c>
      <c r="L386" s="303">
        <f t="shared" ref="L386:AJ386" si="357">L364+L374</f>
        <v>-136144.00223716011</v>
      </c>
      <c r="M386" s="303">
        <f t="shared" si="357"/>
        <v>-172443.22936775751</v>
      </c>
      <c r="N386" s="303">
        <f t="shared" si="357"/>
        <v>-231914.83653814293</v>
      </c>
      <c r="O386" s="303">
        <f t="shared" si="357"/>
        <v>-237088.99513803353</v>
      </c>
      <c r="P386" s="303">
        <f t="shared" si="357"/>
        <v>-242420.12054562898</v>
      </c>
      <c r="Q386" s="303">
        <f t="shared" si="357"/>
        <v>-247914.02627886878</v>
      </c>
      <c r="R386" s="303">
        <f t="shared" si="357"/>
        <v>-253576.77583514043</v>
      </c>
      <c r="S386" s="303">
        <f t="shared" si="357"/>
        <v>-259414.69437632285</v>
      </c>
      <c r="T386" s="303">
        <f t="shared" si="357"/>
        <v>-265434.38098180352</v>
      </c>
      <c r="U386" s="303">
        <f t="shared" si="357"/>
        <v>-271642.72149754228</v>
      </c>
      <c r="V386" s="303">
        <f t="shared" si="357"/>
        <v>-278046.90201065154</v>
      </c>
      <c r="W386" s="303">
        <f t="shared" si="357"/>
        <v>-284654.42298043164</v>
      </c>
      <c r="X386" s="303">
        <f t="shared" si="357"/>
        <v>-265408.13139166962</v>
      </c>
      <c r="Y386" s="303">
        <f t="shared" si="357"/>
        <v>-272446.16696429788</v>
      </c>
      <c r="Z386" s="303">
        <f t="shared" si="357"/>
        <v>-279712.08245520247</v>
      </c>
      <c r="AA386" s="303"/>
      <c r="AB386" s="303"/>
      <c r="AC386" s="303"/>
      <c r="AD386" s="303"/>
      <c r="AE386" s="303"/>
      <c r="AF386" s="303"/>
      <c r="AG386" s="303"/>
      <c r="AH386" s="303"/>
      <c r="AI386" s="303"/>
      <c r="AJ386" s="303"/>
    </row>
    <row r="387" spans="1:36" x14ac:dyDescent="0.25">
      <c r="A387" t="s">
        <v>424</v>
      </c>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row>
    <row r="388" spans="1:36" x14ac:dyDescent="0.25">
      <c r="A388" t="s">
        <v>424</v>
      </c>
      <c r="B388" t="s">
        <v>622</v>
      </c>
      <c r="H388" s="459" t="s">
        <v>166</v>
      </c>
      <c r="I388" s="493" t="str">
        <f>IF($H$9="USD","USD","tr. VND")</f>
        <v>tr. VND</v>
      </c>
      <c r="K388" s="461"/>
      <c r="L388" s="461" cm="1">
        <f t="array" ref="L388">-SUMPRODUCT('W2'!$M$12:$V$112*('W2'!$M$7:$V$7=$A388)*('W2'!$A$12:$A$112=$B388))*L353*$H$10*POWER(1+Inflation,L$11+1)</f>
        <v>-2752.9666560000001</v>
      </c>
      <c r="M388" s="461" cm="1">
        <f t="array" ref="M388">-SUMPRODUCT('W2'!$M$12:$V$112*('W2'!$M$7:$V$7=$A388)*('W2'!$A$12:$A$112=$B388))*M353*$H$10*POWER(1+Inflation,M$11+1)</f>
        <v>-3854.1533183999995</v>
      </c>
      <c r="N388" s="461" cm="1">
        <f t="array" ref="N388">-SUMPRODUCT('W2'!$M$12:$V$112*('W2'!$M$7:$V$7=$A388)*('W2'!$A$12:$A$112=$B388))*N353*$H$10*POWER(1+Inflation,N$11+1)</f>
        <v>-5781.2299776</v>
      </c>
      <c r="O388" s="461" cm="1">
        <f t="array" ref="O388">-SUMPRODUCT('W2'!$M$12:$V$112*('W2'!$M$7:$V$7=$A388)*('W2'!$A$12:$A$112=$B388))*O353*$H$10*POWER(1+Inflation,O$11+1)</f>
        <v>-6070.2914764800007</v>
      </c>
      <c r="P388" s="461" cm="1">
        <f t="array" ref="P388">-SUMPRODUCT('W2'!$M$12:$V$112*('W2'!$M$7:$V$7=$A388)*('W2'!$A$12:$A$112=$B388))*P353*$H$10*POWER(1+Inflation,P$11+1)</f>
        <v>-6373.8060503040006</v>
      </c>
      <c r="Q388" s="461" cm="1">
        <f t="array" ref="Q388">-SUMPRODUCT('W2'!$M$12:$V$112*('W2'!$M$7:$V$7=$A388)*('W2'!$A$12:$A$112=$B388))*Q353*$H$10*POWER(1+Inflation,Q$11+1)</f>
        <v>-6692.4963528192002</v>
      </c>
      <c r="R388" s="461" cm="1">
        <f t="array" ref="R388">-SUMPRODUCT('W2'!$M$12:$V$112*('W2'!$M$7:$V$7=$A388)*('W2'!$A$12:$A$112=$B388))*R353*$H$10*POWER(1+Inflation,R$11+1)</f>
        <v>-7027.121170460161</v>
      </c>
      <c r="S388" s="461" cm="1">
        <f t="array" ref="S388">-SUMPRODUCT('W2'!$M$12:$V$112*('W2'!$M$7:$V$7=$A388)*('W2'!$A$12:$A$112=$B388))*S353*$H$10*POWER(1+Inflation,S$11+1)</f>
        <v>-7378.4772289831681</v>
      </c>
      <c r="T388" s="461" cm="1">
        <f t="array" ref="T388">-SUMPRODUCT('W2'!$M$12:$V$112*('W2'!$M$7:$V$7=$A388)*('W2'!$A$12:$A$112=$B388))*T353*$H$10*POWER(1+Inflation,T$11+1)</f>
        <v>-7747.4010904323277</v>
      </c>
      <c r="U388" s="461" cm="1">
        <f t="array" ref="U388">-SUMPRODUCT('W2'!$M$12:$V$112*('W2'!$M$7:$V$7=$A388)*('W2'!$A$12:$A$112=$B388))*U353*$H$10*POWER(1+Inflation,U$11+1)</f>
        <v>-8134.7711449539429</v>
      </c>
      <c r="V388" s="461" cm="1">
        <f t="array" ref="V388">-SUMPRODUCT('W2'!$M$12:$V$112*('W2'!$M$7:$V$7=$A388)*('W2'!$A$12:$A$112=$B388))*V353*$H$10*POWER(1+Inflation,V$11+1)</f>
        <v>-8541.5097022016416</v>
      </c>
      <c r="W388" s="461" cm="1">
        <f t="array" ref="W388">-SUMPRODUCT('W2'!$M$12:$V$112*('W2'!$M$7:$V$7=$A388)*('W2'!$A$12:$A$112=$B388))*W353*$H$10*POWER(1+Inflation,W$11+1)</f>
        <v>-8968.5851873117226</v>
      </c>
      <c r="X388" s="461" cm="1">
        <f t="array" ref="X388">-SUMPRODUCT('W2'!$M$12:$V$112*('W2'!$M$7:$V$7=$A388)*('W2'!$A$12:$A$112=$B388))*X353*$H$10*POWER(1+Inflation,X$11+1)</f>
        <v>-9417.014446677309</v>
      </c>
      <c r="Y388" s="461" cm="1">
        <f t="array" ref="Y388">-SUMPRODUCT('W2'!$M$12:$V$112*('W2'!$M$7:$V$7=$A388)*('W2'!$A$12:$A$112=$B388))*Y353*$H$10*POWER(1+Inflation,Y$11+1)</f>
        <v>-9887.8651690111747</v>
      </c>
      <c r="Z388" s="461" cm="1">
        <f t="array" ref="Z388">-SUMPRODUCT('W2'!$M$12:$V$112*('W2'!$M$7:$V$7=$A388)*('W2'!$A$12:$A$112=$B388))*Z353*$H$10*POWER(1+Inflation,Z$11+1)</f>
        <v>-10382.258427461735</v>
      </c>
      <c r="AA388" s="461"/>
      <c r="AB388" s="461"/>
      <c r="AC388" s="461"/>
      <c r="AD388" s="461"/>
      <c r="AE388" s="461"/>
      <c r="AF388" s="461"/>
      <c r="AG388" s="461"/>
      <c r="AH388" s="461"/>
      <c r="AI388" s="461"/>
      <c r="AJ388" s="461"/>
    </row>
    <row r="389" spans="1:36" x14ac:dyDescent="0.25">
      <c r="A389" t="s">
        <v>424</v>
      </c>
      <c r="B389" t="s">
        <v>527</v>
      </c>
      <c r="H389" s="454" t="s">
        <v>469</v>
      </c>
      <c r="I389" s="496" t="str">
        <f>IF($H$9="USD","USD","tr. VND")</f>
        <v>tr. VND</v>
      </c>
      <c r="K389" s="457"/>
      <c r="L389" s="457" cm="1">
        <f t="array" ref="L389">-SUMPRODUCT('W2'!$M$12:$V$112*('W2'!$M$7:$V$7=$A389)*('W2'!$A$12:$A$112=$B389))*L353*$H$10*POWER(1+Inflation,L$11+1)</f>
        <v>0</v>
      </c>
      <c r="M389" s="457" cm="1">
        <f t="array" ref="M389">-SUMPRODUCT('W2'!$M$12:$V$112*('W2'!$M$7:$V$7=$A389)*('W2'!$A$12:$A$112=$B389))*M353*$H$10*POWER(1+Inflation,M$11+1)</f>
        <v>0</v>
      </c>
      <c r="N389" s="457" cm="1">
        <f t="array" ref="N389">-SUMPRODUCT('W2'!$M$12:$V$112*('W2'!$M$7:$V$7=$A389)*('W2'!$A$12:$A$112=$B389))*N353*$H$10*POWER(1+Inflation,N$11+1)</f>
        <v>0</v>
      </c>
      <c r="O389" s="457" cm="1">
        <f t="array" ref="O389">-SUMPRODUCT('W2'!$M$12:$V$112*('W2'!$M$7:$V$7=$A389)*('W2'!$A$12:$A$112=$B389))*O353*$H$10*POWER(1+Inflation,O$11+1)</f>
        <v>0</v>
      </c>
      <c r="P389" s="457" cm="1">
        <f t="array" ref="P389">-SUMPRODUCT('W2'!$M$12:$V$112*('W2'!$M$7:$V$7=$A389)*('W2'!$A$12:$A$112=$B389))*P353*$H$10*POWER(1+Inflation,P$11+1)</f>
        <v>0</v>
      </c>
      <c r="Q389" s="457" cm="1">
        <f t="array" ref="Q389">-SUMPRODUCT('W2'!$M$12:$V$112*('W2'!$M$7:$V$7=$A389)*('W2'!$A$12:$A$112=$B389))*Q353*$H$10*POWER(1+Inflation,Q$11+1)</f>
        <v>0</v>
      </c>
      <c r="R389" s="457" cm="1">
        <f t="array" ref="R389">-SUMPRODUCT('W2'!$M$12:$V$112*('W2'!$M$7:$V$7=$A389)*('W2'!$A$12:$A$112=$B389))*R353*$H$10*POWER(1+Inflation,R$11+1)</f>
        <v>0</v>
      </c>
      <c r="S389" s="457" cm="1">
        <f t="array" ref="S389">-SUMPRODUCT('W2'!$M$12:$V$112*('W2'!$M$7:$V$7=$A389)*('W2'!$A$12:$A$112=$B389))*S353*$H$10*POWER(1+Inflation,S$11+1)</f>
        <v>0</v>
      </c>
      <c r="T389" s="457" cm="1">
        <f t="array" ref="T389">-SUMPRODUCT('W2'!$M$12:$V$112*('W2'!$M$7:$V$7=$A389)*('W2'!$A$12:$A$112=$B389))*T353*$H$10*POWER(1+Inflation,T$11+1)</f>
        <v>0</v>
      </c>
      <c r="U389" s="457" cm="1">
        <f t="array" ref="U389">-SUMPRODUCT('W2'!$M$12:$V$112*('W2'!$M$7:$V$7=$A389)*('W2'!$A$12:$A$112=$B389))*U353*$H$10*POWER(1+Inflation,U$11+1)</f>
        <v>0</v>
      </c>
      <c r="V389" s="457" cm="1">
        <f t="array" ref="V389">-SUMPRODUCT('W2'!$M$12:$V$112*('W2'!$M$7:$V$7=$A389)*('W2'!$A$12:$A$112=$B389))*V353*$H$10*POWER(1+Inflation,V$11+1)</f>
        <v>0</v>
      </c>
      <c r="W389" s="457" cm="1">
        <f t="array" ref="W389">-SUMPRODUCT('W2'!$M$12:$V$112*('W2'!$M$7:$V$7=$A389)*('W2'!$A$12:$A$112=$B389))*W353*$H$10*POWER(1+Inflation,W$11+1)</f>
        <v>0</v>
      </c>
      <c r="X389" s="457" cm="1">
        <f t="array" ref="X389">-SUMPRODUCT('W2'!$M$12:$V$112*('W2'!$M$7:$V$7=$A389)*('W2'!$A$12:$A$112=$B389))*X353*$H$10*POWER(1+Inflation,X$11+1)</f>
        <v>0</v>
      </c>
      <c r="Y389" s="457" cm="1">
        <f t="array" ref="Y389">-SUMPRODUCT('W2'!$M$12:$V$112*('W2'!$M$7:$V$7=$A389)*('W2'!$A$12:$A$112=$B389))*Y353*$H$10*POWER(1+Inflation,Y$11+1)</f>
        <v>0</v>
      </c>
      <c r="Z389" s="457" cm="1">
        <f t="array" ref="Z389">-SUMPRODUCT('W2'!$M$12:$V$112*('W2'!$M$7:$V$7=$A389)*('W2'!$A$12:$A$112=$B389))*Z353*$H$10*POWER(1+Inflation,Z$11+1)</f>
        <v>0</v>
      </c>
      <c r="AA389" s="457"/>
      <c r="AB389" s="457"/>
      <c r="AC389" s="457"/>
      <c r="AD389" s="457"/>
      <c r="AE389" s="457"/>
      <c r="AF389" s="457"/>
      <c r="AG389" s="457"/>
      <c r="AH389" s="457"/>
      <c r="AI389" s="457"/>
      <c r="AJ389" s="457"/>
    </row>
    <row r="390" spans="1:36" x14ac:dyDescent="0.25">
      <c r="A390" t="s">
        <v>424</v>
      </c>
      <c r="B390" t="s">
        <v>522</v>
      </c>
      <c r="H390" s="454" t="s">
        <v>468</v>
      </c>
      <c r="I390" s="496" t="str">
        <f>IF($H$9="USD","USD","tr. VND")</f>
        <v>tr. VND</v>
      </c>
      <c r="K390" s="454"/>
      <c r="L390" s="457" cm="1">
        <f t="array" ref="L390">-SUMPRODUCT('W2'!$M$12:$V$112*('W2'!$M$7:$V$7=$A390)*('W2'!$A$12:$A$112=$B390))*L353*$H$10*POWER(1+Inflation,L$11+1)</f>
        <v>0</v>
      </c>
      <c r="M390" s="457" cm="1">
        <f t="array" ref="M390">-SUMPRODUCT('W2'!$M$12:$V$112*('W2'!$M$7:$V$7=$A390)*('W2'!$A$12:$A$112=$B390))*M353*$H$10*POWER(1+Inflation,M$11+1)</f>
        <v>0</v>
      </c>
      <c r="N390" s="457" cm="1">
        <f t="array" ref="N390">-SUMPRODUCT('W2'!$M$12:$V$112*('W2'!$M$7:$V$7=$A390)*('W2'!$A$12:$A$112=$B390))*N353*$H$10*POWER(1+Inflation,N$11+1)</f>
        <v>0</v>
      </c>
      <c r="O390" s="457" cm="1">
        <f t="array" ref="O390">-SUMPRODUCT('W2'!$M$12:$V$112*('W2'!$M$7:$V$7=$A390)*('W2'!$A$12:$A$112=$B390))*O353*$H$10*POWER(1+Inflation,O$11+1)</f>
        <v>0</v>
      </c>
      <c r="P390" s="457" cm="1">
        <f t="array" ref="P390">-SUMPRODUCT('W2'!$M$12:$V$112*('W2'!$M$7:$V$7=$A390)*('W2'!$A$12:$A$112=$B390))*P353*$H$10*POWER(1+Inflation,P$11+1)</f>
        <v>0</v>
      </c>
      <c r="Q390" s="457" cm="1">
        <f t="array" ref="Q390">-SUMPRODUCT('W2'!$M$12:$V$112*('W2'!$M$7:$V$7=$A390)*('W2'!$A$12:$A$112=$B390))*Q353*$H$10*POWER(1+Inflation,Q$11+1)</f>
        <v>0</v>
      </c>
      <c r="R390" s="457" cm="1">
        <f t="array" ref="R390">-SUMPRODUCT('W2'!$M$12:$V$112*('W2'!$M$7:$V$7=$A390)*('W2'!$A$12:$A$112=$B390))*R353*$H$10*POWER(1+Inflation,R$11+1)</f>
        <v>0</v>
      </c>
      <c r="S390" s="457" cm="1">
        <f t="array" ref="S390">-SUMPRODUCT('W2'!$M$12:$V$112*('W2'!$M$7:$V$7=$A390)*('W2'!$A$12:$A$112=$B390))*S353*$H$10*POWER(1+Inflation,S$11+1)</f>
        <v>0</v>
      </c>
      <c r="T390" s="457" cm="1">
        <f t="array" ref="T390">-SUMPRODUCT('W2'!$M$12:$V$112*('W2'!$M$7:$V$7=$A390)*('W2'!$A$12:$A$112=$B390))*T353*$H$10*POWER(1+Inflation,T$11+1)</f>
        <v>0</v>
      </c>
      <c r="U390" s="457" cm="1">
        <f t="array" ref="U390">-SUMPRODUCT('W2'!$M$12:$V$112*('W2'!$M$7:$V$7=$A390)*('W2'!$A$12:$A$112=$B390))*U353*$H$10*POWER(1+Inflation,U$11+1)</f>
        <v>0</v>
      </c>
      <c r="V390" s="457" cm="1">
        <f t="array" ref="V390">-SUMPRODUCT('W2'!$M$12:$V$112*('W2'!$M$7:$V$7=$A390)*('W2'!$A$12:$A$112=$B390))*V353*$H$10*POWER(1+Inflation,V$11+1)</f>
        <v>0</v>
      </c>
      <c r="W390" s="457" cm="1">
        <f t="array" ref="W390">-SUMPRODUCT('W2'!$M$12:$V$112*('W2'!$M$7:$V$7=$A390)*('W2'!$A$12:$A$112=$B390))*W353*$H$10*POWER(1+Inflation,W$11+1)</f>
        <v>0</v>
      </c>
      <c r="X390" s="457" cm="1">
        <f t="array" ref="X390">-SUMPRODUCT('W2'!$M$12:$V$112*('W2'!$M$7:$V$7=$A390)*('W2'!$A$12:$A$112=$B390))*X353*$H$10*POWER(1+Inflation,X$11+1)</f>
        <v>0</v>
      </c>
      <c r="Y390" s="457" cm="1">
        <f t="array" ref="Y390">-SUMPRODUCT('W2'!$M$12:$V$112*('W2'!$M$7:$V$7=$A390)*('W2'!$A$12:$A$112=$B390))*Y353*$H$10*POWER(1+Inflation,Y$11+1)</f>
        <v>0</v>
      </c>
      <c r="Z390" s="457" cm="1">
        <f t="array" ref="Z390">-SUMPRODUCT('W2'!$M$12:$V$112*('W2'!$M$7:$V$7=$A390)*('W2'!$A$12:$A$112=$B390))*Z353*$H$10*POWER(1+Inflation,Z$11+1)</f>
        <v>0</v>
      </c>
      <c r="AA390" s="457"/>
      <c r="AB390" s="457"/>
      <c r="AC390" s="457"/>
      <c r="AD390" s="457"/>
      <c r="AE390" s="457"/>
      <c r="AF390" s="457"/>
      <c r="AG390" s="457"/>
      <c r="AH390" s="457"/>
      <c r="AI390" s="457"/>
      <c r="AJ390" s="457"/>
    </row>
    <row r="391" spans="1:36" x14ac:dyDescent="0.25">
      <c r="A391" t="s">
        <v>424</v>
      </c>
      <c r="H391" s="454" t="s">
        <v>470</v>
      </c>
      <c r="I391" s="496" t="str">
        <f>IF($H$9="USD","USD","tr. VND")</f>
        <v>tr. VND</v>
      </c>
      <c r="K391" s="454"/>
      <c r="L391" s="457" cm="1">
        <f t="array" ref="L391">-SUMPRODUCT('Lãi vay'!$E$5:$AI$54*('Lãi vay'!$A$5:$A$54=$A391)*('Lãi vay'!$B$5:$B$54="Lãi vay")*('Lãi vay'!$E$3:$AI$3=L$14))*$H$10</f>
        <v>-14736.740200000002</v>
      </c>
      <c r="M391" s="457" cm="1">
        <f t="array" ref="M391">-SUMPRODUCT('Lãi vay'!$E$5:$AI$54*('Lãi vay'!$A$5:$A$54=$A391)*('Lãi vay'!$B$5:$B$54="Lãi vay")*('Lãi vay'!$E$3:$AI$3=M$14))*$H$10</f>
        <v>-14150.297154424765</v>
      </c>
      <c r="N391" s="457" cm="1">
        <f t="array" ref="N391">-SUMPRODUCT('Lãi vay'!$E$5:$AI$54*('Lãi vay'!$A$5:$A$54=$A391)*('Lãi vay'!$B$5:$B$54="Lãi vay")*('Lãi vay'!$E$3:$AI$3=N$14))*$H$10</f>
        <v>-13522.803095659263</v>
      </c>
      <c r="O391" s="457" cm="1">
        <f t="array" ref="O391">-SUMPRODUCT('Lãi vay'!$E$5:$AI$54*('Lãi vay'!$A$5:$A$54=$A391)*('Lãi vay'!$B$5:$B$54="Lãi vay")*('Lãi vay'!$E$3:$AI$3=O$14))*$H$10</f>
        <v>-12851.384452780176</v>
      </c>
      <c r="P391" s="457" cm="1">
        <f t="array" ref="P391">-SUMPRODUCT('Lãi vay'!$E$5:$AI$54*('Lãi vay'!$A$5:$A$54=$A391)*('Lãi vay'!$B$5:$B$54="Lãi vay")*('Lãi vay'!$E$3:$AI$3=P$14))*$H$10</f>
        <v>-12132.96650489955</v>
      </c>
      <c r="Q391" s="457" cm="1">
        <f t="array" ref="Q391">-SUMPRODUCT('Lãi vay'!$E$5:$AI$54*('Lãi vay'!$A$5:$A$54=$A391)*('Lãi vay'!$B$5:$B$54="Lãi vay")*('Lãi vay'!$E$3:$AI$3=Q$14))*$H$10</f>
        <v>-11364.259300667285</v>
      </c>
      <c r="R391" s="457" cm="1">
        <f t="array" ref="R391">-SUMPRODUCT('Lãi vay'!$E$5:$AI$54*('Lãi vay'!$A$5:$A$54=$A391)*('Lãi vay'!$B$5:$B$54="Lãi vay")*('Lãi vay'!$E$3:$AI$3=R$14))*$H$10</f>
        <v>-10541.742592138758</v>
      </c>
      <c r="S391" s="457" cm="1">
        <f t="array" ref="S391">-SUMPRODUCT('Lãi vay'!$E$5:$AI$54*('Lãi vay'!$A$5:$A$54=$A391)*('Lãi vay'!$B$5:$B$54="Lãi vay")*('Lãi vay'!$E$3:$AI$3=S$14))*$H$10</f>
        <v>-9661.649714013236</v>
      </c>
      <c r="T391" s="457" cm="1">
        <f t="array" ref="T391">-SUMPRODUCT('Lãi vay'!$E$5:$AI$54*('Lãi vay'!$A$5:$A$54=$A391)*('Lãi vay'!$B$5:$B$54="Lãi vay")*('Lãi vay'!$E$3:$AI$3=T$14))*$H$10</f>
        <v>-8719.950334418927</v>
      </c>
      <c r="U391" s="457" cm="1">
        <f t="array" ref="U391">-SUMPRODUCT('Lãi vay'!$E$5:$AI$54*('Lãi vay'!$A$5:$A$54=$A391)*('Lãi vay'!$B$5:$B$54="Lãi vay")*('Lãi vay'!$E$3:$AI$3=U$14))*$H$10</f>
        <v>-7712.3319982530165</v>
      </c>
      <c r="V391" s="457" cm="1">
        <f t="array" ref="V391">-SUMPRODUCT('Lãi vay'!$E$5:$AI$54*('Lãi vay'!$A$5:$A$54=$A391)*('Lãi vay'!$B$5:$B$54="Lãi vay")*('Lãi vay'!$E$3:$AI$3=V$14))*$H$10</f>
        <v>-6634.1803785554921</v>
      </c>
      <c r="W391" s="457" cm="1">
        <f t="array" ref="W391">-SUMPRODUCT('Lãi vay'!$E$5:$AI$54*('Lãi vay'!$A$5:$A$54=$A391)*('Lãi vay'!$B$5:$B$54="Lãi vay")*('Lãi vay'!$E$3:$AI$3=W$14))*$H$10</f>
        <v>-5480.55814547914</v>
      </c>
      <c r="X391" s="457" cm="1">
        <f t="array" ref="X391">-SUMPRODUCT('Lãi vay'!$E$5:$AI$54*('Lãi vay'!$A$5:$A$54=$A391)*('Lãi vay'!$B$5:$B$54="Lãi vay")*('Lãi vay'!$E$3:$AI$3=X$14))*$H$10</f>
        <v>-4246.1823560874445</v>
      </c>
      <c r="Y391" s="457" cm="1">
        <f t="array" ref="Y391">-SUMPRODUCT('Lãi vay'!$E$5:$AI$54*('Lãi vay'!$A$5:$A$54=$A391)*('Lãi vay'!$B$5:$B$54="Lãi vay")*('Lãi vay'!$E$3:$AI$3=Y$14))*$H$10</f>
        <v>-2925.4002614383289</v>
      </c>
      <c r="Z391" s="457" cm="1">
        <f t="array" ref="Z391">-SUMPRODUCT('Lãi vay'!$E$5:$AI$54*('Lãi vay'!$A$5:$A$54=$A391)*('Lãi vay'!$B$5:$B$54="Lãi vay")*('Lãi vay'!$E$3:$AI$3=Z$14))*$H$10</f>
        <v>-1512.1634201637758</v>
      </c>
      <c r="AA391" s="457"/>
      <c r="AB391" s="457"/>
      <c r="AC391" s="457"/>
      <c r="AD391" s="457"/>
      <c r="AE391" s="457"/>
      <c r="AF391" s="457"/>
      <c r="AG391" s="457"/>
      <c r="AH391" s="457"/>
      <c r="AI391" s="457"/>
      <c r="AJ391" s="457"/>
    </row>
    <row r="392" spans="1:36" x14ac:dyDescent="0.25">
      <c r="A392" t="s">
        <v>424</v>
      </c>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row>
    <row r="393" spans="1:36" s="16" customFormat="1" x14ac:dyDescent="0.25">
      <c r="A393" s="16" t="s">
        <v>424</v>
      </c>
      <c r="H393" s="270" t="s">
        <v>472</v>
      </c>
      <c r="I393" s="271" t="str">
        <f>IF($H$9="USD","USD","tr. VND")</f>
        <v>tr. VND</v>
      </c>
      <c r="K393" s="272">
        <f t="shared" ref="K393" si="358">K386+SUM(K388:K391)</f>
        <v>0</v>
      </c>
      <c r="L393" s="272">
        <f>L386+SUM(L388:L391)</f>
        <v>-153633.70909316011</v>
      </c>
      <c r="M393" s="272">
        <f t="shared" ref="M393:AJ393" si="359">M386+SUM(M388:M391)</f>
        <v>-190447.67984058228</v>
      </c>
      <c r="N393" s="272">
        <f t="shared" si="359"/>
        <v>-251218.86961140219</v>
      </c>
      <c r="O393" s="272">
        <f t="shared" si="359"/>
        <v>-256010.6710672937</v>
      </c>
      <c r="P393" s="272">
        <f t="shared" si="359"/>
        <v>-260926.89310083253</v>
      </c>
      <c r="Q393" s="272">
        <f t="shared" si="359"/>
        <v>-265970.78193235525</v>
      </c>
      <c r="R393" s="272">
        <f t="shared" si="359"/>
        <v>-271145.63959773933</v>
      </c>
      <c r="S393" s="272">
        <f t="shared" si="359"/>
        <v>-276454.82131931925</v>
      </c>
      <c r="T393" s="272">
        <f t="shared" si="359"/>
        <v>-281901.7324066548</v>
      </c>
      <c r="U393" s="272">
        <f t="shared" si="359"/>
        <v>-287489.82464074926</v>
      </c>
      <c r="V393" s="272">
        <f t="shared" si="359"/>
        <v>-293222.59209140867</v>
      </c>
      <c r="W393" s="272">
        <f t="shared" si="359"/>
        <v>-299103.56631322252</v>
      </c>
      <c r="X393" s="272">
        <f t="shared" si="359"/>
        <v>-279071.32819443441</v>
      </c>
      <c r="Y393" s="272">
        <f t="shared" si="359"/>
        <v>-285259.43239474739</v>
      </c>
      <c r="Z393" s="272">
        <f t="shared" si="359"/>
        <v>-291606.50430282799</v>
      </c>
      <c r="AA393" s="272"/>
      <c r="AB393" s="272"/>
      <c r="AC393" s="272"/>
      <c r="AD393" s="272"/>
      <c r="AE393" s="272"/>
      <c r="AF393" s="272"/>
      <c r="AG393" s="272"/>
      <c r="AH393" s="272"/>
      <c r="AI393" s="272"/>
      <c r="AJ393" s="272"/>
    </row>
    <row r="394" spans="1:36" x14ac:dyDescent="0.25">
      <c r="A394" t="s">
        <v>424</v>
      </c>
    </row>
    <row r="395" spans="1:36" s="24" customFormat="1" ht="17.25" x14ac:dyDescent="0.3">
      <c r="A395" s="24" t="s">
        <v>424</v>
      </c>
      <c r="H395" s="643" t="s">
        <v>473</v>
      </c>
      <c r="I395" s="643"/>
      <c r="K395" s="643"/>
      <c r="L395" s="643"/>
      <c r="M395" s="643"/>
      <c r="N395" s="643"/>
      <c r="O395" s="643"/>
      <c r="P395" s="643"/>
      <c r="Q395" s="643"/>
      <c r="R395" s="643"/>
      <c r="S395" s="643"/>
      <c r="T395" s="643"/>
      <c r="U395" s="643"/>
      <c r="V395" s="643"/>
      <c r="W395" s="643"/>
      <c r="X395" s="643"/>
      <c r="Y395" s="643"/>
      <c r="Z395" s="643"/>
      <c r="AA395" s="643"/>
      <c r="AB395" s="643"/>
      <c r="AC395" s="643"/>
      <c r="AD395" s="643"/>
      <c r="AE395" s="643"/>
      <c r="AF395" s="643"/>
      <c r="AG395" s="643"/>
      <c r="AH395" s="643"/>
      <c r="AI395" s="643"/>
      <c r="AJ395" s="643"/>
    </row>
    <row r="396" spans="1:36" s="1" customFormat="1" x14ac:dyDescent="0.25">
      <c r="A396" s="1" t="s">
        <v>424</v>
      </c>
      <c r="H396" s="273" t="s">
        <v>434</v>
      </c>
      <c r="I396" s="274" t="str">
        <f>IF($H$9="USD","USD/tấn","tr. VND/tấn")</f>
        <v>tr. VND/tấn</v>
      </c>
      <c r="K396" s="278">
        <f t="shared" ref="K396" si="360">SUM(K397:K398,K401:K404,)</f>
        <v>0</v>
      </c>
      <c r="L396" s="278">
        <f>SUM(L397:L398,L401:L404,)</f>
        <v>14.093866286457756</v>
      </c>
      <c r="M396" s="278">
        <f t="shared" ref="M396:AJ396" si="361">SUM(M397:M398,M401:M404,)</f>
        <v>10.067047347469824</v>
      </c>
      <c r="N396" s="278">
        <f t="shared" si="361"/>
        <v>7.1921175630239942</v>
      </c>
      <c r="O396" s="278">
        <f t="shared" si="361"/>
        <v>7.3445612038088699</v>
      </c>
      <c r="P396" s="278">
        <f t="shared" si="361"/>
        <v>7.5046270266329884</v>
      </c>
      <c r="Q396" s="278">
        <f t="shared" si="361"/>
        <v>7.672696140598311</v>
      </c>
      <c r="R396" s="278">
        <f t="shared" si="361"/>
        <v>7.8491687102619006</v>
      </c>
      <c r="S396" s="278">
        <f t="shared" si="361"/>
        <v>8.034464908408669</v>
      </c>
      <c r="T396" s="278">
        <f t="shared" si="361"/>
        <v>8.2290259164627795</v>
      </c>
      <c r="U396" s="278">
        <f t="shared" si="361"/>
        <v>8.4333149749195915</v>
      </c>
      <c r="V396" s="278">
        <f t="shared" si="361"/>
        <v>8.6478184862992435</v>
      </c>
      <c r="W396" s="278">
        <f t="shared" si="361"/>
        <v>8.8730471732478833</v>
      </c>
      <c r="X396" s="278">
        <f t="shared" si="361"/>
        <v>5.0633998459829019</v>
      </c>
      <c r="Y396" s="278">
        <f t="shared" si="361"/>
        <v>5.3117144733437733</v>
      </c>
      <c r="Z396" s="278">
        <f t="shared" si="361"/>
        <v>5.5724448320726889</v>
      </c>
      <c r="AA396" s="278"/>
      <c r="AB396" s="278"/>
      <c r="AC396" s="278"/>
      <c r="AD396" s="278"/>
      <c r="AE396" s="278"/>
      <c r="AF396" s="278"/>
      <c r="AG396" s="278"/>
      <c r="AH396" s="278"/>
      <c r="AI396" s="278"/>
      <c r="AJ396" s="278"/>
    </row>
    <row r="397" spans="1:36" x14ac:dyDescent="0.25">
      <c r="A397" t="s">
        <v>424</v>
      </c>
      <c r="C397" t="s">
        <v>367</v>
      </c>
      <c r="H397" s="556" t="s">
        <v>190</v>
      </c>
      <c r="I397" s="557" t="str">
        <f t="shared" ref="I397:I430" si="362">IF($H$9="USD","USD/tấn","tr. VND/tấn")</f>
        <v>tr. VND/tấn</v>
      </c>
      <c r="K397" s="562"/>
      <c r="L397" s="563">
        <f t="shared" ref="L397:AJ397" si="363">-IF($H$9="VND",L365/L353/$H$10/10^3,L365/L353/$H$10*10^3)</f>
        <v>8.0922748971220972</v>
      </c>
      <c r="M397" s="563">
        <f t="shared" si="363"/>
        <v>5.7801963550872131</v>
      </c>
      <c r="N397" s="563">
        <f t="shared" si="363"/>
        <v>4.0461374485610486</v>
      </c>
      <c r="O397" s="563">
        <f t="shared" si="363"/>
        <v>4.0461374485610486</v>
      </c>
      <c r="P397" s="563">
        <f t="shared" si="363"/>
        <v>4.0461374485610486</v>
      </c>
      <c r="Q397" s="563">
        <f t="shared" si="363"/>
        <v>4.0461374485610486</v>
      </c>
      <c r="R397" s="563">
        <f t="shared" si="363"/>
        <v>4.0461374485610486</v>
      </c>
      <c r="S397" s="563">
        <f t="shared" si="363"/>
        <v>4.0461374485610486</v>
      </c>
      <c r="T397" s="563">
        <f t="shared" si="363"/>
        <v>4.0461374485610486</v>
      </c>
      <c r="U397" s="563">
        <f t="shared" si="363"/>
        <v>4.0461374485610486</v>
      </c>
      <c r="V397" s="563">
        <f t="shared" si="363"/>
        <v>4.0461374485610486</v>
      </c>
      <c r="W397" s="563">
        <f t="shared" si="363"/>
        <v>4.0461374485610486</v>
      </c>
      <c r="X397" s="563">
        <f t="shared" si="363"/>
        <v>0</v>
      </c>
      <c r="Y397" s="563">
        <f t="shared" si="363"/>
        <v>0</v>
      </c>
      <c r="Z397" s="563">
        <f t="shared" si="363"/>
        <v>0</v>
      </c>
      <c r="AA397" s="563"/>
      <c r="AB397" s="563"/>
      <c r="AC397" s="563"/>
      <c r="AD397" s="563"/>
      <c r="AE397" s="563"/>
      <c r="AF397" s="563"/>
      <c r="AG397" s="563"/>
      <c r="AH397" s="563"/>
      <c r="AI397" s="563"/>
      <c r="AJ397" s="563"/>
    </row>
    <row r="398" spans="1:36" x14ac:dyDescent="0.25">
      <c r="A398" t="s">
        <v>424</v>
      </c>
      <c r="H398" s="558" t="s">
        <v>429</v>
      </c>
      <c r="I398" s="559" t="str">
        <f t="shared" si="362"/>
        <v>tr. VND/tấn</v>
      </c>
      <c r="K398" s="564">
        <f>SUM(K399:K400)</f>
        <v>0</v>
      </c>
      <c r="L398" s="564">
        <f t="shared" ref="L398:AJ398" si="364">SUM(L399:L400)</f>
        <v>1.9410042574812794</v>
      </c>
      <c r="M398" s="564">
        <f t="shared" si="364"/>
        <v>1.3864316124866283</v>
      </c>
      <c r="N398" s="564">
        <f t="shared" si="364"/>
        <v>1.0190272351776717</v>
      </c>
      <c r="O398" s="564">
        <f t="shared" si="364"/>
        <v>1.0699785969365552</v>
      </c>
      <c r="P398" s="564">
        <f t="shared" si="364"/>
        <v>1.1234775267833832</v>
      </c>
      <c r="Q398" s="564">
        <f t="shared" si="364"/>
        <v>1.179651403122552</v>
      </c>
      <c r="R398" s="564">
        <f t="shared" si="364"/>
        <v>1.2386339732786797</v>
      </c>
      <c r="S398" s="564">
        <f t="shared" si="364"/>
        <v>1.3005656719426137</v>
      </c>
      <c r="T398" s="564">
        <f t="shared" si="364"/>
        <v>1.3655939555397447</v>
      </c>
      <c r="U398" s="564">
        <f t="shared" si="364"/>
        <v>1.4338736533167316</v>
      </c>
      <c r="V398" s="564">
        <f t="shared" si="364"/>
        <v>1.5055673359825681</v>
      </c>
      <c r="W398" s="564">
        <f t="shared" si="364"/>
        <v>1.5808457027816967</v>
      </c>
      <c r="X398" s="564">
        <f t="shared" si="364"/>
        <v>1.6598879879207817</v>
      </c>
      <c r="Y398" s="564">
        <f t="shared" si="364"/>
        <v>1.7428823873168202</v>
      </c>
      <c r="Z398" s="564">
        <f t="shared" si="364"/>
        <v>1.8300265066826618</v>
      </c>
      <c r="AA398" s="564"/>
      <c r="AB398" s="564"/>
      <c r="AC398" s="564"/>
      <c r="AD398" s="564"/>
      <c r="AE398" s="564"/>
      <c r="AF398" s="564"/>
      <c r="AG398" s="564"/>
      <c r="AH398" s="564"/>
      <c r="AI398" s="564"/>
      <c r="AJ398" s="564"/>
    </row>
    <row r="399" spans="1:36" s="299" customFormat="1" x14ac:dyDescent="0.25">
      <c r="A399" s="299" t="s">
        <v>424</v>
      </c>
      <c r="C399" s="299" t="s">
        <v>367</v>
      </c>
      <c r="H399" s="560" t="s">
        <v>430</v>
      </c>
      <c r="I399" s="561" t="str">
        <f t="shared" si="362"/>
        <v>tr. VND/tấn</v>
      </c>
      <c r="K399" s="565"/>
      <c r="L399" s="565">
        <f t="shared" ref="L399:AJ399" si="365">-IF($H$9="VND",L367/L353/$H$10/10^3,L367/L353/$H$10*10^3)</f>
        <v>0.31733039631846527</v>
      </c>
      <c r="M399" s="565">
        <f t="shared" si="365"/>
        <v>0.22666456879890379</v>
      </c>
      <c r="N399" s="565">
        <f t="shared" si="365"/>
        <v>0.16659845806719425</v>
      </c>
      <c r="O399" s="565">
        <f t="shared" si="365"/>
        <v>0.17492838097055399</v>
      </c>
      <c r="P399" s="565">
        <f t="shared" si="365"/>
        <v>0.18367480001908168</v>
      </c>
      <c r="Q399" s="565">
        <f t="shared" si="365"/>
        <v>0.19285854002003575</v>
      </c>
      <c r="R399" s="565">
        <f t="shared" si="365"/>
        <v>0.20250146702103758</v>
      </c>
      <c r="S399" s="565">
        <f t="shared" si="365"/>
        <v>0.21262654037208945</v>
      </c>
      <c r="T399" s="565">
        <f t="shared" si="365"/>
        <v>0.22325786739069392</v>
      </c>
      <c r="U399" s="565">
        <f t="shared" si="365"/>
        <v>0.23442076076022861</v>
      </c>
      <c r="V399" s="565">
        <f t="shared" si="365"/>
        <v>0.24614179879824005</v>
      </c>
      <c r="W399" s="565">
        <f t="shared" si="365"/>
        <v>0.25844888873815203</v>
      </c>
      <c r="X399" s="565">
        <f t="shared" si="365"/>
        <v>0.27137133317505963</v>
      </c>
      <c r="Y399" s="565">
        <f t="shared" si="365"/>
        <v>0.28493989983381263</v>
      </c>
      <c r="Z399" s="565">
        <f t="shared" si="365"/>
        <v>0.29918689482550326</v>
      </c>
      <c r="AA399" s="565"/>
      <c r="AB399" s="565"/>
      <c r="AC399" s="565"/>
      <c r="AD399" s="565"/>
      <c r="AE399" s="565"/>
      <c r="AF399" s="565"/>
      <c r="AG399" s="565"/>
      <c r="AH399" s="565"/>
      <c r="AI399" s="565"/>
      <c r="AJ399" s="565"/>
    </row>
    <row r="400" spans="1:36" s="299" customFormat="1" x14ac:dyDescent="0.25">
      <c r="A400" s="299" t="s">
        <v>424</v>
      </c>
      <c r="C400" s="299" t="s">
        <v>367</v>
      </c>
      <c r="H400" s="560" t="s">
        <v>431</v>
      </c>
      <c r="I400" s="561" t="str">
        <f t="shared" si="362"/>
        <v>tr. VND/tấn</v>
      </c>
      <c r="K400" s="565"/>
      <c r="L400" s="565">
        <f t="shared" ref="L400:AJ400" si="366">-IF($H$9="VND",L368/L353/$H$10/10^3,L368/L353/$H$10*10^3)</f>
        <v>1.6236738611628141</v>
      </c>
      <c r="M400" s="565">
        <f t="shared" si="366"/>
        <v>1.1597670436877245</v>
      </c>
      <c r="N400" s="565">
        <f t="shared" si="366"/>
        <v>0.85242877711047738</v>
      </c>
      <c r="O400" s="565">
        <f t="shared" si="366"/>
        <v>0.89505021596600121</v>
      </c>
      <c r="P400" s="565">
        <f t="shared" si="366"/>
        <v>0.93980272676430154</v>
      </c>
      <c r="Q400" s="565">
        <f t="shared" si="366"/>
        <v>0.98679286310251635</v>
      </c>
      <c r="R400" s="565">
        <f t="shared" si="366"/>
        <v>1.0361325062576421</v>
      </c>
      <c r="S400" s="565">
        <f t="shared" si="366"/>
        <v>1.0879391315705242</v>
      </c>
      <c r="T400" s="565">
        <f t="shared" si="366"/>
        <v>1.1423360881490507</v>
      </c>
      <c r="U400" s="565">
        <f t="shared" si="366"/>
        <v>1.1994528925565029</v>
      </c>
      <c r="V400" s="565">
        <f t="shared" si="366"/>
        <v>1.2594255371843281</v>
      </c>
      <c r="W400" s="565">
        <f t="shared" si="366"/>
        <v>1.3223968140435447</v>
      </c>
      <c r="X400" s="565">
        <f t="shared" si="366"/>
        <v>1.3885166547457222</v>
      </c>
      <c r="Y400" s="565">
        <f t="shared" si="366"/>
        <v>1.4579424874830076</v>
      </c>
      <c r="Z400" s="565">
        <f t="shared" si="366"/>
        <v>1.5308396118571586</v>
      </c>
      <c r="AA400" s="565"/>
      <c r="AB400" s="565"/>
      <c r="AC400" s="565"/>
      <c r="AD400" s="565"/>
      <c r="AE400" s="565"/>
      <c r="AF400" s="565"/>
      <c r="AG400" s="565"/>
      <c r="AH400" s="565"/>
      <c r="AI400" s="565"/>
      <c r="AJ400" s="565"/>
    </row>
    <row r="401" spans="1:36" x14ac:dyDescent="0.25">
      <c r="A401" t="s">
        <v>424</v>
      </c>
      <c r="C401" t="s">
        <v>367</v>
      </c>
      <c r="H401" s="558" t="s">
        <v>656</v>
      </c>
      <c r="I401" s="559" t="str">
        <f t="shared" si="362"/>
        <v>tr. VND/tấn</v>
      </c>
      <c r="K401" s="564"/>
      <c r="L401" s="564">
        <f t="shared" ref="L401:AJ401" si="367">-IF($H$9="VND",L369/L353/$H$10/10^3,L369/L353/$H$10*10^3)</f>
        <v>0.77492160273129496</v>
      </c>
      <c r="M401" s="564">
        <f t="shared" si="367"/>
        <v>0.55351543052235352</v>
      </c>
      <c r="N401" s="564">
        <f t="shared" si="367"/>
        <v>0.40683384143392981</v>
      </c>
      <c r="O401" s="564">
        <f t="shared" si="367"/>
        <v>0.42717553350562631</v>
      </c>
      <c r="P401" s="564">
        <f t="shared" si="367"/>
        <v>0.44853431018090767</v>
      </c>
      <c r="Q401" s="564">
        <f t="shared" si="367"/>
        <v>0.47096102568995302</v>
      </c>
      <c r="R401" s="564">
        <f t="shared" si="367"/>
        <v>0.49450907697445079</v>
      </c>
      <c r="S401" s="564">
        <f t="shared" si="367"/>
        <v>0.51923453082317328</v>
      </c>
      <c r="T401" s="564">
        <f t="shared" si="367"/>
        <v>0.54519625736433197</v>
      </c>
      <c r="U401" s="564">
        <f t="shared" si="367"/>
        <v>0.57245607023254841</v>
      </c>
      <c r="V401" s="564">
        <f t="shared" si="367"/>
        <v>0.60107887374417601</v>
      </c>
      <c r="W401" s="564">
        <f t="shared" si="367"/>
        <v>0.63113281743138472</v>
      </c>
      <c r="X401" s="564">
        <f t="shared" si="367"/>
        <v>0.662689458302954</v>
      </c>
      <c r="Y401" s="564">
        <f t="shared" si="367"/>
        <v>0.69582393121810171</v>
      </c>
      <c r="Z401" s="564">
        <f t="shared" si="367"/>
        <v>0.73061512777900695</v>
      </c>
      <c r="AA401" s="564"/>
      <c r="AB401" s="564"/>
      <c r="AC401" s="564"/>
      <c r="AD401" s="564"/>
      <c r="AE401" s="564"/>
      <c r="AF401" s="564"/>
      <c r="AG401" s="564"/>
      <c r="AH401" s="564"/>
      <c r="AI401" s="564"/>
      <c r="AJ401" s="564"/>
    </row>
    <row r="402" spans="1:36" x14ac:dyDescent="0.25">
      <c r="A402" t="s">
        <v>424</v>
      </c>
      <c r="C402" t="s">
        <v>367</v>
      </c>
      <c r="H402" s="558" t="s">
        <v>432</v>
      </c>
      <c r="I402" s="559" t="str">
        <f t="shared" si="362"/>
        <v>tr. VND/tấn</v>
      </c>
      <c r="K402" s="564"/>
      <c r="L402" s="564">
        <f t="shared" ref="L402:AJ402" si="368">-IF($H$9="VND",L370/L353/$H$10/10^3,L370/L353/$H$10*10^3)</f>
        <v>2.9132189629639549</v>
      </c>
      <c r="M402" s="564">
        <f t="shared" si="368"/>
        <v>2.0808706878313963</v>
      </c>
      <c r="N402" s="564">
        <f t="shared" si="368"/>
        <v>1.5294399555560763</v>
      </c>
      <c r="O402" s="564">
        <f t="shared" si="368"/>
        <v>1.6059119533338804</v>
      </c>
      <c r="P402" s="564">
        <f t="shared" si="368"/>
        <v>1.6862075510005743</v>
      </c>
      <c r="Q402" s="564">
        <f t="shared" si="368"/>
        <v>1.7705179285506027</v>
      </c>
      <c r="R402" s="564">
        <f t="shared" si="368"/>
        <v>1.8590438249781329</v>
      </c>
      <c r="S402" s="564">
        <f t="shared" si="368"/>
        <v>1.9519960162270396</v>
      </c>
      <c r="T402" s="564">
        <f t="shared" si="368"/>
        <v>2.0495958170383921</v>
      </c>
      <c r="U402" s="564">
        <f t="shared" si="368"/>
        <v>2.1520756078903109</v>
      </c>
      <c r="V402" s="564">
        <f t="shared" si="368"/>
        <v>2.2596793882848267</v>
      </c>
      <c r="W402" s="564">
        <f t="shared" si="368"/>
        <v>2.3726633576990679</v>
      </c>
      <c r="X402" s="564">
        <f t="shared" si="368"/>
        <v>2.4912965255840218</v>
      </c>
      <c r="Y402" s="564">
        <f t="shared" si="368"/>
        <v>2.6158613518632223</v>
      </c>
      <c r="Z402" s="564">
        <f t="shared" si="368"/>
        <v>2.7466544194563838</v>
      </c>
      <c r="AA402" s="564"/>
      <c r="AB402" s="564"/>
      <c r="AC402" s="564"/>
      <c r="AD402" s="564"/>
      <c r="AE402" s="564"/>
      <c r="AF402" s="564"/>
      <c r="AG402" s="564"/>
      <c r="AH402" s="564"/>
      <c r="AI402" s="564"/>
      <c r="AJ402" s="564"/>
    </row>
    <row r="403" spans="1:36" x14ac:dyDescent="0.25">
      <c r="A403" t="s">
        <v>424</v>
      </c>
      <c r="C403" t="s">
        <v>367</v>
      </c>
      <c r="H403" s="558" t="s">
        <v>433</v>
      </c>
      <c r="I403" s="559" t="str">
        <f t="shared" si="362"/>
        <v>tr. VND/tấn</v>
      </c>
      <c r="K403" s="564"/>
      <c r="L403" s="564">
        <f t="shared" ref="L403:AJ403" si="369">-IF($H$9="VND",L371/L353/$H$10/10^3,L371/L353/$H$10*10^3)</f>
        <v>0.17823196862819785</v>
      </c>
      <c r="M403" s="564">
        <f t="shared" si="369"/>
        <v>0.12730854902014133</v>
      </c>
      <c r="N403" s="564">
        <f t="shared" si="369"/>
        <v>9.3571783529803873E-2</v>
      </c>
      <c r="O403" s="564">
        <f t="shared" si="369"/>
        <v>9.8250372706294054E-2</v>
      </c>
      <c r="P403" s="564">
        <f t="shared" si="369"/>
        <v>0.10316289134160876</v>
      </c>
      <c r="Q403" s="564">
        <f t="shared" si="369"/>
        <v>0.1083210359086892</v>
      </c>
      <c r="R403" s="564">
        <f t="shared" si="369"/>
        <v>0.11373708770412366</v>
      </c>
      <c r="S403" s="564">
        <f t="shared" si="369"/>
        <v>0.11942394208932984</v>
      </c>
      <c r="T403" s="564">
        <f t="shared" si="369"/>
        <v>0.12539513919379636</v>
      </c>
      <c r="U403" s="564">
        <f t="shared" si="369"/>
        <v>0.13166489615348614</v>
      </c>
      <c r="V403" s="564">
        <f t="shared" si="369"/>
        <v>0.13824814096116045</v>
      </c>
      <c r="W403" s="564">
        <f t="shared" si="369"/>
        <v>0.14516054800921852</v>
      </c>
      <c r="X403" s="564">
        <f t="shared" si="369"/>
        <v>0.15241857540967946</v>
      </c>
      <c r="Y403" s="564">
        <f t="shared" si="369"/>
        <v>0.16003950418016336</v>
      </c>
      <c r="Z403" s="564">
        <f t="shared" si="369"/>
        <v>0.16804147938917158</v>
      </c>
      <c r="AA403" s="564"/>
      <c r="AB403" s="564"/>
      <c r="AC403" s="564"/>
      <c r="AD403" s="564"/>
      <c r="AE403" s="564"/>
      <c r="AF403" s="564"/>
      <c r="AG403" s="564"/>
      <c r="AH403" s="564"/>
      <c r="AI403" s="564"/>
      <c r="AJ403" s="564"/>
    </row>
    <row r="404" spans="1:36" x14ac:dyDescent="0.25">
      <c r="A404" t="s">
        <v>424</v>
      </c>
      <c r="C404" t="s">
        <v>367</v>
      </c>
      <c r="H404" s="558" t="s">
        <v>520</v>
      </c>
      <c r="I404" s="559" t="str">
        <f t="shared" si="362"/>
        <v>tr. VND/tấn</v>
      </c>
      <c r="K404" s="564"/>
      <c r="L404" s="564">
        <f t="shared" ref="L404:AJ404" si="370">-IF($H$9="VND",L372/L353/$H$10/10^3,L372/L353/$H$10*10^3)</f>
        <v>0.19421459753093032</v>
      </c>
      <c r="M404" s="564">
        <f t="shared" si="370"/>
        <v>0.13872471252209312</v>
      </c>
      <c r="N404" s="564">
        <f t="shared" si="370"/>
        <v>9.7107298765465158E-2</v>
      </c>
      <c r="O404" s="564">
        <f t="shared" si="370"/>
        <v>9.7107298765465158E-2</v>
      </c>
      <c r="P404" s="564">
        <f t="shared" si="370"/>
        <v>9.7107298765465158E-2</v>
      </c>
      <c r="Q404" s="564">
        <f t="shared" si="370"/>
        <v>9.7107298765465158E-2</v>
      </c>
      <c r="R404" s="564">
        <f t="shared" si="370"/>
        <v>9.7107298765465158E-2</v>
      </c>
      <c r="S404" s="564">
        <f t="shared" si="370"/>
        <v>9.7107298765465158E-2</v>
      </c>
      <c r="T404" s="564">
        <f t="shared" si="370"/>
        <v>9.7107298765465158E-2</v>
      </c>
      <c r="U404" s="564">
        <f t="shared" si="370"/>
        <v>9.7107298765465158E-2</v>
      </c>
      <c r="V404" s="564">
        <f t="shared" si="370"/>
        <v>9.7107298765465158E-2</v>
      </c>
      <c r="W404" s="564">
        <f t="shared" si="370"/>
        <v>9.7107298765465158E-2</v>
      </c>
      <c r="X404" s="564">
        <f t="shared" si="370"/>
        <v>9.7107298765465158E-2</v>
      </c>
      <c r="Y404" s="564">
        <f t="shared" si="370"/>
        <v>9.7107298765465158E-2</v>
      </c>
      <c r="Z404" s="564">
        <f t="shared" si="370"/>
        <v>9.7107298765465158E-2</v>
      </c>
      <c r="AA404" s="564"/>
      <c r="AB404" s="564"/>
      <c r="AC404" s="564"/>
      <c r="AD404" s="564"/>
      <c r="AE404" s="564"/>
      <c r="AF404" s="564"/>
      <c r="AG404" s="564"/>
      <c r="AH404" s="564"/>
      <c r="AI404" s="564"/>
      <c r="AJ404" s="564"/>
    </row>
    <row r="405" spans="1:36" x14ac:dyDescent="0.25">
      <c r="A405" t="s">
        <v>424</v>
      </c>
      <c r="H405" s="247"/>
      <c r="I405" s="275"/>
      <c r="K405" s="279"/>
      <c r="L405" s="279"/>
      <c r="M405" s="279"/>
      <c r="N405" s="279"/>
      <c r="O405" s="279"/>
      <c r="P405" s="279"/>
      <c r="Q405" s="279"/>
      <c r="R405" s="279"/>
      <c r="S405" s="279"/>
      <c r="T405" s="279"/>
      <c r="U405" s="279"/>
      <c r="V405" s="279"/>
      <c r="W405" s="279"/>
      <c r="X405" s="279"/>
      <c r="Y405" s="279"/>
      <c r="Z405" s="279"/>
      <c r="AA405" s="279"/>
      <c r="AB405" s="279"/>
      <c r="AC405" s="279"/>
      <c r="AD405" s="279"/>
      <c r="AE405" s="279"/>
      <c r="AF405" s="279"/>
      <c r="AG405" s="279"/>
      <c r="AH405" s="279"/>
      <c r="AI405" s="279"/>
      <c r="AJ405" s="279"/>
    </row>
    <row r="406" spans="1:36" s="1" customFormat="1" x14ac:dyDescent="0.25">
      <c r="A406" s="1" t="s">
        <v>424</v>
      </c>
      <c r="H406" s="273" t="s">
        <v>435</v>
      </c>
      <c r="I406" s="274" t="str">
        <f t="shared" si="362"/>
        <v>tr. VND/tấn</v>
      </c>
      <c r="K406" s="280">
        <f>K407+K410+K413</f>
        <v>0</v>
      </c>
      <c r="L406" s="280">
        <f t="shared" ref="L406:AJ406" si="371">L407+L410+L413</f>
        <v>29.864853886822708</v>
      </c>
      <c r="M406" s="280">
        <f t="shared" si="371"/>
        <v>29.703781129263195</v>
      </c>
      <c r="N406" s="280">
        <f t="shared" si="371"/>
        <v>30.248677609330997</v>
      </c>
      <c r="O406" s="280">
        <f t="shared" si="371"/>
        <v>30.931560484173868</v>
      </c>
      <c r="P406" s="280">
        <f t="shared" si="371"/>
        <v>31.632162212436292</v>
      </c>
      <c r="Q406" s="280">
        <f t="shared" si="371"/>
        <v>32.351040230982811</v>
      </c>
      <c r="R406" s="280">
        <f t="shared" si="371"/>
        <v>33.088773278405036</v>
      </c>
      <c r="S406" s="280">
        <f t="shared" si="371"/>
        <v>33.845962328705731</v>
      </c>
      <c r="T406" s="280">
        <f t="shared" si="371"/>
        <v>34.623231569038957</v>
      </c>
      <c r="U406" s="280">
        <f t="shared" si="371"/>
        <v>35.421229423656705</v>
      </c>
      <c r="V406" s="280">
        <f t="shared" si="371"/>
        <v>36.240629626318551</v>
      </c>
      <c r="W406" s="280">
        <f t="shared" si="371"/>
        <v>37.082132343532962</v>
      </c>
      <c r="X406" s="280">
        <f t="shared" si="371"/>
        <v>37.784619853173496</v>
      </c>
      <c r="Y406" s="280">
        <f t="shared" si="371"/>
        <v>38.672539768733671</v>
      </c>
      <c r="Z406" s="280">
        <f t="shared" si="371"/>
        <v>39.584833342821817</v>
      </c>
      <c r="AA406" s="280"/>
      <c r="AB406" s="280"/>
      <c r="AC406" s="280"/>
      <c r="AD406" s="280"/>
      <c r="AE406" s="280"/>
      <c r="AF406" s="280"/>
      <c r="AG406" s="280"/>
      <c r="AH406" s="280"/>
      <c r="AI406" s="280"/>
      <c r="AJ406" s="280"/>
    </row>
    <row r="407" spans="1:36" x14ac:dyDescent="0.25">
      <c r="A407" t="s">
        <v>424</v>
      </c>
      <c r="H407" s="556" t="s">
        <v>454</v>
      </c>
      <c r="I407" s="557" t="str">
        <f t="shared" si="362"/>
        <v>tr. VND/tấn</v>
      </c>
      <c r="K407" s="566">
        <f>SUM(K408:K409)</f>
        <v>0</v>
      </c>
      <c r="L407" s="566">
        <f t="shared" ref="L407:AJ407" si="372">SUM(L408:L409)</f>
        <v>26.838709677419356</v>
      </c>
      <c r="M407" s="566">
        <f t="shared" si="372"/>
        <v>26.838709677419359</v>
      </c>
      <c r="N407" s="566">
        <f t="shared" si="372"/>
        <v>27.375483870967745</v>
      </c>
      <c r="O407" s="566">
        <f t="shared" si="372"/>
        <v>27.922993548387105</v>
      </c>
      <c r="P407" s="566">
        <f t="shared" si="372"/>
        <v>28.481453419354843</v>
      </c>
      <c r="Q407" s="566">
        <f t="shared" si="372"/>
        <v>29.05108248774194</v>
      </c>
      <c r="R407" s="566">
        <f t="shared" si="372"/>
        <v>29.632104137496778</v>
      </c>
      <c r="S407" s="566">
        <f t="shared" si="372"/>
        <v>30.224746220246715</v>
      </c>
      <c r="T407" s="566">
        <f t="shared" si="372"/>
        <v>30.829241144651643</v>
      </c>
      <c r="U407" s="566">
        <f t="shared" si="372"/>
        <v>31.445825967544675</v>
      </c>
      <c r="V407" s="566">
        <f t="shared" si="372"/>
        <v>32.074742486895573</v>
      </c>
      <c r="W407" s="566">
        <f t="shared" si="372"/>
        <v>32.71623733663349</v>
      </c>
      <c r="X407" s="566">
        <f t="shared" si="372"/>
        <v>33.370562083366146</v>
      </c>
      <c r="Y407" s="566">
        <f t="shared" si="372"/>
        <v>34.037973325033477</v>
      </c>
      <c r="Z407" s="566">
        <f t="shared" si="372"/>
        <v>34.718732791534151</v>
      </c>
      <c r="AA407" s="566"/>
      <c r="AB407" s="566"/>
      <c r="AC407" s="566"/>
      <c r="AD407" s="566"/>
      <c r="AE407" s="566"/>
      <c r="AF407" s="566"/>
      <c r="AG407" s="566"/>
      <c r="AH407" s="566"/>
      <c r="AI407" s="566"/>
      <c r="AJ407" s="566"/>
    </row>
    <row r="408" spans="1:36" s="299" customFormat="1" x14ac:dyDescent="0.25">
      <c r="A408" s="299" t="s">
        <v>424</v>
      </c>
      <c r="C408" s="299" t="s">
        <v>504</v>
      </c>
      <c r="E408" s="331"/>
      <c r="F408" s="331"/>
      <c r="H408" s="560" t="s">
        <v>167</v>
      </c>
      <c r="I408" s="561" t="str">
        <f t="shared" si="362"/>
        <v>tr. VND/tấn</v>
      </c>
      <c r="K408" s="565"/>
      <c r="L408" s="565">
        <f t="shared" ref="L408" si="373">-IF($H$9="VND",L376/L353/$H$10/10^3,L376/L353/$H$10*10^3)</f>
        <v>24.96</v>
      </c>
      <c r="M408" s="565">
        <f>-IF($H$9="VND",M376/M353/$H$10/10^3,M376/M353/$H$10*10^3)</f>
        <v>24.96</v>
      </c>
      <c r="N408" s="565">
        <f t="shared" ref="N408:AJ408" si="374">-IF($H$9="VND",N376/N353/$H$10/10^3,N376/N353/$H$10*10^3)</f>
        <v>25.459199999999999</v>
      </c>
      <c r="O408" s="565">
        <f t="shared" si="374"/>
        <v>25.968384000000004</v>
      </c>
      <c r="P408" s="565">
        <f t="shared" si="374"/>
        <v>26.487751680000002</v>
      </c>
      <c r="Q408" s="565">
        <f t="shared" si="374"/>
        <v>27.017506713600003</v>
      </c>
      <c r="R408" s="565">
        <f t="shared" si="374"/>
        <v>27.557856847872003</v>
      </c>
      <c r="S408" s="565">
        <f t="shared" si="374"/>
        <v>28.109013984829442</v>
      </c>
      <c r="T408" s="565">
        <f t="shared" si="374"/>
        <v>28.671194264526026</v>
      </c>
      <c r="U408" s="565">
        <f t="shared" si="374"/>
        <v>29.244618149816546</v>
      </c>
      <c r="V408" s="565">
        <f t="shared" si="374"/>
        <v>29.829510512812881</v>
      </c>
      <c r="W408" s="565">
        <f t="shared" si="374"/>
        <v>30.426100723069144</v>
      </c>
      <c r="X408" s="565">
        <f t="shared" si="374"/>
        <v>31.034622737530515</v>
      </c>
      <c r="Y408" s="565">
        <f t="shared" si="374"/>
        <v>31.655315192281126</v>
      </c>
      <c r="Z408" s="565">
        <f t="shared" si="374"/>
        <v>32.288421496126759</v>
      </c>
      <c r="AA408" s="565"/>
      <c r="AB408" s="565"/>
      <c r="AC408" s="565"/>
      <c r="AD408" s="565"/>
      <c r="AE408" s="565"/>
      <c r="AF408" s="565"/>
      <c r="AG408" s="565"/>
      <c r="AH408" s="565"/>
      <c r="AI408" s="565"/>
      <c r="AJ408" s="565"/>
    </row>
    <row r="409" spans="1:36" s="299" customFormat="1" x14ac:dyDescent="0.25">
      <c r="A409" s="299" t="s">
        <v>424</v>
      </c>
      <c r="C409" s="299" t="s">
        <v>387</v>
      </c>
      <c r="E409" s="331"/>
      <c r="F409" s="331"/>
      <c r="H409" s="640" t="s">
        <v>203</v>
      </c>
      <c r="I409" s="641" t="str">
        <f t="shared" si="362"/>
        <v>tr. VND/tấn</v>
      </c>
      <c r="K409" s="642"/>
      <c r="L409" s="642">
        <f t="shared" ref="L409:AJ409" si="375">-IF($H$9="VND",L377/L353/$H$10/10^3,L377/L353/$H$10*10^3)</f>
        <v>1.8787096774193559</v>
      </c>
      <c r="M409" s="642">
        <f t="shared" si="375"/>
        <v>1.8787096774193583</v>
      </c>
      <c r="N409" s="642">
        <f t="shared" si="375"/>
        <v>1.9162838709677454</v>
      </c>
      <c r="O409" s="642">
        <f t="shared" si="375"/>
        <v>1.9546095483871007</v>
      </c>
      <c r="P409" s="642">
        <f t="shared" si="375"/>
        <v>1.9937017393548417</v>
      </c>
      <c r="Q409" s="642">
        <f t="shared" si="375"/>
        <v>2.0335757741419362</v>
      </c>
      <c r="R409" s="642">
        <f t="shared" si="375"/>
        <v>2.0742472896247759</v>
      </c>
      <c r="S409" s="642">
        <f t="shared" si="375"/>
        <v>2.1157322354172718</v>
      </c>
      <c r="T409" s="642">
        <f t="shared" si="375"/>
        <v>2.1580468801256183</v>
      </c>
      <c r="U409" s="642">
        <f t="shared" si="375"/>
        <v>2.2012078177281285</v>
      </c>
      <c r="V409" s="642">
        <f t="shared" si="375"/>
        <v>2.2452319740826931</v>
      </c>
      <c r="W409" s="642">
        <f t="shared" si="375"/>
        <v>2.2901366135643446</v>
      </c>
      <c r="X409" s="642">
        <f t="shared" si="375"/>
        <v>2.3359393458356301</v>
      </c>
      <c r="Y409" s="642">
        <f t="shared" si="375"/>
        <v>2.3826581327523475</v>
      </c>
      <c r="Z409" s="642">
        <f t="shared" si="375"/>
        <v>2.430311295407392</v>
      </c>
      <c r="AA409" s="642"/>
      <c r="AB409" s="642"/>
      <c r="AC409" s="642"/>
      <c r="AD409" s="642"/>
      <c r="AE409" s="642"/>
      <c r="AF409" s="642"/>
      <c r="AG409" s="642"/>
      <c r="AH409" s="642"/>
      <c r="AI409" s="642"/>
      <c r="AJ409" s="642"/>
    </row>
    <row r="410" spans="1:36" x14ac:dyDescent="0.25">
      <c r="A410" t="s">
        <v>424</v>
      </c>
      <c r="H410" s="558" t="s">
        <v>676</v>
      </c>
      <c r="I410" s="559" t="str">
        <f t="shared" si="362"/>
        <v>tr. VND/tấn</v>
      </c>
      <c r="K410" s="567">
        <f>SUM(K411:K412)</f>
        <v>0</v>
      </c>
      <c r="L410" s="567">
        <f t="shared" ref="L410:AJ410" si="376">SUM(L411:L412)</f>
        <v>0.20420258064516131</v>
      </c>
      <c r="M410" s="567">
        <f t="shared" si="376"/>
        <v>0.20420258064516134</v>
      </c>
      <c r="N410" s="567">
        <f t="shared" si="376"/>
        <v>0.21441270967741941</v>
      </c>
      <c r="O410" s="567">
        <f t="shared" si="376"/>
        <v>0.22513334516129035</v>
      </c>
      <c r="P410" s="567">
        <f t="shared" si="376"/>
        <v>0.23639001241935489</v>
      </c>
      <c r="Q410" s="567">
        <f t="shared" si="376"/>
        <v>0.24820951304032263</v>
      </c>
      <c r="R410" s="567">
        <f t="shared" si="376"/>
        <v>0.26061998869233877</v>
      </c>
      <c r="S410" s="567">
        <f t="shared" si="376"/>
        <v>0.27365098812695565</v>
      </c>
      <c r="T410" s="567">
        <f t="shared" si="376"/>
        <v>0.28733353753330354</v>
      </c>
      <c r="U410" s="567">
        <f t="shared" si="376"/>
        <v>0.30170021440996864</v>
      </c>
      <c r="V410" s="567">
        <f t="shared" si="376"/>
        <v>0.31678522513046709</v>
      </c>
      <c r="W410" s="567">
        <f t="shared" si="376"/>
        <v>0.33262448638699044</v>
      </c>
      <c r="X410" s="567">
        <f t="shared" si="376"/>
        <v>0.34925571070633998</v>
      </c>
      <c r="Y410" s="567">
        <f t="shared" si="376"/>
        <v>0.36671849624165698</v>
      </c>
      <c r="Z410" s="567">
        <f t="shared" si="376"/>
        <v>0.38505442105373988</v>
      </c>
      <c r="AA410" s="567"/>
      <c r="AB410" s="567"/>
      <c r="AC410" s="567"/>
      <c r="AD410" s="567"/>
      <c r="AE410" s="567"/>
      <c r="AF410" s="567"/>
      <c r="AG410" s="567"/>
      <c r="AH410" s="567"/>
      <c r="AI410" s="567"/>
      <c r="AJ410" s="567"/>
    </row>
    <row r="411" spans="1:36" s="299" customFormat="1" x14ac:dyDescent="0.25">
      <c r="A411" s="299" t="s">
        <v>424</v>
      </c>
      <c r="C411" s="299" t="s">
        <v>367</v>
      </c>
      <c r="E411" s="331"/>
      <c r="F411" s="331"/>
      <c r="H411" s="560" t="s">
        <v>673</v>
      </c>
      <c r="I411" s="561" t="str">
        <f t="shared" si="362"/>
        <v>tr. VND/tấn</v>
      </c>
      <c r="K411" s="565"/>
      <c r="L411" s="565">
        <f>-IF($H$9="VND",L379/L353/$H$10/10^3,L379/L353/$H$10*10^3)</f>
        <v>0.20420258064516131</v>
      </c>
      <c r="M411" s="565">
        <f t="shared" ref="M411:AJ411" si="377">-IF($H$9="VND",M379/M353/$H$10/10^3,M379/M353/$H$10*10^3)</f>
        <v>0.20420258064516134</v>
      </c>
      <c r="N411" s="565">
        <f t="shared" si="377"/>
        <v>0.21441270967741941</v>
      </c>
      <c r="O411" s="565">
        <f t="shared" si="377"/>
        <v>0.22513334516129035</v>
      </c>
      <c r="P411" s="565">
        <f t="shared" si="377"/>
        <v>0.23639001241935489</v>
      </c>
      <c r="Q411" s="565">
        <f t="shared" si="377"/>
        <v>0.24820951304032263</v>
      </c>
      <c r="R411" s="565">
        <f t="shared" si="377"/>
        <v>0.26061998869233877</v>
      </c>
      <c r="S411" s="565">
        <f t="shared" si="377"/>
        <v>0.27365098812695565</v>
      </c>
      <c r="T411" s="565">
        <f t="shared" si="377"/>
        <v>0.28733353753330354</v>
      </c>
      <c r="U411" s="565">
        <f t="shared" si="377"/>
        <v>0.30170021440996864</v>
      </c>
      <c r="V411" s="565">
        <f t="shared" si="377"/>
        <v>0.31678522513046709</v>
      </c>
      <c r="W411" s="565">
        <f t="shared" si="377"/>
        <v>0.33262448638699044</v>
      </c>
      <c r="X411" s="565">
        <f t="shared" si="377"/>
        <v>0.34925571070633998</v>
      </c>
      <c r="Y411" s="565">
        <f t="shared" si="377"/>
        <v>0.36671849624165698</v>
      </c>
      <c r="Z411" s="565">
        <f t="shared" si="377"/>
        <v>0.38505442105373988</v>
      </c>
      <c r="AA411" s="565"/>
      <c r="AB411" s="565"/>
      <c r="AC411" s="565"/>
      <c r="AD411" s="565"/>
      <c r="AE411" s="565"/>
      <c r="AF411" s="565"/>
      <c r="AG411" s="565"/>
      <c r="AH411" s="565"/>
      <c r="AI411" s="565"/>
      <c r="AJ411" s="565"/>
    </row>
    <row r="412" spans="1:36" s="299" customFormat="1" x14ac:dyDescent="0.25">
      <c r="A412" s="299" t="s">
        <v>424</v>
      </c>
      <c r="C412" s="299" t="s">
        <v>367</v>
      </c>
      <c r="E412" s="331"/>
      <c r="F412" s="331"/>
      <c r="H412" s="560" t="s">
        <v>674</v>
      </c>
      <c r="I412" s="561" t="str">
        <f t="shared" si="362"/>
        <v>tr. VND/tấn</v>
      </c>
      <c r="K412" s="565"/>
      <c r="L412" s="565">
        <f>-IF($H$9="VND",L380/L353/$H$10/10^3,L380/L353/$H$10*10^3)</f>
        <v>0</v>
      </c>
      <c r="M412" s="565">
        <f t="shared" ref="M412:AJ412" si="378">-IF($H$9="VND",M380/M353/$H$10/10^3,M380/M353/$H$10*10^3)</f>
        <v>0</v>
      </c>
      <c r="N412" s="565">
        <f t="shared" si="378"/>
        <v>0</v>
      </c>
      <c r="O412" s="565">
        <f t="shared" si="378"/>
        <v>0</v>
      </c>
      <c r="P412" s="565">
        <f t="shared" si="378"/>
        <v>0</v>
      </c>
      <c r="Q412" s="565">
        <f t="shared" si="378"/>
        <v>0</v>
      </c>
      <c r="R412" s="565">
        <f t="shared" si="378"/>
        <v>0</v>
      </c>
      <c r="S412" s="565">
        <f t="shared" si="378"/>
        <v>0</v>
      </c>
      <c r="T412" s="565">
        <f t="shared" si="378"/>
        <v>0</v>
      </c>
      <c r="U412" s="565">
        <f t="shared" si="378"/>
        <v>0</v>
      </c>
      <c r="V412" s="565">
        <f t="shared" si="378"/>
        <v>0</v>
      </c>
      <c r="W412" s="565">
        <f t="shared" si="378"/>
        <v>0</v>
      </c>
      <c r="X412" s="565">
        <f t="shared" si="378"/>
        <v>0</v>
      </c>
      <c r="Y412" s="565">
        <f t="shared" si="378"/>
        <v>0</v>
      </c>
      <c r="Z412" s="565">
        <f t="shared" si="378"/>
        <v>0</v>
      </c>
      <c r="AA412" s="565"/>
      <c r="AB412" s="565"/>
      <c r="AC412" s="565"/>
      <c r="AD412" s="565"/>
      <c r="AE412" s="565"/>
      <c r="AF412" s="565"/>
      <c r="AG412" s="565"/>
      <c r="AH412" s="565"/>
      <c r="AI412" s="565"/>
      <c r="AJ412" s="565"/>
    </row>
    <row r="413" spans="1:36" x14ac:dyDescent="0.25">
      <c r="A413" t="s">
        <v>424</v>
      </c>
      <c r="H413" s="558" t="s">
        <v>180</v>
      </c>
      <c r="I413" s="559" t="str">
        <f t="shared" si="362"/>
        <v>tr. VND/tấn</v>
      </c>
      <c r="K413" s="567">
        <f>SUM(K414:K416)</f>
        <v>0</v>
      </c>
      <c r="L413" s="567">
        <f>SUM(L414:L416)</f>
        <v>2.8219416287581907</v>
      </c>
      <c r="M413" s="567">
        <f t="shared" ref="M413:AJ413" si="379">SUM(M414:M416)</f>
        <v>2.660868871198673</v>
      </c>
      <c r="N413" s="567">
        <f t="shared" si="379"/>
        <v>2.6587810286858344</v>
      </c>
      <c r="O413" s="567">
        <f t="shared" si="379"/>
        <v>2.7834335906254735</v>
      </c>
      <c r="P413" s="567">
        <f t="shared" si="379"/>
        <v>2.9143187806620943</v>
      </c>
      <c r="Q413" s="567">
        <f t="shared" si="379"/>
        <v>3.0517482302005461</v>
      </c>
      <c r="R413" s="567">
        <f t="shared" si="379"/>
        <v>3.1960491522159202</v>
      </c>
      <c r="S413" s="567">
        <f t="shared" si="379"/>
        <v>3.3475651203320633</v>
      </c>
      <c r="T413" s="567">
        <f t="shared" si="379"/>
        <v>3.5066568868540129</v>
      </c>
      <c r="U413" s="567">
        <f t="shared" si="379"/>
        <v>3.6737032417020608</v>
      </c>
      <c r="V413" s="567">
        <f t="shared" si="379"/>
        <v>3.8491019142925103</v>
      </c>
      <c r="W413" s="567">
        <f t="shared" si="379"/>
        <v>4.0332705205124837</v>
      </c>
      <c r="X413" s="567">
        <f t="shared" si="379"/>
        <v>4.0648020591010132</v>
      </c>
      <c r="Y413" s="567">
        <f t="shared" si="379"/>
        <v>4.2678479474585318</v>
      </c>
      <c r="Z413" s="567">
        <f t="shared" si="379"/>
        <v>4.4810461302339286</v>
      </c>
      <c r="AA413" s="567"/>
      <c r="AB413" s="567"/>
      <c r="AC413" s="567"/>
      <c r="AD413" s="567"/>
      <c r="AE413" s="567"/>
      <c r="AF413" s="567"/>
      <c r="AG413" s="567"/>
      <c r="AH413" s="567"/>
      <c r="AI413" s="567"/>
      <c r="AJ413" s="567"/>
    </row>
    <row r="414" spans="1:36" s="299" customFormat="1" x14ac:dyDescent="0.25">
      <c r="A414" s="299" t="s">
        <v>424</v>
      </c>
      <c r="C414" s="299" t="s">
        <v>367</v>
      </c>
      <c r="H414" s="560" t="s">
        <v>73</v>
      </c>
      <c r="I414" s="561" t="str">
        <f t="shared" si="362"/>
        <v>tr. VND/tấn</v>
      </c>
      <c r="K414" s="565"/>
      <c r="L414" s="565">
        <f t="shared" ref="L414:AJ414" si="380">-IF($H$9="VND",L382/L353/$H$10/10^3,L382/L353/$H$10*10^3)</f>
        <v>1.8565188172043012</v>
      </c>
      <c r="M414" s="565">
        <f t="shared" si="380"/>
        <v>1.8565188172043008</v>
      </c>
      <c r="N414" s="565">
        <f t="shared" si="380"/>
        <v>1.949344758064516</v>
      </c>
      <c r="O414" s="565">
        <f t="shared" si="380"/>
        <v>2.046811995967742</v>
      </c>
      <c r="P414" s="565">
        <f t="shared" si="380"/>
        <v>2.1491525957661293</v>
      </c>
      <c r="Q414" s="565">
        <f t="shared" si="380"/>
        <v>2.2566102255544358</v>
      </c>
      <c r="R414" s="565">
        <f t="shared" si="380"/>
        <v>2.3694407368321579</v>
      </c>
      <c r="S414" s="565">
        <f t="shared" si="380"/>
        <v>2.4879127736737656</v>
      </c>
      <c r="T414" s="565">
        <f t="shared" si="380"/>
        <v>2.6123084123574536</v>
      </c>
      <c r="U414" s="565">
        <f t="shared" si="380"/>
        <v>2.7429238329753267</v>
      </c>
      <c r="V414" s="565">
        <f t="shared" si="380"/>
        <v>2.8800700246240925</v>
      </c>
      <c r="W414" s="565">
        <f t="shared" si="380"/>
        <v>3.0240735258552975</v>
      </c>
      <c r="X414" s="565">
        <f t="shared" si="380"/>
        <v>3.1752772021480626</v>
      </c>
      <c r="Y414" s="565">
        <f t="shared" si="380"/>
        <v>3.3340410622554648</v>
      </c>
      <c r="Z414" s="565">
        <f t="shared" si="380"/>
        <v>3.5007431153682393</v>
      </c>
      <c r="AA414" s="565"/>
      <c r="AB414" s="565"/>
      <c r="AC414" s="565"/>
      <c r="AD414" s="565"/>
      <c r="AE414" s="565"/>
      <c r="AF414" s="565"/>
      <c r="AG414" s="565"/>
      <c r="AH414" s="565"/>
      <c r="AI414" s="565"/>
      <c r="AJ414" s="565"/>
    </row>
    <row r="415" spans="1:36" s="299" customFormat="1" x14ac:dyDescent="0.25">
      <c r="A415" s="299" t="s">
        <v>424</v>
      </c>
      <c r="C415" s="299" t="s">
        <v>370</v>
      </c>
      <c r="H415" s="560" t="s">
        <v>192</v>
      </c>
      <c r="I415" s="561" t="str">
        <f t="shared" si="362"/>
        <v>tr. VND/tấn</v>
      </c>
      <c r="K415" s="565"/>
      <c r="L415" s="565">
        <f t="shared" ref="L415:AJ415" si="381">-IF($H$9="VND",L383/L353/$H$10/10^3,L383/L353/$H$10*10^3)</f>
        <v>0.31481481481481483</v>
      </c>
      <c r="M415" s="565">
        <f t="shared" si="381"/>
        <v>0.31481481481481483</v>
      </c>
      <c r="N415" s="565">
        <f t="shared" si="381"/>
        <v>0.3305555555555556</v>
      </c>
      <c r="O415" s="565">
        <f t="shared" si="381"/>
        <v>0.34708333333333335</v>
      </c>
      <c r="P415" s="565">
        <f t="shared" si="381"/>
        <v>0.36443750000000008</v>
      </c>
      <c r="Q415" s="565">
        <f t="shared" si="381"/>
        <v>0.38265937500000002</v>
      </c>
      <c r="R415" s="565">
        <f t="shared" si="381"/>
        <v>0.40179234375000006</v>
      </c>
      <c r="S415" s="565">
        <f t="shared" si="381"/>
        <v>0.42188196093749997</v>
      </c>
      <c r="T415" s="565">
        <f t="shared" si="381"/>
        <v>0.44297605898437514</v>
      </c>
      <c r="U415" s="565">
        <f t="shared" si="381"/>
        <v>0.46512486193359376</v>
      </c>
      <c r="V415" s="565">
        <f t="shared" si="381"/>
        <v>0.48838110503027343</v>
      </c>
      <c r="W415" s="565">
        <f t="shared" si="381"/>
        <v>0.51280016028178721</v>
      </c>
      <c r="X415" s="565">
        <f t="shared" si="381"/>
        <v>0.5384401682958766</v>
      </c>
      <c r="Y415" s="565">
        <f t="shared" si="381"/>
        <v>0.56536217671067035</v>
      </c>
      <c r="Z415" s="565">
        <f t="shared" si="381"/>
        <v>0.5936302855462039</v>
      </c>
      <c r="AA415" s="565"/>
      <c r="AB415" s="565"/>
      <c r="AC415" s="565"/>
      <c r="AD415" s="565"/>
      <c r="AE415" s="565"/>
      <c r="AF415" s="565"/>
      <c r="AG415" s="565"/>
      <c r="AH415" s="565"/>
      <c r="AI415" s="565"/>
      <c r="AJ415" s="565"/>
    </row>
    <row r="416" spans="1:36" s="299" customFormat="1" x14ac:dyDescent="0.25">
      <c r="A416" s="299" t="s">
        <v>424</v>
      </c>
      <c r="C416" s="299" t="s">
        <v>367</v>
      </c>
      <c r="H416" s="560" t="s">
        <v>175</v>
      </c>
      <c r="I416" s="561" t="str">
        <f t="shared" si="362"/>
        <v>tr. VND/tấn</v>
      </c>
      <c r="K416" s="565"/>
      <c r="L416" s="565">
        <f>-IF($H$9="VND",L384/L353/$H$10/10^3,L384/L353/$H$10*10^3)</f>
        <v>0.65060799673907488</v>
      </c>
      <c r="M416" s="565">
        <f t="shared" ref="M416:AJ416" si="382">-IF($H$9="VND",M384/M353/$H$10/10^3,M384/M353/$H$10*10^3)</f>
        <v>0.48953523917955771</v>
      </c>
      <c r="N416" s="565">
        <f t="shared" si="382"/>
        <v>0.37888071506576265</v>
      </c>
      <c r="O416" s="565">
        <f t="shared" si="382"/>
        <v>0.38953826132439784</v>
      </c>
      <c r="P416" s="565">
        <f t="shared" si="382"/>
        <v>0.40072868489596469</v>
      </c>
      <c r="Q416" s="565">
        <f t="shared" si="382"/>
        <v>0.41247862964610993</v>
      </c>
      <c r="R416" s="565">
        <f t="shared" si="382"/>
        <v>0.42481607163376234</v>
      </c>
      <c r="S416" s="565">
        <f t="shared" si="382"/>
        <v>0.43777038572079757</v>
      </c>
      <c r="T416" s="565">
        <f t="shared" si="382"/>
        <v>0.45137241551218432</v>
      </c>
      <c r="U416" s="565">
        <f t="shared" si="382"/>
        <v>0.4656545467931405</v>
      </c>
      <c r="V416" s="565">
        <f t="shared" si="382"/>
        <v>0.48065078463814442</v>
      </c>
      <c r="W416" s="565">
        <f t="shared" si="382"/>
        <v>0.49639683437539861</v>
      </c>
      <c r="X416" s="565">
        <f t="shared" si="382"/>
        <v>0.35108468865707365</v>
      </c>
      <c r="Y416" s="565">
        <f t="shared" si="382"/>
        <v>0.36844470849239641</v>
      </c>
      <c r="Z416" s="565">
        <f t="shared" si="382"/>
        <v>0.38667272931948538</v>
      </c>
      <c r="AA416" s="565"/>
      <c r="AB416" s="565"/>
      <c r="AC416" s="565"/>
      <c r="AD416" s="565"/>
      <c r="AE416" s="565"/>
      <c r="AF416" s="565"/>
      <c r="AG416" s="565"/>
      <c r="AH416" s="565"/>
      <c r="AI416" s="565"/>
      <c r="AJ416" s="565"/>
    </row>
    <row r="417" spans="1:36" x14ac:dyDescent="0.25">
      <c r="A417" t="s">
        <v>424</v>
      </c>
      <c r="H417" s="247"/>
      <c r="I417" s="275"/>
      <c r="K417" s="281"/>
      <c r="L417" s="282"/>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row>
    <row r="418" spans="1:36" s="16" customFormat="1" x14ac:dyDescent="0.25">
      <c r="A418" s="16" t="s">
        <v>424</v>
      </c>
      <c r="H418" s="276" t="s">
        <v>464</v>
      </c>
      <c r="I418" s="277" t="str">
        <f t="shared" si="362"/>
        <v>tr. VND/tấn</v>
      </c>
      <c r="K418" s="283">
        <f>K396+K406</f>
        <v>0</v>
      </c>
      <c r="L418" s="283">
        <f t="shared" ref="L418:AJ418" si="383">L396+L406</f>
        <v>43.958720173280462</v>
      </c>
      <c r="M418" s="283">
        <f t="shared" si="383"/>
        <v>39.770828476733016</v>
      </c>
      <c r="N418" s="283">
        <f t="shared" si="383"/>
        <v>37.440795172354989</v>
      </c>
      <c r="O418" s="283">
        <f t="shared" si="383"/>
        <v>38.276121687982737</v>
      </c>
      <c r="P418" s="283">
        <f t="shared" si="383"/>
        <v>39.13678923906928</v>
      </c>
      <c r="Q418" s="283">
        <f t="shared" si="383"/>
        <v>40.023736371581123</v>
      </c>
      <c r="R418" s="283">
        <f t="shared" si="383"/>
        <v>40.937941988666935</v>
      </c>
      <c r="S418" s="283">
        <f t="shared" si="383"/>
        <v>41.880427237114404</v>
      </c>
      <c r="T418" s="283">
        <f t="shared" si="383"/>
        <v>42.852257485501738</v>
      </c>
      <c r="U418" s="283">
        <f t="shared" si="383"/>
        <v>43.854544398576294</v>
      </c>
      <c r="V418" s="283">
        <f t="shared" si="383"/>
        <v>44.888448112617795</v>
      </c>
      <c r="W418" s="283">
        <f t="shared" si="383"/>
        <v>45.955179516780845</v>
      </c>
      <c r="X418" s="283">
        <f t="shared" si="383"/>
        <v>42.848019699156396</v>
      </c>
      <c r="Y418" s="283">
        <f t="shared" si="383"/>
        <v>43.984254242077441</v>
      </c>
      <c r="Z418" s="283">
        <f t="shared" si="383"/>
        <v>45.157278174894508</v>
      </c>
      <c r="AA418" s="283"/>
      <c r="AB418" s="283"/>
      <c r="AC418" s="283"/>
      <c r="AD418" s="283"/>
      <c r="AE418" s="283"/>
      <c r="AF418" s="283"/>
      <c r="AG418" s="283"/>
      <c r="AH418" s="283"/>
      <c r="AI418" s="283"/>
      <c r="AJ418" s="283"/>
    </row>
    <row r="419" spans="1:36" x14ac:dyDescent="0.25">
      <c r="A419" t="s">
        <v>424</v>
      </c>
      <c r="H419" s="247"/>
      <c r="I419" s="275"/>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row>
    <row r="420" spans="1:36" x14ac:dyDescent="0.25">
      <c r="A420" t="s">
        <v>424</v>
      </c>
      <c r="C420" t="s">
        <v>367</v>
      </c>
      <c r="H420" s="568" t="s">
        <v>166</v>
      </c>
      <c r="I420" s="569" t="str">
        <f t="shared" si="362"/>
        <v>tr. VND/tấn</v>
      </c>
      <c r="K420" s="570"/>
      <c r="L420" s="570">
        <f>-IF($H$9="VND",L388/L353/$H$10/10^3,L388/L353/$H$10*10^3)</f>
        <v>0.88888888888888906</v>
      </c>
      <c r="M420" s="570">
        <f t="shared" ref="M420:AJ420" si="384">-IF($H$9="VND",M388/M353/$H$10/10^3,M388/M353/$H$10*10^3)</f>
        <v>0.88888888888888895</v>
      </c>
      <c r="N420" s="570">
        <f t="shared" si="384"/>
        <v>0.93333333333333335</v>
      </c>
      <c r="O420" s="570">
        <f t="shared" si="384"/>
        <v>0.9800000000000002</v>
      </c>
      <c r="P420" s="570">
        <f t="shared" si="384"/>
        <v>1.0290000000000001</v>
      </c>
      <c r="Q420" s="570">
        <f t="shared" si="384"/>
        <v>1.0804500000000004</v>
      </c>
      <c r="R420" s="570">
        <f t="shared" si="384"/>
        <v>1.1344725000000002</v>
      </c>
      <c r="S420" s="570">
        <f t="shared" si="384"/>
        <v>1.1911961249999998</v>
      </c>
      <c r="T420" s="570">
        <f t="shared" si="384"/>
        <v>1.2507559312500003</v>
      </c>
      <c r="U420" s="570">
        <f t="shared" si="384"/>
        <v>1.3132937278125001</v>
      </c>
      <c r="V420" s="570">
        <f t="shared" si="384"/>
        <v>1.3789584142031253</v>
      </c>
      <c r="W420" s="570">
        <f t="shared" si="384"/>
        <v>1.4479063349132817</v>
      </c>
      <c r="X420" s="570">
        <f t="shared" si="384"/>
        <v>1.5203016516589456</v>
      </c>
      <c r="Y420" s="570">
        <f t="shared" si="384"/>
        <v>1.5963167342418931</v>
      </c>
      <c r="Z420" s="570">
        <f t="shared" si="384"/>
        <v>1.6761325709539878</v>
      </c>
      <c r="AA420" s="570"/>
      <c r="AB420" s="570"/>
      <c r="AC420" s="570"/>
      <c r="AD420" s="570"/>
      <c r="AE420" s="570"/>
      <c r="AF420" s="570"/>
      <c r="AG420" s="570"/>
      <c r="AH420" s="570"/>
      <c r="AI420" s="570"/>
      <c r="AJ420" s="570"/>
    </row>
    <row r="421" spans="1:36" x14ac:dyDescent="0.25">
      <c r="A421" t="s">
        <v>424</v>
      </c>
      <c r="C421" t="s">
        <v>367</v>
      </c>
      <c r="H421" s="558" t="s">
        <v>469</v>
      </c>
      <c r="I421" s="559" t="str">
        <f t="shared" si="362"/>
        <v>tr. VND/tấn</v>
      </c>
      <c r="K421" s="571"/>
      <c r="L421" s="571">
        <f t="shared" ref="L421:AJ421" si="385">-IF($H$9="VND",L389/L353/$H$10/10^3,L389/L353/$H$10*10^3)</f>
        <v>0</v>
      </c>
      <c r="M421" s="571">
        <f t="shared" si="385"/>
        <v>0</v>
      </c>
      <c r="N421" s="571">
        <f t="shared" si="385"/>
        <v>0</v>
      </c>
      <c r="O421" s="571">
        <f t="shared" si="385"/>
        <v>0</v>
      </c>
      <c r="P421" s="571">
        <f t="shared" si="385"/>
        <v>0</v>
      </c>
      <c r="Q421" s="571">
        <f t="shared" si="385"/>
        <v>0</v>
      </c>
      <c r="R421" s="571">
        <f t="shared" si="385"/>
        <v>0</v>
      </c>
      <c r="S421" s="571">
        <f t="shared" si="385"/>
        <v>0</v>
      </c>
      <c r="T421" s="571">
        <f t="shared" si="385"/>
        <v>0</v>
      </c>
      <c r="U421" s="571">
        <f t="shared" si="385"/>
        <v>0</v>
      </c>
      <c r="V421" s="571">
        <f t="shared" si="385"/>
        <v>0</v>
      </c>
      <c r="W421" s="571">
        <f t="shared" si="385"/>
        <v>0</v>
      </c>
      <c r="X421" s="571">
        <f t="shared" si="385"/>
        <v>0</v>
      </c>
      <c r="Y421" s="571">
        <f t="shared" si="385"/>
        <v>0</v>
      </c>
      <c r="Z421" s="571">
        <f t="shared" si="385"/>
        <v>0</v>
      </c>
      <c r="AA421" s="571"/>
      <c r="AB421" s="571"/>
      <c r="AC421" s="571"/>
      <c r="AD421" s="571"/>
      <c r="AE421" s="571"/>
      <c r="AF421" s="571"/>
      <c r="AG421" s="571"/>
      <c r="AH421" s="571"/>
      <c r="AI421" s="571"/>
      <c r="AJ421" s="571"/>
    </row>
    <row r="422" spans="1:36" x14ac:dyDescent="0.25">
      <c r="A422" t="s">
        <v>424</v>
      </c>
      <c r="C422" t="s">
        <v>367</v>
      </c>
      <c r="H422" s="558" t="s">
        <v>468</v>
      </c>
      <c r="I422" s="559" t="str">
        <f t="shared" si="362"/>
        <v>tr. VND/tấn</v>
      </c>
      <c r="K422" s="558"/>
      <c r="L422" s="571">
        <f t="shared" ref="L422:AJ422" si="386">-IF($H$9="VND",L390/L353/$H$10/10^3,L390/L353/$H$10*10^3)</f>
        <v>0</v>
      </c>
      <c r="M422" s="571">
        <f t="shared" si="386"/>
        <v>0</v>
      </c>
      <c r="N422" s="571">
        <f t="shared" si="386"/>
        <v>0</v>
      </c>
      <c r="O422" s="571">
        <f t="shared" si="386"/>
        <v>0</v>
      </c>
      <c r="P422" s="571">
        <f t="shared" si="386"/>
        <v>0</v>
      </c>
      <c r="Q422" s="571">
        <f t="shared" si="386"/>
        <v>0</v>
      </c>
      <c r="R422" s="571">
        <f t="shared" si="386"/>
        <v>0</v>
      </c>
      <c r="S422" s="571">
        <f t="shared" si="386"/>
        <v>0</v>
      </c>
      <c r="T422" s="571">
        <f t="shared" si="386"/>
        <v>0</v>
      </c>
      <c r="U422" s="571">
        <f t="shared" si="386"/>
        <v>0</v>
      </c>
      <c r="V422" s="571">
        <f t="shared" si="386"/>
        <v>0</v>
      </c>
      <c r="W422" s="571">
        <f t="shared" si="386"/>
        <v>0</v>
      </c>
      <c r="X422" s="571">
        <f t="shared" si="386"/>
        <v>0</v>
      </c>
      <c r="Y422" s="571">
        <f t="shared" si="386"/>
        <v>0</v>
      </c>
      <c r="Z422" s="571">
        <f t="shared" si="386"/>
        <v>0</v>
      </c>
      <c r="AA422" s="571"/>
      <c r="AB422" s="571"/>
      <c r="AC422" s="571"/>
      <c r="AD422" s="571"/>
      <c r="AE422" s="571"/>
      <c r="AF422" s="571"/>
      <c r="AG422" s="571"/>
      <c r="AH422" s="571"/>
      <c r="AI422" s="571"/>
      <c r="AJ422" s="571"/>
    </row>
    <row r="423" spans="1:36" x14ac:dyDescent="0.25">
      <c r="A423" t="s">
        <v>424</v>
      </c>
      <c r="C423" t="s">
        <v>367</v>
      </c>
      <c r="H423" s="558" t="s">
        <v>470</v>
      </c>
      <c r="I423" s="559" t="str">
        <f t="shared" si="362"/>
        <v>tr. VND/tấn</v>
      </c>
      <c r="K423" s="558"/>
      <c r="L423" s="571">
        <f t="shared" ref="L423:AJ423" si="387">-IF($H$9="VND",L391/L353/$H$10/10^3,L391/L353/$H$10*10^3)</f>
        <v>4.7582576395077938</v>
      </c>
      <c r="M423" s="571">
        <f t="shared" si="387"/>
        <v>3.2635032589377744</v>
      </c>
      <c r="N423" s="571">
        <f t="shared" si="387"/>
        <v>2.1831483850641651</v>
      </c>
      <c r="O423" s="571">
        <f t="shared" si="387"/>
        <v>2.0747532161384292</v>
      </c>
      <c r="P423" s="571">
        <f t="shared" si="387"/>
        <v>1.9587703853878913</v>
      </c>
      <c r="Q423" s="571">
        <f t="shared" si="387"/>
        <v>1.8346687564848161</v>
      </c>
      <c r="R423" s="571">
        <f t="shared" si="387"/>
        <v>1.7018800135585255</v>
      </c>
      <c r="S423" s="571">
        <f t="shared" si="387"/>
        <v>1.5597960586273947</v>
      </c>
      <c r="T423" s="571">
        <f t="shared" si="387"/>
        <v>1.4077662268510847</v>
      </c>
      <c r="U423" s="571">
        <f t="shared" si="387"/>
        <v>1.245094306850433</v>
      </c>
      <c r="V423" s="571">
        <f t="shared" si="387"/>
        <v>1.0710353524497356</v>
      </c>
      <c r="W423" s="571">
        <f t="shared" si="387"/>
        <v>0.88479227124098925</v>
      </c>
      <c r="X423" s="571">
        <f t="shared" si="387"/>
        <v>0.68551217434763101</v>
      </c>
      <c r="Y423" s="571">
        <f t="shared" si="387"/>
        <v>0.47228247067173734</v>
      </c>
      <c r="Z423" s="571">
        <f t="shared" si="387"/>
        <v>0.24412668773853119</v>
      </c>
      <c r="AA423" s="571"/>
      <c r="AB423" s="571"/>
      <c r="AC423" s="571"/>
      <c r="AD423" s="571"/>
      <c r="AE423" s="571"/>
      <c r="AF423" s="571"/>
      <c r="AG423" s="571"/>
      <c r="AH423" s="571"/>
      <c r="AI423" s="571"/>
      <c r="AJ423" s="571"/>
    </row>
    <row r="424" spans="1:36" x14ac:dyDescent="0.25">
      <c r="A424" t="s">
        <v>424</v>
      </c>
      <c r="H424" s="247"/>
      <c r="I424" s="275"/>
      <c r="K424" s="247"/>
      <c r="L424" s="247"/>
      <c r="M424" s="247"/>
      <c r="N424" s="247"/>
      <c r="O424" s="247"/>
      <c r="P424" s="247"/>
      <c r="Q424" s="247"/>
      <c r="R424" s="247"/>
      <c r="S424" s="247"/>
      <c r="T424" s="247"/>
      <c r="U424" s="247"/>
      <c r="V424" s="247"/>
      <c r="W424" s="247"/>
      <c r="X424" s="247"/>
      <c r="Y424" s="247"/>
      <c r="Z424" s="247"/>
      <c r="AA424" s="247"/>
      <c r="AB424" s="247"/>
      <c r="AC424" s="247"/>
      <c r="AD424" s="247"/>
      <c r="AE424" s="247"/>
      <c r="AF424" s="247"/>
      <c r="AG424" s="247"/>
      <c r="AH424" s="247"/>
      <c r="AI424" s="247"/>
      <c r="AJ424" s="247"/>
    </row>
    <row r="425" spans="1:36" s="16" customFormat="1" x14ac:dyDescent="0.25">
      <c r="A425" s="16" t="s">
        <v>424</v>
      </c>
      <c r="H425" s="276" t="s">
        <v>474</v>
      </c>
      <c r="I425" s="277" t="str">
        <f t="shared" si="362"/>
        <v>tr. VND/tấn</v>
      </c>
      <c r="K425" s="283">
        <f t="shared" ref="K425" si="388">K418+SUM(K420:K423)</f>
        <v>0</v>
      </c>
      <c r="L425" s="283">
        <f>L418+SUM(L420:L423)</f>
        <v>49.605866701677144</v>
      </c>
      <c r="M425" s="283">
        <f t="shared" ref="M425:AJ425" si="389">M418+SUM(M420:M423)</f>
        <v>43.923220624559676</v>
      </c>
      <c r="N425" s="283">
        <f t="shared" si="389"/>
        <v>40.55727689075249</v>
      </c>
      <c r="O425" s="283">
        <f t="shared" si="389"/>
        <v>41.330874904121167</v>
      </c>
      <c r="P425" s="283">
        <f t="shared" si="389"/>
        <v>42.12455962445717</v>
      </c>
      <c r="Q425" s="283">
        <f t="shared" si="389"/>
        <v>42.938855128065939</v>
      </c>
      <c r="R425" s="283">
        <f t="shared" si="389"/>
        <v>43.774294502225459</v>
      </c>
      <c r="S425" s="283">
        <f t="shared" si="389"/>
        <v>44.6314194207418</v>
      </c>
      <c r="T425" s="283">
        <f t="shared" si="389"/>
        <v>45.510779643602824</v>
      </c>
      <c r="U425" s="283">
        <f t="shared" si="389"/>
        <v>46.412932433239227</v>
      </c>
      <c r="V425" s="283">
        <f t="shared" si="389"/>
        <v>47.338441879270654</v>
      </c>
      <c r="W425" s="283">
        <f t="shared" si="389"/>
        <v>48.287878122935119</v>
      </c>
      <c r="X425" s="283">
        <f t="shared" si="389"/>
        <v>45.053833525162972</v>
      </c>
      <c r="Y425" s="283">
        <f t="shared" si="389"/>
        <v>46.052853446991072</v>
      </c>
      <c r="Z425" s="283">
        <f t="shared" si="389"/>
        <v>47.077537433587025</v>
      </c>
      <c r="AA425" s="283"/>
      <c r="AB425" s="283"/>
      <c r="AC425" s="283"/>
      <c r="AD425" s="283"/>
      <c r="AE425" s="283"/>
      <c r="AF425" s="283"/>
      <c r="AG425" s="283"/>
      <c r="AH425" s="283"/>
      <c r="AI425" s="283"/>
      <c r="AJ425" s="283"/>
    </row>
    <row r="426" spans="1:36" x14ac:dyDescent="0.25">
      <c r="A426" t="s">
        <v>424</v>
      </c>
    </row>
    <row r="427" spans="1:36" x14ac:dyDescent="0.25">
      <c r="A427" t="s">
        <v>424</v>
      </c>
      <c r="H427" s="568" t="s">
        <v>361</v>
      </c>
      <c r="I427" s="569" t="str">
        <f t="shared" si="362"/>
        <v>tr. VND/tấn</v>
      </c>
      <c r="K427" s="568"/>
      <c r="L427" s="589">
        <f>INDEX('Cover Page'!$H$12:$AJ$12,MATCH($A427,'Cover Page'!$H$5:$AJ$5,0))</f>
        <v>6.6666666666666666E-2</v>
      </c>
      <c r="M427" s="589">
        <f>INDEX('Cover Page'!$H$12:$AJ$12,MATCH($A427,'Cover Page'!$H$5:$AJ$5,0))</f>
        <v>6.6666666666666666E-2</v>
      </c>
      <c r="N427" s="589">
        <f>INDEX('Cover Page'!$H$12:$AJ$12,MATCH($A427,'Cover Page'!$H$5:$AJ$5,0))</f>
        <v>6.6666666666666666E-2</v>
      </c>
      <c r="O427" s="589">
        <f>INDEX('Cover Page'!$H$12:$AJ$12,MATCH($A427,'Cover Page'!$H$5:$AJ$5,0))</f>
        <v>6.6666666666666666E-2</v>
      </c>
      <c r="P427" s="589">
        <f>INDEX('Cover Page'!$H$12:$AJ$12,MATCH($A427,'Cover Page'!$H$5:$AJ$5,0))</f>
        <v>6.6666666666666666E-2</v>
      </c>
      <c r="Q427" s="589">
        <f>INDEX('Cover Page'!$H$12:$AJ$12,MATCH($A427,'Cover Page'!$H$5:$AJ$5,0))</f>
        <v>6.6666666666666666E-2</v>
      </c>
      <c r="R427" s="589">
        <f>INDEX('Cover Page'!$H$12:$AJ$12,MATCH($A427,'Cover Page'!$H$5:$AJ$5,0))</f>
        <v>6.6666666666666666E-2</v>
      </c>
      <c r="S427" s="589">
        <f>INDEX('Cover Page'!$H$12:$AJ$12,MATCH($A427,'Cover Page'!$H$5:$AJ$5,0))</f>
        <v>6.6666666666666666E-2</v>
      </c>
      <c r="T427" s="589">
        <f>INDEX('Cover Page'!$H$12:$AJ$12,MATCH($A427,'Cover Page'!$H$5:$AJ$5,0))</f>
        <v>6.6666666666666666E-2</v>
      </c>
      <c r="U427" s="589">
        <f>INDEX('Cover Page'!$H$12:$AJ$12,MATCH($A427,'Cover Page'!$H$5:$AJ$5,0))</f>
        <v>6.6666666666666666E-2</v>
      </c>
      <c r="V427" s="589">
        <f>INDEX('Cover Page'!$H$12:$AJ$12,MATCH($A427,'Cover Page'!$H$5:$AJ$5,0))</f>
        <v>6.6666666666666666E-2</v>
      </c>
      <c r="W427" s="589">
        <f>INDEX('Cover Page'!$H$12:$AJ$12,MATCH($A427,'Cover Page'!$H$5:$AJ$5,0))</f>
        <v>6.6666666666666666E-2</v>
      </c>
      <c r="X427" s="589">
        <f>INDEX('Cover Page'!$H$12:$AJ$12,MATCH($A427,'Cover Page'!$H$5:$AJ$5,0))</f>
        <v>6.6666666666666666E-2</v>
      </c>
      <c r="Y427" s="589">
        <f>INDEX('Cover Page'!$H$12:$AJ$12,MATCH($A427,'Cover Page'!$H$5:$AJ$5,0))</f>
        <v>6.6666666666666666E-2</v>
      </c>
      <c r="Z427" s="589">
        <f>INDEX('Cover Page'!$H$12:$AJ$12,MATCH($A427,'Cover Page'!$H$5:$AJ$5,0))</f>
        <v>6.6666666666666666E-2</v>
      </c>
      <c r="AA427" s="589"/>
      <c r="AB427" s="589"/>
      <c r="AC427" s="589"/>
      <c r="AD427" s="589"/>
      <c r="AE427" s="589"/>
      <c r="AF427" s="589"/>
      <c r="AG427" s="589"/>
      <c r="AH427" s="589"/>
      <c r="AI427" s="589"/>
      <c r="AJ427" s="589"/>
    </row>
    <row r="428" spans="1:36" s="1" customFormat="1" x14ac:dyDescent="0.25">
      <c r="A428" s="1" t="s">
        <v>424</v>
      </c>
      <c r="H428" s="585" t="s">
        <v>490</v>
      </c>
      <c r="I428" s="586" t="str">
        <f t="shared" si="362"/>
        <v>tr. VND/tấn</v>
      </c>
      <c r="K428" s="585"/>
      <c r="L428" s="590">
        <f t="shared" ref="L428:AJ428" si="390">L425*(1+L427)</f>
        <v>52.912924481788956</v>
      </c>
      <c r="M428" s="590">
        <f t="shared" si="390"/>
        <v>46.851435332863652</v>
      </c>
      <c r="N428" s="590">
        <f t="shared" si="390"/>
        <v>43.261095350135989</v>
      </c>
      <c r="O428" s="590">
        <f t="shared" si="390"/>
        <v>44.086266564395913</v>
      </c>
      <c r="P428" s="590">
        <f t="shared" si="390"/>
        <v>44.932863599420983</v>
      </c>
      <c r="Q428" s="590">
        <f t="shared" si="390"/>
        <v>45.801445469937001</v>
      </c>
      <c r="R428" s="590">
        <f t="shared" si="390"/>
        <v>46.692580802373826</v>
      </c>
      <c r="S428" s="590">
        <f t="shared" si="390"/>
        <v>47.606847382124585</v>
      </c>
      <c r="T428" s="590">
        <f t="shared" si="390"/>
        <v>48.544831619843009</v>
      </c>
      <c r="U428" s="590">
        <f t="shared" si="390"/>
        <v>49.507127928788506</v>
      </c>
      <c r="V428" s="590">
        <f t="shared" si="390"/>
        <v>50.494338004555367</v>
      </c>
      <c r="W428" s="590">
        <f t="shared" si="390"/>
        <v>51.507069997797458</v>
      </c>
      <c r="X428" s="590">
        <f t="shared" si="390"/>
        <v>48.057422426840503</v>
      </c>
      <c r="Y428" s="590">
        <f t="shared" si="390"/>
        <v>49.123043676790473</v>
      </c>
      <c r="Z428" s="590">
        <f t="shared" si="390"/>
        <v>50.216039929159493</v>
      </c>
      <c r="AA428" s="590"/>
      <c r="AB428" s="590"/>
      <c r="AC428" s="590"/>
      <c r="AD428" s="590"/>
      <c r="AE428" s="590"/>
      <c r="AF428" s="590"/>
      <c r="AG428" s="590"/>
      <c r="AH428" s="590"/>
      <c r="AI428" s="590"/>
      <c r="AJ428" s="590"/>
    </row>
    <row r="429" spans="1:36" x14ac:dyDescent="0.25">
      <c r="A429" t="s">
        <v>424</v>
      </c>
      <c r="H429" s="558" t="s">
        <v>292</v>
      </c>
      <c r="I429" s="559" t="str">
        <f t="shared" si="362"/>
        <v>tr. VND/tấn</v>
      </c>
      <c r="K429" s="558"/>
      <c r="L429" s="591">
        <f t="shared" ref="L429:AJ429" si="391">Tax_rate</f>
        <v>0.2</v>
      </c>
      <c r="M429" s="591">
        <f t="shared" si="391"/>
        <v>0.2</v>
      </c>
      <c r="N429" s="591">
        <f t="shared" si="391"/>
        <v>0.2</v>
      </c>
      <c r="O429" s="591">
        <f t="shared" si="391"/>
        <v>0.2</v>
      </c>
      <c r="P429" s="591">
        <f t="shared" si="391"/>
        <v>0.2</v>
      </c>
      <c r="Q429" s="591">
        <f t="shared" si="391"/>
        <v>0.2</v>
      </c>
      <c r="R429" s="591">
        <f t="shared" si="391"/>
        <v>0.2</v>
      </c>
      <c r="S429" s="591">
        <f t="shared" si="391"/>
        <v>0.2</v>
      </c>
      <c r="T429" s="591">
        <f t="shared" si="391"/>
        <v>0.2</v>
      </c>
      <c r="U429" s="591">
        <f t="shared" si="391"/>
        <v>0.2</v>
      </c>
      <c r="V429" s="591">
        <f t="shared" si="391"/>
        <v>0.2</v>
      </c>
      <c r="W429" s="591">
        <f t="shared" si="391"/>
        <v>0.2</v>
      </c>
      <c r="X429" s="591">
        <f t="shared" si="391"/>
        <v>0.2</v>
      </c>
      <c r="Y429" s="591">
        <f t="shared" si="391"/>
        <v>0.2</v>
      </c>
      <c r="Z429" s="591">
        <f t="shared" si="391"/>
        <v>0.2</v>
      </c>
      <c r="AA429" s="591"/>
      <c r="AB429" s="591"/>
      <c r="AC429" s="591"/>
      <c r="AD429" s="591"/>
      <c r="AE429" s="591"/>
      <c r="AF429" s="591"/>
      <c r="AG429" s="591"/>
      <c r="AH429" s="591"/>
      <c r="AI429" s="591"/>
      <c r="AJ429" s="591"/>
    </row>
    <row r="430" spans="1:36" s="1" customFormat="1" x14ac:dyDescent="0.25">
      <c r="A430" s="1" t="s">
        <v>424</v>
      </c>
      <c r="H430" s="585" t="s">
        <v>491</v>
      </c>
      <c r="I430" s="586" t="str">
        <f t="shared" si="362"/>
        <v>tr. VND/tấn</v>
      </c>
      <c r="K430" s="585"/>
      <c r="L430" s="590">
        <f>(L428-L425)*(1-L429)</f>
        <v>2.6456462240894498</v>
      </c>
      <c r="M430" s="590">
        <f t="shared" ref="M430:AJ430" si="392">(M428-M425)*(1-M429)</f>
        <v>2.3425717666431809</v>
      </c>
      <c r="N430" s="590">
        <f t="shared" si="392"/>
        <v>2.1630547675067988</v>
      </c>
      <c r="O430" s="590">
        <f t="shared" si="392"/>
        <v>2.2043133282197971</v>
      </c>
      <c r="P430" s="590">
        <f t="shared" si="392"/>
        <v>2.2466431799710507</v>
      </c>
      <c r="Q430" s="590">
        <f t="shared" si="392"/>
        <v>2.2900722734968499</v>
      </c>
      <c r="R430" s="590">
        <f t="shared" si="392"/>
        <v>2.3346290401186933</v>
      </c>
      <c r="S430" s="590">
        <f t="shared" si="392"/>
        <v>2.380342369106228</v>
      </c>
      <c r="T430" s="590">
        <f t="shared" si="392"/>
        <v>2.4272415809921486</v>
      </c>
      <c r="U430" s="590">
        <f t="shared" si="392"/>
        <v>2.4753563964394232</v>
      </c>
      <c r="V430" s="590">
        <f t="shared" si="392"/>
        <v>2.5247169002277703</v>
      </c>
      <c r="W430" s="590">
        <f t="shared" si="392"/>
        <v>2.5753534998898715</v>
      </c>
      <c r="X430" s="590">
        <f t="shared" si="392"/>
        <v>2.4028711213420255</v>
      </c>
      <c r="Y430" s="590">
        <f t="shared" si="392"/>
        <v>2.4561521838395208</v>
      </c>
      <c r="Z430" s="590">
        <f t="shared" si="392"/>
        <v>2.5108019964579742</v>
      </c>
      <c r="AA430" s="590"/>
      <c r="AB430" s="590"/>
      <c r="AC430" s="590"/>
      <c r="AD430" s="590"/>
      <c r="AE430" s="590"/>
      <c r="AF430" s="590"/>
      <c r="AG430" s="590"/>
      <c r="AH430" s="590"/>
      <c r="AI430" s="590"/>
      <c r="AJ430" s="590"/>
    </row>
    <row r="431" spans="1:36" s="146" customFormat="1" x14ac:dyDescent="0.25">
      <c r="A431" s="146" t="s">
        <v>424</v>
      </c>
      <c r="H431" s="587" t="s">
        <v>492</v>
      </c>
      <c r="I431" s="588"/>
      <c r="K431" s="587"/>
      <c r="L431" s="592">
        <f>IFERROR(L430/L428,0)</f>
        <v>5.0000000000000037E-2</v>
      </c>
      <c r="M431" s="592">
        <f>IFERROR(M430/M428,0)</f>
        <v>4.9999999999999961E-2</v>
      </c>
      <c r="N431" s="592">
        <f t="shared" ref="N431:AJ431" si="393">IFERROR(N430/N428,0)</f>
        <v>4.9999999999999989E-2</v>
      </c>
      <c r="O431" s="592">
        <f t="shared" si="393"/>
        <v>5.0000000000000031E-2</v>
      </c>
      <c r="P431" s="592">
        <f t="shared" si="393"/>
        <v>5.0000000000000031E-2</v>
      </c>
      <c r="Q431" s="592">
        <f t="shared" si="393"/>
        <v>4.9999999999999996E-2</v>
      </c>
      <c r="R431" s="592">
        <f t="shared" si="393"/>
        <v>5.0000000000000044E-2</v>
      </c>
      <c r="S431" s="592">
        <f t="shared" si="393"/>
        <v>4.9999999999999975E-2</v>
      </c>
      <c r="T431" s="592">
        <f t="shared" si="393"/>
        <v>4.9999999999999961E-2</v>
      </c>
      <c r="U431" s="592">
        <f t="shared" si="393"/>
        <v>4.9999999999999954E-2</v>
      </c>
      <c r="V431" s="592">
        <f t="shared" si="393"/>
        <v>5.0000000000000037E-2</v>
      </c>
      <c r="W431" s="592">
        <f t="shared" si="393"/>
        <v>4.9999999999999975E-2</v>
      </c>
      <c r="X431" s="592">
        <f t="shared" si="393"/>
        <v>5.000000000000001E-2</v>
      </c>
      <c r="Y431" s="592">
        <f t="shared" si="393"/>
        <v>4.999999999999994E-2</v>
      </c>
      <c r="Z431" s="592">
        <f t="shared" si="393"/>
        <v>4.9999999999999989E-2</v>
      </c>
      <c r="AA431" s="592"/>
      <c r="AB431" s="592"/>
      <c r="AC431" s="592"/>
      <c r="AD431" s="592"/>
      <c r="AE431" s="592"/>
      <c r="AF431" s="592"/>
      <c r="AG431" s="592"/>
      <c r="AH431" s="592"/>
      <c r="AI431" s="592"/>
      <c r="AJ431" s="592"/>
    </row>
    <row r="432" spans="1:36" x14ac:dyDescent="0.25">
      <c r="A432" t="s">
        <v>424</v>
      </c>
    </row>
    <row r="433" spans="1:36" s="24" customFormat="1" ht="17.25" x14ac:dyDescent="0.3">
      <c r="A433" s="24" t="s">
        <v>424</v>
      </c>
      <c r="H433" s="644" t="s">
        <v>476</v>
      </c>
      <c r="I433" s="644"/>
      <c r="K433" s="644"/>
      <c r="L433" s="644"/>
      <c r="M433" s="644"/>
      <c r="N433" s="644"/>
      <c r="O433" s="644"/>
      <c r="P433" s="644"/>
      <c r="Q433" s="644"/>
      <c r="R433" s="644"/>
      <c r="S433" s="644"/>
      <c r="T433" s="644"/>
      <c r="U433" s="644"/>
      <c r="V433" s="644"/>
      <c r="W433" s="644"/>
      <c r="X433" s="644"/>
      <c r="Y433" s="644"/>
      <c r="Z433" s="644"/>
      <c r="AA433" s="644"/>
      <c r="AB433" s="644"/>
      <c r="AC433" s="644"/>
      <c r="AD433" s="644"/>
      <c r="AE433" s="644"/>
      <c r="AF433" s="644"/>
      <c r="AG433" s="644"/>
      <c r="AH433" s="644"/>
      <c r="AI433" s="644"/>
      <c r="AJ433" s="644"/>
    </row>
    <row r="434" spans="1:36" s="1" customFormat="1" x14ac:dyDescent="0.25">
      <c r="A434" s="1" t="s">
        <v>424</v>
      </c>
      <c r="H434" s="287" t="s">
        <v>434</v>
      </c>
      <c r="I434" s="288" t="str">
        <f>IF($H$9="USD","USD/1.000 phôi","VND/phôi")</f>
        <v>VND/phôi</v>
      </c>
      <c r="K434" s="293">
        <f t="shared" ref="K434" si="394">SUM(K435:K436,K439:K442,)</f>
        <v>0</v>
      </c>
      <c r="L434" s="293">
        <f>SUM(L435:L436,L439:L442,)</f>
        <v>211.40799429686629</v>
      </c>
      <c r="M434" s="293">
        <f t="shared" ref="M434:AJ434" si="395">SUM(M435:M436,M439:M442,)</f>
        <v>151.00571021204738</v>
      </c>
      <c r="N434" s="293">
        <f t="shared" si="395"/>
        <v>107.88176344535992</v>
      </c>
      <c r="O434" s="293">
        <f t="shared" si="395"/>
        <v>110.16841805713301</v>
      </c>
      <c r="P434" s="293">
        <f t="shared" si="395"/>
        <v>112.5694053994948</v>
      </c>
      <c r="Q434" s="293">
        <f t="shared" si="395"/>
        <v>115.09044210897466</v>
      </c>
      <c r="R434" s="293">
        <f t="shared" si="395"/>
        <v>117.7375306539285</v>
      </c>
      <c r="S434" s="293">
        <f t="shared" si="395"/>
        <v>120.51697362613004</v>
      </c>
      <c r="T434" s="293">
        <f t="shared" si="395"/>
        <v>123.43538874694165</v>
      </c>
      <c r="U434" s="293">
        <f t="shared" si="395"/>
        <v>126.49972462379385</v>
      </c>
      <c r="V434" s="293">
        <f t="shared" si="395"/>
        <v>129.71727729448867</v>
      </c>
      <c r="W434" s="293">
        <f t="shared" si="395"/>
        <v>133.09570759871826</v>
      </c>
      <c r="X434" s="293">
        <f t="shared" si="395"/>
        <v>75.950997689743517</v>
      </c>
      <c r="Y434" s="293">
        <f t="shared" si="395"/>
        <v>79.675717100156589</v>
      </c>
      <c r="Z434" s="293">
        <f t="shared" si="395"/>
        <v>83.586672481090332</v>
      </c>
      <c r="AA434" s="293"/>
      <c r="AB434" s="293"/>
      <c r="AC434" s="293"/>
      <c r="AD434" s="293"/>
      <c r="AE434" s="293"/>
      <c r="AF434" s="293"/>
      <c r="AG434" s="293"/>
      <c r="AH434" s="293"/>
      <c r="AI434" s="293"/>
      <c r="AJ434" s="293"/>
    </row>
    <row r="435" spans="1:36" x14ac:dyDescent="0.25">
      <c r="A435" t="s">
        <v>424</v>
      </c>
      <c r="E435" t="s">
        <v>173</v>
      </c>
      <c r="H435" s="572" t="s">
        <v>190</v>
      </c>
      <c r="I435" s="573" t="str">
        <f t="shared" ref="I435:I442" si="396">IF($H$9="USD","USD/1.000 phôi","VND/phôi")</f>
        <v>VND/phôi</v>
      </c>
      <c r="K435" s="578"/>
      <c r="L435" s="579">
        <f t="shared" ref="L435:AJ435" si="397">-IF($H$9="USD",L365/L354/$H$10*10^3,L365/L354/$H$10)</f>
        <v>121.38412345683145</v>
      </c>
      <c r="M435" s="579">
        <f t="shared" si="397"/>
        <v>86.702945326308182</v>
      </c>
      <c r="N435" s="579">
        <f t="shared" si="397"/>
        <v>60.692061728415723</v>
      </c>
      <c r="O435" s="579">
        <f t="shared" si="397"/>
        <v>60.692061728415723</v>
      </c>
      <c r="P435" s="579">
        <f t="shared" si="397"/>
        <v>60.692061728415723</v>
      </c>
      <c r="Q435" s="579">
        <f t="shared" si="397"/>
        <v>60.692061728415723</v>
      </c>
      <c r="R435" s="579">
        <f t="shared" si="397"/>
        <v>60.692061728415723</v>
      </c>
      <c r="S435" s="579">
        <f t="shared" si="397"/>
        <v>60.692061728415723</v>
      </c>
      <c r="T435" s="579">
        <f t="shared" si="397"/>
        <v>60.692061728415723</v>
      </c>
      <c r="U435" s="579">
        <f t="shared" si="397"/>
        <v>60.692061728415723</v>
      </c>
      <c r="V435" s="579">
        <f t="shared" si="397"/>
        <v>60.692061728415723</v>
      </c>
      <c r="W435" s="579">
        <f t="shared" si="397"/>
        <v>60.692061728415723</v>
      </c>
      <c r="X435" s="579">
        <f t="shared" si="397"/>
        <v>0</v>
      </c>
      <c r="Y435" s="579">
        <f t="shared" si="397"/>
        <v>0</v>
      </c>
      <c r="Z435" s="579">
        <f t="shared" si="397"/>
        <v>0</v>
      </c>
      <c r="AA435" s="579"/>
      <c r="AB435" s="579"/>
      <c r="AC435" s="579"/>
      <c r="AD435" s="579"/>
      <c r="AE435" s="579"/>
      <c r="AF435" s="579"/>
      <c r="AG435" s="579"/>
      <c r="AH435" s="579"/>
      <c r="AI435" s="579"/>
      <c r="AJ435" s="579"/>
    </row>
    <row r="436" spans="1:36" x14ac:dyDescent="0.25">
      <c r="A436" t="s">
        <v>424</v>
      </c>
      <c r="H436" s="574" t="s">
        <v>429</v>
      </c>
      <c r="I436" s="575" t="str">
        <f t="shared" si="396"/>
        <v>VND/phôi</v>
      </c>
      <c r="K436" s="580">
        <f>SUM(K437:K438)</f>
        <v>0</v>
      </c>
      <c r="L436" s="580">
        <f t="shared" ref="L436:AJ436" si="398">SUM(L437:L438)</f>
        <v>29.115063862219181</v>
      </c>
      <c r="M436" s="580">
        <f t="shared" si="398"/>
        <v>20.79647418729942</v>
      </c>
      <c r="N436" s="580">
        <f t="shared" si="398"/>
        <v>15.285408527665071</v>
      </c>
      <c r="O436" s="580">
        <f t="shared" si="398"/>
        <v>16.049678954048325</v>
      </c>
      <c r="P436" s="580">
        <f t="shared" si="398"/>
        <v>16.852162901750745</v>
      </c>
      <c r="Q436" s="580">
        <f t="shared" si="398"/>
        <v>17.69477104683828</v>
      </c>
      <c r="R436" s="580">
        <f t="shared" si="398"/>
        <v>18.579509599180195</v>
      </c>
      <c r="S436" s="580">
        <f t="shared" si="398"/>
        <v>19.508485079139202</v>
      </c>
      <c r="T436" s="580">
        <f t="shared" si="398"/>
        <v>20.483909333096165</v>
      </c>
      <c r="U436" s="580">
        <f t="shared" si="398"/>
        <v>21.508104799750974</v>
      </c>
      <c r="V436" s="580">
        <f t="shared" si="398"/>
        <v>22.58351003973852</v>
      </c>
      <c r="W436" s="580">
        <f t="shared" si="398"/>
        <v>23.712685541725449</v>
      </c>
      <c r="X436" s="580">
        <f t="shared" si="398"/>
        <v>24.898319818811725</v>
      </c>
      <c r="Y436" s="580">
        <f t="shared" si="398"/>
        <v>26.143235809752301</v>
      </c>
      <c r="Z436" s="580">
        <f t="shared" si="398"/>
        <v>27.450397600239924</v>
      </c>
      <c r="AA436" s="580"/>
      <c r="AB436" s="580"/>
      <c r="AC436" s="580"/>
      <c r="AD436" s="580"/>
      <c r="AE436" s="580"/>
      <c r="AF436" s="580"/>
      <c r="AG436" s="580"/>
      <c r="AH436" s="580"/>
      <c r="AI436" s="580"/>
      <c r="AJ436" s="580"/>
    </row>
    <row r="437" spans="1:36" s="299" customFormat="1" x14ac:dyDescent="0.25">
      <c r="A437" s="299" t="s">
        <v>424</v>
      </c>
      <c r="E437" s="299" t="s">
        <v>171</v>
      </c>
      <c r="H437" s="576" t="s">
        <v>430</v>
      </c>
      <c r="I437" s="577" t="str">
        <f t="shared" si="396"/>
        <v>VND/phôi</v>
      </c>
      <c r="K437" s="581"/>
      <c r="L437" s="581">
        <f t="shared" ref="L437:AJ437" si="399">-IF($H$9="USD",L367/L354/$H$10*10^3,L367/L354/$H$10)</f>
        <v>4.7599559447769781</v>
      </c>
      <c r="M437" s="581">
        <f t="shared" si="399"/>
        <v>3.3999685319835566</v>
      </c>
      <c r="N437" s="581">
        <f t="shared" si="399"/>
        <v>2.4989768710079137</v>
      </c>
      <c r="O437" s="581">
        <f t="shared" si="399"/>
        <v>2.6239257145583097</v>
      </c>
      <c r="P437" s="581">
        <f t="shared" si="399"/>
        <v>2.7551220002862253</v>
      </c>
      <c r="Q437" s="581">
        <f t="shared" si="399"/>
        <v>2.8928781003005359</v>
      </c>
      <c r="R437" s="581">
        <f t="shared" si="399"/>
        <v>3.0375220053155632</v>
      </c>
      <c r="S437" s="581">
        <f t="shared" si="399"/>
        <v>3.1893981055813412</v>
      </c>
      <c r="T437" s="581">
        <f t="shared" si="399"/>
        <v>3.3488680108604085</v>
      </c>
      <c r="U437" s="581">
        <f t="shared" si="399"/>
        <v>3.5163114114034286</v>
      </c>
      <c r="V437" s="581">
        <f t="shared" si="399"/>
        <v>3.6921269819736002</v>
      </c>
      <c r="W437" s="581">
        <f t="shared" si="399"/>
        <v>3.8767333310722805</v>
      </c>
      <c r="X437" s="581">
        <f t="shared" si="399"/>
        <v>4.0705699976258947</v>
      </c>
      <c r="Y437" s="581">
        <f t="shared" si="399"/>
        <v>4.2740984975071887</v>
      </c>
      <c r="Z437" s="581">
        <f t="shared" si="399"/>
        <v>4.4878034223825489</v>
      </c>
      <c r="AA437" s="581"/>
      <c r="AB437" s="581"/>
      <c r="AC437" s="581"/>
      <c r="AD437" s="581"/>
      <c r="AE437" s="581"/>
      <c r="AF437" s="581"/>
      <c r="AG437" s="581"/>
      <c r="AH437" s="581"/>
      <c r="AI437" s="581"/>
      <c r="AJ437" s="581"/>
    </row>
    <row r="438" spans="1:36" s="299" customFormat="1" x14ac:dyDescent="0.25">
      <c r="A438" s="299" t="s">
        <v>424</v>
      </c>
      <c r="E438" s="299" t="s">
        <v>171</v>
      </c>
      <c r="H438" s="576" t="s">
        <v>431</v>
      </c>
      <c r="I438" s="577" t="str">
        <f t="shared" si="396"/>
        <v>VND/phôi</v>
      </c>
      <c r="K438" s="581"/>
      <c r="L438" s="581">
        <f t="shared" ref="L438:AJ438" si="400">-IF($H$9="USD",L368/L354/$H$10*10^3,L368/L354/$H$10)</f>
        <v>24.355107917442204</v>
      </c>
      <c r="M438" s="581">
        <f t="shared" si="400"/>
        <v>17.396505655315863</v>
      </c>
      <c r="N438" s="581">
        <f t="shared" si="400"/>
        <v>12.786431656657157</v>
      </c>
      <c r="O438" s="581">
        <f t="shared" si="400"/>
        <v>13.425753239490016</v>
      </c>
      <c r="P438" s="581">
        <f t="shared" si="400"/>
        <v>14.097040901464521</v>
      </c>
      <c r="Q438" s="581">
        <f t="shared" si="400"/>
        <v>14.801892946537743</v>
      </c>
      <c r="R438" s="581">
        <f t="shared" si="400"/>
        <v>15.541987593864631</v>
      </c>
      <c r="S438" s="581">
        <f t="shared" si="400"/>
        <v>16.319086973557862</v>
      </c>
      <c r="T438" s="581">
        <f t="shared" si="400"/>
        <v>17.135041322235757</v>
      </c>
      <c r="U438" s="581">
        <f t="shared" si="400"/>
        <v>17.991793388347546</v>
      </c>
      <c r="V438" s="581">
        <f t="shared" si="400"/>
        <v>18.891383057764919</v>
      </c>
      <c r="W438" s="581">
        <f t="shared" si="400"/>
        <v>19.835952210653168</v>
      </c>
      <c r="X438" s="581">
        <f t="shared" si="400"/>
        <v>20.827749821185829</v>
      </c>
      <c r="Y438" s="581">
        <f t="shared" si="400"/>
        <v>21.869137312245112</v>
      </c>
      <c r="Z438" s="581">
        <f t="shared" si="400"/>
        <v>22.962594177857376</v>
      </c>
      <c r="AA438" s="581"/>
      <c r="AB438" s="581"/>
      <c r="AC438" s="581"/>
      <c r="AD438" s="581"/>
      <c r="AE438" s="581"/>
      <c r="AF438" s="581"/>
      <c r="AG438" s="581"/>
      <c r="AH438" s="581"/>
      <c r="AI438" s="581"/>
      <c r="AJ438" s="581"/>
    </row>
    <row r="439" spans="1:36" x14ac:dyDescent="0.25">
      <c r="A439" t="s">
        <v>424</v>
      </c>
      <c r="E439" t="s">
        <v>172</v>
      </c>
      <c r="H439" s="574" t="s">
        <v>656</v>
      </c>
      <c r="I439" s="575" t="str">
        <f t="shared" si="396"/>
        <v>VND/phôi</v>
      </c>
      <c r="K439" s="580"/>
      <c r="L439" s="580">
        <f t="shared" ref="L439:AJ439" si="401">-IF($H$9="USD",L369/L354/$H$10*10^3,L369/L354/$H$10)</f>
        <v>11.623824040969422</v>
      </c>
      <c r="M439" s="580">
        <f t="shared" si="401"/>
        <v>8.3027314578353018</v>
      </c>
      <c r="N439" s="580">
        <f t="shared" si="401"/>
        <v>6.1025076215089467</v>
      </c>
      <c r="O439" s="580">
        <f t="shared" si="401"/>
        <v>6.4076330025843937</v>
      </c>
      <c r="P439" s="580">
        <f t="shared" si="401"/>
        <v>6.7280146527136147</v>
      </c>
      <c r="Q439" s="580">
        <f t="shared" si="401"/>
        <v>7.064415385349295</v>
      </c>
      <c r="R439" s="580">
        <f t="shared" si="401"/>
        <v>7.4176361546167602</v>
      </c>
      <c r="S439" s="580">
        <f t="shared" si="401"/>
        <v>7.7885179623475977</v>
      </c>
      <c r="T439" s="580">
        <f t="shared" si="401"/>
        <v>8.1779438604649783</v>
      </c>
      <c r="U439" s="580">
        <f t="shared" si="401"/>
        <v>8.5868410534882269</v>
      </c>
      <c r="V439" s="580">
        <f t="shared" si="401"/>
        <v>9.0161831061626376</v>
      </c>
      <c r="W439" s="580">
        <f t="shared" si="401"/>
        <v>9.4669922614707716</v>
      </c>
      <c r="X439" s="580">
        <f t="shared" si="401"/>
        <v>9.9403418745443091</v>
      </c>
      <c r="Y439" s="580">
        <f t="shared" si="401"/>
        <v>10.437358968271525</v>
      </c>
      <c r="Z439" s="580">
        <f t="shared" si="401"/>
        <v>10.959226916685102</v>
      </c>
      <c r="AA439" s="580"/>
      <c r="AB439" s="580"/>
      <c r="AC439" s="580"/>
      <c r="AD439" s="580"/>
      <c r="AE439" s="580"/>
      <c r="AF439" s="580"/>
      <c r="AG439" s="580"/>
      <c r="AH439" s="580"/>
      <c r="AI439" s="580"/>
      <c r="AJ439" s="580"/>
    </row>
    <row r="440" spans="1:36" x14ac:dyDescent="0.25">
      <c r="A440" t="s">
        <v>424</v>
      </c>
      <c r="E440" t="s">
        <v>172</v>
      </c>
      <c r="H440" s="574" t="s">
        <v>432</v>
      </c>
      <c r="I440" s="575" t="str">
        <f t="shared" si="396"/>
        <v>VND/phôi</v>
      </c>
      <c r="K440" s="580"/>
      <c r="L440" s="580">
        <f t="shared" ref="L440:AJ440" si="402">-IF($H$9="USD",L370/L354/$H$10*10^3,L370/L354/$H$10)</f>
        <v>43.698284444459318</v>
      </c>
      <c r="M440" s="580">
        <f t="shared" si="402"/>
        <v>31.213060317470944</v>
      </c>
      <c r="N440" s="580">
        <f t="shared" si="402"/>
        <v>22.941599333341141</v>
      </c>
      <c r="O440" s="580">
        <f t="shared" si="402"/>
        <v>24.088679300008199</v>
      </c>
      <c r="P440" s="580">
        <f t="shared" si="402"/>
        <v>25.293113265008611</v>
      </c>
      <c r="Q440" s="580">
        <f t="shared" si="402"/>
        <v>26.557768928259037</v>
      </c>
      <c r="R440" s="580">
        <f t="shared" si="402"/>
        <v>27.88565737467199</v>
      </c>
      <c r="S440" s="580">
        <f t="shared" si="402"/>
        <v>29.279940243405587</v>
      </c>
      <c r="T440" s="580">
        <f t="shared" si="402"/>
        <v>30.743937255575872</v>
      </c>
      <c r="U440" s="580">
        <f t="shared" si="402"/>
        <v>32.281134118354665</v>
      </c>
      <c r="V440" s="580">
        <f t="shared" si="402"/>
        <v>33.895190824272397</v>
      </c>
      <c r="W440" s="580">
        <f t="shared" si="402"/>
        <v>35.589950365486018</v>
      </c>
      <c r="X440" s="580">
        <f t="shared" si="402"/>
        <v>37.369447883760323</v>
      </c>
      <c r="Y440" s="580">
        <f t="shared" si="402"/>
        <v>39.237920277948334</v>
      </c>
      <c r="Z440" s="580">
        <f t="shared" si="402"/>
        <v>41.199816291845757</v>
      </c>
      <c r="AA440" s="580"/>
      <c r="AB440" s="580"/>
      <c r="AC440" s="580"/>
      <c r="AD440" s="580"/>
      <c r="AE440" s="580"/>
      <c r="AF440" s="580"/>
      <c r="AG440" s="580"/>
      <c r="AH440" s="580"/>
      <c r="AI440" s="580"/>
      <c r="AJ440" s="580"/>
    </row>
    <row r="441" spans="1:36" x14ac:dyDescent="0.25">
      <c r="A441" t="s">
        <v>424</v>
      </c>
      <c r="E441" t="s">
        <v>172</v>
      </c>
      <c r="H441" s="574" t="s">
        <v>433</v>
      </c>
      <c r="I441" s="575" t="str">
        <f t="shared" si="396"/>
        <v>VND/phôi</v>
      </c>
      <c r="K441" s="580"/>
      <c r="L441" s="580">
        <f t="shared" ref="L441:AJ441" si="403">-IF($H$9="USD",L371/L354/$H$10*10^3,L371/L354/$H$10)</f>
        <v>2.6734795294229672</v>
      </c>
      <c r="M441" s="580">
        <f t="shared" si="403"/>
        <v>1.9096282353021197</v>
      </c>
      <c r="N441" s="580">
        <f t="shared" si="403"/>
        <v>1.4035767529470577</v>
      </c>
      <c r="O441" s="580">
        <f t="shared" si="403"/>
        <v>1.4737555905944109</v>
      </c>
      <c r="P441" s="580">
        <f t="shared" si="403"/>
        <v>1.5474433701241312</v>
      </c>
      <c r="Q441" s="580">
        <f t="shared" si="403"/>
        <v>1.624815538630338</v>
      </c>
      <c r="R441" s="580">
        <f t="shared" si="403"/>
        <v>1.7060563155618549</v>
      </c>
      <c r="S441" s="580">
        <f t="shared" si="403"/>
        <v>1.7913591313399475</v>
      </c>
      <c r="T441" s="580">
        <f t="shared" si="403"/>
        <v>1.8809270879069451</v>
      </c>
      <c r="U441" s="580">
        <f t="shared" si="403"/>
        <v>1.9749734423022924</v>
      </c>
      <c r="V441" s="580">
        <f t="shared" si="403"/>
        <v>2.0737221144174067</v>
      </c>
      <c r="W441" s="580">
        <f t="shared" si="403"/>
        <v>2.1774082201382772</v>
      </c>
      <c r="X441" s="580">
        <f t="shared" si="403"/>
        <v>2.2862786311451915</v>
      </c>
      <c r="Y441" s="580">
        <f t="shared" si="403"/>
        <v>2.4005925627024505</v>
      </c>
      <c r="Z441" s="580">
        <f t="shared" si="403"/>
        <v>2.5206221908375732</v>
      </c>
      <c r="AA441" s="580"/>
      <c r="AB441" s="580"/>
      <c r="AC441" s="580"/>
      <c r="AD441" s="580"/>
      <c r="AE441" s="580"/>
      <c r="AF441" s="580"/>
      <c r="AG441" s="580"/>
      <c r="AH441" s="580"/>
      <c r="AI441" s="580"/>
      <c r="AJ441" s="580"/>
    </row>
    <row r="442" spans="1:36" x14ac:dyDescent="0.25">
      <c r="A442" t="s">
        <v>424</v>
      </c>
      <c r="E442" t="s">
        <v>172</v>
      </c>
      <c r="H442" s="574" t="s">
        <v>520</v>
      </c>
      <c r="I442" s="575" t="str">
        <f t="shared" si="396"/>
        <v>VND/phôi</v>
      </c>
      <c r="K442" s="580"/>
      <c r="L442" s="580">
        <f t="shared" ref="L442:AJ442" si="404">-IF($H$9="USD",L372/L354/$H$10*10^3,L372/L354/$H$10)</f>
        <v>2.9132189629639549</v>
      </c>
      <c r="M442" s="580">
        <f t="shared" si="404"/>
        <v>2.0808706878313963</v>
      </c>
      <c r="N442" s="580">
        <f t="shared" si="404"/>
        <v>1.4566094814819774</v>
      </c>
      <c r="O442" s="580">
        <f t="shared" si="404"/>
        <v>1.4566094814819774</v>
      </c>
      <c r="P442" s="580">
        <f t="shared" si="404"/>
        <v>1.4566094814819774</v>
      </c>
      <c r="Q442" s="580">
        <f t="shared" si="404"/>
        <v>1.4566094814819774</v>
      </c>
      <c r="R442" s="580">
        <f t="shared" si="404"/>
        <v>1.4566094814819774</v>
      </c>
      <c r="S442" s="580">
        <f t="shared" si="404"/>
        <v>1.4566094814819774</v>
      </c>
      <c r="T442" s="580">
        <f t="shared" si="404"/>
        <v>1.4566094814819774</v>
      </c>
      <c r="U442" s="580">
        <f t="shared" si="404"/>
        <v>1.4566094814819774</v>
      </c>
      <c r="V442" s="580">
        <f t="shared" si="404"/>
        <v>1.4566094814819774</v>
      </c>
      <c r="W442" s="580">
        <f t="shared" si="404"/>
        <v>1.4566094814819774</v>
      </c>
      <c r="X442" s="580">
        <f t="shared" si="404"/>
        <v>1.4566094814819774</v>
      </c>
      <c r="Y442" s="580">
        <f t="shared" si="404"/>
        <v>1.4566094814819774</v>
      </c>
      <c r="Z442" s="580">
        <f t="shared" si="404"/>
        <v>1.4566094814819774</v>
      </c>
      <c r="AA442" s="580"/>
      <c r="AB442" s="580"/>
      <c r="AC442" s="580"/>
      <c r="AD442" s="580"/>
      <c r="AE442" s="580"/>
      <c r="AF442" s="580"/>
      <c r="AG442" s="580"/>
      <c r="AH442" s="580"/>
      <c r="AI442" s="580"/>
      <c r="AJ442" s="580"/>
    </row>
    <row r="443" spans="1:36" x14ac:dyDescent="0.25">
      <c r="A443" t="s">
        <v>424</v>
      </c>
      <c r="H443" s="289"/>
      <c r="I443" s="290"/>
      <c r="K443" s="294"/>
      <c r="L443" s="294"/>
      <c r="M443" s="294"/>
      <c r="N443" s="294"/>
      <c r="O443" s="294"/>
      <c r="P443" s="294"/>
      <c r="Q443" s="294"/>
      <c r="R443" s="294"/>
      <c r="S443" s="294"/>
      <c r="T443" s="294"/>
      <c r="U443" s="294"/>
      <c r="V443" s="294"/>
      <c r="W443" s="294"/>
      <c r="X443" s="294"/>
      <c r="Y443" s="294"/>
      <c r="Z443" s="294"/>
      <c r="AA443" s="294"/>
      <c r="AB443" s="294"/>
      <c r="AC443" s="294"/>
      <c r="AD443" s="294"/>
      <c r="AE443" s="294"/>
      <c r="AF443" s="294"/>
      <c r="AG443" s="294"/>
      <c r="AH443" s="294"/>
      <c r="AI443" s="294"/>
      <c r="AJ443" s="294"/>
    </row>
    <row r="444" spans="1:36" s="1" customFormat="1" x14ac:dyDescent="0.25">
      <c r="A444" s="1" t="s">
        <v>424</v>
      </c>
      <c r="H444" s="287" t="s">
        <v>435</v>
      </c>
      <c r="I444" s="288" t="str">
        <f t="shared" ref="I444:I468" si="405">IF($H$9="USD","USD/1.000 phôi","VND/phôi")</f>
        <v>VND/phôi</v>
      </c>
      <c r="K444" s="295">
        <f>K445+K448+K451</f>
        <v>0</v>
      </c>
      <c r="L444" s="295">
        <f t="shared" ref="L444:AJ444" si="406">L445+L448+L451</f>
        <v>447.97280830234058</v>
      </c>
      <c r="M444" s="295">
        <f t="shared" si="406"/>
        <v>445.55671693894794</v>
      </c>
      <c r="N444" s="295">
        <f t="shared" si="406"/>
        <v>453.73016413996498</v>
      </c>
      <c r="O444" s="295">
        <f t="shared" si="406"/>
        <v>463.97340726260791</v>
      </c>
      <c r="P444" s="295">
        <f t="shared" si="406"/>
        <v>474.48243318654426</v>
      </c>
      <c r="Q444" s="295">
        <f t="shared" si="406"/>
        <v>485.26560346474207</v>
      </c>
      <c r="R444" s="295">
        <f t="shared" si="406"/>
        <v>496.33159917607549</v>
      </c>
      <c r="S444" s="295">
        <f t="shared" si="406"/>
        <v>507.68943493058595</v>
      </c>
      <c r="T444" s="295">
        <f t="shared" si="406"/>
        <v>519.34847353558439</v>
      </c>
      <c r="U444" s="295">
        <f t="shared" si="406"/>
        <v>531.31844135485039</v>
      </c>
      <c r="V444" s="295">
        <f t="shared" si="406"/>
        <v>543.60944439477828</v>
      </c>
      <c r="W444" s="295">
        <f t="shared" si="406"/>
        <v>556.2319851529943</v>
      </c>
      <c r="X444" s="295">
        <f t="shared" si="406"/>
        <v>566.76929779760246</v>
      </c>
      <c r="Y444" s="295">
        <f t="shared" si="406"/>
        <v>580.08809653100502</v>
      </c>
      <c r="Z444" s="295">
        <f t="shared" si="406"/>
        <v>593.77250014232709</v>
      </c>
      <c r="AA444" s="295"/>
      <c r="AB444" s="295"/>
      <c r="AC444" s="295"/>
      <c r="AD444" s="295"/>
      <c r="AE444" s="295"/>
      <c r="AF444" s="295"/>
      <c r="AG444" s="295"/>
      <c r="AH444" s="295"/>
      <c r="AI444" s="295"/>
      <c r="AJ444" s="295"/>
    </row>
    <row r="445" spans="1:36" x14ac:dyDescent="0.25">
      <c r="A445" t="s">
        <v>424</v>
      </c>
      <c r="H445" s="572" t="s">
        <v>454</v>
      </c>
      <c r="I445" s="573" t="str">
        <f t="shared" si="405"/>
        <v>VND/phôi</v>
      </c>
      <c r="K445" s="582">
        <f>SUM(K446:K447)</f>
        <v>0</v>
      </c>
      <c r="L445" s="582">
        <f t="shared" ref="L445:AJ445" si="407">SUM(L446:L447)</f>
        <v>402.58064516129031</v>
      </c>
      <c r="M445" s="582">
        <f t="shared" si="407"/>
        <v>402.58064516129042</v>
      </c>
      <c r="N445" s="582">
        <f t="shared" si="407"/>
        <v>410.63225806451618</v>
      </c>
      <c r="O445" s="582">
        <f t="shared" si="407"/>
        <v>418.84490322580649</v>
      </c>
      <c r="P445" s="582">
        <f t="shared" si="407"/>
        <v>427.22180129032256</v>
      </c>
      <c r="Q445" s="582">
        <f t="shared" si="407"/>
        <v>435.76623731612904</v>
      </c>
      <c r="R445" s="582">
        <f t="shared" si="407"/>
        <v>444.48156206245164</v>
      </c>
      <c r="S445" s="582">
        <f t="shared" si="407"/>
        <v>453.37119330370069</v>
      </c>
      <c r="T445" s="582">
        <f t="shared" si="407"/>
        <v>462.4386171697746</v>
      </c>
      <c r="U445" s="582">
        <f t="shared" si="407"/>
        <v>471.68738951317005</v>
      </c>
      <c r="V445" s="582">
        <f t="shared" si="407"/>
        <v>481.12113730343356</v>
      </c>
      <c r="W445" s="582">
        <f t="shared" si="407"/>
        <v>490.74356004950221</v>
      </c>
      <c r="X445" s="582">
        <f t="shared" si="407"/>
        <v>500.55843125049216</v>
      </c>
      <c r="Y445" s="582">
        <f t="shared" si="407"/>
        <v>510.56959987550215</v>
      </c>
      <c r="Z445" s="582">
        <f t="shared" si="407"/>
        <v>520.78099187301211</v>
      </c>
      <c r="AA445" s="582"/>
      <c r="AB445" s="582"/>
      <c r="AC445" s="582"/>
      <c r="AD445" s="582"/>
      <c r="AE445" s="582"/>
      <c r="AF445" s="582"/>
      <c r="AG445" s="582"/>
      <c r="AH445" s="582"/>
      <c r="AI445" s="582"/>
      <c r="AJ445" s="582"/>
    </row>
    <row r="446" spans="1:36" s="299" customFormat="1" x14ac:dyDescent="0.25">
      <c r="A446" s="299" t="s">
        <v>424</v>
      </c>
      <c r="E446" s="299" t="s">
        <v>536</v>
      </c>
      <c r="H446" s="576" t="s">
        <v>167</v>
      </c>
      <c r="I446" s="577" t="str">
        <f t="shared" si="405"/>
        <v>VND/phôi</v>
      </c>
      <c r="K446" s="581"/>
      <c r="L446" s="581">
        <f>-IF($H$9="USD",L376/L354/$H$10*10^3,L376/L354/$H$10)</f>
        <v>374.4</v>
      </c>
      <c r="M446" s="581">
        <f t="shared" ref="M446:AJ446" si="408">-IF($H$9="USD",M376/M354/$H$10*10^3,M376/M354/$H$10)</f>
        <v>374.40000000000003</v>
      </c>
      <c r="N446" s="581">
        <f t="shared" si="408"/>
        <v>381.88799999999998</v>
      </c>
      <c r="O446" s="581">
        <f t="shared" si="408"/>
        <v>389.52575999999999</v>
      </c>
      <c r="P446" s="581">
        <f t="shared" si="408"/>
        <v>397.31627519999995</v>
      </c>
      <c r="Q446" s="581">
        <f t="shared" si="408"/>
        <v>405.26260070400002</v>
      </c>
      <c r="R446" s="581">
        <f t="shared" si="408"/>
        <v>413.36785271808003</v>
      </c>
      <c r="S446" s="581">
        <f t="shared" si="408"/>
        <v>421.63520977244161</v>
      </c>
      <c r="T446" s="581">
        <f t="shared" si="408"/>
        <v>430.06791396789032</v>
      </c>
      <c r="U446" s="581">
        <f t="shared" si="408"/>
        <v>438.66927224724816</v>
      </c>
      <c r="V446" s="581">
        <f t="shared" si="408"/>
        <v>447.44265769219317</v>
      </c>
      <c r="W446" s="581">
        <f t="shared" si="408"/>
        <v>456.39151084603702</v>
      </c>
      <c r="X446" s="581">
        <f t="shared" si="408"/>
        <v>465.51934106295772</v>
      </c>
      <c r="Y446" s="581">
        <f t="shared" si="408"/>
        <v>474.82972788421694</v>
      </c>
      <c r="Z446" s="581">
        <f t="shared" si="408"/>
        <v>484.32632244190125</v>
      </c>
      <c r="AA446" s="581"/>
      <c r="AB446" s="581"/>
      <c r="AC446" s="581"/>
      <c r="AD446" s="581"/>
      <c r="AE446" s="581"/>
      <c r="AF446" s="581"/>
      <c r="AG446" s="581"/>
      <c r="AH446" s="581"/>
      <c r="AI446" s="581"/>
      <c r="AJ446" s="581"/>
    </row>
    <row r="447" spans="1:36" s="299" customFormat="1" x14ac:dyDescent="0.25">
      <c r="A447" s="299" t="s">
        <v>424</v>
      </c>
      <c r="E447" s="299" t="s">
        <v>537</v>
      </c>
      <c r="H447" s="645" t="s">
        <v>203</v>
      </c>
      <c r="I447" s="646" t="str">
        <f t="shared" si="405"/>
        <v>VND/phôi</v>
      </c>
      <c r="K447" s="647"/>
      <c r="L447" s="647">
        <f>-IF($H$9="USD",L377/L354/$H$10*10^3,L377/L354/$H$10)</f>
        <v>28.180645161290336</v>
      </c>
      <c r="M447" s="647">
        <f t="shared" ref="M447:AJ447" si="409">-IF($H$9="USD",M377/M354/$H$10*10^3,M377/M354/$H$10)</f>
        <v>28.180645161290371</v>
      </c>
      <c r="N447" s="647">
        <f t="shared" si="409"/>
        <v>28.744258064516178</v>
      </c>
      <c r="O447" s="647">
        <f t="shared" si="409"/>
        <v>29.319143225806506</v>
      </c>
      <c r="P447" s="647">
        <f t="shared" si="409"/>
        <v>29.905526090322624</v>
      </c>
      <c r="Q447" s="647">
        <f t="shared" si="409"/>
        <v>30.503636612129036</v>
      </c>
      <c r="R447" s="647">
        <f t="shared" si="409"/>
        <v>31.113709344371639</v>
      </c>
      <c r="S447" s="647">
        <f t="shared" si="409"/>
        <v>31.735983531259077</v>
      </c>
      <c r="T447" s="647">
        <f t="shared" si="409"/>
        <v>32.370703201884282</v>
      </c>
      <c r="U447" s="647">
        <f t="shared" si="409"/>
        <v>33.018117265921916</v>
      </c>
      <c r="V447" s="647">
        <f t="shared" si="409"/>
        <v>33.678479611240391</v>
      </c>
      <c r="W447" s="647">
        <f t="shared" si="409"/>
        <v>34.352049203465171</v>
      </c>
      <c r="X447" s="647">
        <f t="shared" si="409"/>
        <v>35.039090187534455</v>
      </c>
      <c r="Y447" s="647">
        <f t="shared" si="409"/>
        <v>35.739871991285206</v>
      </c>
      <c r="Z447" s="647">
        <f t="shared" si="409"/>
        <v>36.454669431110879</v>
      </c>
      <c r="AA447" s="647"/>
      <c r="AB447" s="647"/>
      <c r="AC447" s="647"/>
      <c r="AD447" s="647"/>
      <c r="AE447" s="647"/>
      <c r="AF447" s="647"/>
      <c r="AG447" s="647"/>
      <c r="AH447" s="647"/>
      <c r="AI447" s="647"/>
      <c r="AJ447" s="647"/>
    </row>
    <row r="448" spans="1:36" x14ac:dyDescent="0.25">
      <c r="A448" t="s">
        <v>424</v>
      </c>
      <c r="E448" t="s">
        <v>177</v>
      </c>
      <c r="H448" s="574" t="s">
        <v>676</v>
      </c>
      <c r="I448" s="575" t="str">
        <f t="shared" si="405"/>
        <v>VND/phôi</v>
      </c>
      <c r="K448" s="583">
        <f>SUM(K449:K450)</f>
        <v>0</v>
      </c>
      <c r="L448" s="583">
        <f t="shared" ref="L448:AJ448" si="410">SUM(L449:L450)</f>
        <v>3.0630387096774192</v>
      </c>
      <c r="M448" s="583">
        <f t="shared" si="410"/>
        <v>3.0630387096774196</v>
      </c>
      <c r="N448" s="583">
        <f t="shared" si="410"/>
        <v>3.2161906451612912</v>
      </c>
      <c r="O448" s="583">
        <f t="shared" si="410"/>
        <v>3.377000177419355</v>
      </c>
      <c r="P448" s="583">
        <f t="shared" si="410"/>
        <v>3.5458501862903229</v>
      </c>
      <c r="Q448" s="583">
        <f t="shared" si="410"/>
        <v>3.7231426956048392</v>
      </c>
      <c r="R448" s="583">
        <f t="shared" si="410"/>
        <v>3.9092998303850814</v>
      </c>
      <c r="S448" s="583">
        <f t="shared" si="410"/>
        <v>4.1047648219043342</v>
      </c>
      <c r="T448" s="583">
        <f t="shared" si="410"/>
        <v>4.3100030629995523</v>
      </c>
      <c r="U448" s="583">
        <f t="shared" si="410"/>
        <v>4.525503216149529</v>
      </c>
      <c r="V448" s="583">
        <f t="shared" si="410"/>
        <v>4.7517783769570059</v>
      </c>
      <c r="W448" s="583">
        <f t="shared" si="410"/>
        <v>4.9893672958048558</v>
      </c>
      <c r="X448" s="583">
        <f t="shared" si="410"/>
        <v>5.2388356605950994</v>
      </c>
      <c r="Y448" s="583">
        <f t="shared" si="410"/>
        <v>5.5007774436248544</v>
      </c>
      <c r="Z448" s="583">
        <f t="shared" si="410"/>
        <v>5.7758163158060976</v>
      </c>
      <c r="AA448" s="583"/>
      <c r="AB448" s="583"/>
      <c r="AC448" s="583"/>
      <c r="AD448" s="583"/>
      <c r="AE448" s="583"/>
      <c r="AF448" s="583"/>
      <c r="AG448" s="583"/>
      <c r="AH448" s="583"/>
      <c r="AI448" s="583"/>
      <c r="AJ448" s="583"/>
    </row>
    <row r="449" spans="1:36" s="299" customFormat="1" x14ac:dyDescent="0.25">
      <c r="A449" s="299" t="s">
        <v>424</v>
      </c>
      <c r="H449" s="576" t="s">
        <v>673</v>
      </c>
      <c r="I449" s="577" t="str">
        <f t="shared" si="405"/>
        <v>VND/phôi</v>
      </c>
      <c r="K449" s="581"/>
      <c r="L449" s="581">
        <f>-IF($H$9="USD",L379/L354/$H$10*10^3,L379/L354/$H$10)</f>
        <v>3.0630387096774192</v>
      </c>
      <c r="M449" s="581">
        <f t="shared" ref="M449:AJ449" si="411">-IF($H$9="USD",M379/M354/$H$10*10^3,M379/M354/$H$10)</f>
        <v>3.0630387096774196</v>
      </c>
      <c r="N449" s="581">
        <f t="shared" si="411"/>
        <v>3.2161906451612912</v>
      </c>
      <c r="O449" s="581">
        <f t="shared" si="411"/>
        <v>3.377000177419355</v>
      </c>
      <c r="P449" s="581">
        <f t="shared" si="411"/>
        <v>3.5458501862903229</v>
      </c>
      <c r="Q449" s="581">
        <f t="shared" si="411"/>
        <v>3.7231426956048392</v>
      </c>
      <c r="R449" s="581">
        <f t="shared" si="411"/>
        <v>3.9092998303850814</v>
      </c>
      <c r="S449" s="581">
        <f t="shared" si="411"/>
        <v>4.1047648219043342</v>
      </c>
      <c r="T449" s="581">
        <f t="shared" si="411"/>
        <v>4.3100030629995523</v>
      </c>
      <c r="U449" s="581">
        <f t="shared" si="411"/>
        <v>4.525503216149529</v>
      </c>
      <c r="V449" s="581">
        <f t="shared" si="411"/>
        <v>4.7517783769570059</v>
      </c>
      <c r="W449" s="581">
        <f t="shared" si="411"/>
        <v>4.9893672958048558</v>
      </c>
      <c r="X449" s="581">
        <f t="shared" si="411"/>
        <v>5.2388356605950994</v>
      </c>
      <c r="Y449" s="581">
        <f t="shared" si="411"/>
        <v>5.5007774436248544</v>
      </c>
      <c r="Z449" s="581">
        <f t="shared" si="411"/>
        <v>5.7758163158060976</v>
      </c>
      <c r="AA449" s="581"/>
      <c r="AB449" s="581"/>
      <c r="AC449" s="581"/>
      <c r="AD449" s="581"/>
      <c r="AE449" s="581"/>
      <c r="AF449" s="581"/>
      <c r="AG449" s="581"/>
      <c r="AH449" s="581"/>
      <c r="AI449" s="581"/>
      <c r="AJ449" s="581"/>
    </row>
    <row r="450" spans="1:36" s="299" customFormat="1" x14ac:dyDescent="0.25">
      <c r="A450" s="299" t="s">
        <v>424</v>
      </c>
      <c r="H450" s="576" t="s">
        <v>674</v>
      </c>
      <c r="I450" s="577" t="str">
        <f t="shared" si="405"/>
        <v>VND/phôi</v>
      </c>
      <c r="K450" s="581"/>
      <c r="L450" s="581">
        <f>-IF($H$9="USD",L380/L354/$H$10*10^3,L380/L354/$H$10)</f>
        <v>0</v>
      </c>
      <c r="M450" s="581">
        <f t="shared" ref="M450:AJ450" si="412">-IF($H$9="USD",M380/M354/$H$10*10^3,M380/M354/$H$10)</f>
        <v>0</v>
      </c>
      <c r="N450" s="581">
        <f t="shared" si="412"/>
        <v>0</v>
      </c>
      <c r="O450" s="581">
        <f t="shared" si="412"/>
        <v>0</v>
      </c>
      <c r="P450" s="581">
        <f t="shared" si="412"/>
        <v>0</v>
      </c>
      <c r="Q450" s="581">
        <f t="shared" si="412"/>
        <v>0</v>
      </c>
      <c r="R450" s="581">
        <f t="shared" si="412"/>
        <v>0</v>
      </c>
      <c r="S450" s="581">
        <f t="shared" si="412"/>
        <v>0</v>
      </c>
      <c r="T450" s="581">
        <f t="shared" si="412"/>
        <v>0</v>
      </c>
      <c r="U450" s="581">
        <f t="shared" si="412"/>
        <v>0</v>
      </c>
      <c r="V450" s="581">
        <f t="shared" si="412"/>
        <v>0</v>
      </c>
      <c r="W450" s="581">
        <f t="shared" si="412"/>
        <v>0</v>
      </c>
      <c r="X450" s="581">
        <f t="shared" si="412"/>
        <v>0</v>
      </c>
      <c r="Y450" s="581">
        <f t="shared" si="412"/>
        <v>0</v>
      </c>
      <c r="Z450" s="581">
        <f t="shared" si="412"/>
        <v>0</v>
      </c>
      <c r="AA450" s="581"/>
      <c r="AB450" s="581"/>
      <c r="AC450" s="581"/>
      <c r="AD450" s="581"/>
      <c r="AE450" s="581"/>
      <c r="AF450" s="581"/>
      <c r="AG450" s="581"/>
      <c r="AH450" s="581"/>
      <c r="AI450" s="581"/>
      <c r="AJ450" s="581"/>
    </row>
    <row r="451" spans="1:36" x14ac:dyDescent="0.25">
      <c r="A451" t="s">
        <v>424</v>
      </c>
      <c r="H451" s="574" t="s">
        <v>180</v>
      </c>
      <c r="I451" s="575" t="str">
        <f t="shared" si="405"/>
        <v>VND/phôi</v>
      </c>
      <c r="K451" s="583">
        <f>SUM(K452:K454)</f>
        <v>0</v>
      </c>
      <c r="L451" s="583">
        <f>SUM(L452:L454)</f>
        <v>42.329124431372861</v>
      </c>
      <c r="M451" s="583">
        <f t="shared" ref="M451:AJ451" si="413">SUM(M452:M454)</f>
        <v>39.913033067980095</v>
      </c>
      <c r="N451" s="583">
        <f t="shared" si="413"/>
        <v>39.881715430287514</v>
      </c>
      <c r="O451" s="583">
        <f t="shared" si="413"/>
        <v>41.75150385938209</v>
      </c>
      <c r="P451" s="583">
        <f t="shared" si="413"/>
        <v>43.714781709931408</v>
      </c>
      <c r="Q451" s="583">
        <f t="shared" si="413"/>
        <v>45.776223453008171</v>
      </c>
      <c r="R451" s="583">
        <f t="shared" si="413"/>
        <v>47.940737283238796</v>
      </c>
      <c r="S451" s="583">
        <f t="shared" si="413"/>
        <v>50.213476804980935</v>
      </c>
      <c r="T451" s="583">
        <f t="shared" si="413"/>
        <v>52.599853302810196</v>
      </c>
      <c r="U451" s="583">
        <f t="shared" si="413"/>
        <v>55.105548625530901</v>
      </c>
      <c r="V451" s="583">
        <f t="shared" si="413"/>
        <v>57.736528714387653</v>
      </c>
      <c r="W451" s="583">
        <f t="shared" si="413"/>
        <v>60.499057807687244</v>
      </c>
      <c r="X451" s="583">
        <f t="shared" si="413"/>
        <v>60.972030886515178</v>
      </c>
      <c r="Y451" s="583">
        <f t="shared" si="413"/>
        <v>64.01771921187796</v>
      </c>
      <c r="Z451" s="583">
        <f t="shared" si="413"/>
        <v>67.215691953508923</v>
      </c>
      <c r="AA451" s="583"/>
      <c r="AB451" s="583"/>
      <c r="AC451" s="583"/>
      <c r="AD451" s="583"/>
      <c r="AE451" s="583"/>
      <c r="AF451" s="583"/>
      <c r="AG451" s="583"/>
      <c r="AH451" s="583"/>
      <c r="AI451" s="583"/>
      <c r="AJ451" s="583"/>
    </row>
    <row r="452" spans="1:36" s="299" customFormat="1" x14ac:dyDescent="0.25">
      <c r="A452" s="299" t="s">
        <v>424</v>
      </c>
      <c r="E452" s="299" t="s">
        <v>174</v>
      </c>
      <c r="H452" s="576" t="s">
        <v>73</v>
      </c>
      <c r="I452" s="577" t="str">
        <f t="shared" si="405"/>
        <v>VND/phôi</v>
      </c>
      <c r="K452" s="581"/>
      <c r="L452" s="581">
        <f t="shared" ref="L452:AJ452" si="414">-IF($H$9="USD",L382/L354/$H$10*10^3,L382/L354/$H$10)</f>
        <v>27.847782258064516</v>
      </c>
      <c r="M452" s="581">
        <f t="shared" si="414"/>
        <v>27.847782258064512</v>
      </c>
      <c r="N452" s="581">
        <f t="shared" si="414"/>
        <v>29.24017137096774</v>
      </c>
      <c r="O452" s="581">
        <f t="shared" si="414"/>
        <v>30.702179939516128</v>
      </c>
      <c r="P452" s="581">
        <f t="shared" si="414"/>
        <v>32.237288936491936</v>
      </c>
      <c r="Q452" s="581">
        <f t="shared" si="414"/>
        <v>33.849153383316526</v>
      </c>
      <c r="R452" s="581">
        <f t="shared" si="414"/>
        <v>35.541611052482359</v>
      </c>
      <c r="S452" s="581">
        <f t="shared" si="414"/>
        <v>37.318691605106473</v>
      </c>
      <c r="T452" s="581">
        <f t="shared" si="414"/>
        <v>39.1846261853618</v>
      </c>
      <c r="U452" s="581">
        <f t="shared" si="414"/>
        <v>41.143857494629891</v>
      </c>
      <c r="V452" s="581">
        <f t="shared" si="414"/>
        <v>43.201050369361383</v>
      </c>
      <c r="W452" s="581">
        <f t="shared" si="414"/>
        <v>45.36110288782946</v>
      </c>
      <c r="X452" s="581">
        <f t="shared" si="414"/>
        <v>47.629158032220928</v>
      </c>
      <c r="Y452" s="581">
        <f t="shared" si="414"/>
        <v>50.010615933831971</v>
      </c>
      <c r="Z452" s="581">
        <f t="shared" si="414"/>
        <v>52.511146730523578</v>
      </c>
      <c r="AA452" s="581"/>
      <c r="AB452" s="581"/>
      <c r="AC452" s="581"/>
      <c r="AD452" s="581"/>
      <c r="AE452" s="581"/>
      <c r="AF452" s="581"/>
      <c r="AG452" s="581"/>
      <c r="AH452" s="581"/>
      <c r="AI452" s="581"/>
      <c r="AJ452" s="581"/>
    </row>
    <row r="453" spans="1:36" s="299" customFormat="1" x14ac:dyDescent="0.25">
      <c r="A453" s="299" t="s">
        <v>424</v>
      </c>
      <c r="E453" s="299" t="s">
        <v>306</v>
      </c>
      <c r="H453" s="576" t="s">
        <v>192</v>
      </c>
      <c r="I453" s="577" t="str">
        <f t="shared" si="405"/>
        <v>VND/phôi</v>
      </c>
      <c r="K453" s="581"/>
      <c r="L453" s="581">
        <f t="shared" ref="L453:AJ453" si="415">-IF($H$9="USD",L383/L354/$H$10*10^3,L383/L354/$H$10)</f>
        <v>4.7222222222222214</v>
      </c>
      <c r="M453" s="581">
        <f t="shared" si="415"/>
        <v>4.7222222222222214</v>
      </c>
      <c r="N453" s="581">
        <f t="shared" si="415"/>
        <v>4.958333333333333</v>
      </c>
      <c r="O453" s="581">
        <f t="shared" si="415"/>
        <v>5.2062499999999998</v>
      </c>
      <c r="P453" s="581">
        <f t="shared" si="415"/>
        <v>5.4665624999999993</v>
      </c>
      <c r="Q453" s="581">
        <f t="shared" si="415"/>
        <v>5.7398906249999992</v>
      </c>
      <c r="R453" s="581">
        <f t="shared" si="415"/>
        <v>6.0268851562500005</v>
      </c>
      <c r="S453" s="581">
        <f t="shared" si="415"/>
        <v>6.3282294140624984</v>
      </c>
      <c r="T453" s="581">
        <f t="shared" si="415"/>
        <v>6.6446408847656251</v>
      </c>
      <c r="U453" s="581">
        <f t="shared" si="415"/>
        <v>6.976872929003906</v>
      </c>
      <c r="V453" s="581">
        <f t="shared" si="415"/>
        <v>7.3257165754541012</v>
      </c>
      <c r="W453" s="581">
        <f t="shared" si="415"/>
        <v>7.6920024042268071</v>
      </c>
      <c r="X453" s="581">
        <f t="shared" si="415"/>
        <v>8.0766025244381474</v>
      </c>
      <c r="Y453" s="581">
        <f t="shared" si="415"/>
        <v>8.4804326506600525</v>
      </c>
      <c r="Z453" s="581">
        <f t="shared" si="415"/>
        <v>8.9044542831930595</v>
      </c>
      <c r="AA453" s="581"/>
      <c r="AB453" s="581"/>
      <c r="AC453" s="581"/>
      <c r="AD453" s="581"/>
      <c r="AE453" s="581"/>
      <c r="AF453" s="581"/>
      <c r="AG453" s="581"/>
      <c r="AH453" s="581"/>
      <c r="AI453" s="581"/>
      <c r="AJ453" s="581"/>
    </row>
    <row r="454" spans="1:36" s="299" customFormat="1" x14ac:dyDescent="0.25">
      <c r="A454" s="299" t="s">
        <v>424</v>
      </c>
      <c r="E454" s="299" t="s">
        <v>172</v>
      </c>
      <c r="H454" s="576" t="s">
        <v>175</v>
      </c>
      <c r="I454" s="577" t="str">
        <f t="shared" si="405"/>
        <v>VND/phôi</v>
      </c>
      <c r="K454" s="581"/>
      <c r="L454" s="581">
        <f t="shared" ref="L454:AJ454" si="416">-IF($H$9="USD",L384/L354/$H$10*10^3,L384/L354/$H$10)</f>
        <v>9.7591199510861202</v>
      </c>
      <c r="M454" s="581">
        <f t="shared" si="416"/>
        <v>7.3430285876933645</v>
      </c>
      <c r="N454" s="581">
        <f t="shared" si="416"/>
        <v>5.6832107259864406</v>
      </c>
      <c r="O454" s="581">
        <f t="shared" si="416"/>
        <v>5.8430739198659678</v>
      </c>
      <c r="P454" s="581">
        <f t="shared" si="416"/>
        <v>6.0109302734394703</v>
      </c>
      <c r="Q454" s="581">
        <f t="shared" si="416"/>
        <v>6.1871794446916475</v>
      </c>
      <c r="R454" s="581">
        <f t="shared" si="416"/>
        <v>6.3722410745064346</v>
      </c>
      <c r="S454" s="581">
        <f t="shared" si="416"/>
        <v>6.5665557858119614</v>
      </c>
      <c r="T454" s="581">
        <f t="shared" si="416"/>
        <v>6.7705862326827644</v>
      </c>
      <c r="U454" s="581">
        <f t="shared" si="416"/>
        <v>6.9848182018971068</v>
      </c>
      <c r="V454" s="581">
        <f t="shared" si="416"/>
        <v>7.2097617695721654</v>
      </c>
      <c r="W454" s="581">
        <f t="shared" si="416"/>
        <v>7.4459525156309789</v>
      </c>
      <c r="X454" s="581">
        <f t="shared" si="416"/>
        <v>5.2662703298561038</v>
      </c>
      <c r="Y454" s="581">
        <f t="shared" si="416"/>
        <v>5.5266706273859452</v>
      </c>
      <c r="Z454" s="581">
        <f t="shared" si="416"/>
        <v>5.8000909397922804</v>
      </c>
      <c r="AA454" s="581"/>
      <c r="AB454" s="581"/>
      <c r="AC454" s="581"/>
      <c r="AD454" s="581"/>
      <c r="AE454" s="581"/>
      <c r="AF454" s="581"/>
      <c r="AG454" s="581"/>
      <c r="AH454" s="581"/>
      <c r="AI454" s="581"/>
      <c r="AJ454" s="581"/>
    </row>
    <row r="455" spans="1:36" x14ac:dyDescent="0.25">
      <c r="A455" t="s">
        <v>424</v>
      </c>
      <c r="H455" s="289"/>
      <c r="I455" s="290"/>
      <c r="K455" s="296"/>
      <c r="L455" s="297"/>
      <c r="M455" s="296"/>
      <c r="N455" s="296"/>
      <c r="O455" s="296"/>
      <c r="P455" s="296"/>
      <c r="Q455" s="296"/>
      <c r="R455" s="296"/>
      <c r="S455" s="296"/>
      <c r="T455" s="296"/>
      <c r="U455" s="296"/>
      <c r="V455" s="296"/>
      <c r="W455" s="296"/>
      <c r="X455" s="296"/>
      <c r="Y455" s="296"/>
      <c r="Z455" s="296"/>
      <c r="AA455" s="296"/>
      <c r="AB455" s="296"/>
      <c r="AC455" s="296"/>
      <c r="AD455" s="296"/>
      <c r="AE455" s="296"/>
      <c r="AF455" s="296"/>
      <c r="AG455" s="296"/>
      <c r="AH455" s="296"/>
      <c r="AI455" s="296"/>
      <c r="AJ455" s="296"/>
    </row>
    <row r="456" spans="1:36" s="16" customFormat="1" x14ac:dyDescent="0.25">
      <c r="A456" s="16" t="s">
        <v>424</v>
      </c>
      <c r="H456" s="291" t="s">
        <v>464</v>
      </c>
      <c r="I456" s="292" t="str">
        <f t="shared" si="405"/>
        <v>VND/phôi</v>
      </c>
      <c r="K456" s="298">
        <f>K434+K444</f>
        <v>0</v>
      </c>
      <c r="L456" s="298">
        <f t="shared" ref="L456:AJ456" si="417">L434+L444</f>
        <v>659.38080259920685</v>
      </c>
      <c r="M456" s="298">
        <f t="shared" si="417"/>
        <v>596.56242715099529</v>
      </c>
      <c r="N456" s="298">
        <f t="shared" si="417"/>
        <v>561.61192758532491</v>
      </c>
      <c r="O456" s="298">
        <f t="shared" si="417"/>
        <v>574.14182531974097</v>
      </c>
      <c r="P456" s="298">
        <f t="shared" si="417"/>
        <v>587.05183858603903</v>
      </c>
      <c r="Q456" s="298">
        <f t="shared" si="417"/>
        <v>600.35604557371676</v>
      </c>
      <c r="R456" s="298">
        <f t="shared" si="417"/>
        <v>614.06912983000393</v>
      </c>
      <c r="S456" s="298">
        <f t="shared" si="417"/>
        <v>628.20640855671604</v>
      </c>
      <c r="T456" s="298">
        <f t="shared" si="417"/>
        <v>642.783862282526</v>
      </c>
      <c r="U456" s="298">
        <f t="shared" si="417"/>
        <v>657.81816597864429</v>
      </c>
      <c r="V456" s="298">
        <f t="shared" si="417"/>
        <v>673.32672168926695</v>
      </c>
      <c r="W456" s="298">
        <f t="shared" si="417"/>
        <v>689.32769275171256</v>
      </c>
      <c r="X456" s="298">
        <f t="shared" si="417"/>
        <v>642.72029548734599</v>
      </c>
      <c r="Y456" s="298">
        <f t="shared" si="417"/>
        <v>659.76381363116161</v>
      </c>
      <c r="Z456" s="298">
        <f t="shared" si="417"/>
        <v>677.35917262341741</v>
      </c>
      <c r="AA456" s="298"/>
      <c r="AB456" s="298"/>
      <c r="AC456" s="298"/>
      <c r="AD456" s="298"/>
      <c r="AE456" s="298"/>
      <c r="AF456" s="298"/>
      <c r="AG456" s="298"/>
      <c r="AH456" s="298"/>
      <c r="AI456" s="298"/>
      <c r="AJ456" s="298"/>
    </row>
    <row r="457" spans="1:36" x14ac:dyDescent="0.25">
      <c r="A457" t="s">
        <v>424</v>
      </c>
      <c r="H457" s="289"/>
      <c r="I457" s="290"/>
      <c r="K457" s="296"/>
      <c r="L457" s="296"/>
      <c r="M457" s="296"/>
      <c r="N457" s="296"/>
      <c r="O457" s="296"/>
      <c r="P457" s="296"/>
      <c r="Q457" s="296"/>
      <c r="R457" s="296"/>
      <c r="S457" s="296"/>
      <c r="T457" s="296"/>
      <c r="U457" s="296"/>
      <c r="V457" s="296"/>
      <c r="W457" s="296"/>
      <c r="X457" s="296"/>
      <c r="Y457" s="296"/>
      <c r="Z457" s="296"/>
      <c r="AA457" s="296"/>
      <c r="AB457" s="296"/>
      <c r="AC457" s="296"/>
      <c r="AD457" s="296"/>
      <c r="AE457" s="296"/>
      <c r="AF457" s="296"/>
      <c r="AG457" s="296"/>
      <c r="AH457" s="296"/>
      <c r="AI457" s="296"/>
      <c r="AJ457" s="296"/>
    </row>
    <row r="458" spans="1:36" x14ac:dyDescent="0.25">
      <c r="A458" t="s">
        <v>424</v>
      </c>
      <c r="E458" t="s">
        <v>172</v>
      </c>
      <c r="H458" s="593" t="s">
        <v>166</v>
      </c>
      <c r="I458" s="594" t="str">
        <f t="shared" si="405"/>
        <v>VND/phôi</v>
      </c>
      <c r="K458" s="604"/>
      <c r="L458" s="604">
        <f>-IF($H$9="USD",L388/L354/$H$10*10^3,L388/L354/$H$10)</f>
        <v>13.333333333333334</v>
      </c>
      <c r="M458" s="604">
        <f t="shared" ref="M458:AJ458" si="418">-IF($H$9="USD",M388/M354/$H$10*10^3,M388/M354/$H$10)</f>
        <v>13.333333333333332</v>
      </c>
      <c r="N458" s="604">
        <f t="shared" si="418"/>
        <v>13.999999999999998</v>
      </c>
      <c r="O458" s="604">
        <f t="shared" si="418"/>
        <v>14.700000000000001</v>
      </c>
      <c r="P458" s="604">
        <f t="shared" si="418"/>
        <v>15.435</v>
      </c>
      <c r="Q458" s="604">
        <f t="shared" si="418"/>
        <v>16.20675</v>
      </c>
      <c r="R458" s="604">
        <f t="shared" si="418"/>
        <v>17.017087500000002</v>
      </c>
      <c r="S458" s="604">
        <f t="shared" si="418"/>
        <v>17.867941875</v>
      </c>
      <c r="T458" s="604">
        <f t="shared" si="418"/>
        <v>18.761338968750003</v>
      </c>
      <c r="U458" s="604">
        <f t="shared" si="418"/>
        <v>19.699405917187502</v>
      </c>
      <c r="V458" s="604">
        <f t="shared" si="418"/>
        <v>20.684376213046878</v>
      </c>
      <c r="W458" s="604">
        <f t="shared" si="418"/>
        <v>21.718595023699219</v>
      </c>
      <c r="X458" s="604">
        <f t="shared" si="418"/>
        <v>22.804524774884179</v>
      </c>
      <c r="Y458" s="604">
        <f t="shared" si="418"/>
        <v>23.944751013628391</v>
      </c>
      <c r="Z458" s="604">
        <f t="shared" si="418"/>
        <v>25.141988564309816</v>
      </c>
      <c r="AA458" s="604"/>
      <c r="AB458" s="604"/>
      <c r="AC458" s="604"/>
      <c r="AD458" s="604"/>
      <c r="AE458" s="604"/>
      <c r="AF458" s="604"/>
      <c r="AG458" s="604"/>
      <c r="AH458" s="604"/>
      <c r="AI458" s="604"/>
      <c r="AJ458" s="604"/>
    </row>
    <row r="459" spans="1:36" x14ac:dyDescent="0.25">
      <c r="A459" t="s">
        <v>424</v>
      </c>
      <c r="E459" t="s">
        <v>171</v>
      </c>
      <c r="H459" s="574" t="s">
        <v>469</v>
      </c>
      <c r="I459" s="575" t="str">
        <f t="shared" si="405"/>
        <v>VND/phôi</v>
      </c>
      <c r="K459" s="584"/>
      <c r="L459" s="584">
        <f t="shared" ref="L459:AJ459" si="419">-IF($H$9="USD",L389/L354/$H$10*10^3,L389/L354/$H$10)</f>
        <v>0</v>
      </c>
      <c r="M459" s="584">
        <f t="shared" si="419"/>
        <v>0</v>
      </c>
      <c r="N459" s="584">
        <f t="shared" si="419"/>
        <v>0</v>
      </c>
      <c r="O459" s="584">
        <f t="shared" si="419"/>
        <v>0</v>
      </c>
      <c r="P459" s="584">
        <f t="shared" si="419"/>
        <v>0</v>
      </c>
      <c r="Q459" s="584">
        <f t="shared" si="419"/>
        <v>0</v>
      </c>
      <c r="R459" s="584">
        <f t="shared" si="419"/>
        <v>0</v>
      </c>
      <c r="S459" s="584">
        <f t="shared" si="419"/>
        <v>0</v>
      </c>
      <c r="T459" s="584">
        <f t="shared" si="419"/>
        <v>0</v>
      </c>
      <c r="U459" s="584">
        <f t="shared" si="419"/>
        <v>0</v>
      </c>
      <c r="V459" s="584">
        <f t="shared" si="419"/>
        <v>0</v>
      </c>
      <c r="W459" s="584">
        <f t="shared" si="419"/>
        <v>0</v>
      </c>
      <c r="X459" s="584">
        <f t="shared" si="419"/>
        <v>0</v>
      </c>
      <c r="Y459" s="584">
        <f t="shared" si="419"/>
        <v>0</v>
      </c>
      <c r="Z459" s="584">
        <f t="shared" si="419"/>
        <v>0</v>
      </c>
      <c r="AA459" s="584"/>
      <c r="AB459" s="584"/>
      <c r="AC459" s="584"/>
      <c r="AD459" s="584"/>
      <c r="AE459" s="584"/>
      <c r="AF459" s="584"/>
      <c r="AG459" s="584"/>
      <c r="AH459" s="584"/>
      <c r="AI459" s="584"/>
      <c r="AJ459" s="584"/>
    </row>
    <row r="460" spans="1:36" x14ac:dyDescent="0.25">
      <c r="A460" t="s">
        <v>424</v>
      </c>
      <c r="E460" t="s">
        <v>182</v>
      </c>
      <c r="H460" s="574" t="s">
        <v>468</v>
      </c>
      <c r="I460" s="575" t="str">
        <f t="shared" si="405"/>
        <v>VND/phôi</v>
      </c>
      <c r="K460" s="574"/>
      <c r="L460" s="584">
        <f t="shared" ref="L460:AJ460" si="420">-IF($H$9="USD",L390/L354/$H$10*10^3,L390/L354/$H$10)</f>
        <v>0</v>
      </c>
      <c r="M460" s="584">
        <f t="shared" si="420"/>
        <v>0</v>
      </c>
      <c r="N460" s="584">
        <f t="shared" si="420"/>
        <v>0</v>
      </c>
      <c r="O460" s="584">
        <f t="shared" si="420"/>
        <v>0</v>
      </c>
      <c r="P460" s="584">
        <f t="shared" si="420"/>
        <v>0</v>
      </c>
      <c r="Q460" s="584">
        <f t="shared" si="420"/>
        <v>0</v>
      </c>
      <c r="R460" s="584">
        <f t="shared" si="420"/>
        <v>0</v>
      </c>
      <c r="S460" s="584">
        <f t="shared" si="420"/>
        <v>0</v>
      </c>
      <c r="T460" s="584">
        <f t="shared" si="420"/>
        <v>0</v>
      </c>
      <c r="U460" s="584">
        <f t="shared" si="420"/>
        <v>0</v>
      </c>
      <c r="V460" s="584">
        <f t="shared" si="420"/>
        <v>0</v>
      </c>
      <c r="W460" s="584">
        <f t="shared" si="420"/>
        <v>0</v>
      </c>
      <c r="X460" s="584">
        <f t="shared" si="420"/>
        <v>0</v>
      </c>
      <c r="Y460" s="584">
        <f t="shared" si="420"/>
        <v>0</v>
      </c>
      <c r="Z460" s="584">
        <f t="shared" si="420"/>
        <v>0</v>
      </c>
      <c r="AA460" s="584"/>
      <c r="AB460" s="584"/>
      <c r="AC460" s="584"/>
      <c r="AD460" s="584"/>
      <c r="AE460" s="584"/>
      <c r="AF460" s="584"/>
      <c r="AG460" s="584"/>
      <c r="AH460" s="584"/>
      <c r="AI460" s="584"/>
      <c r="AJ460" s="584"/>
    </row>
    <row r="461" spans="1:36" x14ac:dyDescent="0.25">
      <c r="A461" t="s">
        <v>424</v>
      </c>
      <c r="E461" t="s">
        <v>182</v>
      </c>
      <c r="H461" s="574" t="s">
        <v>470</v>
      </c>
      <c r="I461" s="575" t="str">
        <f t="shared" si="405"/>
        <v>VND/phôi</v>
      </c>
      <c r="K461" s="574"/>
      <c r="L461" s="584">
        <f>-IF($H$9="USD",L391/L354/$H$10*10^3,L391/L354/$H$10)</f>
        <v>71.373864592616897</v>
      </c>
      <c r="M461" s="584">
        <f t="shared" ref="M461:AJ461" si="421">-IF($H$9="USD",M391/M354/$H$10*10^3,M391/M354/$H$10)</f>
        <v>48.952548884066616</v>
      </c>
      <c r="N461" s="584">
        <f t="shared" si="421"/>
        <v>32.74722577596247</v>
      </c>
      <c r="O461" s="584">
        <f t="shared" si="421"/>
        <v>31.121298242076431</v>
      </c>
      <c r="P461" s="584">
        <f t="shared" si="421"/>
        <v>29.381555780818363</v>
      </c>
      <c r="Q461" s="584">
        <f t="shared" si="421"/>
        <v>27.520031347272241</v>
      </c>
      <c r="R461" s="584">
        <f t="shared" si="421"/>
        <v>25.528200203377882</v>
      </c>
      <c r="S461" s="584">
        <f t="shared" si="421"/>
        <v>23.396940879410916</v>
      </c>
      <c r="T461" s="584">
        <f t="shared" si="421"/>
        <v>21.116493402766267</v>
      </c>
      <c r="U461" s="584">
        <f t="shared" si="421"/>
        <v>18.676414602756491</v>
      </c>
      <c r="V461" s="584">
        <f t="shared" si="421"/>
        <v>16.065530286746032</v>
      </c>
      <c r="W461" s="584">
        <f t="shared" si="421"/>
        <v>13.271884068614838</v>
      </c>
      <c r="X461" s="584">
        <f t="shared" si="421"/>
        <v>10.282682615214464</v>
      </c>
      <c r="Y461" s="584">
        <f t="shared" si="421"/>
        <v>7.0842370600760587</v>
      </c>
      <c r="Z461" s="584">
        <f t="shared" si="421"/>
        <v>3.6619003160779675</v>
      </c>
      <c r="AA461" s="584"/>
      <c r="AB461" s="584"/>
      <c r="AC461" s="584"/>
      <c r="AD461" s="584"/>
      <c r="AE461" s="584"/>
      <c r="AF461" s="584"/>
      <c r="AG461" s="584"/>
      <c r="AH461" s="584"/>
      <c r="AI461" s="584"/>
      <c r="AJ461" s="584"/>
    </row>
    <row r="462" spans="1:36" x14ac:dyDescent="0.25">
      <c r="A462" t="s">
        <v>424</v>
      </c>
      <c r="H462" s="289"/>
      <c r="I462" s="290"/>
      <c r="K462" s="289"/>
      <c r="L462" s="289"/>
      <c r="M462" s="289"/>
      <c r="N462" s="289"/>
      <c r="O462" s="289"/>
      <c r="P462" s="289"/>
      <c r="Q462" s="289"/>
      <c r="R462" s="289"/>
      <c r="S462" s="289"/>
      <c r="T462" s="289"/>
      <c r="U462" s="289"/>
      <c r="V462" s="289"/>
      <c r="W462" s="289"/>
      <c r="X462" s="289"/>
      <c r="Y462" s="289"/>
      <c r="Z462" s="289"/>
      <c r="AA462" s="289"/>
      <c r="AB462" s="289"/>
      <c r="AC462" s="289"/>
      <c r="AD462" s="289"/>
      <c r="AE462" s="289"/>
      <c r="AF462" s="289"/>
      <c r="AG462" s="289"/>
      <c r="AH462" s="289"/>
      <c r="AI462" s="289"/>
      <c r="AJ462" s="289"/>
    </row>
    <row r="463" spans="1:36" s="16" customFormat="1" x14ac:dyDescent="0.25">
      <c r="A463" s="16" t="s">
        <v>424</v>
      </c>
      <c r="H463" s="291" t="s">
        <v>487</v>
      </c>
      <c r="I463" s="292" t="str">
        <f t="shared" si="405"/>
        <v>VND/phôi</v>
      </c>
      <c r="K463" s="298">
        <f>K456+SUM(K458:K461)</f>
        <v>0</v>
      </c>
      <c r="L463" s="298">
        <f t="shared" ref="L463:AJ463" si="422">L456+SUM(L458:L461)</f>
        <v>744.0880005251571</v>
      </c>
      <c r="M463" s="298">
        <f t="shared" si="422"/>
        <v>658.84830936839523</v>
      </c>
      <c r="N463" s="298">
        <f t="shared" si="422"/>
        <v>608.35915336128733</v>
      </c>
      <c r="O463" s="298">
        <f t="shared" si="422"/>
        <v>619.96312356181738</v>
      </c>
      <c r="P463" s="298">
        <f t="shared" si="422"/>
        <v>631.86839436685739</v>
      </c>
      <c r="Q463" s="298">
        <f t="shared" si="422"/>
        <v>644.08282692098896</v>
      </c>
      <c r="R463" s="298">
        <f t="shared" si="422"/>
        <v>656.61441753338181</v>
      </c>
      <c r="S463" s="298">
        <f t="shared" si="422"/>
        <v>669.47129131112695</v>
      </c>
      <c r="T463" s="298">
        <f t="shared" si="422"/>
        <v>682.66169465404232</v>
      </c>
      <c r="U463" s="298">
        <f t="shared" si="422"/>
        <v>696.19398649858829</v>
      </c>
      <c r="V463" s="298">
        <f t="shared" si="422"/>
        <v>710.07662818905987</v>
      </c>
      <c r="W463" s="298">
        <f t="shared" si="422"/>
        <v>724.31817184402666</v>
      </c>
      <c r="X463" s="298">
        <f t="shared" si="422"/>
        <v>675.80750287744468</v>
      </c>
      <c r="Y463" s="298">
        <f t="shared" si="422"/>
        <v>690.79280170486606</v>
      </c>
      <c r="Z463" s="298">
        <f t="shared" si="422"/>
        <v>706.16306150380524</v>
      </c>
      <c r="AA463" s="298"/>
      <c r="AB463" s="298"/>
      <c r="AC463" s="298"/>
      <c r="AD463" s="298"/>
      <c r="AE463" s="298"/>
      <c r="AF463" s="298"/>
      <c r="AG463" s="298"/>
      <c r="AH463" s="298"/>
      <c r="AI463" s="298"/>
      <c r="AJ463" s="298"/>
    </row>
    <row r="464" spans="1:36" x14ac:dyDescent="0.25">
      <c r="A464" t="s">
        <v>424</v>
      </c>
    </row>
    <row r="465" spans="1:36" x14ac:dyDescent="0.25">
      <c r="A465" t="s">
        <v>424</v>
      </c>
      <c r="H465" s="593" t="s">
        <v>361</v>
      </c>
      <c r="I465" s="594" t="str">
        <f t="shared" si="405"/>
        <v>VND/phôi</v>
      </c>
      <c r="K465" s="593"/>
      <c r="L465" s="599">
        <f>INDEX('Cover Page'!$H$12:$AJ$12,MATCH($A465,'Cover Page'!$H$5:$AJ$5,0))</f>
        <v>6.6666666666666666E-2</v>
      </c>
      <c r="M465" s="599">
        <f>INDEX('Cover Page'!$H$12:$AJ$12,MATCH($A465,'Cover Page'!$H$5:$AJ$5,0))</f>
        <v>6.6666666666666666E-2</v>
      </c>
      <c r="N465" s="599">
        <f>INDEX('Cover Page'!$H$12:$AJ$12,MATCH($A465,'Cover Page'!$H$5:$AJ$5,0))</f>
        <v>6.6666666666666666E-2</v>
      </c>
      <c r="O465" s="599">
        <f>INDEX('Cover Page'!$H$12:$AJ$12,MATCH($A465,'Cover Page'!$H$5:$AJ$5,0))</f>
        <v>6.6666666666666666E-2</v>
      </c>
      <c r="P465" s="599">
        <f>INDEX('Cover Page'!$H$12:$AJ$12,MATCH($A465,'Cover Page'!$H$5:$AJ$5,0))</f>
        <v>6.6666666666666666E-2</v>
      </c>
      <c r="Q465" s="599">
        <f>INDEX('Cover Page'!$H$12:$AJ$12,MATCH($A465,'Cover Page'!$H$5:$AJ$5,0))</f>
        <v>6.6666666666666666E-2</v>
      </c>
      <c r="R465" s="599">
        <f>INDEX('Cover Page'!$H$12:$AJ$12,MATCH($A465,'Cover Page'!$H$5:$AJ$5,0))</f>
        <v>6.6666666666666666E-2</v>
      </c>
      <c r="S465" s="599">
        <f>INDEX('Cover Page'!$H$12:$AJ$12,MATCH($A465,'Cover Page'!$H$5:$AJ$5,0))</f>
        <v>6.6666666666666666E-2</v>
      </c>
      <c r="T465" s="599">
        <f>INDEX('Cover Page'!$H$12:$AJ$12,MATCH($A465,'Cover Page'!$H$5:$AJ$5,0))</f>
        <v>6.6666666666666666E-2</v>
      </c>
      <c r="U465" s="599">
        <f>INDEX('Cover Page'!$H$12:$AJ$12,MATCH($A465,'Cover Page'!$H$5:$AJ$5,0))</f>
        <v>6.6666666666666666E-2</v>
      </c>
      <c r="V465" s="599">
        <f>INDEX('Cover Page'!$H$12:$AJ$12,MATCH($A465,'Cover Page'!$H$5:$AJ$5,0))</f>
        <v>6.6666666666666666E-2</v>
      </c>
      <c r="W465" s="599">
        <f>INDEX('Cover Page'!$H$12:$AJ$12,MATCH($A465,'Cover Page'!$H$5:$AJ$5,0))</f>
        <v>6.6666666666666666E-2</v>
      </c>
      <c r="X465" s="599">
        <f>INDEX('Cover Page'!$H$12:$AJ$12,MATCH($A465,'Cover Page'!$H$5:$AJ$5,0))</f>
        <v>6.6666666666666666E-2</v>
      </c>
      <c r="Y465" s="599">
        <f>INDEX('Cover Page'!$H$12:$AJ$12,MATCH($A465,'Cover Page'!$H$5:$AJ$5,0))</f>
        <v>6.6666666666666666E-2</v>
      </c>
      <c r="Z465" s="599">
        <f>INDEX('Cover Page'!$H$12:$AJ$12,MATCH($A465,'Cover Page'!$H$5:$AJ$5,0))</f>
        <v>6.6666666666666666E-2</v>
      </c>
      <c r="AA465" s="599"/>
      <c r="AB465" s="599"/>
      <c r="AC465" s="599"/>
      <c r="AD465" s="599"/>
      <c r="AE465" s="599"/>
      <c r="AF465" s="599"/>
      <c r="AG465" s="599"/>
      <c r="AH465" s="599"/>
      <c r="AI465" s="599"/>
      <c r="AJ465" s="599"/>
    </row>
    <row r="466" spans="1:36" s="1" customFormat="1" x14ac:dyDescent="0.25">
      <c r="A466" s="1" t="s">
        <v>424</v>
      </c>
      <c r="H466" s="595" t="s">
        <v>490</v>
      </c>
      <c r="I466" s="596" t="str">
        <f t="shared" si="405"/>
        <v>VND/phôi</v>
      </c>
      <c r="K466" s="595"/>
      <c r="L466" s="600">
        <f>L463*(1+L465)</f>
        <v>793.69386722683419</v>
      </c>
      <c r="M466" s="600">
        <f t="shared" ref="M466:AJ466" si="423">M463*(1+M465)</f>
        <v>702.77152999295492</v>
      </c>
      <c r="N466" s="600">
        <f t="shared" si="423"/>
        <v>648.91643025203985</v>
      </c>
      <c r="O466" s="600">
        <f t="shared" si="423"/>
        <v>661.29399846593856</v>
      </c>
      <c r="P466" s="600">
        <f t="shared" si="423"/>
        <v>673.99295399131449</v>
      </c>
      <c r="Q466" s="600">
        <f t="shared" si="423"/>
        <v>687.0216820490549</v>
      </c>
      <c r="R466" s="600">
        <f t="shared" si="423"/>
        <v>700.38871203560723</v>
      </c>
      <c r="S466" s="600">
        <f t="shared" si="423"/>
        <v>714.10271073186868</v>
      </c>
      <c r="T466" s="600">
        <f t="shared" si="423"/>
        <v>728.17247429764518</v>
      </c>
      <c r="U466" s="600">
        <f t="shared" si="423"/>
        <v>742.60691893182752</v>
      </c>
      <c r="V466" s="600">
        <f t="shared" si="423"/>
        <v>757.41507006833058</v>
      </c>
      <c r="W466" s="600">
        <f t="shared" si="423"/>
        <v>772.60604996696179</v>
      </c>
      <c r="X466" s="600">
        <f t="shared" si="423"/>
        <v>720.86133640260766</v>
      </c>
      <c r="Y466" s="600">
        <f t="shared" si="423"/>
        <v>736.84565515185716</v>
      </c>
      <c r="Z466" s="600">
        <f t="shared" si="423"/>
        <v>753.24059893739229</v>
      </c>
      <c r="AA466" s="600"/>
      <c r="AB466" s="600"/>
      <c r="AC466" s="600"/>
      <c r="AD466" s="600"/>
      <c r="AE466" s="600"/>
      <c r="AF466" s="600"/>
      <c r="AG466" s="600"/>
      <c r="AH466" s="600"/>
      <c r="AI466" s="600"/>
      <c r="AJ466" s="600"/>
    </row>
    <row r="467" spans="1:36" x14ac:dyDescent="0.25">
      <c r="A467" t="s">
        <v>424</v>
      </c>
      <c r="H467" s="574" t="s">
        <v>292</v>
      </c>
      <c r="I467" s="575" t="str">
        <f t="shared" si="405"/>
        <v>VND/phôi</v>
      </c>
      <c r="K467" s="574"/>
      <c r="L467" s="601">
        <f t="shared" ref="L467:AJ467" si="424">Tax_rate</f>
        <v>0.2</v>
      </c>
      <c r="M467" s="601">
        <f t="shared" si="424"/>
        <v>0.2</v>
      </c>
      <c r="N467" s="601">
        <f t="shared" si="424"/>
        <v>0.2</v>
      </c>
      <c r="O467" s="601">
        <f t="shared" si="424"/>
        <v>0.2</v>
      </c>
      <c r="P467" s="601">
        <f t="shared" si="424"/>
        <v>0.2</v>
      </c>
      <c r="Q467" s="601">
        <f t="shared" si="424"/>
        <v>0.2</v>
      </c>
      <c r="R467" s="601">
        <f t="shared" si="424"/>
        <v>0.2</v>
      </c>
      <c r="S467" s="601">
        <f t="shared" si="424"/>
        <v>0.2</v>
      </c>
      <c r="T467" s="601">
        <f t="shared" si="424"/>
        <v>0.2</v>
      </c>
      <c r="U467" s="601">
        <f t="shared" si="424"/>
        <v>0.2</v>
      </c>
      <c r="V467" s="601">
        <f t="shared" si="424"/>
        <v>0.2</v>
      </c>
      <c r="W467" s="601">
        <f t="shared" si="424"/>
        <v>0.2</v>
      </c>
      <c r="X467" s="601">
        <f t="shared" si="424"/>
        <v>0.2</v>
      </c>
      <c r="Y467" s="601">
        <f t="shared" si="424"/>
        <v>0.2</v>
      </c>
      <c r="Z467" s="601">
        <f t="shared" si="424"/>
        <v>0.2</v>
      </c>
      <c r="AA467" s="601"/>
      <c r="AB467" s="601"/>
      <c r="AC467" s="601"/>
      <c r="AD467" s="601"/>
      <c r="AE467" s="601"/>
      <c r="AF467" s="601"/>
      <c r="AG467" s="601"/>
      <c r="AH467" s="601"/>
      <c r="AI467" s="601"/>
      <c r="AJ467" s="601"/>
    </row>
    <row r="468" spans="1:36" s="1" customFormat="1" x14ac:dyDescent="0.25">
      <c r="A468" s="1" t="s">
        <v>424</v>
      </c>
      <c r="H468" s="595" t="s">
        <v>491</v>
      </c>
      <c r="I468" s="596" t="str">
        <f t="shared" si="405"/>
        <v>VND/phôi</v>
      </c>
      <c r="K468" s="595"/>
      <c r="L468" s="600">
        <f>(L466-L463)*(1-L467)</f>
        <v>39.684693361341672</v>
      </c>
      <c r="M468" s="600">
        <f t="shared" ref="M468:AJ468" si="425">(M466-M463)*(1-M467)</f>
        <v>35.138576499647755</v>
      </c>
      <c r="N468" s="600">
        <f t="shared" si="425"/>
        <v>32.445821512602016</v>
      </c>
      <c r="O468" s="600">
        <f t="shared" si="425"/>
        <v>33.064699923296942</v>
      </c>
      <c r="P468" s="600">
        <f t="shared" si="425"/>
        <v>33.699647699565688</v>
      </c>
      <c r="Q468" s="600">
        <f t="shared" si="425"/>
        <v>34.351084102452752</v>
      </c>
      <c r="R468" s="600">
        <f t="shared" si="425"/>
        <v>35.019435601780337</v>
      </c>
      <c r="S468" s="600">
        <f t="shared" si="425"/>
        <v>35.705135536593389</v>
      </c>
      <c r="T468" s="600">
        <f t="shared" si="425"/>
        <v>36.408623714882289</v>
      </c>
      <c r="U468" s="600">
        <f t="shared" si="425"/>
        <v>37.13034594659139</v>
      </c>
      <c r="V468" s="600">
        <f t="shared" si="425"/>
        <v>37.870753503416566</v>
      </c>
      <c r="W468" s="600">
        <f t="shared" si="425"/>
        <v>38.630302498348101</v>
      </c>
      <c r="X468" s="600">
        <f t="shared" si="425"/>
        <v>36.043066820130392</v>
      </c>
      <c r="Y468" s="600">
        <f t="shared" si="425"/>
        <v>36.842282757592876</v>
      </c>
      <c r="Z468" s="600">
        <f t="shared" si="425"/>
        <v>37.662029946869644</v>
      </c>
      <c r="AA468" s="600"/>
      <c r="AB468" s="600"/>
      <c r="AC468" s="600"/>
      <c r="AD468" s="600"/>
      <c r="AE468" s="600"/>
      <c r="AF468" s="600"/>
      <c r="AG468" s="600"/>
      <c r="AH468" s="600"/>
      <c r="AI468" s="600"/>
      <c r="AJ468" s="600"/>
    </row>
    <row r="469" spans="1:36" s="146" customFormat="1" x14ac:dyDescent="0.25">
      <c r="A469" s="146" t="s">
        <v>424</v>
      </c>
      <c r="H469" s="597" t="s">
        <v>492</v>
      </c>
      <c r="I469" s="598"/>
      <c r="K469" s="597"/>
      <c r="L469" s="602">
        <f>IFERROR(L468/L466,0)</f>
        <v>4.9999999999999954E-2</v>
      </c>
      <c r="M469" s="602">
        <f>IFERROR(M468/M466,0)</f>
        <v>5.000000000000001E-2</v>
      </c>
      <c r="N469" s="602">
        <f t="shared" ref="N469:AJ469" si="426">IFERROR(N468/N466,0)</f>
        <v>5.0000000000000037E-2</v>
      </c>
      <c r="O469" s="602">
        <f t="shared" si="426"/>
        <v>5.0000000000000024E-2</v>
      </c>
      <c r="P469" s="602">
        <f t="shared" si="426"/>
        <v>4.9999999999999947E-2</v>
      </c>
      <c r="Q469" s="602">
        <f t="shared" si="426"/>
        <v>5.000000000000001E-2</v>
      </c>
      <c r="R469" s="602">
        <f t="shared" si="426"/>
        <v>4.9999999999999968E-2</v>
      </c>
      <c r="S469" s="602">
        <f t="shared" si="426"/>
        <v>4.9999999999999933E-2</v>
      </c>
      <c r="T469" s="602">
        <f t="shared" si="426"/>
        <v>5.0000000000000044E-2</v>
      </c>
      <c r="U469" s="602">
        <f t="shared" si="426"/>
        <v>5.0000000000000017E-2</v>
      </c>
      <c r="V469" s="602">
        <f t="shared" si="426"/>
        <v>5.0000000000000051E-2</v>
      </c>
      <c r="W469" s="602">
        <f t="shared" si="426"/>
        <v>5.0000000000000017E-2</v>
      </c>
      <c r="X469" s="602">
        <f t="shared" si="426"/>
        <v>5.000000000000001E-2</v>
      </c>
      <c r="Y469" s="602">
        <f t="shared" si="426"/>
        <v>5.0000000000000024E-2</v>
      </c>
      <c r="Z469" s="602">
        <f t="shared" si="426"/>
        <v>5.0000000000000037E-2</v>
      </c>
      <c r="AA469" s="602"/>
      <c r="AB469" s="602"/>
      <c r="AC469" s="602"/>
      <c r="AD469" s="602"/>
      <c r="AE469" s="602"/>
      <c r="AF469" s="602"/>
      <c r="AG469" s="602"/>
      <c r="AH469" s="602"/>
      <c r="AI469" s="602"/>
      <c r="AJ469" s="602"/>
    </row>
    <row r="470" spans="1:36" x14ac:dyDescent="0.25">
      <c r="A470" t="s">
        <v>424</v>
      </c>
      <c r="L470" s="64"/>
    </row>
    <row r="471" spans="1:36" x14ac:dyDescent="0.25">
      <c r="A471" t="s">
        <v>424</v>
      </c>
      <c r="H471" s="1" t="s">
        <v>493</v>
      </c>
    </row>
    <row r="472" spans="1:36" x14ac:dyDescent="0.25">
      <c r="A472" t="s">
        <v>424</v>
      </c>
      <c r="H472" t="s">
        <v>493</v>
      </c>
      <c r="I472" s="65" t="s">
        <v>475</v>
      </c>
      <c r="K472" s="15"/>
      <c r="L472" s="15">
        <f t="shared" ref="L472:AJ472" si="427">L473*PHOI_KG*10^3/10^6</f>
        <v>43.333333333333336</v>
      </c>
      <c r="M472" s="15">
        <f t="shared" si="427"/>
        <v>44.2</v>
      </c>
      <c r="N472" s="15">
        <f t="shared" si="427"/>
        <v>45.084000000000003</v>
      </c>
      <c r="O472" s="15">
        <f t="shared" si="427"/>
        <v>45.985680000000002</v>
      </c>
      <c r="P472" s="15">
        <f t="shared" si="427"/>
        <v>46.905393600000004</v>
      </c>
      <c r="Q472" s="15">
        <f t="shared" si="427"/>
        <v>47.843501472</v>
      </c>
      <c r="R472" s="15">
        <f t="shared" si="427"/>
        <v>48.800371501440011</v>
      </c>
      <c r="S472" s="15">
        <f t="shared" si="427"/>
        <v>49.776378931468798</v>
      </c>
      <c r="T472" s="15">
        <f t="shared" si="427"/>
        <v>50.771906510098177</v>
      </c>
      <c r="U472" s="15">
        <f t="shared" si="427"/>
        <v>51.787344640300141</v>
      </c>
      <c r="V472" s="15">
        <f t="shared" si="427"/>
        <v>52.823091533106144</v>
      </c>
      <c r="W472" s="15">
        <f t="shared" si="427"/>
        <v>53.87955336376826</v>
      </c>
      <c r="X472" s="15">
        <f t="shared" si="427"/>
        <v>54.957144431043631</v>
      </c>
      <c r="Y472" s="15">
        <f t="shared" si="427"/>
        <v>56.056287319664499</v>
      </c>
      <c r="Z472" s="15">
        <f t="shared" si="427"/>
        <v>57.177413066057795</v>
      </c>
      <c r="AA472" s="15"/>
      <c r="AB472" s="15"/>
      <c r="AC472" s="15"/>
      <c r="AD472" s="15"/>
      <c r="AE472" s="15"/>
      <c r="AF472" s="15"/>
      <c r="AG472" s="15"/>
      <c r="AH472" s="15"/>
      <c r="AI472" s="15"/>
      <c r="AJ472" s="15"/>
    </row>
    <row r="473" spans="1:36" x14ac:dyDescent="0.25">
      <c r="A473" t="s">
        <v>424</v>
      </c>
      <c r="F473" t="s">
        <v>570</v>
      </c>
      <c r="H473" t="s">
        <v>493</v>
      </c>
      <c r="I473" s="65" t="s">
        <v>368</v>
      </c>
      <c r="K473" s="27"/>
      <c r="L473" s="27">
        <f>INDEX('Cover Page'!$H$14:$AJ$14,MATCH($A473,'Cover Page'!$H$5:$AJ$5,0))*POWER(1+INDEX('Cover Page'!$H$17:$AJ$17,MATCH($A473,'Cover Page'!$H$5:$AJ$5,0)),L$12+1)</f>
        <v>650</v>
      </c>
      <c r="M473" s="27">
        <f>INDEX('Cover Page'!$H$14:$AJ$14,MATCH($A473,'Cover Page'!$H$5:$AJ$5,0))*POWER(1+INDEX('Cover Page'!$H$17:$AJ$17,MATCH($A473,'Cover Page'!$H$5:$AJ$5,0)),M$12+1)</f>
        <v>663</v>
      </c>
      <c r="N473" s="27">
        <f>INDEX('Cover Page'!$H$14:$AJ$14,MATCH($A473,'Cover Page'!$H$5:$AJ$5,0))*POWER(1+INDEX('Cover Page'!$H$17:$AJ$17,MATCH($A473,'Cover Page'!$H$5:$AJ$5,0)),N$12+1)</f>
        <v>676.26</v>
      </c>
      <c r="O473" s="27">
        <f>INDEX('Cover Page'!$H$14:$AJ$14,MATCH($A473,'Cover Page'!$H$5:$AJ$5,0))*POWER(1+INDEX('Cover Page'!$H$17:$AJ$17,MATCH($A473,'Cover Page'!$H$5:$AJ$5,0)),O$12+1)</f>
        <v>689.78519999999992</v>
      </c>
      <c r="P473" s="27">
        <f>INDEX('Cover Page'!$H$14:$AJ$14,MATCH($A473,'Cover Page'!$H$5:$AJ$5,0))*POWER(1+INDEX('Cover Page'!$H$17:$AJ$17,MATCH($A473,'Cover Page'!$H$5:$AJ$5,0)),P$12+1)</f>
        <v>703.58090400000003</v>
      </c>
      <c r="Q473" s="27">
        <f>INDEX('Cover Page'!$H$14:$AJ$14,MATCH($A473,'Cover Page'!$H$5:$AJ$5,0))*POWER(1+INDEX('Cover Page'!$H$17:$AJ$17,MATCH($A473,'Cover Page'!$H$5:$AJ$5,0)),Q$12+1)</f>
        <v>717.65252208000004</v>
      </c>
      <c r="R473" s="27">
        <f>INDEX('Cover Page'!$H$14:$AJ$14,MATCH($A473,'Cover Page'!$H$5:$AJ$5,0))*POWER(1+INDEX('Cover Page'!$H$17:$AJ$17,MATCH($A473,'Cover Page'!$H$5:$AJ$5,0)),R$12+1)</f>
        <v>732.00557252160002</v>
      </c>
      <c r="S473" s="27">
        <f>INDEX('Cover Page'!$H$14:$AJ$14,MATCH($A473,'Cover Page'!$H$5:$AJ$5,0))*POWER(1+INDEX('Cover Page'!$H$17:$AJ$17,MATCH($A473,'Cover Page'!$H$5:$AJ$5,0)),S$12+1)</f>
        <v>746.64568397203186</v>
      </c>
      <c r="T473" s="27">
        <f>INDEX('Cover Page'!$H$14:$AJ$14,MATCH($A473,'Cover Page'!$H$5:$AJ$5,0))*POWER(1+INDEX('Cover Page'!$H$17:$AJ$17,MATCH($A473,'Cover Page'!$H$5:$AJ$5,0)),T$12+1)</f>
        <v>761.57859765147259</v>
      </c>
      <c r="U473" s="27">
        <f>INDEX('Cover Page'!$H$14:$AJ$14,MATCH($A473,'Cover Page'!$H$5:$AJ$5,0))*POWER(1+INDEX('Cover Page'!$H$17:$AJ$17,MATCH($A473,'Cover Page'!$H$5:$AJ$5,0)),U$12+1)</f>
        <v>776.81016960450199</v>
      </c>
      <c r="V473" s="27">
        <f>INDEX('Cover Page'!$H$14:$AJ$14,MATCH($A473,'Cover Page'!$H$5:$AJ$5,0))*POWER(1+INDEX('Cover Page'!$H$17:$AJ$17,MATCH($A473,'Cover Page'!$H$5:$AJ$5,0)),V$12+1)</f>
        <v>792.34637299659209</v>
      </c>
      <c r="W473" s="27">
        <f>INDEX('Cover Page'!$H$14:$AJ$14,MATCH($A473,'Cover Page'!$H$5:$AJ$5,0))*POWER(1+INDEX('Cover Page'!$H$17:$AJ$17,MATCH($A473,'Cover Page'!$H$5:$AJ$5,0)),W$12+1)</f>
        <v>808.19330045652384</v>
      </c>
      <c r="X473" s="27">
        <f>INDEX('Cover Page'!$H$14:$AJ$14,MATCH($A473,'Cover Page'!$H$5:$AJ$5,0))*POWER(1+INDEX('Cover Page'!$H$17:$AJ$17,MATCH($A473,'Cover Page'!$H$5:$AJ$5,0)),X$12+1)</f>
        <v>824.35716646565447</v>
      </c>
      <c r="Y473" s="27">
        <f>INDEX('Cover Page'!$H$14:$AJ$14,MATCH($A473,'Cover Page'!$H$5:$AJ$5,0))*POWER(1+INDEX('Cover Page'!$H$17:$AJ$17,MATCH($A473,'Cover Page'!$H$5:$AJ$5,0)),Y$12+1)</f>
        <v>840.84430979496744</v>
      </c>
      <c r="Z473" s="27">
        <f>INDEX('Cover Page'!$H$14:$AJ$14,MATCH($A473,'Cover Page'!$H$5:$AJ$5,0))*POWER(1+INDEX('Cover Page'!$H$17:$AJ$17,MATCH($A473,'Cover Page'!$H$5:$AJ$5,0)),Z$12+1)</f>
        <v>857.66119599086687</v>
      </c>
      <c r="AA473" s="27"/>
      <c r="AB473" s="27"/>
      <c r="AC473" s="27"/>
      <c r="AD473" s="27"/>
      <c r="AE473" s="27"/>
      <c r="AF473" s="27"/>
      <c r="AG473" s="27"/>
      <c r="AH473" s="27"/>
      <c r="AI473" s="27"/>
      <c r="AJ473" s="27"/>
    </row>
    <row r="474" spans="1:36" x14ac:dyDescent="0.25">
      <c r="A474" t="s">
        <v>424</v>
      </c>
      <c r="H474" t="s">
        <v>493</v>
      </c>
      <c r="I474" s="65" t="s">
        <v>369</v>
      </c>
      <c r="K474" s="15"/>
      <c r="L474" s="15">
        <f t="shared" ref="L474:AJ474" si="428">L472/EXR*10^6</f>
        <v>1666.6666666666667</v>
      </c>
      <c r="M474" s="15">
        <f t="shared" si="428"/>
        <v>1700.0000000000002</v>
      </c>
      <c r="N474" s="15">
        <f t="shared" si="428"/>
        <v>1734</v>
      </c>
      <c r="O474" s="15">
        <f t="shared" si="428"/>
        <v>1768.68</v>
      </c>
      <c r="P474" s="15">
        <f t="shared" si="428"/>
        <v>1804.0536000000002</v>
      </c>
      <c r="Q474" s="15">
        <f t="shared" si="428"/>
        <v>1840.1346719999999</v>
      </c>
      <c r="R474" s="15">
        <f t="shared" si="428"/>
        <v>1876.9373654400006</v>
      </c>
      <c r="S474" s="15">
        <f t="shared" si="428"/>
        <v>1914.4761127488</v>
      </c>
      <c r="T474" s="15">
        <f t="shared" si="428"/>
        <v>1952.7656350037762</v>
      </c>
      <c r="U474" s="15">
        <f t="shared" si="428"/>
        <v>1991.8209477038517</v>
      </c>
      <c r="V474" s="15">
        <f t="shared" si="428"/>
        <v>2031.6573666579286</v>
      </c>
      <c r="W474" s="15">
        <f t="shared" si="428"/>
        <v>2072.2905139910868</v>
      </c>
      <c r="X474" s="15">
        <f t="shared" si="428"/>
        <v>2113.7363242709089</v>
      </c>
      <c r="Y474" s="15">
        <f t="shared" si="428"/>
        <v>2156.0110507563268</v>
      </c>
      <c r="Z474" s="15">
        <f t="shared" si="428"/>
        <v>2199.1312717714541</v>
      </c>
      <c r="AA474" s="15"/>
      <c r="AB474" s="15"/>
      <c r="AC474" s="15"/>
      <c r="AD474" s="15"/>
      <c r="AE474" s="15"/>
      <c r="AF474" s="15"/>
      <c r="AG474" s="15"/>
      <c r="AH474" s="15"/>
      <c r="AI474" s="15"/>
      <c r="AJ474" s="15"/>
    </row>
    <row r="475" spans="1:36" x14ac:dyDescent="0.25">
      <c r="A475" t="s">
        <v>424</v>
      </c>
      <c r="H475" t="s">
        <v>493</v>
      </c>
      <c r="I475" s="65" t="s">
        <v>494</v>
      </c>
      <c r="K475" s="15"/>
      <c r="L475" s="15">
        <f t="shared" ref="L475:AJ475" si="429">L473*1000/EXR</f>
        <v>25</v>
      </c>
      <c r="M475" s="15">
        <f t="shared" si="429"/>
        <v>25.5</v>
      </c>
      <c r="N475" s="15">
        <f t="shared" si="429"/>
        <v>26.01</v>
      </c>
      <c r="O475" s="15">
        <f t="shared" si="429"/>
        <v>26.530199999999997</v>
      </c>
      <c r="P475" s="15">
        <f t="shared" si="429"/>
        <v>27.060804000000001</v>
      </c>
      <c r="Q475" s="15">
        <f t="shared" si="429"/>
        <v>27.602020080000003</v>
      </c>
      <c r="R475" s="15">
        <f t="shared" si="429"/>
        <v>28.154060481600002</v>
      </c>
      <c r="S475" s="15">
        <f t="shared" si="429"/>
        <v>28.717141691231994</v>
      </c>
      <c r="T475" s="15">
        <f t="shared" si="429"/>
        <v>29.291484525056635</v>
      </c>
      <c r="U475" s="15">
        <f t="shared" si="429"/>
        <v>29.877314215557771</v>
      </c>
      <c r="V475" s="15">
        <f t="shared" si="429"/>
        <v>30.474860499868925</v>
      </c>
      <c r="W475" s="15">
        <f t="shared" si="429"/>
        <v>31.084357709866303</v>
      </c>
      <c r="X475" s="15">
        <f t="shared" si="429"/>
        <v>31.706044864063635</v>
      </c>
      <c r="Y475" s="15">
        <f t="shared" si="429"/>
        <v>32.340165761344899</v>
      </c>
      <c r="Z475" s="15">
        <f t="shared" si="429"/>
        <v>32.986969076571803</v>
      </c>
      <c r="AA475" s="15"/>
      <c r="AB475" s="15"/>
      <c r="AC475" s="15"/>
      <c r="AD475" s="15"/>
      <c r="AE475" s="15"/>
      <c r="AF475" s="15"/>
      <c r="AG475" s="15"/>
      <c r="AH475" s="15"/>
      <c r="AI475" s="15"/>
      <c r="AJ475" s="15"/>
    </row>
    <row r="476" spans="1:36" x14ac:dyDescent="0.25">
      <c r="A476" t="s">
        <v>424</v>
      </c>
    </row>
    <row r="477" spans="1:36" s="16" customFormat="1" x14ac:dyDescent="0.25">
      <c r="A477" s="16" t="s">
        <v>424</v>
      </c>
      <c r="D477" s="16" t="s">
        <v>722</v>
      </c>
      <c r="H477" s="270" t="s">
        <v>497</v>
      </c>
      <c r="I477" s="271" t="str">
        <f>IF($H$9="USD","USD","tr. VND")</f>
        <v>tr. VND</v>
      </c>
      <c r="K477" s="270"/>
      <c r="L477" s="272">
        <f t="shared" ref="L477:AJ477" si="430">IF($H$9="USD",L474*L353/10^3,L472*L353/10^3)</f>
        <v>134207.12448</v>
      </c>
      <c r="M477" s="272">
        <f t="shared" si="430"/>
        <v>191647.77375744001</v>
      </c>
      <c r="N477" s="272">
        <f t="shared" si="430"/>
        <v>279258.18461798399</v>
      </c>
      <c r="O477" s="272">
        <f t="shared" si="430"/>
        <v>284843.34831034369</v>
      </c>
      <c r="P477" s="272">
        <f t="shared" si="430"/>
        <v>290540.21527655062</v>
      </c>
      <c r="Q477" s="272">
        <f t="shared" si="430"/>
        <v>296351.01958208153</v>
      </c>
      <c r="R477" s="272">
        <f t="shared" si="430"/>
        <v>302278.03997372324</v>
      </c>
      <c r="S477" s="272">
        <f t="shared" si="430"/>
        <v>308323.60077319766</v>
      </c>
      <c r="T477" s="272">
        <f t="shared" si="430"/>
        <v>314490.07278866158</v>
      </c>
      <c r="U477" s="272">
        <f t="shared" si="430"/>
        <v>320779.87424443482</v>
      </c>
      <c r="V477" s="272">
        <f t="shared" si="430"/>
        <v>327195.47172932356</v>
      </c>
      <c r="W477" s="272">
        <f t="shared" si="430"/>
        <v>333739.38116390997</v>
      </c>
      <c r="X477" s="272">
        <f t="shared" si="430"/>
        <v>340414.16878718825</v>
      </c>
      <c r="Y477" s="272">
        <f t="shared" si="430"/>
        <v>347222.45216293191</v>
      </c>
      <c r="Z477" s="272">
        <f t="shared" si="430"/>
        <v>354166.90120619064</v>
      </c>
      <c r="AA477" s="272"/>
      <c r="AB477" s="272"/>
      <c r="AC477" s="272"/>
      <c r="AD477" s="272"/>
      <c r="AE477" s="272"/>
      <c r="AF477" s="272"/>
      <c r="AG477" s="272"/>
      <c r="AH477" s="272"/>
      <c r="AI477" s="272"/>
      <c r="AJ477" s="272"/>
    </row>
    <row r="478" spans="1:36" x14ac:dyDescent="0.25">
      <c r="A478" t="s">
        <v>424</v>
      </c>
    </row>
    <row r="479" spans="1:36" s="1" customFormat="1" x14ac:dyDescent="0.25">
      <c r="A479" s="1" t="s">
        <v>424</v>
      </c>
      <c r="H479" s="266" t="s">
        <v>495</v>
      </c>
      <c r="I479" s="267" t="str">
        <f>IF($H$9="USD","USD","tr. VND")</f>
        <v>tr. VND</v>
      </c>
      <c r="K479" s="266"/>
      <c r="L479" s="269">
        <f>L477+L393</f>
        <v>-19426.584613160114</v>
      </c>
      <c r="M479" s="269">
        <f t="shared" ref="M479:AJ479" si="431">M477+M393</f>
        <v>1200.0939168577315</v>
      </c>
      <c r="N479" s="269">
        <f t="shared" si="431"/>
        <v>28039.315006581804</v>
      </c>
      <c r="O479" s="269">
        <f t="shared" si="431"/>
        <v>28832.677243049984</v>
      </c>
      <c r="P479" s="269">
        <f t="shared" si="431"/>
        <v>29613.322175718087</v>
      </c>
      <c r="Q479" s="269">
        <f t="shared" si="431"/>
        <v>30380.237649726274</v>
      </c>
      <c r="R479" s="269">
        <f t="shared" si="431"/>
        <v>31132.400375983911</v>
      </c>
      <c r="S479" s="269">
        <f t="shared" si="431"/>
        <v>31868.779453878407</v>
      </c>
      <c r="T479" s="269">
        <f t="shared" si="431"/>
        <v>32588.340382006776</v>
      </c>
      <c r="U479" s="269">
        <f t="shared" si="431"/>
        <v>33290.049603685562</v>
      </c>
      <c r="V479" s="269">
        <f t="shared" si="431"/>
        <v>33972.879637914884</v>
      </c>
      <c r="W479" s="269">
        <f t="shared" si="431"/>
        <v>34635.814850687457</v>
      </c>
      <c r="X479" s="269">
        <f t="shared" si="431"/>
        <v>61342.840592753841</v>
      </c>
      <c r="Y479" s="269">
        <f t="shared" si="431"/>
        <v>61963.019768184517</v>
      </c>
      <c r="Z479" s="269">
        <f t="shared" si="431"/>
        <v>62560.396903362649</v>
      </c>
      <c r="AA479" s="269"/>
      <c r="AB479" s="269"/>
      <c r="AC479" s="269"/>
      <c r="AD479" s="269"/>
      <c r="AE479" s="269"/>
      <c r="AF479" s="269"/>
      <c r="AG479" s="269"/>
      <c r="AH479" s="269"/>
      <c r="AI479" s="269"/>
      <c r="AJ479" s="269"/>
    </row>
    <row r="480" spans="1:36" s="146" customFormat="1" x14ac:dyDescent="0.25">
      <c r="A480" s="146" t="s">
        <v>424</v>
      </c>
      <c r="H480" s="146" t="s">
        <v>496</v>
      </c>
      <c r="I480" s="144"/>
      <c r="L480" s="147">
        <f>IFERROR(L479/L477,0)</f>
        <v>-0.14475077003870335</v>
      </c>
      <c r="M480" s="147">
        <f t="shared" ref="M480:AJ480" si="432">IFERROR(M479/M477,0)</f>
        <v>6.2619768199167116E-3</v>
      </c>
      <c r="N480" s="147">
        <f t="shared" si="432"/>
        <v>0.10040642155193648</v>
      </c>
      <c r="O480" s="147">
        <f t="shared" si="432"/>
        <v>0.10122292626484676</v>
      </c>
      <c r="P480" s="147">
        <f t="shared" si="432"/>
        <v>0.10192503694378643</v>
      </c>
      <c r="Q480" s="147">
        <f t="shared" si="432"/>
        <v>0.10251436857740163</v>
      </c>
      <c r="R480" s="147">
        <f t="shared" si="432"/>
        <v>0.10299259707615618</v>
      </c>
      <c r="S480" s="147">
        <f t="shared" si="432"/>
        <v>0.10336146624507357</v>
      </c>
      <c r="T480" s="147">
        <f t="shared" si="432"/>
        <v>0.10362279512684731</v>
      </c>
      <c r="U480" s="147">
        <f t="shared" si="432"/>
        <v>0.10377848573604243</v>
      </c>
      <c r="V480" s="147">
        <f t="shared" si="432"/>
        <v>0.10383053120618785</v>
      </c>
      <c r="W480" s="147">
        <f t="shared" si="432"/>
        <v>0.10378102437265775</v>
      </c>
      <c r="X480" s="147">
        <f t="shared" si="432"/>
        <v>0.18020060919116046</v>
      </c>
      <c r="Y480" s="147">
        <f t="shared" si="432"/>
        <v>0.17845337875532533</v>
      </c>
      <c r="Z480" s="147">
        <f t="shared" si="432"/>
        <v>0.1766410036914797</v>
      </c>
      <c r="AA480" s="147"/>
      <c r="AB480" s="147"/>
      <c r="AC480" s="147"/>
      <c r="AD480" s="147"/>
      <c r="AE480" s="147"/>
      <c r="AF480" s="147"/>
      <c r="AG480" s="147"/>
      <c r="AH480" s="147"/>
      <c r="AI480" s="147"/>
      <c r="AJ480" s="147"/>
    </row>
    <row r="481" spans="1:36" x14ac:dyDescent="0.25">
      <c r="A481" t="s">
        <v>424</v>
      </c>
    </row>
    <row r="482" spans="1:36" s="16" customFormat="1" x14ac:dyDescent="0.25">
      <c r="A482" s="16" t="s">
        <v>424</v>
      </c>
      <c r="D482" s="16" t="s">
        <v>488</v>
      </c>
      <c r="H482" s="270" t="s">
        <v>488</v>
      </c>
      <c r="I482" s="271" t="str">
        <f>IF($H$9="USD","USD","tr. VND")</f>
        <v>tr. VND</v>
      </c>
      <c r="K482" s="270"/>
      <c r="L482" s="272">
        <f t="shared" ref="L482:AJ482" si="433">L479*(1-Tax_rate)</f>
        <v>-15541.267690528091</v>
      </c>
      <c r="M482" s="272">
        <f t="shared" si="433"/>
        <v>960.07513348618522</v>
      </c>
      <c r="N482" s="272">
        <f t="shared" si="433"/>
        <v>22431.452005265444</v>
      </c>
      <c r="O482" s="272">
        <f t="shared" si="433"/>
        <v>23066.141794439987</v>
      </c>
      <c r="P482" s="272">
        <f t="shared" si="433"/>
        <v>23690.657740574472</v>
      </c>
      <c r="Q482" s="272">
        <f t="shared" si="433"/>
        <v>24304.190119781022</v>
      </c>
      <c r="R482" s="272">
        <f t="shared" si="433"/>
        <v>24905.920300787129</v>
      </c>
      <c r="S482" s="272">
        <f t="shared" si="433"/>
        <v>25495.023563102728</v>
      </c>
      <c r="T482" s="272">
        <f t="shared" si="433"/>
        <v>26070.672305605422</v>
      </c>
      <c r="U482" s="272">
        <f t="shared" si="433"/>
        <v>26632.039682948453</v>
      </c>
      <c r="V482" s="272">
        <f t="shared" si="433"/>
        <v>27178.303710331907</v>
      </c>
      <c r="W482" s="272">
        <f t="shared" si="433"/>
        <v>27708.651880549965</v>
      </c>
      <c r="X482" s="272">
        <f t="shared" si="433"/>
        <v>49074.272474203077</v>
      </c>
      <c r="Y482" s="272">
        <f t="shared" si="433"/>
        <v>49570.415814547618</v>
      </c>
      <c r="Z482" s="272">
        <f t="shared" si="433"/>
        <v>50048.317522690122</v>
      </c>
      <c r="AA482" s="272"/>
      <c r="AB482" s="272"/>
      <c r="AC482" s="272"/>
      <c r="AD482" s="272"/>
      <c r="AE482" s="272"/>
      <c r="AF482" s="272"/>
      <c r="AG482" s="272"/>
      <c r="AH482" s="272"/>
      <c r="AI482" s="272"/>
      <c r="AJ482" s="272"/>
    </row>
    <row r="483" spans="1:36" s="146" customFormat="1" x14ac:dyDescent="0.25">
      <c r="A483" s="146" t="s">
        <v>424</v>
      </c>
      <c r="H483" s="146" t="s">
        <v>489</v>
      </c>
      <c r="I483" s="144"/>
      <c r="L483" s="147">
        <f>IFERROR(L482/L477,0)</f>
        <v>-0.11580061603096267</v>
      </c>
      <c r="M483" s="147">
        <f t="shared" ref="M483:AJ483" si="434">IFERROR(M482/M477,0)</f>
        <v>5.0095814559333691E-3</v>
      </c>
      <c r="N483" s="147">
        <f t="shared" si="434"/>
        <v>8.0325137241549188E-2</v>
      </c>
      <c r="O483" s="147">
        <f t="shared" si="434"/>
        <v>8.0978341011877411E-2</v>
      </c>
      <c r="P483" s="147">
        <f t="shared" si="434"/>
        <v>8.1540029555029162E-2</v>
      </c>
      <c r="Q483" s="147">
        <f t="shared" si="434"/>
        <v>8.2011494861921316E-2</v>
      </c>
      <c r="R483" s="147">
        <f t="shared" si="434"/>
        <v>8.239407766092495E-2</v>
      </c>
      <c r="S483" s="147">
        <f t="shared" si="434"/>
        <v>8.2689172996058866E-2</v>
      </c>
      <c r="T483" s="147">
        <f t="shared" si="434"/>
        <v>8.2898236101477854E-2</v>
      </c>
      <c r="U483" s="147">
        <f t="shared" si="434"/>
        <v>8.3022788588833954E-2</v>
      </c>
      <c r="V483" s="147">
        <f t="shared" si="434"/>
        <v>8.3064424964950284E-2</v>
      </c>
      <c r="W483" s="147">
        <f t="shared" si="434"/>
        <v>8.3024819498126207E-2</v>
      </c>
      <c r="X483" s="147">
        <f t="shared" si="434"/>
        <v>0.14416048735292838</v>
      </c>
      <c r="Y483" s="147">
        <f t="shared" si="434"/>
        <v>0.14276270300426028</v>
      </c>
      <c r="Z483" s="147">
        <f t="shared" si="434"/>
        <v>0.14131280295318377</v>
      </c>
      <c r="AA483" s="147"/>
      <c r="AB483" s="147"/>
      <c r="AC483" s="147"/>
      <c r="AD483" s="147"/>
      <c r="AE483" s="147"/>
      <c r="AF483" s="147"/>
      <c r="AG483" s="147"/>
      <c r="AH483" s="147"/>
      <c r="AI483" s="147"/>
      <c r="AJ483" s="147"/>
    </row>
    <row r="484" spans="1:36" x14ac:dyDescent="0.25">
      <c r="A484" t="s">
        <v>424</v>
      </c>
    </row>
    <row r="485" spans="1:36" s="16" customFormat="1" x14ac:dyDescent="0.25">
      <c r="A485" s="16" t="s">
        <v>424</v>
      </c>
      <c r="H485" s="270" t="s">
        <v>477</v>
      </c>
      <c r="I485" s="271" t="str">
        <f>IF($H$9="USD","USD","tr. VND")</f>
        <v>tr. VND</v>
      </c>
      <c r="K485" s="272">
        <f>SUM(K487:K490)</f>
        <v>-300749.80000000005</v>
      </c>
      <c r="L485" s="272">
        <f t="shared" ref="L485:AJ485" si="435">SUM(L487:L490)</f>
        <v>0</v>
      </c>
      <c r="M485" s="272">
        <f t="shared" si="435"/>
        <v>0</v>
      </c>
      <c r="N485" s="272">
        <f t="shared" si="435"/>
        <v>0</v>
      </c>
      <c r="O485" s="272">
        <f t="shared" si="435"/>
        <v>0</v>
      </c>
      <c r="P485" s="272">
        <f t="shared" si="435"/>
        <v>0</v>
      </c>
      <c r="Q485" s="272">
        <f t="shared" si="435"/>
        <v>0</v>
      </c>
      <c r="R485" s="272">
        <f t="shared" si="435"/>
        <v>0</v>
      </c>
      <c r="S485" s="272">
        <f t="shared" si="435"/>
        <v>0</v>
      </c>
      <c r="T485" s="272">
        <f t="shared" si="435"/>
        <v>0</v>
      </c>
      <c r="U485" s="272">
        <f t="shared" si="435"/>
        <v>0</v>
      </c>
      <c r="V485" s="272">
        <f t="shared" si="435"/>
        <v>0</v>
      </c>
      <c r="W485" s="272">
        <f t="shared" si="435"/>
        <v>0</v>
      </c>
      <c r="X485" s="272">
        <f t="shared" si="435"/>
        <v>0</v>
      </c>
      <c r="Y485" s="272">
        <f t="shared" si="435"/>
        <v>0</v>
      </c>
      <c r="Z485" s="272">
        <f t="shared" si="435"/>
        <v>0</v>
      </c>
      <c r="AA485" s="272"/>
      <c r="AB485" s="272"/>
      <c r="AC485" s="272"/>
      <c r="AD485" s="272"/>
      <c r="AE485" s="272"/>
      <c r="AF485" s="272"/>
      <c r="AG485" s="272"/>
      <c r="AH485" s="272"/>
      <c r="AI485" s="272"/>
      <c r="AJ485" s="272"/>
    </row>
    <row r="486" spans="1:36" x14ac:dyDescent="0.25">
      <c r="A486" t="s">
        <v>424</v>
      </c>
    </row>
    <row r="487" spans="1:36" x14ac:dyDescent="0.25">
      <c r="A487" t="s">
        <v>424</v>
      </c>
      <c r="B487" t="s">
        <v>480</v>
      </c>
      <c r="H487" s="459" t="s">
        <v>30</v>
      </c>
      <c r="I487" s="493" t="str">
        <f t="shared" ref="I487:I490" si="436">IF($H$9="USD","USD","tr. VND")</f>
        <v>tr. VND</v>
      </c>
      <c r="K487" s="461" cm="1">
        <f t="array" ref="K487">-SUMPRODUCT('W1'!$H$10:$BC$60*('W1'!$A$10:$A$60=$B487)*('W1'!$H$7:$BC$7="Giá trị đầu tư")*('W1'!$H$6:$BC$6=$A487))*$H$10</f>
        <v>-246389.00000000003</v>
      </c>
      <c r="L487" s="461"/>
      <c r="M487" s="461"/>
      <c r="N487" s="461"/>
      <c r="O487" s="461"/>
      <c r="P487" s="461"/>
      <c r="Q487" s="461"/>
      <c r="R487" s="461"/>
      <c r="S487" s="461"/>
      <c r="T487" s="461"/>
      <c r="U487" s="461"/>
      <c r="V487" s="461"/>
      <c r="W487" s="461"/>
      <c r="X487" s="461"/>
      <c r="Y487" s="461"/>
      <c r="Z487" s="461"/>
      <c r="AA487" s="461"/>
      <c r="AB487" s="461"/>
      <c r="AC487" s="461"/>
      <c r="AD487" s="461"/>
      <c r="AE487" s="461"/>
      <c r="AF487" s="461"/>
      <c r="AG487" s="461"/>
      <c r="AH487" s="461"/>
      <c r="AI487" s="461"/>
      <c r="AJ487" s="461"/>
    </row>
    <row r="488" spans="1:36" x14ac:dyDescent="0.25">
      <c r="A488" t="s">
        <v>424</v>
      </c>
      <c r="B488" t="s">
        <v>481</v>
      </c>
      <c r="H488" s="454" t="s">
        <v>32</v>
      </c>
      <c r="I488" s="496" t="str">
        <f t="shared" si="436"/>
        <v>tr. VND</v>
      </c>
      <c r="K488" s="457" cm="1">
        <f t="array" ref="K488">-SUMPRODUCT('W1'!$H$10:$BC$60*('W1'!$A$10:$A$60=$B488)*('W1'!$H$7:$BC$7="Giá trị đầu tư")*('W1'!$H$6:$BC$6=$A488))*$H$10</f>
        <v>-38110.799999999996</v>
      </c>
      <c r="L488" s="457"/>
      <c r="M488" s="457"/>
      <c r="N488" s="457"/>
      <c r="O488" s="457"/>
      <c r="P488" s="457"/>
      <c r="Q488" s="457"/>
      <c r="R488" s="457"/>
      <c r="S488" s="457"/>
      <c r="T488" s="457"/>
      <c r="U488" s="457"/>
      <c r="V488" s="457"/>
      <c r="W488" s="457"/>
      <c r="X488" s="457"/>
      <c r="Y488" s="457"/>
      <c r="Z488" s="457"/>
      <c r="AA488" s="457"/>
      <c r="AB488" s="457"/>
      <c r="AC488" s="457"/>
      <c r="AD488" s="457"/>
      <c r="AE488" s="457"/>
      <c r="AF488" s="457"/>
      <c r="AG488" s="457"/>
      <c r="AH488" s="457"/>
      <c r="AI488" s="457"/>
      <c r="AJ488" s="457"/>
    </row>
    <row r="489" spans="1:36" x14ac:dyDescent="0.25">
      <c r="A489" t="s">
        <v>424</v>
      </c>
      <c r="B489" t="s">
        <v>482</v>
      </c>
      <c r="H489" s="454" t="s">
        <v>478</v>
      </c>
      <c r="I489" s="496" t="str">
        <f t="shared" si="436"/>
        <v>tr. VND</v>
      </c>
      <c r="K489" s="457" cm="1">
        <f t="array" ref="K489">-SUMPRODUCT('W1'!$H$10:$BC$60*('W1'!$A$10:$A$60=$B489)*('W1'!$H$7:$BC$7="Giá trị đầu tư")*('W1'!$H$6:$BC$6=$A489))*$H$10</f>
        <v>0</v>
      </c>
      <c r="L489" s="457"/>
      <c r="M489" s="457"/>
      <c r="N489" s="457"/>
      <c r="O489" s="457"/>
      <c r="P489" s="457"/>
      <c r="Q489" s="457"/>
      <c r="R489" s="457"/>
      <c r="S489" s="457"/>
      <c r="T489" s="457"/>
      <c r="U489" s="457"/>
      <c r="V489" s="457"/>
      <c r="W489" s="457"/>
      <c r="X489" s="457"/>
      <c r="Y489" s="457"/>
      <c r="Z489" s="457"/>
      <c r="AA489" s="457"/>
      <c r="AB489" s="457"/>
      <c r="AC489" s="457"/>
      <c r="AD489" s="457"/>
      <c r="AE489" s="457"/>
      <c r="AF489" s="457"/>
      <c r="AG489" s="457"/>
      <c r="AH489" s="457"/>
      <c r="AI489" s="457"/>
      <c r="AJ489" s="457"/>
    </row>
    <row r="490" spans="1:36" x14ac:dyDescent="0.25">
      <c r="A490" t="s">
        <v>424</v>
      </c>
      <c r="B490" t="s">
        <v>483</v>
      </c>
      <c r="H490" s="454" t="s">
        <v>479</v>
      </c>
      <c r="I490" s="496" t="str">
        <f t="shared" si="436"/>
        <v>tr. VND</v>
      </c>
      <c r="K490" s="457" cm="1">
        <f t="array" ref="K490">-SUMPRODUCT('W1'!$H$10:$BC$60*('W1'!$A$10:$A$60=$B490)*('W1'!$H$7:$BC$7="Giá trị đầu tư")*('W1'!$H$6:$BC$6=$A490))*$H$10</f>
        <v>-16250</v>
      </c>
      <c r="L490" s="457"/>
      <c r="M490" s="457"/>
      <c r="N490" s="457"/>
      <c r="O490" s="457"/>
      <c r="P490" s="457"/>
      <c r="Q490" s="457"/>
      <c r="R490" s="457"/>
      <c r="S490" s="457"/>
      <c r="T490" s="457"/>
      <c r="U490" s="457"/>
      <c r="V490" s="457"/>
      <c r="W490" s="457"/>
      <c r="X490" s="457"/>
      <c r="Y490" s="457"/>
      <c r="Z490" s="457"/>
      <c r="AA490" s="457"/>
      <c r="AB490" s="457"/>
      <c r="AC490" s="457"/>
      <c r="AD490" s="457"/>
      <c r="AE490" s="457"/>
      <c r="AF490" s="457"/>
      <c r="AG490" s="457"/>
      <c r="AH490" s="457"/>
      <c r="AI490" s="457"/>
      <c r="AJ490" s="457"/>
    </row>
    <row r="491" spans="1:36" x14ac:dyDescent="0.25">
      <c r="A491" t="s">
        <v>424</v>
      </c>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row>
    <row r="492" spans="1:36" s="16" customFormat="1" x14ac:dyDescent="0.25">
      <c r="A492" s="16" t="s">
        <v>424</v>
      </c>
      <c r="H492" s="270" t="s">
        <v>498</v>
      </c>
      <c r="I492" s="271" t="str">
        <f>IF($H$9="USD","USD","tr. VND")</f>
        <v>tr. VND</v>
      </c>
      <c r="K492" s="272">
        <f>K485</f>
        <v>-300749.80000000005</v>
      </c>
      <c r="L492" s="272">
        <f t="shared" ref="L492:AJ492" si="437">L477+L393-(L365+L391)</f>
        <v>20372.638920173224</v>
      </c>
      <c r="M492" s="272">
        <f t="shared" si="437"/>
        <v>40412.874404615832</v>
      </c>
      <c r="N492" s="272">
        <f t="shared" si="437"/>
        <v>66624.601435574397</v>
      </c>
      <c r="O492" s="272">
        <f t="shared" si="437"/>
        <v>66746.545029163492</v>
      </c>
      <c r="P492" s="272">
        <f t="shared" si="437"/>
        <v>66808.772013950977</v>
      </c>
      <c r="Q492" s="272">
        <f t="shared" si="437"/>
        <v>66806.980283726894</v>
      </c>
      <c r="R492" s="272">
        <f t="shared" si="437"/>
        <v>66736.62630145601</v>
      </c>
      <c r="S492" s="272">
        <f t="shared" si="437"/>
        <v>66592.912501224986</v>
      </c>
      <c r="T492" s="272">
        <f t="shared" si="437"/>
        <v>66370.774049759028</v>
      </c>
      <c r="U492" s="272">
        <f t="shared" si="437"/>
        <v>66064.864935271908</v>
      </c>
      <c r="V492" s="272">
        <f t="shared" si="437"/>
        <v>65669.543349803716</v>
      </c>
      <c r="W492" s="272">
        <f t="shared" si="437"/>
        <v>65178.856329499933</v>
      </c>
      <c r="X492" s="272">
        <f t="shared" si="437"/>
        <v>65589.022948841288</v>
      </c>
      <c r="Y492" s="272">
        <f t="shared" si="437"/>
        <v>64888.420029622845</v>
      </c>
      <c r="Z492" s="272">
        <f t="shared" si="437"/>
        <v>64072.560323526428</v>
      </c>
      <c r="AA492" s="272"/>
      <c r="AB492" s="272"/>
      <c r="AC492" s="272"/>
      <c r="AD492" s="272"/>
      <c r="AE492" s="272"/>
      <c r="AF492" s="272"/>
      <c r="AG492" s="272"/>
      <c r="AH492" s="272"/>
      <c r="AI492" s="272"/>
      <c r="AJ492" s="272"/>
    </row>
    <row r="493" spans="1:36" x14ac:dyDescent="0.25">
      <c r="A493" t="s">
        <v>424</v>
      </c>
      <c r="H493" t="s">
        <v>292</v>
      </c>
      <c r="I493" s="65" t="str">
        <f t="shared" ref="I493:I500" si="438">IF($H$9="USD","USD","tr. VND")</f>
        <v>tr. VND</v>
      </c>
      <c r="L493" s="15">
        <f>-(L492+L365)*Tax_rate</f>
        <v>937.96888263202209</v>
      </c>
      <c r="M493" s="15">
        <f t="shared" ref="M493:AJ493" si="439">-(M492+M365)*Tax_rate</f>
        <v>-3070.0782142564999</v>
      </c>
      <c r="N493" s="15">
        <f t="shared" si="439"/>
        <v>-8312.4236204482131</v>
      </c>
      <c r="O493" s="15">
        <f t="shared" si="439"/>
        <v>-8336.812339166032</v>
      </c>
      <c r="P493" s="15">
        <f t="shared" si="439"/>
        <v>-8349.257736123529</v>
      </c>
      <c r="Q493" s="15">
        <f t="shared" si="439"/>
        <v>-8348.8993900787118</v>
      </c>
      <c r="R493" s="15">
        <f t="shared" si="439"/>
        <v>-8334.8285936245356</v>
      </c>
      <c r="S493" s="15">
        <f t="shared" si="439"/>
        <v>-8306.0858335783305</v>
      </c>
      <c r="T493" s="15">
        <f t="shared" si="439"/>
        <v>-8261.6581432851381</v>
      </c>
      <c r="U493" s="15">
        <f t="shared" si="439"/>
        <v>-8200.4763203877137</v>
      </c>
      <c r="V493" s="15">
        <f t="shared" si="439"/>
        <v>-8121.4120032940764</v>
      </c>
      <c r="W493" s="15">
        <f t="shared" si="439"/>
        <v>-8023.2745992333193</v>
      </c>
      <c r="X493" s="15">
        <f t="shared" si="439"/>
        <v>-13117.804589768259</v>
      </c>
      <c r="Y493" s="15">
        <f t="shared" si="439"/>
        <v>-12977.68400592457</v>
      </c>
      <c r="Z493" s="15">
        <f t="shared" si="439"/>
        <v>-12814.512064705286</v>
      </c>
      <c r="AA493" s="15"/>
      <c r="AB493" s="15"/>
      <c r="AC493" s="15"/>
      <c r="AD493" s="15"/>
      <c r="AE493" s="15"/>
      <c r="AF493" s="15"/>
      <c r="AG493" s="15"/>
      <c r="AH493" s="15"/>
      <c r="AI493" s="15"/>
      <c r="AJ493" s="15"/>
    </row>
    <row r="494" spans="1:36" s="16" customFormat="1" x14ac:dyDescent="0.25">
      <c r="A494" s="16" t="s">
        <v>424</v>
      </c>
      <c r="H494" s="270" t="s">
        <v>499</v>
      </c>
      <c r="I494" s="271" t="str">
        <f t="shared" si="438"/>
        <v>tr. VND</v>
      </c>
      <c r="K494" s="272">
        <f>K492+K493</f>
        <v>-300749.80000000005</v>
      </c>
      <c r="L494" s="272">
        <f t="shared" ref="L494:AJ494" si="440">L492+L493</f>
        <v>21310.607802805247</v>
      </c>
      <c r="M494" s="272">
        <f t="shared" si="440"/>
        <v>37342.796190359331</v>
      </c>
      <c r="N494" s="272">
        <f t="shared" si="440"/>
        <v>58312.177815126182</v>
      </c>
      <c r="O494" s="272">
        <f t="shared" si="440"/>
        <v>58409.732689997458</v>
      </c>
      <c r="P494" s="272">
        <f t="shared" si="440"/>
        <v>58459.514277827446</v>
      </c>
      <c r="Q494" s="272">
        <f t="shared" si="440"/>
        <v>58458.080893648184</v>
      </c>
      <c r="R494" s="272">
        <f t="shared" si="440"/>
        <v>58401.797707831473</v>
      </c>
      <c r="S494" s="272">
        <f t="shared" si="440"/>
        <v>58286.826667646659</v>
      </c>
      <c r="T494" s="272">
        <f t="shared" si="440"/>
        <v>58109.115906473889</v>
      </c>
      <c r="U494" s="272">
        <f t="shared" si="440"/>
        <v>57864.388614884192</v>
      </c>
      <c r="V494" s="272">
        <f t="shared" si="440"/>
        <v>57548.131346509639</v>
      </c>
      <c r="W494" s="272">
        <f t="shared" si="440"/>
        <v>57155.581730266611</v>
      </c>
      <c r="X494" s="272">
        <f t="shared" si="440"/>
        <v>52471.218359073027</v>
      </c>
      <c r="Y494" s="272">
        <f t="shared" si="440"/>
        <v>51910.736023698279</v>
      </c>
      <c r="Z494" s="272">
        <f t="shared" si="440"/>
        <v>51258.048258821145</v>
      </c>
      <c r="AA494" s="272"/>
      <c r="AB494" s="272"/>
      <c r="AC494" s="272"/>
      <c r="AD494" s="272"/>
      <c r="AE494" s="272"/>
      <c r="AF494" s="272"/>
      <c r="AG494" s="272"/>
      <c r="AH494" s="272"/>
      <c r="AI494" s="272"/>
      <c r="AJ494" s="272"/>
    </row>
    <row r="495" spans="1:36" x14ac:dyDescent="0.25">
      <c r="A495" t="s">
        <v>424</v>
      </c>
      <c r="H495" t="s">
        <v>500</v>
      </c>
      <c r="K495" s="95">
        <f>INDEX('Cover Page'!$H$23:$AJ$23,MATCH($A495,'Cover Page'!$H$5:$AJ$5,0))</f>
        <v>7.2660000000000016E-2</v>
      </c>
    </row>
    <row r="496" spans="1:36" s="16" customFormat="1" x14ac:dyDescent="0.25">
      <c r="A496" s="16" t="s">
        <v>424</v>
      </c>
      <c r="D496" s="16" t="s">
        <v>515</v>
      </c>
      <c r="H496" s="270" t="s">
        <v>501</v>
      </c>
      <c r="I496" s="271" t="str">
        <f t="shared" si="438"/>
        <v>tr. VND</v>
      </c>
      <c r="K496" s="272">
        <f>K494/POWER(1+$K495,K$14)</f>
        <v>-300749.80000000005</v>
      </c>
      <c r="L496" s="272">
        <f t="shared" ref="L496:AJ496" si="441">L494/POWER(1+$K495,L$14)</f>
        <v>19867.066733918713</v>
      </c>
      <c r="M496" s="272">
        <f t="shared" si="441"/>
        <v>32455.078402400875</v>
      </c>
      <c r="N496" s="272">
        <f t="shared" si="441"/>
        <v>47246.865774397855</v>
      </c>
      <c r="O496" s="272">
        <f t="shared" si="441"/>
        <v>44120.139324320582</v>
      </c>
      <c r="P496" s="272">
        <f t="shared" si="441"/>
        <v>41166.578545912067</v>
      </c>
      <c r="Q496" s="272">
        <f t="shared" si="441"/>
        <v>38377.089825074407</v>
      </c>
      <c r="R496" s="272">
        <f t="shared" si="441"/>
        <v>35743.050482022336</v>
      </c>
      <c r="S496" s="272">
        <f t="shared" si="441"/>
        <v>33256.284322109212</v>
      </c>
      <c r="T496" s="272">
        <f t="shared" si="441"/>
        <v>30909.038470028998</v>
      </c>
      <c r="U496" s="272">
        <f t="shared" si="441"/>
        <v>28693.961418906238</v>
      </c>
      <c r="V496" s="272">
        <f t="shared" si="441"/>
        <v>26604.082229519827</v>
      </c>
      <c r="W496" s="272">
        <f t="shared" si="441"/>
        <v>24632.790818426478</v>
      </c>
      <c r="X496" s="272">
        <f t="shared" si="441"/>
        <v>21082.107913834159</v>
      </c>
      <c r="Y496" s="272">
        <f t="shared" si="441"/>
        <v>19444.106195726254</v>
      </c>
      <c r="Z496" s="272">
        <f t="shared" si="441"/>
        <v>17899.082816819497</v>
      </c>
      <c r="AA496" s="272"/>
      <c r="AB496" s="272"/>
      <c r="AC496" s="272"/>
      <c r="AD496" s="272"/>
      <c r="AE496" s="272"/>
      <c r="AF496" s="272"/>
      <c r="AG496" s="272"/>
      <c r="AH496" s="272"/>
      <c r="AI496" s="272"/>
      <c r="AJ496" s="272"/>
    </row>
    <row r="497" spans="1:36" x14ac:dyDescent="0.25">
      <c r="A497" t="s">
        <v>424</v>
      </c>
      <c r="H497" t="s">
        <v>503</v>
      </c>
      <c r="I497" s="65" t="str">
        <f t="shared" si="438"/>
        <v>tr. VND</v>
      </c>
      <c r="K497" s="15">
        <f>SUM($K496:K496)</f>
        <v>-300749.80000000005</v>
      </c>
      <c r="L497" s="15">
        <f>SUM($K496:L496)</f>
        <v>-280882.73326608131</v>
      </c>
      <c r="M497" s="15">
        <f>SUM($K496:M496)</f>
        <v>-248427.65486368042</v>
      </c>
      <c r="N497" s="15">
        <f>SUM($K496:N496)</f>
        <v>-201180.78908928257</v>
      </c>
      <c r="O497" s="15">
        <f>SUM($K496:O496)</f>
        <v>-157060.64976496197</v>
      </c>
      <c r="P497" s="15">
        <f>SUM($K496:P496)</f>
        <v>-115894.0712190499</v>
      </c>
      <c r="Q497" s="15">
        <f>SUM($K496:Q496)</f>
        <v>-77516.981393975497</v>
      </c>
      <c r="R497" s="15">
        <f>SUM($K496:R496)</f>
        <v>-41773.930911953161</v>
      </c>
      <c r="S497" s="15">
        <f>SUM($K496:S496)</f>
        <v>-8517.6465898439492</v>
      </c>
      <c r="T497" s="15">
        <f>SUM($K496:T496)</f>
        <v>22391.391880185049</v>
      </c>
      <c r="U497" s="15">
        <f>SUM($K496:U496)</f>
        <v>51085.353299091286</v>
      </c>
      <c r="V497" s="15">
        <f>SUM($K496:V496)</f>
        <v>77689.435528611109</v>
      </c>
      <c r="W497" s="15">
        <f>SUM($K496:W496)</f>
        <v>102322.22634703759</v>
      </c>
      <c r="X497" s="15">
        <f>SUM($K496:X496)</f>
        <v>123404.33426087175</v>
      </c>
      <c r="Y497" s="15">
        <f>SUM($K496:Y496)</f>
        <v>142848.44045659801</v>
      </c>
      <c r="Z497" s="15">
        <f>SUM($K496:Z496)</f>
        <v>160747.52327341749</v>
      </c>
      <c r="AA497" s="15"/>
      <c r="AB497" s="15"/>
      <c r="AC497" s="15"/>
      <c r="AD497" s="15"/>
      <c r="AE497" s="15"/>
      <c r="AF497" s="15"/>
      <c r="AG497" s="15"/>
      <c r="AH497" s="15"/>
      <c r="AI497" s="15"/>
      <c r="AJ497" s="15"/>
    </row>
    <row r="498" spans="1:36" x14ac:dyDescent="0.25">
      <c r="A498" t="s">
        <v>424</v>
      </c>
    </row>
    <row r="499" spans="1:36" ht="15.75" thickBot="1" x14ac:dyDescent="0.3">
      <c r="A499" t="s">
        <v>424</v>
      </c>
    </row>
    <row r="500" spans="1:36" x14ac:dyDescent="0.25">
      <c r="A500" t="s">
        <v>424</v>
      </c>
      <c r="D500" t="s">
        <v>544</v>
      </c>
      <c r="H500" s="96" t="s">
        <v>401</v>
      </c>
      <c r="I500" s="310" t="str">
        <f t="shared" si="438"/>
        <v>tr. VND</v>
      </c>
      <c r="J500" s="311"/>
      <c r="K500" s="97">
        <f>SUM(K496:AJ496)</f>
        <v>160747.52327341749</v>
      </c>
      <c r="L500" s="263"/>
      <c r="M500" s="70"/>
      <c r="N500" s="70"/>
    </row>
    <row r="501" spans="1:36" x14ac:dyDescent="0.25">
      <c r="A501" t="s">
        <v>424</v>
      </c>
      <c r="D501" t="s">
        <v>516</v>
      </c>
      <c r="H501" s="212" t="s">
        <v>402</v>
      </c>
      <c r="I501" s="255"/>
      <c r="J501" s="48"/>
      <c r="K501" s="314">
        <f>IFERROR(IRR(K494:AJ494),0)</f>
        <v>0.14321796256466768</v>
      </c>
    </row>
    <row r="502" spans="1:36" ht="15.75" thickBot="1" x14ac:dyDescent="0.3">
      <c r="A502" t="s">
        <v>424</v>
      </c>
      <c r="D502" t="s">
        <v>517</v>
      </c>
      <c r="H502" s="98" t="s">
        <v>403</v>
      </c>
      <c r="I502" s="312" t="s">
        <v>290</v>
      </c>
      <c r="J502" s="313"/>
      <c r="K502" s="315" cm="1">
        <f t="array" ref="K502">ROUNDUP(IF(K500&lt;0,0,INDEX(K$14:AJ$14,,MATCH(_xlfn.MINIFS(K497:AJ497,K497:AJ497,"&gt;"&amp;0),K497:AJ497))-1-INDEX(K497:AJ497,,MATCH(_xlfn.MINIFS(K497:AJ497,K497:AJ497,"&gt;"&amp;0),K497:AJ497)-1)/INDEX(K496:AJ496,,MATCH(_xlfn.MINIFS(K497:AJ497,K497:AJ497,"&gt;"&amp;0),K497:AJ497))),1)</f>
        <v>8.2999999999999989</v>
      </c>
    </row>
    <row r="503" spans="1:36" x14ac:dyDescent="0.25">
      <c r="A503" t="s">
        <v>424</v>
      </c>
      <c r="H503" s="316" t="str">
        <f>INT(K502)&amp;" năm"&amp;IF(MOD(K502,1)*12=0,," "&amp;TEXT(MOD(K502,1)*12,"00")&amp;" tháng")</f>
        <v>8 năm 04 tháng</v>
      </c>
    </row>
    <row r="504" spans="1:36" x14ac:dyDescent="0.25">
      <c r="A504" t="s">
        <v>424</v>
      </c>
    </row>
    <row r="505" spans="1:36" x14ac:dyDescent="0.25">
      <c r="A505" t="s">
        <v>424</v>
      </c>
    </row>
    <row r="506" spans="1:36" s="304" customFormat="1" x14ac:dyDescent="0.25">
      <c r="I506" s="305"/>
    </row>
    <row r="507" spans="1:36" s="631" customFormat="1" ht="19.5" x14ac:dyDescent="0.3">
      <c r="A507" s="631" t="s">
        <v>696</v>
      </c>
      <c r="H507" s="632" t="s">
        <v>696</v>
      </c>
      <c r="K507" s="633"/>
      <c r="L507" s="633"/>
      <c r="M507" s="633"/>
      <c r="N507" s="633"/>
      <c r="O507" s="633"/>
      <c r="P507" s="633"/>
      <c r="Q507" s="633"/>
      <c r="R507" s="633"/>
      <c r="S507" s="633"/>
      <c r="T507" s="633"/>
      <c r="U507" s="633"/>
      <c r="V507" s="633"/>
      <c r="W507" s="633"/>
      <c r="X507" s="633"/>
      <c r="Y507" s="633"/>
      <c r="Z507" s="633"/>
      <c r="AA507" s="633"/>
      <c r="AB507" s="633"/>
      <c r="AC507" s="633"/>
      <c r="AD507" s="633"/>
      <c r="AE507" s="633"/>
      <c r="AF507" s="633"/>
      <c r="AG507" s="633"/>
      <c r="AH507" s="633"/>
      <c r="AI507" s="633"/>
      <c r="AJ507" s="633"/>
    </row>
    <row r="508" spans="1:36" x14ac:dyDescent="0.25">
      <c r="A508" t="s">
        <v>696</v>
      </c>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row>
    <row r="509" spans="1:36" s="24" customFormat="1" ht="17.25" x14ac:dyDescent="0.3">
      <c r="A509" s="24" t="s">
        <v>696</v>
      </c>
      <c r="H509" s="24" t="s">
        <v>669</v>
      </c>
      <c r="K509" s="634"/>
      <c r="L509" s="634"/>
      <c r="M509" s="634"/>
      <c r="N509" s="634"/>
      <c r="O509" s="634"/>
      <c r="P509" s="634"/>
      <c r="Q509" s="634"/>
      <c r="R509" s="634"/>
      <c r="S509" s="634"/>
      <c r="T509" s="634"/>
      <c r="U509" s="634"/>
      <c r="V509" s="634"/>
      <c r="W509" s="634"/>
      <c r="X509" s="634"/>
      <c r="Y509" s="634"/>
      <c r="Z509" s="634"/>
      <c r="AA509" s="634"/>
      <c r="AB509" s="634"/>
      <c r="AC509" s="634"/>
      <c r="AD509" s="634"/>
      <c r="AE509" s="634"/>
      <c r="AF509" s="634"/>
      <c r="AG509" s="634"/>
      <c r="AH509" s="634"/>
      <c r="AI509" s="634"/>
      <c r="AJ509" s="634"/>
    </row>
    <row r="510" spans="1:36" x14ac:dyDescent="0.25">
      <c r="A510" t="s">
        <v>696</v>
      </c>
      <c r="H510" s="459" t="s">
        <v>427</v>
      </c>
      <c r="I510" s="493" t="s">
        <v>436</v>
      </c>
      <c r="K510" s="548"/>
      <c r="L510" s="548">
        <f t="shared" ref="L510:AA511" si="442">Capacity*24*365</f>
        <v>7568640</v>
      </c>
      <c r="M510" s="548">
        <f t="shared" si="442"/>
        <v>7568640</v>
      </c>
      <c r="N510" s="548">
        <f t="shared" si="442"/>
        <v>7568640</v>
      </c>
      <c r="O510" s="548">
        <f t="shared" si="442"/>
        <v>7568640</v>
      </c>
      <c r="P510" s="548">
        <f t="shared" si="442"/>
        <v>7568640</v>
      </c>
      <c r="Q510" s="548">
        <f t="shared" si="442"/>
        <v>7568640</v>
      </c>
      <c r="R510" s="548">
        <f t="shared" si="442"/>
        <v>7568640</v>
      </c>
      <c r="S510" s="548">
        <f t="shared" si="442"/>
        <v>7568640</v>
      </c>
      <c r="T510" s="548">
        <f t="shared" si="442"/>
        <v>7568640</v>
      </c>
      <c r="U510" s="548">
        <f t="shared" si="442"/>
        <v>7568640</v>
      </c>
      <c r="V510" s="548">
        <f t="shared" si="442"/>
        <v>7568640</v>
      </c>
      <c r="W510" s="548">
        <f t="shared" si="442"/>
        <v>7568640</v>
      </c>
      <c r="X510" s="548">
        <f t="shared" si="442"/>
        <v>7568640</v>
      </c>
      <c r="Y510" s="548">
        <f t="shared" si="442"/>
        <v>7568640</v>
      </c>
      <c r="Z510" s="548">
        <f t="shared" si="442"/>
        <v>7568640</v>
      </c>
      <c r="AA510" s="548"/>
      <c r="AB510" s="548"/>
      <c r="AC510" s="548"/>
      <c r="AD510" s="548"/>
      <c r="AE510" s="548"/>
      <c r="AF510" s="548"/>
      <c r="AG510" s="548"/>
      <c r="AH510" s="548"/>
      <c r="AI510" s="548"/>
      <c r="AJ510" s="548"/>
    </row>
    <row r="511" spans="1:36" x14ac:dyDescent="0.25">
      <c r="A511" t="s">
        <v>696</v>
      </c>
      <c r="H511" s="454" t="s">
        <v>427</v>
      </c>
      <c r="I511" s="496" t="s">
        <v>320</v>
      </c>
      <c r="K511" s="549"/>
      <c r="L511" s="549">
        <f t="shared" si="442"/>
        <v>7568640</v>
      </c>
      <c r="M511" s="549">
        <f t="shared" si="442"/>
        <v>7568640</v>
      </c>
      <c r="N511" s="549">
        <f t="shared" si="442"/>
        <v>7568640</v>
      </c>
      <c r="O511" s="549">
        <f t="shared" si="442"/>
        <v>7568640</v>
      </c>
      <c r="P511" s="549">
        <f t="shared" si="442"/>
        <v>7568640</v>
      </c>
      <c r="Q511" s="549">
        <f t="shared" si="442"/>
        <v>7568640</v>
      </c>
      <c r="R511" s="549">
        <f t="shared" si="442"/>
        <v>7568640</v>
      </c>
      <c r="S511" s="549">
        <f t="shared" si="442"/>
        <v>7568640</v>
      </c>
      <c r="T511" s="549">
        <f t="shared" si="442"/>
        <v>7568640</v>
      </c>
      <c r="U511" s="549">
        <f t="shared" si="442"/>
        <v>7568640</v>
      </c>
      <c r="V511" s="549">
        <f t="shared" si="442"/>
        <v>7568640</v>
      </c>
      <c r="W511" s="549">
        <f t="shared" si="442"/>
        <v>7568640</v>
      </c>
      <c r="X511" s="549">
        <f t="shared" si="442"/>
        <v>7568640</v>
      </c>
      <c r="Y511" s="549">
        <f t="shared" si="442"/>
        <v>7568640</v>
      </c>
      <c r="Z511" s="549">
        <f t="shared" si="442"/>
        <v>7568640</v>
      </c>
      <c r="AA511" s="549"/>
      <c r="AB511" s="549"/>
      <c r="AC511" s="549"/>
      <c r="AD511" s="549"/>
      <c r="AE511" s="549"/>
      <c r="AF511" s="549"/>
      <c r="AG511" s="549"/>
      <c r="AH511" s="549"/>
      <c r="AI511" s="549"/>
      <c r="AJ511" s="549"/>
    </row>
    <row r="512" spans="1:36" s="250" customFormat="1" x14ac:dyDescent="0.25">
      <c r="A512" s="250" t="s">
        <v>696</v>
      </c>
      <c r="H512" s="536" t="s">
        <v>460</v>
      </c>
      <c r="I512" s="547"/>
      <c r="K512" s="550"/>
      <c r="L512" s="551">
        <v>0.88</v>
      </c>
      <c r="M512" s="551">
        <v>0.88</v>
      </c>
      <c r="N512" s="551">
        <v>0.88</v>
      </c>
      <c r="O512" s="551">
        <v>0.88</v>
      </c>
      <c r="P512" s="551">
        <v>0.88</v>
      </c>
      <c r="Q512" s="551">
        <v>0.88</v>
      </c>
      <c r="R512" s="551">
        <v>0.88</v>
      </c>
      <c r="S512" s="551">
        <v>0.88</v>
      </c>
      <c r="T512" s="551">
        <v>0.88</v>
      </c>
      <c r="U512" s="551">
        <v>0.88</v>
      </c>
      <c r="V512" s="551">
        <v>0.88</v>
      </c>
      <c r="W512" s="551">
        <v>0.88</v>
      </c>
      <c r="X512" s="551">
        <v>0.88</v>
      </c>
      <c r="Y512" s="551">
        <v>0.88</v>
      </c>
      <c r="Z512" s="551">
        <v>0.88</v>
      </c>
      <c r="AA512" s="551"/>
      <c r="AB512" s="551"/>
      <c r="AC512" s="551"/>
      <c r="AD512" s="551"/>
      <c r="AE512" s="551"/>
      <c r="AF512" s="551"/>
      <c r="AG512" s="551"/>
      <c r="AH512" s="551"/>
      <c r="AI512" s="551"/>
      <c r="AJ512" s="551"/>
    </row>
    <row r="513" spans="1:36" s="250" customFormat="1" x14ac:dyDescent="0.25">
      <c r="A513" s="250" t="s">
        <v>696</v>
      </c>
      <c r="H513" s="536" t="s">
        <v>461</v>
      </c>
      <c r="I513" s="547"/>
      <c r="K513" s="550"/>
      <c r="L513" s="551">
        <v>0.5</v>
      </c>
      <c r="M513" s="551">
        <v>0.7</v>
      </c>
      <c r="N513" s="551">
        <v>1</v>
      </c>
      <c r="O513" s="551">
        <v>1</v>
      </c>
      <c r="P513" s="551">
        <v>1</v>
      </c>
      <c r="Q513" s="551">
        <v>1</v>
      </c>
      <c r="R513" s="551">
        <v>1</v>
      </c>
      <c r="S513" s="551">
        <v>1</v>
      </c>
      <c r="T513" s="551">
        <v>1</v>
      </c>
      <c r="U513" s="551">
        <v>1</v>
      </c>
      <c r="V513" s="551">
        <v>1</v>
      </c>
      <c r="W513" s="551">
        <v>1</v>
      </c>
      <c r="X513" s="551">
        <v>1</v>
      </c>
      <c r="Y513" s="551">
        <v>1</v>
      </c>
      <c r="Z513" s="551">
        <v>1</v>
      </c>
      <c r="AA513" s="551"/>
      <c r="AB513" s="551"/>
      <c r="AC513" s="551"/>
      <c r="AD513" s="551"/>
      <c r="AE513" s="551"/>
      <c r="AF513" s="551"/>
      <c r="AG513" s="551"/>
      <c r="AH513" s="551"/>
      <c r="AI513" s="551"/>
      <c r="AJ513" s="551"/>
    </row>
    <row r="514" spans="1:36" x14ac:dyDescent="0.25">
      <c r="A514" t="s">
        <v>696</v>
      </c>
      <c r="B514" t="s">
        <v>437</v>
      </c>
      <c r="H514" s="454" t="s">
        <v>70</v>
      </c>
      <c r="I514" s="496"/>
      <c r="K514" s="549"/>
      <c r="L514" s="552" cm="1">
        <f t="array" ref="L514">SUMPRODUCT('W2'!$M$12:$V$112*('W2'!$M$7:$V$7=$A514)*('W2'!$A$12:$A$112=$B514))</f>
        <v>7.0000000000000007E-2</v>
      </c>
      <c r="M514" s="552">
        <f>L514</f>
        <v>7.0000000000000007E-2</v>
      </c>
      <c r="N514" s="552">
        <f t="shared" ref="N514" si="443">M514</f>
        <v>7.0000000000000007E-2</v>
      </c>
      <c r="O514" s="552">
        <f t="shared" ref="O514" si="444">N514</f>
        <v>7.0000000000000007E-2</v>
      </c>
      <c r="P514" s="552">
        <f t="shared" ref="P514" si="445">O514</f>
        <v>7.0000000000000007E-2</v>
      </c>
      <c r="Q514" s="552">
        <f t="shared" ref="Q514" si="446">P514</f>
        <v>7.0000000000000007E-2</v>
      </c>
      <c r="R514" s="552">
        <f t="shared" ref="R514" si="447">Q514</f>
        <v>7.0000000000000007E-2</v>
      </c>
      <c r="S514" s="552">
        <f t="shared" ref="S514" si="448">R514</f>
        <v>7.0000000000000007E-2</v>
      </c>
      <c r="T514" s="552">
        <f t="shared" ref="T514" si="449">S514</f>
        <v>7.0000000000000007E-2</v>
      </c>
      <c r="U514" s="552">
        <f t="shared" ref="U514" si="450">T514</f>
        <v>7.0000000000000007E-2</v>
      </c>
      <c r="V514" s="552">
        <f t="shared" ref="V514" si="451">U514</f>
        <v>7.0000000000000007E-2</v>
      </c>
      <c r="W514" s="552">
        <f t="shared" ref="W514" si="452">V514</f>
        <v>7.0000000000000007E-2</v>
      </c>
      <c r="X514" s="552">
        <f t="shared" ref="X514" si="453">W514</f>
        <v>7.0000000000000007E-2</v>
      </c>
      <c r="Y514" s="552">
        <f t="shared" ref="Y514" si="454">X514</f>
        <v>7.0000000000000007E-2</v>
      </c>
      <c r="Z514" s="552">
        <f t="shared" ref="Z514" si="455">Y514</f>
        <v>7.0000000000000007E-2</v>
      </c>
      <c r="AA514" s="552"/>
      <c r="AB514" s="552"/>
      <c r="AC514" s="552"/>
      <c r="AD514" s="552"/>
      <c r="AE514" s="552"/>
      <c r="AF514" s="552"/>
      <c r="AG514" s="552"/>
      <c r="AH514" s="552"/>
      <c r="AI514" s="552"/>
      <c r="AJ514" s="552"/>
    </row>
    <row r="515" spans="1:36" x14ac:dyDescent="0.25">
      <c r="A515" t="s">
        <v>696</v>
      </c>
      <c r="H515" s="454" t="s">
        <v>59</v>
      </c>
      <c r="I515" s="496"/>
      <c r="K515" s="549"/>
      <c r="L515" s="549">
        <f>365*L512*L513</f>
        <v>160.6</v>
      </c>
      <c r="M515" s="549">
        <f t="shared" ref="M515:AJ515" si="456">365*M512*M513</f>
        <v>224.83999999999997</v>
      </c>
      <c r="N515" s="549">
        <f t="shared" si="456"/>
        <v>321.2</v>
      </c>
      <c r="O515" s="549">
        <f t="shared" si="456"/>
        <v>321.2</v>
      </c>
      <c r="P515" s="549">
        <f t="shared" si="456"/>
        <v>321.2</v>
      </c>
      <c r="Q515" s="549">
        <f t="shared" si="456"/>
        <v>321.2</v>
      </c>
      <c r="R515" s="549">
        <f t="shared" si="456"/>
        <v>321.2</v>
      </c>
      <c r="S515" s="549">
        <f t="shared" si="456"/>
        <v>321.2</v>
      </c>
      <c r="T515" s="549">
        <f t="shared" si="456"/>
        <v>321.2</v>
      </c>
      <c r="U515" s="549">
        <f t="shared" si="456"/>
        <v>321.2</v>
      </c>
      <c r="V515" s="549">
        <f t="shared" si="456"/>
        <v>321.2</v>
      </c>
      <c r="W515" s="549">
        <f t="shared" si="456"/>
        <v>321.2</v>
      </c>
      <c r="X515" s="549">
        <f t="shared" si="456"/>
        <v>321.2</v>
      </c>
      <c r="Y515" s="549">
        <f t="shared" si="456"/>
        <v>321.2</v>
      </c>
      <c r="Z515" s="549">
        <f t="shared" si="456"/>
        <v>321.2</v>
      </c>
      <c r="AA515" s="549"/>
      <c r="AB515" s="549"/>
      <c r="AC515" s="549"/>
      <c r="AD515" s="549"/>
      <c r="AE515" s="549"/>
      <c r="AF515" s="549"/>
      <c r="AG515" s="549"/>
      <c r="AH515" s="549"/>
      <c r="AI515" s="549"/>
      <c r="AJ515" s="549"/>
    </row>
    <row r="516" spans="1:36" x14ac:dyDescent="0.25">
      <c r="A516" t="s">
        <v>696</v>
      </c>
      <c r="C516" t="s">
        <v>574</v>
      </c>
      <c r="H516" s="454" t="s">
        <v>202</v>
      </c>
      <c r="I516" s="496" t="s">
        <v>436</v>
      </c>
      <c r="K516" s="549"/>
      <c r="L516" s="549">
        <f>L510*L512*(1-L514)*L513</f>
        <v>3097087.4879999999</v>
      </c>
      <c r="M516" s="549">
        <f t="shared" ref="M516:AJ516" si="457">M510*M512*(1-M514)*M513</f>
        <v>4335922.4831999997</v>
      </c>
      <c r="N516" s="549">
        <f t="shared" si="457"/>
        <v>6194174.9759999998</v>
      </c>
      <c r="O516" s="549">
        <f t="shared" si="457"/>
        <v>6194174.9759999998</v>
      </c>
      <c r="P516" s="549">
        <f t="shared" si="457"/>
        <v>6194174.9759999998</v>
      </c>
      <c r="Q516" s="549">
        <f t="shared" si="457"/>
        <v>6194174.9759999998</v>
      </c>
      <c r="R516" s="549">
        <f t="shared" si="457"/>
        <v>6194174.9759999998</v>
      </c>
      <c r="S516" s="549">
        <f t="shared" si="457"/>
        <v>6194174.9759999998</v>
      </c>
      <c r="T516" s="549">
        <f t="shared" si="457"/>
        <v>6194174.9759999998</v>
      </c>
      <c r="U516" s="549">
        <f t="shared" si="457"/>
        <v>6194174.9759999998</v>
      </c>
      <c r="V516" s="549">
        <f t="shared" si="457"/>
        <v>6194174.9759999998</v>
      </c>
      <c r="W516" s="549">
        <f t="shared" si="457"/>
        <v>6194174.9759999998</v>
      </c>
      <c r="X516" s="549">
        <f t="shared" si="457"/>
        <v>6194174.9759999998</v>
      </c>
      <c r="Y516" s="549">
        <f t="shared" si="457"/>
        <v>6194174.9759999998</v>
      </c>
      <c r="Z516" s="549">
        <f t="shared" si="457"/>
        <v>6194174.9759999998</v>
      </c>
      <c r="AA516" s="549"/>
      <c r="AB516" s="549"/>
      <c r="AC516" s="549"/>
      <c r="AD516" s="549"/>
      <c r="AE516" s="549"/>
      <c r="AF516" s="549"/>
      <c r="AG516" s="549"/>
      <c r="AH516" s="549"/>
      <c r="AI516" s="549"/>
      <c r="AJ516" s="549"/>
    </row>
    <row r="517" spans="1:36" x14ac:dyDescent="0.25">
      <c r="A517" t="s">
        <v>696</v>
      </c>
      <c r="C517" t="s">
        <v>575</v>
      </c>
      <c r="H517" s="454" t="s">
        <v>202</v>
      </c>
      <c r="I517" s="496" t="s">
        <v>320</v>
      </c>
      <c r="K517" s="549"/>
      <c r="L517" s="549">
        <f t="shared" ref="L517:AJ517" si="458">L516*PHOI_KG</f>
        <v>206472499.20000002</v>
      </c>
      <c r="M517" s="549">
        <f t="shared" si="458"/>
        <v>289061498.88</v>
      </c>
      <c r="N517" s="549">
        <f t="shared" si="458"/>
        <v>412944998.40000004</v>
      </c>
      <c r="O517" s="549">
        <f t="shared" si="458"/>
        <v>412944998.40000004</v>
      </c>
      <c r="P517" s="549">
        <f t="shared" si="458"/>
        <v>412944998.40000004</v>
      </c>
      <c r="Q517" s="549">
        <f t="shared" si="458"/>
        <v>412944998.40000004</v>
      </c>
      <c r="R517" s="549">
        <f t="shared" si="458"/>
        <v>412944998.40000004</v>
      </c>
      <c r="S517" s="549">
        <f t="shared" si="458"/>
        <v>412944998.40000004</v>
      </c>
      <c r="T517" s="549">
        <f t="shared" si="458"/>
        <v>412944998.40000004</v>
      </c>
      <c r="U517" s="549">
        <f t="shared" si="458"/>
        <v>412944998.40000004</v>
      </c>
      <c r="V517" s="549">
        <f t="shared" si="458"/>
        <v>412944998.40000004</v>
      </c>
      <c r="W517" s="549">
        <f t="shared" si="458"/>
        <v>412944998.40000004</v>
      </c>
      <c r="X517" s="549">
        <f t="shared" si="458"/>
        <v>412944998.40000004</v>
      </c>
      <c r="Y517" s="549">
        <f t="shared" si="458"/>
        <v>412944998.40000004</v>
      </c>
      <c r="Z517" s="549">
        <f t="shared" si="458"/>
        <v>412944998.40000004</v>
      </c>
      <c r="AA517" s="549"/>
      <c r="AB517" s="549"/>
      <c r="AC517" s="549"/>
      <c r="AD517" s="549"/>
      <c r="AE517" s="549"/>
      <c r="AF517" s="549"/>
      <c r="AG517" s="549"/>
      <c r="AH517" s="549"/>
      <c r="AI517" s="549"/>
      <c r="AJ517" s="549"/>
    </row>
    <row r="518" spans="1:36" x14ac:dyDescent="0.25">
      <c r="A518" t="s">
        <v>696</v>
      </c>
      <c r="K518" s="243"/>
      <c r="L518" s="243"/>
      <c r="M518" s="243"/>
      <c r="N518" s="243"/>
      <c r="O518" s="243"/>
      <c r="P518" s="243"/>
      <c r="Q518" s="243"/>
      <c r="R518" s="243"/>
      <c r="S518" s="243"/>
      <c r="T518" s="243"/>
      <c r="U518" s="243"/>
      <c r="V518" s="243"/>
      <c r="W518" s="243"/>
      <c r="X518" s="243"/>
      <c r="Y518" s="243"/>
      <c r="Z518" s="243"/>
      <c r="AA518" s="243"/>
      <c r="AB518" s="243"/>
      <c r="AC518" s="243"/>
      <c r="AD518" s="243"/>
      <c r="AE518" s="243"/>
      <c r="AF518" s="243"/>
      <c r="AG518" s="243"/>
      <c r="AH518" s="243"/>
      <c r="AI518" s="243"/>
      <c r="AJ518" s="243"/>
    </row>
    <row r="519" spans="1:36" s="24" customFormat="1" ht="17.25" x14ac:dyDescent="0.3">
      <c r="A519" s="24" t="s">
        <v>696</v>
      </c>
      <c r="H519" s="24" t="s">
        <v>670</v>
      </c>
      <c r="K519" s="635"/>
      <c r="L519" s="635"/>
      <c r="M519" s="635"/>
      <c r="N519" s="635"/>
      <c r="O519" s="635"/>
      <c r="P519" s="635"/>
      <c r="Q519" s="635"/>
      <c r="R519" s="635"/>
      <c r="S519" s="635"/>
      <c r="T519" s="635"/>
      <c r="U519" s="635"/>
      <c r="V519" s="635"/>
      <c r="W519" s="635"/>
      <c r="X519" s="635"/>
      <c r="Y519" s="635"/>
      <c r="Z519" s="635"/>
      <c r="AA519" s="635"/>
      <c r="AB519" s="635"/>
      <c r="AC519" s="635"/>
      <c r="AD519" s="635"/>
      <c r="AE519" s="635"/>
      <c r="AF519" s="635"/>
      <c r="AG519" s="635"/>
      <c r="AH519" s="635"/>
      <c r="AI519" s="635"/>
      <c r="AJ519" s="635"/>
    </row>
    <row r="520" spans="1:36" s="250" customFormat="1" x14ac:dyDescent="0.25">
      <c r="A520" s="250" t="s">
        <v>696</v>
      </c>
      <c r="B520" s="250" t="s">
        <v>665</v>
      </c>
      <c r="H520" s="625" t="s">
        <v>663</v>
      </c>
      <c r="I520" s="626" t="s">
        <v>71</v>
      </c>
      <c r="K520" s="627"/>
      <c r="L520" s="630" cm="1">
        <f t="array" ref="L520">SUMPRODUCT('W2'!$M$12:$V$112*('W2'!$M$7:$V$7=$A520)*('W2'!$A$12:$A$112=$B520))</f>
        <v>2.0000000000000001E-4</v>
      </c>
      <c r="M520" s="629">
        <f>L520</f>
        <v>2.0000000000000001E-4</v>
      </c>
      <c r="N520" s="629">
        <f t="shared" ref="N520:N521" si="459">M520</f>
        <v>2.0000000000000001E-4</v>
      </c>
      <c r="O520" s="629">
        <f t="shared" ref="O520:O521" si="460">N520</f>
        <v>2.0000000000000001E-4</v>
      </c>
      <c r="P520" s="629">
        <f t="shared" ref="P520:P521" si="461">O520</f>
        <v>2.0000000000000001E-4</v>
      </c>
      <c r="Q520" s="629">
        <f t="shared" ref="Q520:Q521" si="462">P520</f>
        <v>2.0000000000000001E-4</v>
      </c>
      <c r="R520" s="629">
        <f t="shared" ref="R520:R521" si="463">Q520</f>
        <v>2.0000000000000001E-4</v>
      </c>
      <c r="S520" s="629">
        <f t="shared" ref="S520:S521" si="464">R520</f>
        <v>2.0000000000000001E-4</v>
      </c>
      <c r="T520" s="629">
        <f t="shared" ref="T520:T521" si="465">S520</f>
        <v>2.0000000000000001E-4</v>
      </c>
      <c r="U520" s="629">
        <f t="shared" ref="U520:U521" si="466">T520</f>
        <v>2.0000000000000001E-4</v>
      </c>
      <c r="V520" s="629">
        <f t="shared" ref="V520:V521" si="467">U520</f>
        <v>2.0000000000000001E-4</v>
      </c>
      <c r="W520" s="629">
        <f t="shared" ref="W520:W521" si="468">V520</f>
        <v>2.0000000000000001E-4</v>
      </c>
      <c r="X520" s="629">
        <f t="shared" ref="X520:X521" si="469">W520</f>
        <v>2.0000000000000001E-4</v>
      </c>
      <c r="Y520" s="629">
        <f t="shared" ref="Y520:Y521" si="470">X520</f>
        <v>2.0000000000000001E-4</v>
      </c>
      <c r="Z520" s="629">
        <f t="shared" ref="Z520:Z521" si="471">Y520</f>
        <v>2.0000000000000001E-4</v>
      </c>
      <c r="AA520" s="629"/>
      <c r="AB520" s="629"/>
      <c r="AC520" s="629"/>
      <c r="AD520" s="629"/>
      <c r="AE520" s="629"/>
      <c r="AF520" s="629"/>
      <c r="AG520" s="629"/>
      <c r="AH520" s="629"/>
      <c r="AI520" s="629"/>
      <c r="AJ520" s="629"/>
    </row>
    <row r="521" spans="1:36" s="250" customFormat="1" x14ac:dyDescent="0.25">
      <c r="A521" s="250" t="s">
        <v>696</v>
      </c>
      <c r="B521" s="250" t="s">
        <v>666</v>
      </c>
      <c r="H521" s="536" t="s">
        <v>664</v>
      </c>
      <c r="I521" s="547" t="s">
        <v>71</v>
      </c>
      <c r="K521" s="628"/>
      <c r="L521" s="630" cm="1">
        <f t="array" ref="L521">SUMPRODUCT('W2'!$M$12:$V$112*('W2'!$M$7:$V$7=$A521)*('W2'!$A$12:$A$112=$B521))</f>
        <v>0</v>
      </c>
      <c r="M521" s="629">
        <f>L521</f>
        <v>0</v>
      </c>
      <c r="N521" s="629">
        <f t="shared" si="459"/>
        <v>0</v>
      </c>
      <c r="O521" s="629">
        <f t="shared" si="460"/>
        <v>0</v>
      </c>
      <c r="P521" s="629">
        <f t="shared" si="461"/>
        <v>0</v>
      </c>
      <c r="Q521" s="629">
        <f t="shared" si="462"/>
        <v>0</v>
      </c>
      <c r="R521" s="629">
        <f t="shared" si="463"/>
        <v>0</v>
      </c>
      <c r="S521" s="629">
        <f t="shared" si="464"/>
        <v>0</v>
      </c>
      <c r="T521" s="629">
        <f t="shared" si="465"/>
        <v>0</v>
      </c>
      <c r="U521" s="629">
        <f t="shared" si="466"/>
        <v>0</v>
      </c>
      <c r="V521" s="629">
        <f t="shared" si="467"/>
        <v>0</v>
      </c>
      <c r="W521" s="629">
        <f t="shared" si="468"/>
        <v>0</v>
      </c>
      <c r="X521" s="629">
        <f t="shared" si="469"/>
        <v>0</v>
      </c>
      <c r="Y521" s="629">
        <f t="shared" si="470"/>
        <v>0</v>
      </c>
      <c r="Z521" s="629">
        <f t="shared" si="471"/>
        <v>0</v>
      </c>
      <c r="AA521" s="629"/>
      <c r="AB521" s="629"/>
      <c r="AC521" s="629"/>
      <c r="AD521" s="629"/>
      <c r="AE521" s="629"/>
      <c r="AF521" s="629"/>
      <c r="AG521" s="629"/>
      <c r="AH521" s="629"/>
      <c r="AI521" s="629"/>
      <c r="AJ521" s="629"/>
    </row>
    <row r="522" spans="1:36" x14ac:dyDescent="0.25">
      <c r="A522" t="s">
        <v>696</v>
      </c>
      <c r="H522" s="454" t="s">
        <v>671</v>
      </c>
      <c r="I522" s="496" t="s">
        <v>436</v>
      </c>
      <c r="K522" s="549"/>
      <c r="L522" s="549">
        <f>L520*L516/(1-L514)</f>
        <v>666.04032000000007</v>
      </c>
      <c r="M522" s="549">
        <f>M520*M516/(1-M514)</f>
        <v>932.45644800000014</v>
      </c>
      <c r="N522" s="549">
        <f t="shared" ref="N522:AJ522" si="472">N520*N516/(1-N514)</f>
        <v>1332.0806400000001</v>
      </c>
      <c r="O522" s="549">
        <f t="shared" si="472"/>
        <v>1332.0806400000001</v>
      </c>
      <c r="P522" s="549">
        <f t="shared" si="472"/>
        <v>1332.0806400000001</v>
      </c>
      <c r="Q522" s="549">
        <f t="shared" si="472"/>
        <v>1332.0806400000001</v>
      </c>
      <c r="R522" s="549">
        <f t="shared" si="472"/>
        <v>1332.0806400000001</v>
      </c>
      <c r="S522" s="549">
        <f t="shared" si="472"/>
        <v>1332.0806400000001</v>
      </c>
      <c r="T522" s="549">
        <f t="shared" si="472"/>
        <v>1332.0806400000001</v>
      </c>
      <c r="U522" s="549">
        <f t="shared" si="472"/>
        <v>1332.0806400000001</v>
      </c>
      <c r="V522" s="549">
        <f t="shared" si="472"/>
        <v>1332.0806400000001</v>
      </c>
      <c r="W522" s="549">
        <f t="shared" si="472"/>
        <v>1332.0806400000001</v>
      </c>
      <c r="X522" s="549">
        <f t="shared" si="472"/>
        <v>1332.0806400000001</v>
      </c>
      <c r="Y522" s="549">
        <f t="shared" si="472"/>
        <v>1332.0806400000001</v>
      </c>
      <c r="Z522" s="549">
        <f t="shared" si="472"/>
        <v>1332.0806400000001</v>
      </c>
      <c r="AA522" s="549"/>
      <c r="AB522" s="549"/>
      <c r="AC522" s="549"/>
      <c r="AD522" s="549"/>
      <c r="AE522" s="549"/>
      <c r="AF522" s="549"/>
      <c r="AG522" s="549"/>
      <c r="AH522" s="549"/>
      <c r="AI522" s="549"/>
      <c r="AJ522" s="549"/>
    </row>
    <row r="523" spans="1:36" x14ac:dyDescent="0.25">
      <c r="A523" t="s">
        <v>696</v>
      </c>
      <c r="H523" s="454" t="s">
        <v>675</v>
      </c>
      <c r="I523" s="496" t="s">
        <v>436</v>
      </c>
      <c r="K523" s="549"/>
      <c r="L523" s="549">
        <f>L521*L516/(1-L514)</f>
        <v>0</v>
      </c>
      <c r="M523" s="549">
        <f t="shared" ref="M523:AJ523" si="473">M521*M516/(1-M514)</f>
        <v>0</v>
      </c>
      <c r="N523" s="549">
        <f t="shared" si="473"/>
        <v>0</v>
      </c>
      <c r="O523" s="549">
        <f t="shared" si="473"/>
        <v>0</v>
      </c>
      <c r="P523" s="549">
        <f t="shared" si="473"/>
        <v>0</v>
      </c>
      <c r="Q523" s="549">
        <f t="shared" si="473"/>
        <v>0</v>
      </c>
      <c r="R523" s="549">
        <f t="shared" si="473"/>
        <v>0</v>
      </c>
      <c r="S523" s="549">
        <f t="shared" si="473"/>
        <v>0</v>
      </c>
      <c r="T523" s="549">
        <f t="shared" si="473"/>
        <v>0</v>
      </c>
      <c r="U523" s="549">
        <f t="shared" si="473"/>
        <v>0</v>
      </c>
      <c r="V523" s="549">
        <f t="shared" si="473"/>
        <v>0</v>
      </c>
      <c r="W523" s="549">
        <f t="shared" si="473"/>
        <v>0</v>
      </c>
      <c r="X523" s="549">
        <f t="shared" si="473"/>
        <v>0</v>
      </c>
      <c r="Y523" s="549">
        <f t="shared" si="473"/>
        <v>0</v>
      </c>
      <c r="Z523" s="549">
        <f t="shared" si="473"/>
        <v>0</v>
      </c>
      <c r="AA523" s="549"/>
      <c r="AB523" s="549"/>
      <c r="AC523" s="549"/>
      <c r="AD523" s="549"/>
      <c r="AE523" s="549"/>
      <c r="AF523" s="549"/>
      <c r="AG523" s="549"/>
      <c r="AH523" s="549"/>
      <c r="AI523" s="549"/>
      <c r="AJ523" s="549"/>
    </row>
    <row r="524" spans="1:36" x14ac:dyDescent="0.25">
      <c r="A524" t="s">
        <v>696</v>
      </c>
      <c r="K524" s="243"/>
      <c r="L524" s="243"/>
      <c r="M524" s="243"/>
      <c r="N524" s="243"/>
      <c r="O524" s="243"/>
      <c r="P524" s="243"/>
      <c r="Q524" s="243"/>
      <c r="R524" s="243"/>
      <c r="S524" s="243"/>
      <c r="T524" s="243"/>
      <c r="U524" s="243"/>
      <c r="V524" s="243"/>
      <c r="W524" s="243"/>
      <c r="X524" s="243"/>
      <c r="Y524" s="243"/>
      <c r="Z524" s="243"/>
      <c r="AA524" s="243"/>
      <c r="AB524" s="243"/>
      <c r="AC524" s="243"/>
      <c r="AD524" s="243"/>
      <c r="AE524" s="243"/>
      <c r="AF524" s="243"/>
      <c r="AG524" s="243"/>
      <c r="AH524" s="243"/>
      <c r="AI524" s="243"/>
      <c r="AJ524" s="243"/>
    </row>
    <row r="525" spans="1:36" x14ac:dyDescent="0.25">
      <c r="A525" t="s">
        <v>696</v>
      </c>
      <c r="K525" s="243"/>
      <c r="L525" s="243"/>
      <c r="M525" s="243"/>
      <c r="N525" s="243"/>
      <c r="O525" s="243"/>
      <c r="P525" s="243"/>
      <c r="Q525" s="243"/>
      <c r="R525" s="243"/>
      <c r="S525" s="243"/>
      <c r="T525" s="243"/>
      <c r="U525" s="243"/>
      <c r="V525" s="243"/>
      <c r="W525" s="243"/>
      <c r="X525" s="243"/>
      <c r="Y525" s="243"/>
      <c r="Z525" s="243"/>
      <c r="AA525" s="243"/>
      <c r="AB525" s="243"/>
      <c r="AC525" s="243"/>
      <c r="AD525" s="243"/>
      <c r="AE525" s="243"/>
      <c r="AF525" s="243"/>
      <c r="AG525" s="243"/>
      <c r="AH525" s="243"/>
      <c r="AI525" s="243"/>
      <c r="AJ525" s="243"/>
    </row>
    <row r="526" spans="1:36" x14ac:dyDescent="0.25">
      <c r="A526" t="s">
        <v>696</v>
      </c>
      <c r="K526" s="243"/>
      <c r="L526" s="243"/>
      <c r="M526" s="243"/>
      <c r="N526" s="243"/>
      <c r="O526" s="243"/>
      <c r="P526" s="243"/>
      <c r="Q526" s="243"/>
      <c r="R526" s="243"/>
      <c r="S526" s="243"/>
      <c r="T526" s="243"/>
      <c r="U526" s="243"/>
      <c r="V526" s="243"/>
      <c r="W526" s="243"/>
      <c r="X526" s="243"/>
      <c r="Y526" s="243"/>
      <c r="Z526" s="243"/>
      <c r="AA526" s="243"/>
      <c r="AB526" s="243"/>
      <c r="AC526" s="243"/>
      <c r="AD526" s="243"/>
      <c r="AE526" s="243"/>
      <c r="AF526" s="243"/>
      <c r="AG526" s="243"/>
      <c r="AH526" s="243"/>
      <c r="AI526" s="243"/>
      <c r="AJ526" s="243"/>
    </row>
    <row r="527" spans="1:36" s="1" customFormat="1" x14ac:dyDescent="0.25">
      <c r="A527" s="1" t="s">
        <v>696</v>
      </c>
      <c r="H527" s="266" t="s">
        <v>434</v>
      </c>
      <c r="I527" s="267" t="str">
        <f t="shared" ref="I527:I535" si="474">IF($H$9="USD","USD","tr. VND")</f>
        <v>tr. VND</v>
      </c>
      <c r="K527" s="268">
        <f t="shared" ref="K527" si="475">SUM(K528:K529,K532:K535,)</f>
        <v>0</v>
      </c>
      <c r="L527" s="268">
        <f>SUM(L528:L529,L532:L535,)</f>
        <v>-49949.936933333338</v>
      </c>
      <c r="M527" s="268">
        <f t="shared" ref="M527:AJ527" si="476">SUM(M528:M529,M532:M535,)</f>
        <v>-49949.936933333338</v>
      </c>
      <c r="N527" s="268">
        <f t="shared" si="476"/>
        <v>-50849.234633333333</v>
      </c>
      <c r="O527" s="268">
        <f t="shared" si="476"/>
        <v>-51793.497218333338</v>
      </c>
      <c r="P527" s="268">
        <f t="shared" si="476"/>
        <v>-52784.97293258334</v>
      </c>
      <c r="Q527" s="268">
        <f t="shared" si="476"/>
        <v>-53826.022432545833</v>
      </c>
      <c r="R527" s="268">
        <f t="shared" si="476"/>
        <v>-54919.124407506461</v>
      </c>
      <c r="S527" s="268">
        <f t="shared" si="476"/>
        <v>-56066.881481215125</v>
      </c>
      <c r="T527" s="268">
        <f t="shared" si="476"/>
        <v>-57272.026408609207</v>
      </c>
      <c r="U527" s="268">
        <f t="shared" si="476"/>
        <v>-58537.428582373002</v>
      </c>
      <c r="V527" s="268">
        <f t="shared" si="476"/>
        <v>-59866.100864824984</v>
      </c>
      <c r="W527" s="268">
        <f t="shared" si="476"/>
        <v>-61261.20676139956</v>
      </c>
      <c r="X527" s="268">
        <f t="shared" si="476"/>
        <v>-37663.584619469548</v>
      </c>
      <c r="Y527" s="268">
        <f t="shared" si="476"/>
        <v>-39201.688870443017</v>
      </c>
      <c r="Z527" s="268">
        <f t="shared" si="476"/>
        <v>-40816.698333965178</v>
      </c>
      <c r="AA527" s="268"/>
      <c r="AB527" s="268"/>
      <c r="AC527" s="268"/>
      <c r="AD527" s="268"/>
      <c r="AE527" s="268"/>
      <c r="AF527" s="268"/>
      <c r="AG527" s="268"/>
      <c r="AH527" s="268"/>
      <c r="AI527" s="268"/>
      <c r="AJ527" s="268"/>
    </row>
    <row r="528" spans="1:36" x14ac:dyDescent="0.25">
      <c r="A528" t="s">
        <v>696</v>
      </c>
      <c r="B528" t="s">
        <v>173</v>
      </c>
      <c r="H528" s="459" t="s">
        <v>190</v>
      </c>
      <c r="I528" s="493" t="str">
        <f t="shared" si="474"/>
        <v>tr. VND</v>
      </c>
      <c r="K528" s="492"/>
      <c r="L528" s="548" cm="1">
        <f t="array" ref="L528">-SUMPRODUCT('W1'!$BI$10:$NE$60*('W1'!$BI$7:$NE$7=$A528)*('W1'!$BI$8:$NE$8=L$14)*('W1'!$A$10:$A$60=$B528))*$H$10</f>
        <v>-31062.483333333334</v>
      </c>
      <c r="M528" s="548" cm="1">
        <f t="array" ref="M528">-SUMPRODUCT('W1'!$BI$10:$NE$60*('W1'!$BI$7:$NE$7=$A528)*('W1'!$BI$8:$NE$8=M$14)*('W1'!$A$10:$A$60=$B528))*$H$10</f>
        <v>-31062.483333333334</v>
      </c>
      <c r="N528" s="548" cm="1">
        <f t="array" ref="N528">-SUMPRODUCT('W1'!$BI$10:$NE$60*('W1'!$BI$7:$NE$7=$A528)*('W1'!$BI$8:$NE$8=N$14)*('W1'!$A$10:$A$60=$B528))*$H$10</f>
        <v>-31062.483333333334</v>
      </c>
      <c r="O528" s="548" cm="1">
        <f t="array" ref="O528">-SUMPRODUCT('W1'!$BI$10:$NE$60*('W1'!$BI$7:$NE$7=$A528)*('W1'!$BI$8:$NE$8=O$14)*('W1'!$A$10:$A$60=$B528))*$H$10</f>
        <v>-31062.483333333334</v>
      </c>
      <c r="P528" s="548" cm="1">
        <f t="array" ref="P528">-SUMPRODUCT('W1'!$BI$10:$NE$60*('W1'!$BI$7:$NE$7=$A528)*('W1'!$BI$8:$NE$8=P$14)*('W1'!$A$10:$A$60=$B528))*$H$10</f>
        <v>-31062.483333333334</v>
      </c>
      <c r="Q528" s="548" cm="1">
        <f t="array" ref="Q528">-SUMPRODUCT('W1'!$BI$10:$NE$60*('W1'!$BI$7:$NE$7=$A528)*('W1'!$BI$8:$NE$8=Q$14)*('W1'!$A$10:$A$60=$B528))*$H$10</f>
        <v>-31062.483333333334</v>
      </c>
      <c r="R528" s="548" cm="1">
        <f t="array" ref="R528">-SUMPRODUCT('W1'!$BI$10:$NE$60*('W1'!$BI$7:$NE$7=$A528)*('W1'!$BI$8:$NE$8=R$14)*('W1'!$A$10:$A$60=$B528))*$H$10</f>
        <v>-31062.483333333334</v>
      </c>
      <c r="S528" s="548" cm="1">
        <f t="array" ref="S528">-SUMPRODUCT('W1'!$BI$10:$NE$60*('W1'!$BI$7:$NE$7=$A528)*('W1'!$BI$8:$NE$8=S$14)*('W1'!$A$10:$A$60=$B528))*$H$10</f>
        <v>-31062.483333333334</v>
      </c>
      <c r="T528" s="548" cm="1">
        <f t="array" ref="T528">-SUMPRODUCT('W1'!$BI$10:$NE$60*('W1'!$BI$7:$NE$7=$A528)*('W1'!$BI$8:$NE$8=T$14)*('W1'!$A$10:$A$60=$B528))*$H$10</f>
        <v>-31062.483333333334</v>
      </c>
      <c r="U528" s="548" cm="1">
        <f t="array" ref="U528">-SUMPRODUCT('W1'!$BI$10:$NE$60*('W1'!$BI$7:$NE$7=$A528)*('W1'!$BI$8:$NE$8=U$14)*('W1'!$A$10:$A$60=$B528))*$H$10</f>
        <v>-31062.483333333334</v>
      </c>
      <c r="V528" s="548" cm="1">
        <f t="array" ref="V528">-SUMPRODUCT('W1'!$BI$10:$NE$60*('W1'!$BI$7:$NE$7=$A528)*('W1'!$BI$8:$NE$8=V$14)*('W1'!$A$10:$A$60=$B528))*$H$10</f>
        <v>-31062.483333333334</v>
      </c>
      <c r="W528" s="548" cm="1">
        <f t="array" ref="W528">-SUMPRODUCT('W1'!$BI$10:$NE$60*('W1'!$BI$7:$NE$7=$A528)*('W1'!$BI$8:$NE$8=W$14)*('W1'!$A$10:$A$60=$B528))*$H$10</f>
        <v>-31062.483333333334</v>
      </c>
      <c r="X528" s="548" cm="1">
        <f t="array" ref="X528">-SUMPRODUCT('W1'!$BI$10:$NE$60*('W1'!$BI$7:$NE$7=$A528)*('W1'!$BI$8:$NE$8=X$14)*('W1'!$A$10:$A$60=$B528))*$H$10</f>
        <v>-6000</v>
      </c>
      <c r="Y528" s="548" cm="1">
        <f t="array" ref="Y528">-SUMPRODUCT('W1'!$BI$10:$NE$60*('W1'!$BI$7:$NE$7=$A528)*('W1'!$BI$8:$NE$8=Y$14)*('W1'!$A$10:$A$60=$B528))*$H$10</f>
        <v>-6000</v>
      </c>
      <c r="Z528" s="548" cm="1">
        <f t="array" ref="Z528">-SUMPRODUCT('W1'!$BI$10:$NE$60*('W1'!$BI$7:$NE$7=$A528)*('W1'!$BI$8:$NE$8=Z$14)*('W1'!$A$10:$A$60=$B528))*$H$10</f>
        <v>-6000</v>
      </c>
      <c r="AA528" s="548"/>
      <c r="AB528" s="548"/>
      <c r="AC528" s="548"/>
      <c r="AD528" s="548"/>
      <c r="AE528" s="548"/>
      <c r="AF528" s="548"/>
      <c r="AG528" s="548"/>
      <c r="AH528" s="548"/>
      <c r="AI528" s="548"/>
      <c r="AJ528" s="548"/>
    </row>
    <row r="529" spans="1:36" x14ac:dyDescent="0.25">
      <c r="A529" t="s">
        <v>696</v>
      </c>
      <c r="H529" s="454" t="s">
        <v>429</v>
      </c>
      <c r="I529" s="496" t="str">
        <f t="shared" si="474"/>
        <v>tr. VND</v>
      </c>
      <c r="K529" s="549">
        <f>SUM(K530:K531)</f>
        <v>0</v>
      </c>
      <c r="L529" s="549">
        <f t="shared" ref="L529:AJ529" si="477">SUM(L530:L531)</f>
        <v>-6011.46</v>
      </c>
      <c r="M529" s="549">
        <f t="shared" si="477"/>
        <v>-6011.46</v>
      </c>
      <c r="N529" s="549">
        <f t="shared" si="477"/>
        <v>-6312.0329999999994</v>
      </c>
      <c r="O529" s="549">
        <f t="shared" si="477"/>
        <v>-6627.63465</v>
      </c>
      <c r="P529" s="549">
        <f t="shared" si="477"/>
        <v>-6959.0163825000009</v>
      </c>
      <c r="Q529" s="549">
        <f t="shared" si="477"/>
        <v>-7306.9672016249997</v>
      </c>
      <c r="R529" s="549">
        <f t="shared" si="477"/>
        <v>-7672.3155617062503</v>
      </c>
      <c r="S529" s="549">
        <f t="shared" si="477"/>
        <v>-8055.931339791563</v>
      </c>
      <c r="T529" s="549">
        <f t="shared" si="477"/>
        <v>-8458.7279067811414</v>
      </c>
      <c r="U529" s="549">
        <f t="shared" si="477"/>
        <v>-8881.664302120198</v>
      </c>
      <c r="V529" s="549">
        <f t="shared" si="477"/>
        <v>-9325.7475172262075</v>
      </c>
      <c r="W529" s="549">
        <f t="shared" si="477"/>
        <v>-9792.0348930875189</v>
      </c>
      <c r="X529" s="549">
        <f t="shared" si="477"/>
        <v>-10281.636637741896</v>
      </c>
      <c r="Y529" s="549">
        <f t="shared" si="477"/>
        <v>-10795.718469628988</v>
      </c>
      <c r="Z529" s="549">
        <f t="shared" si="477"/>
        <v>-11335.504393110441</v>
      </c>
      <c r="AA529" s="549"/>
      <c r="AB529" s="549"/>
      <c r="AC529" s="549"/>
      <c r="AD529" s="549"/>
      <c r="AE529" s="549"/>
      <c r="AF529" s="549"/>
      <c r="AG529" s="549"/>
      <c r="AH529" s="549"/>
      <c r="AI529" s="549"/>
      <c r="AJ529" s="549"/>
    </row>
    <row r="530" spans="1:36" s="299" customFormat="1" x14ac:dyDescent="0.25">
      <c r="A530" s="299" t="s">
        <v>696</v>
      </c>
      <c r="B530" s="299" t="s">
        <v>449</v>
      </c>
      <c r="H530" s="553" t="s">
        <v>430</v>
      </c>
      <c r="I530" s="554" t="str">
        <f t="shared" si="474"/>
        <v>tr. VND</v>
      </c>
      <c r="K530" s="555"/>
      <c r="L530" s="555" cm="1">
        <f t="array" ref="L530">-SUMPRODUCT('W2'!$M$12:$V$112*('W2'!$M$7:$V$7=$A530)*('W2'!$A$12:$A$112=$B530))*$H$10*POWER(1+Inflation,L$11+1)</f>
        <v>-982.8</v>
      </c>
      <c r="M530" s="555" cm="1">
        <f t="array" ref="M530">-SUMPRODUCT('W2'!$M$12:$V$112*('W2'!$M$7:$V$7=$A530)*('W2'!$A$12:$A$112=$B530))*$H$10*POWER(1+Inflation,M$11+1)</f>
        <v>-982.8</v>
      </c>
      <c r="N530" s="555" cm="1">
        <f t="array" ref="N530">-SUMPRODUCT('W2'!$M$12:$V$112*('W2'!$M$7:$V$7=$A530)*('W2'!$A$12:$A$112=$B530))*$H$10*POWER(1+Inflation,N$11+1)</f>
        <v>-1031.94</v>
      </c>
      <c r="O530" s="555" cm="1">
        <f t="array" ref="O530">-SUMPRODUCT('W2'!$M$12:$V$112*('W2'!$M$7:$V$7=$A530)*('W2'!$A$12:$A$112=$B530))*$H$10*POWER(1+Inflation,O$11+1)</f>
        <v>-1083.537</v>
      </c>
      <c r="P530" s="555" cm="1">
        <f t="array" ref="P530">-SUMPRODUCT('W2'!$M$12:$V$112*('W2'!$M$7:$V$7=$A530)*('W2'!$A$12:$A$112=$B530))*$H$10*POWER(1+Inflation,P$11+1)</f>
        <v>-1137.7138500000001</v>
      </c>
      <c r="Q530" s="555" cm="1">
        <f t="array" ref="Q530">-SUMPRODUCT('W2'!$M$12:$V$112*('W2'!$M$7:$V$7=$A530)*('W2'!$A$12:$A$112=$B530))*$H$10*POWER(1+Inflation,Q$11+1)</f>
        <v>-1194.5995424999999</v>
      </c>
      <c r="R530" s="555" cm="1">
        <f t="array" ref="R530">-SUMPRODUCT('W2'!$M$12:$V$112*('W2'!$M$7:$V$7=$A530)*('W2'!$A$12:$A$112=$B530))*$H$10*POWER(1+Inflation,R$11+1)</f>
        <v>-1254.3295196250001</v>
      </c>
      <c r="S530" s="555" cm="1">
        <f t="array" ref="S530">-SUMPRODUCT('W2'!$M$12:$V$112*('W2'!$M$7:$V$7=$A530)*('W2'!$A$12:$A$112=$B530))*$H$10*POWER(1+Inflation,S$11+1)</f>
        <v>-1317.04599560625</v>
      </c>
      <c r="T530" s="555" cm="1">
        <f t="array" ref="T530">-SUMPRODUCT('W2'!$M$12:$V$112*('W2'!$M$7:$V$7=$A530)*('W2'!$A$12:$A$112=$B530))*$H$10*POWER(1+Inflation,T$11+1)</f>
        <v>-1382.8982953865627</v>
      </c>
      <c r="U530" s="555" cm="1">
        <f t="array" ref="U530">-SUMPRODUCT('W2'!$M$12:$V$112*('W2'!$M$7:$V$7=$A530)*('W2'!$A$12:$A$112=$B530))*$H$10*POWER(1+Inflation,U$11+1)</f>
        <v>-1452.0432101558906</v>
      </c>
      <c r="V530" s="555" cm="1">
        <f t="array" ref="V530">-SUMPRODUCT('W2'!$M$12:$V$112*('W2'!$M$7:$V$7=$A530)*('W2'!$A$12:$A$112=$B530))*$H$10*POWER(1+Inflation,V$11+1)</f>
        <v>-1524.6453706636853</v>
      </c>
      <c r="W530" s="555" cm="1">
        <f t="array" ref="W530">-SUMPRODUCT('W2'!$M$12:$V$112*('W2'!$M$7:$V$7=$A530)*('W2'!$A$12:$A$112=$B530))*$H$10*POWER(1+Inflation,W$11+1)</f>
        <v>-1600.8776391968695</v>
      </c>
      <c r="X530" s="555" cm="1">
        <f t="array" ref="X530">-SUMPRODUCT('W2'!$M$12:$V$112*('W2'!$M$7:$V$7=$A530)*('W2'!$A$12:$A$112=$B530))*$H$10*POWER(1+Inflation,X$11+1)</f>
        <v>-1680.9215211567132</v>
      </c>
      <c r="Y530" s="555" cm="1">
        <f t="array" ref="Y530">-SUMPRODUCT('W2'!$M$12:$V$112*('W2'!$M$7:$V$7=$A530)*('W2'!$A$12:$A$112=$B530))*$H$10*POWER(1+Inflation,Y$11+1)</f>
        <v>-1764.9675972145485</v>
      </c>
      <c r="Z530" s="555" cm="1">
        <f t="array" ref="Z530">-SUMPRODUCT('W2'!$M$12:$V$112*('W2'!$M$7:$V$7=$A530)*('W2'!$A$12:$A$112=$B530))*$H$10*POWER(1+Inflation,Z$11+1)</f>
        <v>-1853.2159770752762</v>
      </c>
      <c r="AA530" s="555"/>
      <c r="AB530" s="555"/>
      <c r="AC530" s="555"/>
      <c r="AD530" s="555"/>
      <c r="AE530" s="555"/>
      <c r="AF530" s="555"/>
      <c r="AG530" s="555"/>
      <c r="AH530" s="555"/>
      <c r="AI530" s="555"/>
      <c r="AJ530" s="555"/>
    </row>
    <row r="531" spans="1:36" s="299" customFormat="1" x14ac:dyDescent="0.25">
      <c r="A531" s="299" t="s">
        <v>696</v>
      </c>
      <c r="B531" s="299" t="s">
        <v>450</v>
      </c>
      <c r="H531" s="553" t="s">
        <v>431</v>
      </c>
      <c r="I531" s="554" t="str">
        <f t="shared" si="474"/>
        <v>tr. VND</v>
      </c>
      <c r="K531" s="555"/>
      <c r="L531" s="555" cm="1">
        <f t="array" ref="L531">-SUMPRODUCT('W2'!$M$12:$V$112*('W2'!$M$7:$V$7=$A531)*('W2'!$A$12:$A$112=$B531))*$H$10*POWER(1+Inflation,L$11+1)</f>
        <v>-5028.66</v>
      </c>
      <c r="M531" s="555" cm="1">
        <f t="array" ref="M531">-SUMPRODUCT('W2'!$M$12:$V$112*('W2'!$M$7:$V$7=$A531)*('W2'!$A$12:$A$112=$B531))*$H$10*POWER(1+Inflation,M$11+1)</f>
        <v>-5028.66</v>
      </c>
      <c r="N531" s="555" cm="1">
        <f t="array" ref="N531">-SUMPRODUCT('W2'!$M$12:$V$112*('W2'!$M$7:$V$7=$A531)*('W2'!$A$12:$A$112=$B531))*$H$10*POWER(1+Inflation,N$11+1)</f>
        <v>-5280.0929999999998</v>
      </c>
      <c r="O531" s="555" cm="1">
        <f t="array" ref="O531">-SUMPRODUCT('W2'!$M$12:$V$112*('W2'!$M$7:$V$7=$A531)*('W2'!$A$12:$A$112=$B531))*$H$10*POWER(1+Inflation,O$11+1)</f>
        <v>-5544.0976499999997</v>
      </c>
      <c r="P531" s="555" cm="1">
        <f t="array" ref="P531">-SUMPRODUCT('W2'!$M$12:$V$112*('W2'!$M$7:$V$7=$A531)*('W2'!$A$12:$A$112=$B531))*$H$10*POWER(1+Inflation,P$11+1)</f>
        <v>-5821.3025325000008</v>
      </c>
      <c r="Q531" s="555" cm="1">
        <f t="array" ref="Q531">-SUMPRODUCT('W2'!$M$12:$V$112*('W2'!$M$7:$V$7=$A531)*('W2'!$A$12:$A$112=$B531))*$H$10*POWER(1+Inflation,Q$11+1)</f>
        <v>-6112.3676591249996</v>
      </c>
      <c r="R531" s="555" cm="1">
        <f t="array" ref="R531">-SUMPRODUCT('W2'!$M$12:$V$112*('W2'!$M$7:$V$7=$A531)*('W2'!$A$12:$A$112=$B531))*$H$10*POWER(1+Inflation,R$11+1)</f>
        <v>-6417.9860420812502</v>
      </c>
      <c r="S531" s="555" cm="1">
        <f t="array" ref="S531">-SUMPRODUCT('W2'!$M$12:$V$112*('W2'!$M$7:$V$7=$A531)*('W2'!$A$12:$A$112=$B531))*$H$10*POWER(1+Inflation,S$11+1)</f>
        <v>-6738.8853441853125</v>
      </c>
      <c r="T531" s="555" cm="1">
        <f t="array" ref="T531">-SUMPRODUCT('W2'!$M$12:$V$112*('W2'!$M$7:$V$7=$A531)*('W2'!$A$12:$A$112=$B531))*$H$10*POWER(1+Inflation,T$11+1)</f>
        <v>-7075.8296113945789</v>
      </c>
      <c r="U531" s="555" cm="1">
        <f t="array" ref="U531">-SUMPRODUCT('W2'!$M$12:$V$112*('W2'!$M$7:$V$7=$A531)*('W2'!$A$12:$A$112=$B531))*$H$10*POWER(1+Inflation,U$11+1)</f>
        <v>-7429.6210919643072</v>
      </c>
      <c r="V531" s="555" cm="1">
        <f t="array" ref="V531">-SUMPRODUCT('W2'!$M$12:$V$112*('W2'!$M$7:$V$7=$A531)*('W2'!$A$12:$A$112=$B531))*$H$10*POWER(1+Inflation,V$11+1)</f>
        <v>-7801.1021465625226</v>
      </c>
      <c r="W531" s="555" cm="1">
        <f t="array" ref="W531">-SUMPRODUCT('W2'!$M$12:$V$112*('W2'!$M$7:$V$7=$A531)*('W2'!$A$12:$A$112=$B531))*$H$10*POWER(1+Inflation,W$11+1)</f>
        <v>-8191.1572538906494</v>
      </c>
      <c r="X531" s="555" cm="1">
        <f t="array" ref="X531">-SUMPRODUCT('W2'!$M$12:$V$112*('W2'!$M$7:$V$7=$A531)*('W2'!$A$12:$A$112=$B531))*$H$10*POWER(1+Inflation,X$11+1)</f>
        <v>-8600.7151165851828</v>
      </c>
      <c r="Y531" s="555" cm="1">
        <f t="array" ref="Y531">-SUMPRODUCT('W2'!$M$12:$V$112*('W2'!$M$7:$V$7=$A531)*('W2'!$A$12:$A$112=$B531))*$H$10*POWER(1+Inflation,Y$11+1)</f>
        <v>-9030.7508724144391</v>
      </c>
      <c r="Z531" s="555" cm="1">
        <f t="array" ref="Z531">-SUMPRODUCT('W2'!$M$12:$V$112*('W2'!$M$7:$V$7=$A531)*('W2'!$A$12:$A$112=$B531))*$H$10*POWER(1+Inflation,Z$11+1)</f>
        <v>-9482.2884160351641</v>
      </c>
      <c r="AA531" s="555"/>
      <c r="AB531" s="555"/>
      <c r="AC531" s="555"/>
      <c r="AD531" s="555"/>
      <c r="AE531" s="555"/>
      <c r="AF531" s="555"/>
      <c r="AG531" s="555"/>
      <c r="AH531" s="555"/>
      <c r="AI531" s="555"/>
      <c r="AJ531" s="555"/>
    </row>
    <row r="532" spans="1:36" x14ac:dyDescent="0.25">
      <c r="A532" t="s">
        <v>696</v>
      </c>
      <c r="B532" t="s">
        <v>451</v>
      </c>
      <c r="H532" s="454" t="s">
        <v>656</v>
      </c>
      <c r="I532" s="496" t="str">
        <f t="shared" si="474"/>
        <v>tr. VND</v>
      </c>
      <c r="K532" s="549"/>
      <c r="L532" s="549" cm="1">
        <f t="array" ref="L532">-SUMPRODUCT('W2'!$M$12:$V$112*('W2'!$M$7:$V$7=$A532)*('W2'!$A$12:$A$112=$B532))*$H$10*POWER(1+Inflation,L$11+1)</f>
        <v>-2400</v>
      </c>
      <c r="M532" s="549" cm="1">
        <f t="array" ref="M532">-SUMPRODUCT('W2'!$M$12:$V$112*('W2'!$M$7:$V$7=$A532)*('W2'!$A$12:$A$112=$B532))*$H$10*POWER(1+Inflation,M$11+1)</f>
        <v>-2400</v>
      </c>
      <c r="N532" s="549" cm="1">
        <f t="array" ref="N532">-SUMPRODUCT('W2'!$M$12:$V$112*('W2'!$M$7:$V$7=$A532)*('W2'!$A$12:$A$112=$B532))*$H$10*POWER(1+Inflation,N$11+1)</f>
        <v>-2520</v>
      </c>
      <c r="O532" s="549" cm="1">
        <f t="array" ref="O532">-SUMPRODUCT('W2'!$M$12:$V$112*('W2'!$M$7:$V$7=$A532)*('W2'!$A$12:$A$112=$B532))*$H$10*POWER(1+Inflation,O$11+1)</f>
        <v>-2646</v>
      </c>
      <c r="P532" s="549" cm="1">
        <f t="array" ref="P532">-SUMPRODUCT('W2'!$M$12:$V$112*('W2'!$M$7:$V$7=$A532)*('W2'!$A$12:$A$112=$B532))*$H$10*POWER(1+Inflation,P$11+1)</f>
        <v>-2778.3</v>
      </c>
      <c r="Q532" s="549" cm="1">
        <f t="array" ref="Q532">-SUMPRODUCT('W2'!$M$12:$V$112*('W2'!$M$7:$V$7=$A532)*('W2'!$A$12:$A$112=$B532))*$H$10*POWER(1+Inflation,Q$11+1)</f>
        <v>-2917.2150000000001</v>
      </c>
      <c r="R532" s="549" cm="1">
        <f t="array" ref="R532">-SUMPRODUCT('W2'!$M$12:$V$112*('W2'!$M$7:$V$7=$A532)*('W2'!$A$12:$A$112=$B532))*$H$10*POWER(1+Inflation,R$11+1)</f>
        <v>-3063.0757500000004</v>
      </c>
      <c r="S532" s="549" cm="1">
        <f t="array" ref="S532">-SUMPRODUCT('W2'!$M$12:$V$112*('W2'!$M$7:$V$7=$A532)*('W2'!$A$12:$A$112=$B532))*$H$10*POWER(1+Inflation,S$11+1)</f>
        <v>-3216.2295374999999</v>
      </c>
      <c r="T532" s="549" cm="1">
        <f t="array" ref="T532">-SUMPRODUCT('W2'!$M$12:$V$112*('W2'!$M$7:$V$7=$A532)*('W2'!$A$12:$A$112=$B532))*$H$10*POWER(1+Inflation,T$11+1)</f>
        <v>-3377.0410143750005</v>
      </c>
      <c r="U532" s="549" cm="1">
        <f t="array" ref="U532">-SUMPRODUCT('W2'!$M$12:$V$112*('W2'!$M$7:$V$7=$A532)*('W2'!$A$12:$A$112=$B532))*$H$10*POWER(1+Inflation,U$11+1)</f>
        <v>-3545.89306509375</v>
      </c>
      <c r="V532" s="549" cm="1">
        <f t="array" ref="V532">-SUMPRODUCT('W2'!$M$12:$V$112*('W2'!$M$7:$V$7=$A532)*('W2'!$A$12:$A$112=$B532))*$H$10*POWER(1+Inflation,V$11+1)</f>
        <v>-3723.187718348438</v>
      </c>
      <c r="W532" s="549" cm="1">
        <f t="array" ref="W532">-SUMPRODUCT('W2'!$M$12:$V$112*('W2'!$M$7:$V$7=$A532)*('W2'!$A$12:$A$112=$B532))*$H$10*POWER(1+Inflation,W$11+1)</f>
        <v>-3909.3471042658598</v>
      </c>
      <c r="X532" s="549" cm="1">
        <f t="array" ref="X532">-SUMPRODUCT('W2'!$M$12:$V$112*('W2'!$M$7:$V$7=$A532)*('W2'!$A$12:$A$112=$B532))*$H$10*POWER(1+Inflation,X$11+1)</f>
        <v>-4104.8144594791529</v>
      </c>
      <c r="Y532" s="549" cm="1">
        <f t="array" ref="Y532">-SUMPRODUCT('W2'!$M$12:$V$112*('W2'!$M$7:$V$7=$A532)*('W2'!$A$12:$A$112=$B532))*$H$10*POWER(1+Inflation,Y$11+1)</f>
        <v>-4310.0551824531103</v>
      </c>
      <c r="Z532" s="549" cm="1">
        <f t="array" ref="Z532">-SUMPRODUCT('W2'!$M$12:$V$112*('W2'!$M$7:$V$7=$A532)*('W2'!$A$12:$A$112=$B532))*$H$10*POWER(1+Inflation,Z$11+1)</f>
        <v>-4525.5579415757666</v>
      </c>
      <c r="AA532" s="549"/>
      <c r="AB532" s="549"/>
      <c r="AC532" s="549"/>
      <c r="AD532" s="549"/>
      <c r="AE532" s="549"/>
      <c r="AF532" s="549"/>
      <c r="AG532" s="549"/>
      <c r="AH532" s="549"/>
      <c r="AI532" s="549"/>
      <c r="AJ532" s="549"/>
    </row>
    <row r="533" spans="1:36" x14ac:dyDescent="0.25">
      <c r="A533" t="s">
        <v>696</v>
      </c>
      <c r="B533" t="s">
        <v>452</v>
      </c>
      <c r="H533" s="454" t="s">
        <v>432</v>
      </c>
      <c r="I533" s="496" t="str">
        <f t="shared" si="474"/>
        <v>tr. VND</v>
      </c>
      <c r="K533" s="549"/>
      <c r="L533" s="549" cm="1">
        <f t="array" ref="L533">-SUMPRODUCT('W2'!$M$12:$V$112*('W2'!$M$7:$V$7=$A533)*('W2'!$A$12:$A$112=$B533))*$H$10*POWER(1+Inflation,L$11+1)</f>
        <v>-9022.4939999999988</v>
      </c>
      <c r="M533" s="549" cm="1">
        <f t="array" ref="M533">-SUMPRODUCT('W2'!$M$12:$V$112*('W2'!$M$7:$V$7=$A533)*('W2'!$A$12:$A$112=$B533))*$H$10*POWER(1+Inflation,M$11+1)</f>
        <v>-9022.4939999999988</v>
      </c>
      <c r="N533" s="549" cm="1">
        <f t="array" ref="N533">-SUMPRODUCT('W2'!$M$12:$V$112*('W2'!$M$7:$V$7=$A533)*('W2'!$A$12:$A$112=$B533))*$H$10*POWER(1+Inflation,N$11+1)</f>
        <v>-9473.6186999999991</v>
      </c>
      <c r="O533" s="549" cm="1">
        <f t="array" ref="O533">-SUMPRODUCT('W2'!$M$12:$V$112*('W2'!$M$7:$V$7=$A533)*('W2'!$A$12:$A$112=$B533))*$H$10*POWER(1+Inflation,O$11+1)</f>
        <v>-9947.2996349999994</v>
      </c>
      <c r="P533" s="549" cm="1">
        <f t="array" ref="P533">-SUMPRODUCT('W2'!$M$12:$V$112*('W2'!$M$7:$V$7=$A533)*('W2'!$A$12:$A$112=$B533))*$H$10*POWER(1+Inflation,P$11+1)</f>
        <v>-10444.66461675</v>
      </c>
      <c r="Q533" s="549" cm="1">
        <f t="array" ref="Q533">-SUMPRODUCT('W2'!$M$12:$V$112*('W2'!$M$7:$V$7=$A533)*('W2'!$A$12:$A$112=$B533))*$H$10*POWER(1+Inflation,Q$11+1)</f>
        <v>-10966.897847587499</v>
      </c>
      <c r="R533" s="549" cm="1">
        <f t="array" ref="R533">-SUMPRODUCT('W2'!$M$12:$V$112*('W2'!$M$7:$V$7=$A533)*('W2'!$A$12:$A$112=$B533))*$H$10*POWER(1+Inflation,R$11+1)</f>
        <v>-11515.242739966874</v>
      </c>
      <c r="S533" s="549" cm="1">
        <f t="array" ref="S533">-SUMPRODUCT('W2'!$M$12:$V$112*('W2'!$M$7:$V$7=$A533)*('W2'!$A$12:$A$112=$B533))*$H$10*POWER(1+Inflation,S$11+1)</f>
        <v>-12091.004876965217</v>
      </c>
      <c r="T533" s="549" cm="1">
        <f t="array" ref="T533">-SUMPRODUCT('W2'!$M$12:$V$112*('W2'!$M$7:$V$7=$A533)*('W2'!$A$12:$A$112=$B533))*$H$10*POWER(1+Inflation,T$11+1)</f>
        <v>-12695.55512081348</v>
      </c>
      <c r="U533" s="549" cm="1">
        <f t="array" ref="U533">-SUMPRODUCT('W2'!$M$12:$V$112*('W2'!$M$7:$V$7=$A533)*('W2'!$A$12:$A$112=$B533))*$H$10*POWER(1+Inflation,U$11+1)</f>
        <v>-13330.332876854152</v>
      </c>
      <c r="V533" s="549" cm="1">
        <f t="array" ref="V533">-SUMPRODUCT('W2'!$M$12:$V$112*('W2'!$M$7:$V$7=$A533)*('W2'!$A$12:$A$112=$B533))*$H$10*POWER(1+Inflation,V$11+1)</f>
        <v>-13996.84952069686</v>
      </c>
      <c r="W533" s="549" cm="1">
        <f t="array" ref="W533">-SUMPRODUCT('W2'!$M$12:$V$112*('W2'!$M$7:$V$7=$A533)*('W2'!$A$12:$A$112=$B533))*$H$10*POWER(1+Inflation,W$11+1)</f>
        <v>-14696.691996731704</v>
      </c>
      <c r="X533" s="549" cm="1">
        <f t="array" ref="X533">-SUMPRODUCT('W2'!$M$12:$V$112*('W2'!$M$7:$V$7=$A533)*('W2'!$A$12:$A$112=$B533))*$H$10*POWER(1+Inflation,X$11+1)</f>
        <v>-15431.52659656829</v>
      </c>
      <c r="Y533" s="549" cm="1">
        <f t="array" ref="Y533">-SUMPRODUCT('W2'!$M$12:$V$112*('W2'!$M$7:$V$7=$A533)*('W2'!$A$12:$A$112=$B533))*$H$10*POWER(1+Inflation,Y$11+1)</f>
        <v>-16203.102926396703</v>
      </c>
      <c r="Z533" s="549" cm="1">
        <f t="array" ref="Z533">-SUMPRODUCT('W2'!$M$12:$V$112*('W2'!$M$7:$V$7=$A533)*('W2'!$A$12:$A$112=$B533))*$H$10*POWER(1+Inflation,Z$11+1)</f>
        <v>-17013.25807271654</v>
      </c>
      <c r="AA533" s="549"/>
      <c r="AB533" s="549"/>
      <c r="AC533" s="549"/>
      <c r="AD533" s="549"/>
      <c r="AE533" s="549"/>
      <c r="AF533" s="549"/>
      <c r="AG533" s="549"/>
      <c r="AH533" s="549"/>
      <c r="AI533" s="549"/>
      <c r="AJ533" s="549"/>
    </row>
    <row r="534" spans="1:36" x14ac:dyDescent="0.25">
      <c r="A534" t="s">
        <v>696</v>
      </c>
      <c r="B534" t="s">
        <v>453</v>
      </c>
      <c r="H534" s="454" t="s">
        <v>433</v>
      </c>
      <c r="I534" s="496" t="str">
        <f t="shared" si="474"/>
        <v>tr. VND</v>
      </c>
      <c r="K534" s="549"/>
      <c r="L534" s="549" cm="1">
        <f t="array" ref="L534">-SUMPRODUCT('W2'!$M$12:$V$112*('W2'!$M$7:$V$7=$A534)*('W2'!$A$12:$A$112=$B534))*$H$10*POWER(1+Inflation,L$11+1)</f>
        <v>-552</v>
      </c>
      <c r="M534" s="549" cm="1">
        <f t="array" ref="M534">-SUMPRODUCT('W2'!$M$12:$V$112*('W2'!$M$7:$V$7=$A534)*('W2'!$A$12:$A$112=$B534))*$H$10*POWER(1+Inflation,M$11+1)</f>
        <v>-552</v>
      </c>
      <c r="N534" s="549" cm="1">
        <f t="array" ref="N534">-SUMPRODUCT('W2'!$M$12:$V$112*('W2'!$M$7:$V$7=$A534)*('W2'!$A$12:$A$112=$B534))*$H$10*POWER(1+Inflation,N$11+1)</f>
        <v>-579.6</v>
      </c>
      <c r="O534" s="549" cm="1">
        <f t="array" ref="O534">-SUMPRODUCT('W2'!$M$12:$V$112*('W2'!$M$7:$V$7=$A534)*('W2'!$A$12:$A$112=$B534))*$H$10*POWER(1+Inflation,O$11+1)</f>
        <v>-608.58000000000004</v>
      </c>
      <c r="P534" s="549" cm="1">
        <f t="array" ref="P534">-SUMPRODUCT('W2'!$M$12:$V$112*('W2'!$M$7:$V$7=$A534)*('W2'!$A$12:$A$112=$B534))*$H$10*POWER(1+Inflation,P$11+1)</f>
        <v>-639.00900000000001</v>
      </c>
      <c r="Q534" s="549" cm="1">
        <f t="array" ref="Q534">-SUMPRODUCT('W2'!$M$12:$V$112*('W2'!$M$7:$V$7=$A534)*('W2'!$A$12:$A$112=$B534))*$H$10*POWER(1+Inflation,Q$11+1)</f>
        <v>-670.95945000000006</v>
      </c>
      <c r="R534" s="549" cm="1">
        <f t="array" ref="R534">-SUMPRODUCT('W2'!$M$12:$V$112*('W2'!$M$7:$V$7=$A534)*('W2'!$A$12:$A$112=$B534))*$H$10*POWER(1+Inflation,R$11+1)</f>
        <v>-704.50742250000008</v>
      </c>
      <c r="S534" s="549" cm="1">
        <f t="array" ref="S534">-SUMPRODUCT('W2'!$M$12:$V$112*('W2'!$M$7:$V$7=$A534)*('W2'!$A$12:$A$112=$B534))*$H$10*POWER(1+Inflation,S$11+1)</f>
        <v>-739.732793625</v>
      </c>
      <c r="T534" s="549" cm="1">
        <f t="array" ref="T534">-SUMPRODUCT('W2'!$M$12:$V$112*('W2'!$M$7:$V$7=$A534)*('W2'!$A$12:$A$112=$B534))*$H$10*POWER(1+Inflation,T$11+1)</f>
        <v>-776.71943330625015</v>
      </c>
      <c r="U534" s="549" cm="1">
        <f t="array" ref="U534">-SUMPRODUCT('W2'!$M$12:$V$112*('W2'!$M$7:$V$7=$A534)*('W2'!$A$12:$A$112=$B534))*$H$10*POWER(1+Inflation,U$11+1)</f>
        <v>-815.55540497156255</v>
      </c>
      <c r="V534" s="549" cm="1">
        <f t="array" ref="V534">-SUMPRODUCT('W2'!$M$12:$V$112*('W2'!$M$7:$V$7=$A534)*('W2'!$A$12:$A$112=$B534))*$H$10*POWER(1+Inflation,V$11+1)</f>
        <v>-856.33317522014067</v>
      </c>
      <c r="W534" s="549" cm="1">
        <f t="array" ref="W534">-SUMPRODUCT('W2'!$M$12:$V$112*('W2'!$M$7:$V$7=$A534)*('W2'!$A$12:$A$112=$B534))*$H$10*POWER(1+Inflation,W$11+1)</f>
        <v>-899.14983398114771</v>
      </c>
      <c r="X534" s="549" cm="1">
        <f t="array" ref="X534">-SUMPRODUCT('W2'!$M$12:$V$112*('W2'!$M$7:$V$7=$A534)*('W2'!$A$12:$A$112=$B534))*$H$10*POWER(1+Inflation,X$11+1)</f>
        <v>-944.10732568020524</v>
      </c>
      <c r="Y534" s="549" cm="1">
        <f t="array" ref="Y534">-SUMPRODUCT('W2'!$M$12:$V$112*('W2'!$M$7:$V$7=$A534)*('W2'!$A$12:$A$112=$B534))*$H$10*POWER(1+Inflation,Y$11+1)</f>
        <v>-991.31269196421533</v>
      </c>
      <c r="Z534" s="549" cm="1">
        <f t="array" ref="Z534">-SUMPRODUCT('W2'!$M$12:$V$112*('W2'!$M$7:$V$7=$A534)*('W2'!$A$12:$A$112=$B534))*$H$10*POWER(1+Inflation,Z$11+1)</f>
        <v>-1040.8783265624263</v>
      </c>
      <c r="AA534" s="549"/>
      <c r="AB534" s="549"/>
      <c r="AC534" s="549"/>
      <c r="AD534" s="549"/>
      <c r="AE534" s="549"/>
      <c r="AF534" s="549"/>
      <c r="AG534" s="549"/>
      <c r="AH534" s="549"/>
      <c r="AI534" s="549"/>
      <c r="AJ534" s="549"/>
    </row>
    <row r="535" spans="1:36" x14ac:dyDescent="0.25">
      <c r="A535" t="s">
        <v>696</v>
      </c>
      <c r="B535" t="s">
        <v>521</v>
      </c>
      <c r="H535" s="454" t="s">
        <v>520</v>
      </c>
      <c r="I535" s="496" t="str">
        <f t="shared" si="474"/>
        <v>tr. VND</v>
      </c>
      <c r="K535" s="549"/>
      <c r="L535" s="549" cm="1">
        <f t="array" ref="L535">-SUMPRODUCT('W2'!$M$12:$V$112*('W2'!$M$7:$V$7=$A535)*('W2'!$A$12:$A$112=$B535))*$H$10</f>
        <v>-901.49959999999999</v>
      </c>
      <c r="M535" s="549" cm="1">
        <f t="array" ref="M535">-SUMPRODUCT('W2'!$M$12:$V$112*('W2'!$M$7:$V$7=$A535)*('W2'!$A$12:$A$112=$B535))*$H$10</f>
        <v>-901.49959999999999</v>
      </c>
      <c r="N535" s="549" cm="1">
        <f t="array" ref="N535">-SUMPRODUCT('W2'!$M$12:$V$112*('W2'!$M$7:$V$7=$A535)*('W2'!$A$12:$A$112=$B535))*$H$10</f>
        <v>-901.49959999999999</v>
      </c>
      <c r="O535" s="549" cm="1">
        <f t="array" ref="O535">-SUMPRODUCT('W2'!$M$12:$V$112*('W2'!$M$7:$V$7=$A535)*('W2'!$A$12:$A$112=$B535))*$H$10</f>
        <v>-901.49959999999999</v>
      </c>
      <c r="P535" s="549" cm="1">
        <f t="array" ref="P535">-SUMPRODUCT('W2'!$M$12:$V$112*('W2'!$M$7:$V$7=$A535)*('W2'!$A$12:$A$112=$B535))*$H$10</f>
        <v>-901.49959999999999</v>
      </c>
      <c r="Q535" s="549" cm="1">
        <f t="array" ref="Q535">-SUMPRODUCT('W2'!$M$12:$V$112*('W2'!$M$7:$V$7=$A535)*('W2'!$A$12:$A$112=$B535))*$H$10</f>
        <v>-901.49959999999999</v>
      </c>
      <c r="R535" s="549" cm="1">
        <f t="array" ref="R535">-SUMPRODUCT('W2'!$M$12:$V$112*('W2'!$M$7:$V$7=$A535)*('W2'!$A$12:$A$112=$B535))*$H$10</f>
        <v>-901.49959999999999</v>
      </c>
      <c r="S535" s="549" cm="1">
        <f t="array" ref="S535">-SUMPRODUCT('W2'!$M$12:$V$112*('W2'!$M$7:$V$7=$A535)*('W2'!$A$12:$A$112=$B535))*$H$10</f>
        <v>-901.49959999999999</v>
      </c>
      <c r="T535" s="549" cm="1">
        <f t="array" ref="T535">-SUMPRODUCT('W2'!$M$12:$V$112*('W2'!$M$7:$V$7=$A535)*('W2'!$A$12:$A$112=$B535))*$H$10</f>
        <v>-901.49959999999999</v>
      </c>
      <c r="U535" s="549" cm="1">
        <f t="array" ref="U535">-SUMPRODUCT('W2'!$M$12:$V$112*('W2'!$M$7:$V$7=$A535)*('W2'!$A$12:$A$112=$B535))*$H$10</f>
        <v>-901.49959999999999</v>
      </c>
      <c r="V535" s="549" cm="1">
        <f t="array" ref="V535">-SUMPRODUCT('W2'!$M$12:$V$112*('W2'!$M$7:$V$7=$A535)*('W2'!$A$12:$A$112=$B535))*$H$10</f>
        <v>-901.49959999999999</v>
      </c>
      <c r="W535" s="549" cm="1">
        <f t="array" ref="W535">-SUMPRODUCT('W2'!$M$12:$V$112*('W2'!$M$7:$V$7=$A535)*('W2'!$A$12:$A$112=$B535))*$H$10</f>
        <v>-901.49959999999999</v>
      </c>
      <c r="X535" s="549" cm="1">
        <f t="array" ref="X535">-SUMPRODUCT('W2'!$M$12:$V$112*('W2'!$M$7:$V$7=$A535)*('W2'!$A$12:$A$112=$B535))*$H$10</f>
        <v>-901.49959999999999</v>
      </c>
      <c r="Y535" s="549" cm="1">
        <f t="array" ref="Y535">-SUMPRODUCT('W2'!$M$12:$V$112*('W2'!$M$7:$V$7=$A535)*('W2'!$A$12:$A$112=$B535))*$H$10</f>
        <v>-901.49959999999999</v>
      </c>
      <c r="Z535" s="549" cm="1">
        <f t="array" ref="Z535">-SUMPRODUCT('W2'!$M$12:$V$112*('W2'!$M$7:$V$7=$A535)*('W2'!$A$12:$A$112=$B535))*$H$10</f>
        <v>-901.49959999999999</v>
      </c>
      <c r="AA535" s="549"/>
      <c r="AB535" s="549"/>
      <c r="AC535" s="549"/>
      <c r="AD535" s="549"/>
      <c r="AE535" s="549"/>
      <c r="AF535" s="549"/>
      <c r="AG535" s="549"/>
      <c r="AH535" s="549"/>
      <c r="AI535" s="549"/>
      <c r="AJ535" s="549"/>
    </row>
    <row r="536" spans="1:36" x14ac:dyDescent="0.25">
      <c r="A536" t="s">
        <v>696</v>
      </c>
      <c r="K536" s="243"/>
      <c r="L536" s="243"/>
      <c r="M536" s="243"/>
      <c r="N536" s="243"/>
      <c r="O536" s="243"/>
      <c r="P536" s="243"/>
      <c r="Q536" s="243"/>
      <c r="R536" s="243"/>
      <c r="S536" s="243"/>
      <c r="T536" s="243"/>
      <c r="U536" s="243"/>
      <c r="V536" s="243"/>
      <c r="W536" s="243"/>
      <c r="X536" s="243"/>
      <c r="Y536" s="243"/>
      <c r="Z536" s="243"/>
      <c r="AA536" s="243"/>
      <c r="AB536" s="243"/>
      <c r="AC536" s="243"/>
      <c r="AD536" s="243"/>
      <c r="AE536" s="243"/>
      <c r="AF536" s="243"/>
      <c r="AG536" s="243"/>
      <c r="AH536" s="243"/>
      <c r="AI536" s="243"/>
      <c r="AJ536" s="243"/>
    </row>
    <row r="537" spans="1:36" s="1" customFormat="1" x14ac:dyDescent="0.25">
      <c r="A537" s="1" t="s">
        <v>696</v>
      </c>
      <c r="H537" s="266" t="s">
        <v>435</v>
      </c>
      <c r="I537" s="267" t="str">
        <f t="shared" ref="I537:I540" si="478">IF($H$9="USD","USD","tr. VND")</f>
        <v>tr. VND</v>
      </c>
      <c r="K537" s="269">
        <f>K538+K541+K544</f>
        <v>0</v>
      </c>
      <c r="L537" s="269">
        <f t="shared" ref="L537:AJ537" si="479">L538+L541+L544</f>
        <v>-92746.065303826777</v>
      </c>
      <c r="M537" s="269">
        <f t="shared" si="479"/>
        <v>-129045.29243442416</v>
      </c>
      <c r="N537" s="269">
        <f t="shared" si="479"/>
        <v>-187617.60190480959</v>
      </c>
      <c r="O537" s="269">
        <f t="shared" si="479"/>
        <v>-191847.4979197002</v>
      </c>
      <c r="P537" s="269">
        <f t="shared" si="479"/>
        <v>-196187.14761304564</v>
      </c>
      <c r="Q537" s="269">
        <f t="shared" si="479"/>
        <v>-200640.00384632294</v>
      </c>
      <c r="R537" s="269">
        <f t="shared" si="479"/>
        <v>-205209.65142763397</v>
      </c>
      <c r="S537" s="269">
        <f t="shared" si="479"/>
        <v>-209899.81289510772</v>
      </c>
      <c r="T537" s="269">
        <f t="shared" si="479"/>
        <v>-214714.35457319432</v>
      </c>
      <c r="U537" s="269">
        <f t="shared" si="479"/>
        <v>-219657.29291516927</v>
      </c>
      <c r="V537" s="269">
        <f t="shared" si="479"/>
        <v>-224732.80114582658</v>
      </c>
      <c r="W537" s="269">
        <f t="shared" si="479"/>
        <v>-229945.21621903207</v>
      </c>
      <c r="X537" s="269">
        <f t="shared" si="479"/>
        <v>-234296.54677220009</v>
      </c>
      <c r="Y537" s="269">
        <f t="shared" si="479"/>
        <v>-239796.47809385488</v>
      </c>
      <c r="Z537" s="269">
        <f t="shared" si="479"/>
        <v>-245447.38412123729</v>
      </c>
      <c r="AA537" s="269"/>
      <c r="AB537" s="269"/>
      <c r="AC537" s="269"/>
      <c r="AD537" s="269"/>
      <c r="AE537" s="269"/>
      <c r="AF537" s="269"/>
      <c r="AG537" s="269"/>
      <c r="AH537" s="269"/>
      <c r="AI537" s="269"/>
      <c r="AJ537" s="269"/>
    </row>
    <row r="538" spans="1:36" x14ac:dyDescent="0.25">
      <c r="A538" t="s">
        <v>696</v>
      </c>
      <c r="H538" s="636" t="s">
        <v>454</v>
      </c>
      <c r="I538" s="637" t="str">
        <f t="shared" si="478"/>
        <v>tr. VND</v>
      </c>
      <c r="K538" s="638">
        <f>SUM(K539:K540)</f>
        <v>0</v>
      </c>
      <c r="L538" s="638">
        <f t="shared" ref="L538:AJ538" si="480">SUM(L539:L540)</f>
        <v>-83121.831936000002</v>
      </c>
      <c r="M538" s="638">
        <f t="shared" si="480"/>
        <v>-116370.56471040001</v>
      </c>
      <c r="N538" s="638">
        <f t="shared" si="480"/>
        <v>-169568.53714944003</v>
      </c>
      <c r="O538" s="638">
        <f t="shared" si="480"/>
        <v>-172959.90789242883</v>
      </c>
      <c r="P538" s="638">
        <f t="shared" si="480"/>
        <v>-176419.10605027739</v>
      </c>
      <c r="Q538" s="638">
        <f t="shared" si="480"/>
        <v>-179947.48817128292</v>
      </c>
      <c r="R538" s="638">
        <f t="shared" si="480"/>
        <v>-183546.43793470861</v>
      </c>
      <c r="S538" s="638">
        <f t="shared" si="480"/>
        <v>-187217.36669340279</v>
      </c>
      <c r="T538" s="638">
        <f t="shared" si="480"/>
        <v>-190961.71402727079</v>
      </c>
      <c r="U538" s="638">
        <f t="shared" si="480"/>
        <v>-194780.9483078162</v>
      </c>
      <c r="V538" s="638">
        <f t="shared" si="480"/>
        <v>-198676.56727397256</v>
      </c>
      <c r="W538" s="638">
        <f t="shared" si="480"/>
        <v>-202650.09861945201</v>
      </c>
      <c r="X538" s="638">
        <f t="shared" si="480"/>
        <v>-206703.10059184101</v>
      </c>
      <c r="Y538" s="638">
        <f t="shared" si="480"/>
        <v>-210837.16260367786</v>
      </c>
      <c r="Z538" s="638">
        <f t="shared" si="480"/>
        <v>-215053.90585575142</v>
      </c>
      <c r="AA538" s="638"/>
      <c r="AB538" s="638"/>
      <c r="AC538" s="638"/>
      <c r="AD538" s="638"/>
      <c r="AE538" s="638"/>
      <c r="AF538" s="638"/>
      <c r="AG538" s="638"/>
      <c r="AH538" s="638"/>
      <c r="AI538" s="638"/>
      <c r="AJ538" s="638"/>
    </row>
    <row r="539" spans="1:36" s="299" customFormat="1" x14ac:dyDescent="0.25">
      <c r="A539" s="299" t="s">
        <v>696</v>
      </c>
      <c r="B539" s="299" t="s">
        <v>459</v>
      </c>
      <c r="H539" s="553" t="s">
        <v>167</v>
      </c>
      <c r="I539" s="554" t="str">
        <f t="shared" si="478"/>
        <v>tr. VND</v>
      </c>
      <c r="K539" s="555"/>
      <c r="L539" s="555" cm="1">
        <f t="array" ref="L539">-SUMPRODUCT('W2'!$M$12:$V$112*('W2'!$M$7:$V$7=$A539)*('W2'!$A$12:$A$112=$B539))*L516*$H$10*POWER(1+INDEX('Cover Page'!$H$8:$AJ$8,MATCH($A539,'Cover Page'!$H$5:$AJ$5,0)),1+L$13)</f>
        <v>-77303.303700479999</v>
      </c>
      <c r="M539" s="555" cm="1">
        <f t="array" ref="M539">-SUMPRODUCT('W2'!$M$12:$V$112*('W2'!$M$7:$V$7=$A539)*('W2'!$A$12:$A$112=$B539))*M516*$H$10*POWER(1+INDEX('Cover Page'!$H$8:$AJ$8,MATCH($A539,'Cover Page'!$H$5:$AJ$5,0)),1+M$13)</f>
        <v>-108224.625180672</v>
      </c>
      <c r="N539" s="555" cm="1">
        <f t="array" ref="N539">-SUMPRODUCT('W2'!$M$12:$V$112*('W2'!$M$7:$V$7=$A539)*('W2'!$A$12:$A$112=$B539))*N516*$H$10*POWER(1+INDEX('Cover Page'!$H$8:$AJ$8,MATCH($A539,'Cover Page'!$H$5:$AJ$5,0)),1+N$13)</f>
        <v>-157698.73954897921</v>
      </c>
      <c r="O539" s="555" cm="1">
        <f t="array" ref="O539">-SUMPRODUCT('W2'!$M$12:$V$112*('W2'!$M$7:$V$7=$A539)*('W2'!$A$12:$A$112=$B539))*O516*$H$10*POWER(1+INDEX('Cover Page'!$H$8:$AJ$8,MATCH($A539,'Cover Page'!$H$5:$AJ$5,0)),1+O$13)</f>
        <v>-160852.71433995879</v>
      </c>
      <c r="P539" s="555" cm="1">
        <f t="array" ref="P539">-SUMPRODUCT('W2'!$M$12:$V$112*('W2'!$M$7:$V$7=$A539)*('W2'!$A$12:$A$112=$B539))*P516*$H$10*POWER(1+INDEX('Cover Page'!$H$8:$AJ$8,MATCH($A539,'Cover Page'!$H$5:$AJ$5,0)),1+P$13)</f>
        <v>-164069.76862675796</v>
      </c>
      <c r="Q539" s="555" cm="1">
        <f t="array" ref="Q539">-SUMPRODUCT('W2'!$M$12:$V$112*('W2'!$M$7:$V$7=$A539)*('W2'!$A$12:$A$112=$B539))*Q516*$H$10*POWER(1+INDEX('Cover Page'!$H$8:$AJ$8,MATCH($A539,'Cover Page'!$H$5:$AJ$5,0)),1+Q$13)</f>
        <v>-167351.16399929312</v>
      </c>
      <c r="R539" s="555" cm="1">
        <f t="array" ref="R539">-SUMPRODUCT('W2'!$M$12:$V$112*('W2'!$M$7:$V$7=$A539)*('W2'!$A$12:$A$112=$B539))*R516*$H$10*POWER(1+INDEX('Cover Page'!$H$8:$AJ$8,MATCH($A539,'Cover Page'!$H$5:$AJ$5,0)),1+R$13)</f>
        <v>-170698.18727927899</v>
      </c>
      <c r="S539" s="555" cm="1">
        <f t="array" ref="S539">-SUMPRODUCT('W2'!$M$12:$V$112*('W2'!$M$7:$V$7=$A539)*('W2'!$A$12:$A$112=$B539))*S516*$H$10*POWER(1+INDEX('Cover Page'!$H$8:$AJ$8,MATCH($A539,'Cover Page'!$H$5:$AJ$5,0)),1+S$13)</f>
        <v>-174112.15102486458</v>
      </c>
      <c r="T539" s="555" cm="1">
        <f t="array" ref="T539">-SUMPRODUCT('W2'!$M$12:$V$112*('W2'!$M$7:$V$7=$A539)*('W2'!$A$12:$A$112=$B539))*T516*$H$10*POWER(1+INDEX('Cover Page'!$H$8:$AJ$8,MATCH($A539,'Cover Page'!$H$5:$AJ$5,0)),1+T$13)</f>
        <v>-177594.39404536181</v>
      </c>
      <c r="U539" s="555" cm="1">
        <f t="array" ref="U539">-SUMPRODUCT('W2'!$M$12:$V$112*('W2'!$M$7:$V$7=$A539)*('W2'!$A$12:$A$112=$B539))*U516*$H$10*POWER(1+INDEX('Cover Page'!$H$8:$AJ$8,MATCH($A539,'Cover Page'!$H$5:$AJ$5,0)),1+U$13)</f>
        <v>-181146.28192626906</v>
      </c>
      <c r="V539" s="555" cm="1">
        <f t="array" ref="V539">-SUMPRODUCT('W2'!$M$12:$V$112*('W2'!$M$7:$V$7=$A539)*('W2'!$A$12:$A$112=$B539))*V516*$H$10*POWER(1+INDEX('Cover Page'!$H$8:$AJ$8,MATCH($A539,'Cover Page'!$H$5:$AJ$5,0)),1+V$13)</f>
        <v>-184769.20756479446</v>
      </c>
      <c r="W539" s="555" cm="1">
        <f t="array" ref="W539">-SUMPRODUCT('W2'!$M$12:$V$112*('W2'!$M$7:$V$7=$A539)*('W2'!$A$12:$A$112=$B539))*W516*$H$10*POWER(1+INDEX('Cover Page'!$H$8:$AJ$8,MATCH($A539,'Cover Page'!$H$5:$AJ$5,0)),1+W$13)</f>
        <v>-188464.59171609036</v>
      </c>
      <c r="X539" s="555" cm="1">
        <f t="array" ref="X539">-SUMPRODUCT('W2'!$M$12:$V$112*('W2'!$M$7:$V$7=$A539)*('W2'!$A$12:$A$112=$B539))*X516*$H$10*POWER(1+INDEX('Cover Page'!$H$8:$AJ$8,MATCH($A539,'Cover Page'!$H$5:$AJ$5,0)),1+X$13)</f>
        <v>-192233.88355041214</v>
      </c>
      <c r="Y539" s="555" cm="1">
        <f t="array" ref="Y539">-SUMPRODUCT('W2'!$M$12:$V$112*('W2'!$M$7:$V$7=$A539)*('W2'!$A$12:$A$112=$B539))*Y516*$H$10*POWER(1+INDEX('Cover Page'!$H$8:$AJ$8,MATCH($A539,'Cover Page'!$H$5:$AJ$5,0)),1+Y$13)</f>
        <v>-196078.56122142039</v>
      </c>
      <c r="Z539" s="555" cm="1">
        <f t="array" ref="Z539">-SUMPRODUCT('W2'!$M$12:$V$112*('W2'!$M$7:$V$7=$A539)*('W2'!$A$12:$A$112=$B539))*Z516*$H$10*POWER(1+INDEX('Cover Page'!$H$8:$AJ$8,MATCH($A539,'Cover Page'!$H$5:$AJ$5,0)),1+Z$13)</f>
        <v>-200000.13244584881</v>
      </c>
      <c r="AA539" s="555"/>
      <c r="AB539" s="555"/>
      <c r="AC539" s="555"/>
      <c r="AD539" s="555"/>
      <c r="AE539" s="555"/>
      <c r="AF539" s="555"/>
      <c r="AG539" s="555"/>
      <c r="AH539" s="555"/>
      <c r="AI539" s="555"/>
      <c r="AJ539" s="555"/>
    </row>
    <row r="540" spans="1:36" s="299" customFormat="1" x14ac:dyDescent="0.25">
      <c r="A540" s="299" t="s">
        <v>696</v>
      </c>
      <c r="H540" s="553" t="s">
        <v>203</v>
      </c>
      <c r="I540" s="554" t="str">
        <f t="shared" si="478"/>
        <v>tr. VND</v>
      </c>
      <c r="K540" s="639"/>
      <c r="L540" s="639">
        <f>L539/(1-L514)-L539</f>
        <v>-5818.5282355200034</v>
      </c>
      <c r="M540" s="639">
        <f t="shared" ref="M540:AJ540" si="481">M539/(1-M514)-M539</f>
        <v>-8145.9395297280134</v>
      </c>
      <c r="N540" s="639">
        <f t="shared" si="481"/>
        <v>-11869.797600460821</v>
      </c>
      <c r="O540" s="639">
        <f t="shared" si="481"/>
        <v>-12107.193552470038</v>
      </c>
      <c r="P540" s="639">
        <f t="shared" si="481"/>
        <v>-12349.337423519435</v>
      </c>
      <c r="Q540" s="639">
        <f t="shared" si="481"/>
        <v>-12596.324171989807</v>
      </c>
      <c r="R540" s="639">
        <f t="shared" si="481"/>
        <v>-12848.250655429612</v>
      </c>
      <c r="S540" s="639">
        <f t="shared" si="481"/>
        <v>-13105.215668538207</v>
      </c>
      <c r="T540" s="639">
        <f t="shared" si="481"/>
        <v>-13367.319981908979</v>
      </c>
      <c r="U540" s="639">
        <f t="shared" si="481"/>
        <v>-13634.66638154714</v>
      </c>
      <c r="V540" s="639">
        <f t="shared" si="481"/>
        <v>-13907.359709178098</v>
      </c>
      <c r="W540" s="639">
        <f t="shared" si="481"/>
        <v>-14185.506903361646</v>
      </c>
      <c r="X540" s="639">
        <f t="shared" si="481"/>
        <v>-14469.21704142887</v>
      </c>
      <c r="Y540" s="639">
        <f t="shared" si="481"/>
        <v>-14758.601382257475</v>
      </c>
      <c r="Z540" s="639">
        <f t="shared" si="481"/>
        <v>-15053.773409902613</v>
      </c>
      <c r="AA540" s="639"/>
      <c r="AB540" s="639"/>
      <c r="AC540" s="639"/>
      <c r="AD540" s="639"/>
      <c r="AE540" s="639"/>
      <c r="AF540" s="639"/>
      <c r="AG540" s="639"/>
      <c r="AH540" s="639"/>
      <c r="AI540" s="639"/>
      <c r="AJ540" s="639"/>
    </row>
    <row r="541" spans="1:36" x14ac:dyDescent="0.25">
      <c r="A541" t="s">
        <v>696</v>
      </c>
      <c r="H541" s="454" t="s">
        <v>676</v>
      </c>
      <c r="I541" s="496" t="s">
        <v>672</v>
      </c>
      <c r="K541" s="616">
        <f t="shared" ref="K541:AJ541" si="482">SUM(K542:K543)</f>
        <v>0</v>
      </c>
      <c r="L541" s="616">
        <f t="shared" si="482"/>
        <v>-632.43325753344004</v>
      </c>
      <c r="M541" s="616">
        <f t="shared" si="482"/>
        <v>-885.40656054681608</v>
      </c>
      <c r="N541" s="616">
        <f t="shared" si="482"/>
        <v>-1328.1098408202242</v>
      </c>
      <c r="O541" s="616">
        <f t="shared" si="482"/>
        <v>-1394.5153328612353</v>
      </c>
      <c r="P541" s="616">
        <f t="shared" si="482"/>
        <v>-1464.2410995042972</v>
      </c>
      <c r="Q541" s="616">
        <f t="shared" si="482"/>
        <v>-1537.453154479512</v>
      </c>
      <c r="R541" s="616">
        <f t="shared" si="482"/>
        <v>-1614.3258122034877</v>
      </c>
      <c r="S541" s="616">
        <f t="shared" si="482"/>
        <v>-1695.0421028136618</v>
      </c>
      <c r="T541" s="616">
        <f t="shared" si="482"/>
        <v>-1779.7942079543452</v>
      </c>
      <c r="U541" s="616">
        <f t="shared" si="482"/>
        <v>-1868.7839183520623</v>
      </c>
      <c r="V541" s="616">
        <f t="shared" si="482"/>
        <v>-1962.2231142696655</v>
      </c>
      <c r="W541" s="616">
        <f t="shared" si="482"/>
        <v>-2060.3342699831487</v>
      </c>
      <c r="X541" s="616">
        <f t="shared" si="482"/>
        <v>-2163.3509834823062</v>
      </c>
      <c r="Y541" s="616">
        <f t="shared" si="482"/>
        <v>-2271.5185326564215</v>
      </c>
      <c r="Z541" s="616">
        <f t="shared" si="482"/>
        <v>-2385.0944592892429</v>
      </c>
      <c r="AA541" s="616"/>
      <c r="AB541" s="616"/>
      <c r="AC541" s="616"/>
      <c r="AD541" s="616"/>
      <c r="AE541" s="616"/>
      <c r="AF541" s="616"/>
      <c r="AG541" s="616"/>
      <c r="AH541" s="616"/>
      <c r="AI541" s="616"/>
      <c r="AJ541" s="616"/>
    </row>
    <row r="542" spans="1:36" s="299" customFormat="1" x14ac:dyDescent="0.25">
      <c r="A542" s="299" t="s">
        <v>696</v>
      </c>
      <c r="B542" s="299" t="s">
        <v>667</v>
      </c>
      <c r="H542" s="553" t="s">
        <v>673</v>
      </c>
      <c r="I542" s="554" t="s">
        <v>672</v>
      </c>
      <c r="K542" s="555"/>
      <c r="L542" s="555" cm="1">
        <f t="array" ref="L542">-SUMPRODUCT('W2'!$M$12:$V$112*('W2'!$M$7:$V$7=$A542)*('W2'!$A$12:$A$112=$B542))*L522*$H$10*POWER(1+Inflation,L$11+1)</f>
        <v>-632.43325753344004</v>
      </c>
      <c r="M542" s="555" cm="1">
        <f t="array" ref="M542">-SUMPRODUCT('W2'!$M$12:$V$112*('W2'!$M$7:$V$7=$A542)*('W2'!$A$12:$A$112=$B542))*M522*$H$10*POWER(1+Inflation,M$11+1)</f>
        <v>-885.40656054681608</v>
      </c>
      <c r="N542" s="555" cm="1">
        <f t="array" ref="N542">-SUMPRODUCT('W2'!$M$12:$V$112*('W2'!$M$7:$V$7=$A542)*('W2'!$A$12:$A$112=$B542))*N522*$H$10*POWER(1+Inflation,N$11+1)</f>
        <v>-1328.1098408202242</v>
      </c>
      <c r="O542" s="555" cm="1">
        <f t="array" ref="O542">-SUMPRODUCT('W2'!$M$12:$V$112*('W2'!$M$7:$V$7=$A542)*('W2'!$A$12:$A$112=$B542))*O522*$H$10*POWER(1+Inflation,O$11+1)</f>
        <v>-1394.5153328612353</v>
      </c>
      <c r="P542" s="555" cm="1">
        <f t="array" ref="P542">-SUMPRODUCT('W2'!$M$12:$V$112*('W2'!$M$7:$V$7=$A542)*('W2'!$A$12:$A$112=$B542))*P522*$H$10*POWER(1+Inflation,P$11+1)</f>
        <v>-1464.2410995042972</v>
      </c>
      <c r="Q542" s="555" cm="1">
        <f t="array" ref="Q542">-SUMPRODUCT('W2'!$M$12:$V$112*('W2'!$M$7:$V$7=$A542)*('W2'!$A$12:$A$112=$B542))*Q522*$H$10*POWER(1+Inflation,Q$11+1)</f>
        <v>-1537.453154479512</v>
      </c>
      <c r="R542" s="555" cm="1">
        <f t="array" ref="R542">-SUMPRODUCT('W2'!$M$12:$V$112*('W2'!$M$7:$V$7=$A542)*('W2'!$A$12:$A$112=$B542))*R522*$H$10*POWER(1+Inflation,R$11+1)</f>
        <v>-1614.3258122034877</v>
      </c>
      <c r="S542" s="555" cm="1">
        <f t="array" ref="S542">-SUMPRODUCT('W2'!$M$12:$V$112*('W2'!$M$7:$V$7=$A542)*('W2'!$A$12:$A$112=$B542))*S522*$H$10*POWER(1+Inflation,S$11+1)</f>
        <v>-1695.0421028136618</v>
      </c>
      <c r="T542" s="555" cm="1">
        <f t="array" ref="T542">-SUMPRODUCT('W2'!$M$12:$V$112*('W2'!$M$7:$V$7=$A542)*('W2'!$A$12:$A$112=$B542))*T522*$H$10*POWER(1+Inflation,T$11+1)</f>
        <v>-1779.7942079543452</v>
      </c>
      <c r="U542" s="555" cm="1">
        <f t="array" ref="U542">-SUMPRODUCT('W2'!$M$12:$V$112*('W2'!$M$7:$V$7=$A542)*('W2'!$A$12:$A$112=$B542))*U522*$H$10*POWER(1+Inflation,U$11+1)</f>
        <v>-1868.7839183520623</v>
      </c>
      <c r="V542" s="555" cm="1">
        <f t="array" ref="V542">-SUMPRODUCT('W2'!$M$12:$V$112*('W2'!$M$7:$V$7=$A542)*('W2'!$A$12:$A$112=$B542))*V522*$H$10*POWER(1+Inflation,V$11+1)</f>
        <v>-1962.2231142696655</v>
      </c>
      <c r="W542" s="555" cm="1">
        <f t="array" ref="W542">-SUMPRODUCT('W2'!$M$12:$V$112*('W2'!$M$7:$V$7=$A542)*('W2'!$A$12:$A$112=$B542))*W522*$H$10*POWER(1+Inflation,W$11+1)</f>
        <v>-2060.3342699831487</v>
      </c>
      <c r="X542" s="555" cm="1">
        <f t="array" ref="X542">-SUMPRODUCT('W2'!$M$12:$V$112*('W2'!$M$7:$V$7=$A542)*('W2'!$A$12:$A$112=$B542))*X522*$H$10*POWER(1+Inflation,X$11+1)</f>
        <v>-2163.3509834823062</v>
      </c>
      <c r="Y542" s="555" cm="1">
        <f t="array" ref="Y542">-SUMPRODUCT('W2'!$M$12:$V$112*('W2'!$M$7:$V$7=$A542)*('W2'!$A$12:$A$112=$B542))*Y522*$H$10*POWER(1+Inflation,Y$11+1)</f>
        <v>-2271.5185326564215</v>
      </c>
      <c r="Z542" s="555" cm="1">
        <f t="array" ref="Z542">-SUMPRODUCT('W2'!$M$12:$V$112*('W2'!$M$7:$V$7=$A542)*('W2'!$A$12:$A$112=$B542))*Z522*$H$10*POWER(1+Inflation,Z$11+1)</f>
        <v>-2385.0944592892429</v>
      </c>
      <c r="AA542" s="555"/>
      <c r="AB542" s="555"/>
      <c r="AC542" s="555"/>
      <c r="AD542" s="555"/>
      <c r="AE542" s="555"/>
      <c r="AF542" s="555"/>
      <c r="AG542" s="555"/>
      <c r="AH542" s="555"/>
      <c r="AI542" s="555"/>
      <c r="AJ542" s="555"/>
    </row>
    <row r="543" spans="1:36" s="299" customFormat="1" x14ac:dyDescent="0.25">
      <c r="A543" s="299" t="s">
        <v>696</v>
      </c>
      <c r="B543" s="299" t="s">
        <v>668</v>
      </c>
      <c r="H543" s="553" t="s">
        <v>674</v>
      </c>
      <c r="I543" s="554" t="s">
        <v>672</v>
      </c>
      <c r="K543" s="555"/>
      <c r="L543" s="555" cm="1">
        <f t="array" ref="L543">-SUMPRODUCT('W2'!$M$12:$V$112*('W2'!$M$7:$V$7=$A543)*('W2'!$A$12:$A$112=$B543))*L523*$H$10*POWER(1+Inflation,L$11+1)</f>
        <v>0</v>
      </c>
      <c r="M543" s="555" cm="1">
        <f t="array" ref="M543">-SUMPRODUCT('W2'!$M$12:$V$112*('W2'!$M$7:$V$7=$A543)*('W2'!$A$12:$A$112=$B543))*M523*$H$10*POWER(1+Inflation,M$11+1)</f>
        <v>0</v>
      </c>
      <c r="N543" s="555" cm="1">
        <f t="array" ref="N543">-SUMPRODUCT('W2'!$M$12:$V$112*('W2'!$M$7:$V$7=$A543)*('W2'!$A$12:$A$112=$B543))*N523*$H$10*POWER(1+Inflation,N$11+1)</f>
        <v>0</v>
      </c>
      <c r="O543" s="555" cm="1">
        <f t="array" ref="O543">-SUMPRODUCT('W2'!$M$12:$V$112*('W2'!$M$7:$V$7=$A543)*('W2'!$A$12:$A$112=$B543))*O523*$H$10*POWER(1+Inflation,O$11+1)</f>
        <v>0</v>
      </c>
      <c r="P543" s="555" cm="1">
        <f t="array" ref="P543">-SUMPRODUCT('W2'!$M$12:$V$112*('W2'!$M$7:$V$7=$A543)*('W2'!$A$12:$A$112=$B543))*P523*$H$10*POWER(1+Inflation,P$11+1)</f>
        <v>0</v>
      </c>
      <c r="Q543" s="555" cm="1">
        <f t="array" ref="Q543">-SUMPRODUCT('W2'!$M$12:$V$112*('W2'!$M$7:$V$7=$A543)*('W2'!$A$12:$A$112=$B543))*Q523*$H$10*POWER(1+Inflation,Q$11+1)</f>
        <v>0</v>
      </c>
      <c r="R543" s="555" cm="1">
        <f t="array" ref="R543">-SUMPRODUCT('W2'!$M$12:$V$112*('W2'!$M$7:$V$7=$A543)*('W2'!$A$12:$A$112=$B543))*R523*$H$10*POWER(1+Inflation,R$11+1)</f>
        <v>0</v>
      </c>
      <c r="S543" s="555" cm="1">
        <f t="array" ref="S543">-SUMPRODUCT('W2'!$M$12:$V$112*('W2'!$M$7:$V$7=$A543)*('W2'!$A$12:$A$112=$B543))*S523*$H$10*POWER(1+Inflation,S$11+1)</f>
        <v>0</v>
      </c>
      <c r="T543" s="555" cm="1">
        <f t="array" ref="T543">-SUMPRODUCT('W2'!$M$12:$V$112*('W2'!$M$7:$V$7=$A543)*('W2'!$A$12:$A$112=$B543))*T523*$H$10*POWER(1+Inflation,T$11+1)</f>
        <v>0</v>
      </c>
      <c r="U543" s="555" cm="1">
        <f t="array" ref="U543">-SUMPRODUCT('W2'!$M$12:$V$112*('W2'!$M$7:$V$7=$A543)*('W2'!$A$12:$A$112=$B543))*U523*$H$10*POWER(1+Inflation,U$11+1)</f>
        <v>0</v>
      </c>
      <c r="V543" s="555" cm="1">
        <f t="array" ref="V543">-SUMPRODUCT('W2'!$M$12:$V$112*('W2'!$M$7:$V$7=$A543)*('W2'!$A$12:$A$112=$B543))*V523*$H$10*POWER(1+Inflation,V$11+1)</f>
        <v>0</v>
      </c>
      <c r="W543" s="555" cm="1">
        <f t="array" ref="W543">-SUMPRODUCT('W2'!$M$12:$V$112*('W2'!$M$7:$V$7=$A543)*('W2'!$A$12:$A$112=$B543))*W523*$H$10*POWER(1+Inflation,W$11+1)</f>
        <v>0</v>
      </c>
      <c r="X543" s="555" cm="1">
        <f t="array" ref="X543">-SUMPRODUCT('W2'!$M$12:$V$112*('W2'!$M$7:$V$7=$A543)*('W2'!$A$12:$A$112=$B543))*X523*$H$10*POWER(1+Inflation,X$11+1)</f>
        <v>0</v>
      </c>
      <c r="Y543" s="555" cm="1">
        <f t="array" ref="Y543">-SUMPRODUCT('W2'!$M$12:$V$112*('W2'!$M$7:$V$7=$A543)*('W2'!$A$12:$A$112=$B543))*Y523*$H$10*POWER(1+Inflation,Y$11+1)</f>
        <v>0</v>
      </c>
      <c r="Z543" s="555" cm="1">
        <f t="array" ref="Z543">-SUMPRODUCT('W2'!$M$12:$V$112*('W2'!$M$7:$V$7=$A543)*('W2'!$A$12:$A$112=$B543))*Z523*$H$10*POWER(1+Inflation,Z$11+1)</f>
        <v>0</v>
      </c>
      <c r="AA543" s="555"/>
      <c r="AB543" s="555"/>
      <c r="AC543" s="555"/>
      <c r="AD543" s="555"/>
      <c r="AE543" s="555"/>
      <c r="AF543" s="555"/>
      <c r="AG543" s="555"/>
      <c r="AH543" s="555"/>
      <c r="AI543" s="555"/>
      <c r="AJ543" s="555"/>
    </row>
    <row r="544" spans="1:36" x14ac:dyDescent="0.25">
      <c r="A544" t="s">
        <v>696</v>
      </c>
      <c r="H544" s="454" t="s">
        <v>180</v>
      </c>
      <c r="I544" s="496" t="str">
        <f t="shared" ref="I544:I547" si="483">IF($H$9="USD","USD","tr. VND")</f>
        <v>tr. VND</v>
      </c>
      <c r="K544" s="616">
        <f>SUM(K545:K547)</f>
        <v>0</v>
      </c>
      <c r="L544" s="616">
        <f>SUM(L545:L547)</f>
        <v>-8991.800110293334</v>
      </c>
      <c r="M544" s="616">
        <f t="shared" ref="M544:AJ544" si="484">SUM(M545:M547)</f>
        <v>-11789.321163477332</v>
      </c>
      <c r="N544" s="616">
        <f t="shared" si="484"/>
        <v>-16720.954914549333</v>
      </c>
      <c r="O544" s="616">
        <f t="shared" si="484"/>
        <v>-17493.074694410134</v>
      </c>
      <c r="P544" s="616">
        <f t="shared" si="484"/>
        <v>-18303.800463263975</v>
      </c>
      <c r="Q544" s="616">
        <f t="shared" si="484"/>
        <v>-19155.062520560507</v>
      </c>
      <c r="R544" s="616">
        <f t="shared" si="484"/>
        <v>-20048.887680721866</v>
      </c>
      <c r="S544" s="616">
        <f t="shared" si="484"/>
        <v>-20987.404098891289</v>
      </c>
      <c r="T544" s="616">
        <f t="shared" si="484"/>
        <v>-21972.846337969193</v>
      </c>
      <c r="U544" s="616">
        <f t="shared" si="484"/>
        <v>-23007.560689000984</v>
      </c>
      <c r="V544" s="616">
        <f t="shared" si="484"/>
        <v>-24094.010757584365</v>
      </c>
      <c r="W544" s="616">
        <f t="shared" si="484"/>
        <v>-25234.783329596918</v>
      </c>
      <c r="X544" s="616">
        <f t="shared" si="484"/>
        <v>-25430.095196876766</v>
      </c>
      <c r="Y544" s="616">
        <f t="shared" si="484"/>
        <v>-26687.796957520601</v>
      </c>
      <c r="Z544" s="616">
        <f t="shared" si="484"/>
        <v>-28008.383806196634</v>
      </c>
      <c r="AA544" s="616"/>
      <c r="AB544" s="616"/>
      <c r="AC544" s="616"/>
      <c r="AD544" s="616"/>
      <c r="AE544" s="616"/>
      <c r="AF544" s="616"/>
      <c r="AG544" s="616"/>
      <c r="AH544" s="616"/>
      <c r="AI544" s="616"/>
      <c r="AJ544" s="616"/>
    </row>
    <row r="545" spans="1:36" s="299" customFormat="1" x14ac:dyDescent="0.25">
      <c r="A545" s="299" t="s">
        <v>696</v>
      </c>
      <c r="B545" s="299" t="s">
        <v>174</v>
      </c>
      <c r="H545" s="553" t="s">
        <v>73</v>
      </c>
      <c r="I545" s="554" t="str">
        <f t="shared" si="483"/>
        <v>tr. VND</v>
      </c>
      <c r="K545" s="555"/>
      <c r="L545" s="555" cm="1">
        <f t="array" ref="L545">-SUMPRODUCT('W2'!$M$12:$V$112*('W2'!$M$7:$V$7=$A545)*('W2'!$A$12:$A$112=$B545))*L515*24*$H$10*POWER(1+Inflation,L$11+1)</f>
        <v>-5749.8011999999999</v>
      </c>
      <c r="M545" s="555" cm="1">
        <f t="array" ref="M545">-SUMPRODUCT('W2'!$M$12:$V$112*('W2'!$M$7:$V$7=$A545)*('W2'!$A$12:$A$112=$B545))*M515*24*$H$10*POWER(1+Inflation,M$11+1)</f>
        <v>-8049.7216799999978</v>
      </c>
      <c r="N545" s="555" cm="1">
        <f t="array" ref="N545">-SUMPRODUCT('W2'!$M$12:$V$112*('W2'!$M$7:$V$7=$A545)*('W2'!$A$12:$A$112=$B545))*N515*24*$H$10*POWER(1+Inflation,N$11+1)</f>
        <v>-12074.58252</v>
      </c>
      <c r="O545" s="555" cm="1">
        <f t="array" ref="O545">-SUMPRODUCT('W2'!$M$12:$V$112*('W2'!$M$7:$V$7=$A545)*('W2'!$A$12:$A$112=$B545))*O515*24*$H$10*POWER(1+Inflation,O$11+1)</f>
        <v>-12678.311646</v>
      </c>
      <c r="P545" s="555" cm="1">
        <f t="array" ref="P545">-SUMPRODUCT('W2'!$M$12:$V$112*('W2'!$M$7:$V$7=$A545)*('W2'!$A$12:$A$112=$B545))*P515*24*$H$10*POWER(1+Inflation,P$11+1)</f>
        <v>-13312.227228300002</v>
      </c>
      <c r="Q545" s="555" cm="1">
        <f t="array" ref="Q545">-SUMPRODUCT('W2'!$M$12:$V$112*('W2'!$M$7:$V$7=$A545)*('W2'!$A$12:$A$112=$B545))*Q515*24*$H$10*POWER(1+Inflation,Q$11+1)</f>
        <v>-13977.838589715</v>
      </c>
      <c r="R545" s="555" cm="1">
        <f t="array" ref="R545">-SUMPRODUCT('W2'!$M$12:$V$112*('W2'!$M$7:$V$7=$A545)*('W2'!$A$12:$A$112=$B545))*R515*24*$H$10*POWER(1+Inflation,R$11+1)</f>
        <v>-14676.730519200752</v>
      </c>
      <c r="S545" s="555" cm="1">
        <f t="array" ref="S545">-SUMPRODUCT('W2'!$M$12:$V$112*('W2'!$M$7:$V$7=$A545)*('W2'!$A$12:$A$112=$B545))*S515*24*$H$10*POWER(1+Inflation,S$11+1)</f>
        <v>-15410.567045160788</v>
      </c>
      <c r="T545" s="555" cm="1">
        <f t="array" ref="T545">-SUMPRODUCT('W2'!$M$12:$V$112*('W2'!$M$7:$V$7=$A545)*('W2'!$A$12:$A$112=$B545))*T515*24*$H$10*POWER(1+Inflation,T$11+1)</f>
        <v>-16181.095397418829</v>
      </c>
      <c r="U545" s="555" cm="1">
        <f t="array" ref="U545">-SUMPRODUCT('W2'!$M$12:$V$112*('W2'!$M$7:$V$7=$A545)*('W2'!$A$12:$A$112=$B545))*U515*24*$H$10*POWER(1+Inflation,U$11+1)</f>
        <v>-16990.150167289768</v>
      </c>
      <c r="V545" s="555" cm="1">
        <f t="array" ref="V545">-SUMPRODUCT('W2'!$M$12:$V$112*('W2'!$M$7:$V$7=$A545)*('W2'!$A$12:$A$112=$B545))*V515*24*$H$10*POWER(1+Inflation,V$11+1)</f>
        <v>-17839.657675654256</v>
      </c>
      <c r="W545" s="555" cm="1">
        <f t="array" ref="W545">-SUMPRODUCT('W2'!$M$12:$V$112*('W2'!$M$7:$V$7=$A545)*('W2'!$A$12:$A$112=$B545))*W515*24*$H$10*POWER(1+Inflation,W$11+1)</f>
        <v>-18731.640559436972</v>
      </c>
      <c r="X545" s="555" cm="1">
        <f t="array" ref="X545">-SUMPRODUCT('W2'!$M$12:$V$112*('W2'!$M$7:$V$7=$A545)*('W2'!$A$12:$A$112=$B545))*X515*24*$H$10*POWER(1+Inflation,X$11+1)</f>
        <v>-19668.222587408822</v>
      </c>
      <c r="Y545" s="555" cm="1">
        <f t="array" ref="Y545">-SUMPRODUCT('W2'!$M$12:$V$112*('W2'!$M$7:$V$7=$A545)*('W2'!$A$12:$A$112=$B545))*Y515*24*$H$10*POWER(1+Inflation,Y$11+1)</f>
        <v>-20651.633716779259</v>
      </c>
      <c r="Z545" s="555" cm="1">
        <f t="array" ref="Z545">-SUMPRODUCT('W2'!$M$12:$V$112*('W2'!$M$7:$V$7=$A545)*('W2'!$A$12:$A$112=$B545))*Z515*24*$H$10*POWER(1+Inflation,Z$11+1)</f>
        <v>-21684.215402618225</v>
      </c>
      <c r="AA545" s="555"/>
      <c r="AB545" s="555"/>
      <c r="AC545" s="555"/>
      <c r="AD545" s="555"/>
      <c r="AE545" s="555"/>
      <c r="AF545" s="555"/>
      <c r="AG545" s="555"/>
      <c r="AH545" s="555"/>
      <c r="AI545" s="555"/>
      <c r="AJ545" s="555"/>
    </row>
    <row r="546" spans="1:36" s="299" customFormat="1" x14ac:dyDescent="0.25">
      <c r="A546" s="299" t="s">
        <v>696</v>
      </c>
      <c r="B546" s="299" t="s">
        <v>462</v>
      </c>
      <c r="H546" s="553" t="s">
        <v>192</v>
      </c>
      <c r="I546" s="554" t="str">
        <f t="shared" si="483"/>
        <v>tr. VND</v>
      </c>
      <c r="K546" s="555"/>
      <c r="L546" s="555" cm="1">
        <f t="array" ref="L546">-SUMPRODUCT('W2'!$M$12:$V$112*('W2'!$M$7:$V$7=$A546)*('W2'!$A$12:$A$112=$B546))*L516*$H$10*POWER(1+Inflation,L$11+1)</f>
        <v>-975.00902399999995</v>
      </c>
      <c r="M546" s="555" cm="1">
        <f t="array" ref="M546">-SUMPRODUCT('W2'!$M$12:$V$112*('W2'!$M$7:$V$7=$A546)*('W2'!$A$12:$A$112=$B546))*M516*$H$10*POWER(1+Inflation,M$11+1)</f>
        <v>-1365.0126335999998</v>
      </c>
      <c r="N546" s="555" cm="1">
        <f t="array" ref="N546">-SUMPRODUCT('W2'!$M$12:$V$112*('W2'!$M$7:$V$7=$A546)*('W2'!$A$12:$A$112=$B546))*N516*$H$10*POWER(1+Inflation,N$11+1)</f>
        <v>-2047.5189504</v>
      </c>
      <c r="O546" s="555" cm="1">
        <f t="array" ref="O546">-SUMPRODUCT('W2'!$M$12:$V$112*('W2'!$M$7:$V$7=$A546)*('W2'!$A$12:$A$112=$B546))*O516*$H$10*POWER(1+Inflation,O$11+1)</f>
        <v>-2149.8948979199999</v>
      </c>
      <c r="P546" s="555" cm="1">
        <f t="array" ref="P546">-SUMPRODUCT('W2'!$M$12:$V$112*('W2'!$M$7:$V$7=$A546)*('W2'!$A$12:$A$112=$B546))*P516*$H$10*POWER(1+Inflation,P$11+1)</f>
        <v>-2257.3896428160001</v>
      </c>
      <c r="Q546" s="555" cm="1">
        <f t="array" ref="Q546">-SUMPRODUCT('W2'!$M$12:$V$112*('W2'!$M$7:$V$7=$A546)*('W2'!$A$12:$A$112=$B546))*Q516*$H$10*POWER(1+Inflation,Q$11+1)</f>
        <v>-2370.2591249568</v>
      </c>
      <c r="R546" s="555" cm="1">
        <f t="array" ref="R546">-SUMPRODUCT('W2'!$M$12:$V$112*('W2'!$M$7:$V$7=$A546)*('W2'!$A$12:$A$112=$B546))*R516*$H$10*POWER(1+Inflation,R$11+1)</f>
        <v>-2488.77208120464</v>
      </c>
      <c r="S546" s="555" cm="1">
        <f t="array" ref="S546">-SUMPRODUCT('W2'!$M$12:$V$112*('W2'!$M$7:$V$7=$A546)*('W2'!$A$12:$A$112=$B546))*S516*$H$10*POWER(1+Inflation,S$11+1)</f>
        <v>-2613.2106852648717</v>
      </c>
      <c r="T546" s="555" cm="1">
        <f t="array" ref="T546">-SUMPRODUCT('W2'!$M$12:$V$112*('W2'!$M$7:$V$7=$A546)*('W2'!$A$12:$A$112=$B546))*T516*$H$10*POWER(1+Inflation,T$11+1)</f>
        <v>-2743.8712195281159</v>
      </c>
      <c r="U546" s="555" cm="1">
        <f t="array" ref="U546">-SUMPRODUCT('W2'!$M$12:$V$112*('W2'!$M$7:$V$7=$A546)*('W2'!$A$12:$A$112=$B546))*U516*$H$10*POWER(1+Inflation,U$11+1)</f>
        <v>-2881.0647805045214</v>
      </c>
      <c r="V546" s="555" cm="1">
        <f t="array" ref="V546">-SUMPRODUCT('W2'!$M$12:$V$112*('W2'!$M$7:$V$7=$A546)*('W2'!$A$12:$A$112=$B546))*V516*$H$10*POWER(1+Inflation,V$11+1)</f>
        <v>-3025.1180195297475</v>
      </c>
      <c r="W546" s="555" cm="1">
        <f t="array" ref="W546">-SUMPRODUCT('W2'!$M$12:$V$112*('W2'!$M$7:$V$7=$A546)*('W2'!$A$12:$A$112=$B546))*W516*$H$10*POWER(1+Inflation,W$11+1)</f>
        <v>-3176.3739205062352</v>
      </c>
      <c r="X546" s="555" cm="1">
        <f t="array" ref="X546">-SUMPRODUCT('W2'!$M$12:$V$112*('W2'!$M$7:$V$7=$A546)*('W2'!$A$12:$A$112=$B546))*X516*$H$10*POWER(1+Inflation,X$11+1)</f>
        <v>-3335.1926165315472</v>
      </c>
      <c r="Y546" s="555" cm="1">
        <f t="array" ref="Y546">-SUMPRODUCT('W2'!$M$12:$V$112*('W2'!$M$7:$V$7=$A546)*('W2'!$A$12:$A$112=$B546))*Y516*$H$10*POWER(1+Inflation,Y$11+1)</f>
        <v>-3501.9522473581237</v>
      </c>
      <c r="Z546" s="555" cm="1">
        <f t="array" ref="Z546">-SUMPRODUCT('W2'!$M$12:$V$112*('W2'!$M$7:$V$7=$A546)*('W2'!$A$12:$A$112=$B546))*Z516*$H$10*POWER(1+Inflation,Z$11+1)</f>
        <v>-3677.0498597260307</v>
      </c>
      <c r="AA546" s="555"/>
      <c r="AB546" s="555"/>
      <c r="AC546" s="555"/>
      <c r="AD546" s="555"/>
      <c r="AE546" s="555"/>
      <c r="AF546" s="555"/>
      <c r="AG546" s="555"/>
      <c r="AH546" s="555"/>
      <c r="AI546" s="555"/>
      <c r="AJ546" s="555"/>
    </row>
    <row r="547" spans="1:36" s="299" customFormat="1" x14ac:dyDescent="0.25">
      <c r="A547" s="299" t="s">
        <v>696</v>
      </c>
      <c r="B547" s="299" t="s">
        <v>140</v>
      </c>
      <c r="H547" s="553" t="s">
        <v>175</v>
      </c>
      <c r="I547" s="554" t="str">
        <f t="shared" si="483"/>
        <v>tr. VND</v>
      </c>
      <c r="K547" s="555"/>
      <c r="L547" s="555" cm="1">
        <f t="array" ref="L547">SUMPRODUCT('W2'!$M$12:$V$112*('W2'!$M$7:$V$7=$A547)*('W2'!$A$12:$A$112=$B547))*(SUM(L527,L545:L546))</f>
        <v>-2266.9898862933337</v>
      </c>
      <c r="M547" s="555" cm="1">
        <f t="array" ref="M547">SUMPRODUCT('W2'!$M$12:$V$112*('W2'!$M$7:$V$7=$A547)*('W2'!$A$12:$A$112=$B547))*(SUM(M527,M545:M546))</f>
        <v>-2374.5868498773334</v>
      </c>
      <c r="N547" s="555" cm="1">
        <f t="array" ref="N547">SUMPRODUCT('W2'!$M$12:$V$112*('W2'!$M$7:$V$7=$A547)*('W2'!$A$12:$A$112=$B547))*(SUM(N527,N545:N546))</f>
        <v>-2598.8534441493334</v>
      </c>
      <c r="O547" s="555" cm="1">
        <f t="array" ref="O547">SUMPRODUCT('W2'!$M$12:$V$112*('W2'!$M$7:$V$7=$A547)*('W2'!$A$12:$A$112=$B547))*(SUM(O527,O545:O546))</f>
        <v>-2664.8681504901338</v>
      </c>
      <c r="P547" s="555" cm="1">
        <f t="array" ref="P547">SUMPRODUCT('W2'!$M$12:$V$112*('W2'!$M$7:$V$7=$A547)*('W2'!$A$12:$A$112=$B547))*(SUM(P527,P545:P546))</f>
        <v>-2734.1835921479733</v>
      </c>
      <c r="Q547" s="555" cm="1">
        <f t="array" ref="Q547">SUMPRODUCT('W2'!$M$12:$V$112*('W2'!$M$7:$V$7=$A547)*('W2'!$A$12:$A$112=$B547))*(SUM(Q527,Q545:Q546))</f>
        <v>-2806.9648058887055</v>
      </c>
      <c r="R547" s="555" cm="1">
        <f t="array" ref="R547">SUMPRODUCT('W2'!$M$12:$V$112*('W2'!$M$7:$V$7=$A547)*('W2'!$A$12:$A$112=$B547))*(SUM(R527,R545:R546))</f>
        <v>-2883.3850803164742</v>
      </c>
      <c r="S547" s="555" cm="1">
        <f t="array" ref="S547">SUMPRODUCT('W2'!$M$12:$V$112*('W2'!$M$7:$V$7=$A547)*('W2'!$A$12:$A$112=$B547))*(SUM(S527,S545:S546))</f>
        <v>-2963.6263684656315</v>
      </c>
      <c r="T547" s="555" cm="1">
        <f t="array" ref="T547">SUMPRODUCT('W2'!$M$12:$V$112*('W2'!$M$7:$V$7=$A547)*('W2'!$A$12:$A$112=$B547))*(SUM(T527,T545:T546))</f>
        <v>-3047.879721022246</v>
      </c>
      <c r="U547" s="555" cm="1">
        <f t="array" ref="U547">SUMPRODUCT('W2'!$M$12:$V$112*('W2'!$M$7:$V$7=$A547)*('W2'!$A$12:$A$112=$B547))*(SUM(U527,U545:U546))</f>
        <v>-3136.3457412066919</v>
      </c>
      <c r="V547" s="555" cm="1">
        <f t="array" ref="V547">SUMPRODUCT('W2'!$M$12:$V$112*('W2'!$M$7:$V$7=$A547)*('W2'!$A$12:$A$112=$B547))*(SUM(V527,V545:V546))</f>
        <v>-3229.2350624003593</v>
      </c>
      <c r="W547" s="555" cm="1">
        <f t="array" ref="W547">SUMPRODUCT('W2'!$M$12:$V$112*('W2'!$M$7:$V$7=$A547)*('W2'!$A$12:$A$112=$B547))*(SUM(W527,W545:W546))</f>
        <v>-3326.7688496537107</v>
      </c>
      <c r="X547" s="555" cm="1">
        <f t="array" ref="X547">SUMPRODUCT('W2'!$M$12:$V$112*('W2'!$M$7:$V$7=$A547)*('W2'!$A$12:$A$112=$B547))*(SUM(X527,X545:X546))</f>
        <v>-2426.6799929363965</v>
      </c>
      <c r="Y547" s="555" cm="1">
        <f t="array" ref="Y547">SUMPRODUCT('W2'!$M$12:$V$112*('W2'!$M$7:$V$7=$A547)*('W2'!$A$12:$A$112=$B547))*(SUM(Y527,Y545:Y546))</f>
        <v>-2534.2109933832162</v>
      </c>
      <c r="Z547" s="555" cm="1">
        <f t="array" ref="Z547">SUMPRODUCT('W2'!$M$12:$V$112*('W2'!$M$7:$V$7=$A547)*('W2'!$A$12:$A$112=$B547))*(SUM(Z527,Z545:Z546))</f>
        <v>-2647.1185438523776</v>
      </c>
      <c r="AA547" s="555"/>
      <c r="AB547" s="555"/>
      <c r="AC547" s="555"/>
      <c r="AD547" s="555"/>
      <c r="AE547" s="555"/>
      <c r="AF547" s="555"/>
      <c r="AG547" s="555"/>
      <c r="AH547" s="555"/>
      <c r="AI547" s="555"/>
      <c r="AJ547" s="555"/>
    </row>
    <row r="548" spans="1:36" x14ac:dyDescent="0.25">
      <c r="A548" t="s">
        <v>696</v>
      </c>
      <c r="K548" s="15"/>
      <c r="L548" s="263"/>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row>
    <row r="549" spans="1:36" s="300" customFormat="1" x14ac:dyDescent="0.25">
      <c r="A549" s="300" t="s">
        <v>696</v>
      </c>
      <c r="H549" s="301" t="s">
        <v>464</v>
      </c>
      <c r="I549" s="302" t="str">
        <f>IF($H$9="USD","USD","tr. VND")</f>
        <v>tr. VND</v>
      </c>
      <c r="K549" s="303">
        <f>K527+K537</f>
        <v>0</v>
      </c>
      <c r="L549" s="303">
        <f t="shared" ref="L549:AJ549" si="485">L527+L537</f>
        <v>-142696.00223716011</v>
      </c>
      <c r="M549" s="303">
        <f t="shared" si="485"/>
        <v>-178995.22936775751</v>
      </c>
      <c r="N549" s="303">
        <f t="shared" si="485"/>
        <v>-238466.83653814293</v>
      </c>
      <c r="O549" s="303">
        <f t="shared" si="485"/>
        <v>-243640.99513803353</v>
      </c>
      <c r="P549" s="303">
        <f t="shared" si="485"/>
        <v>-248972.12054562898</v>
      </c>
      <c r="Q549" s="303">
        <f t="shared" si="485"/>
        <v>-254466.02627886878</v>
      </c>
      <c r="R549" s="303">
        <f t="shared" si="485"/>
        <v>-260128.77583514043</v>
      </c>
      <c r="S549" s="303">
        <f t="shared" si="485"/>
        <v>-265966.69437632285</v>
      </c>
      <c r="T549" s="303">
        <f t="shared" si="485"/>
        <v>-271986.38098180352</v>
      </c>
      <c r="U549" s="303">
        <f t="shared" si="485"/>
        <v>-278194.72149754228</v>
      </c>
      <c r="V549" s="303">
        <f t="shared" si="485"/>
        <v>-284598.90201065154</v>
      </c>
      <c r="W549" s="303">
        <f t="shared" si="485"/>
        <v>-291206.42298043164</v>
      </c>
      <c r="X549" s="303">
        <f t="shared" si="485"/>
        <v>-271960.13139166962</v>
      </c>
      <c r="Y549" s="303">
        <f t="shared" si="485"/>
        <v>-278998.16696429788</v>
      </c>
      <c r="Z549" s="303">
        <f t="shared" si="485"/>
        <v>-286264.08245520247</v>
      </c>
      <c r="AA549" s="303"/>
      <c r="AB549" s="303"/>
      <c r="AC549" s="303"/>
      <c r="AD549" s="303"/>
      <c r="AE549" s="303"/>
      <c r="AF549" s="303"/>
      <c r="AG549" s="303"/>
      <c r="AH549" s="303"/>
      <c r="AI549" s="303"/>
      <c r="AJ549" s="303"/>
    </row>
    <row r="550" spans="1:36" x14ac:dyDescent="0.25">
      <c r="A550" t="s">
        <v>696</v>
      </c>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row>
    <row r="551" spans="1:36" x14ac:dyDescent="0.25">
      <c r="A551" t="s">
        <v>696</v>
      </c>
      <c r="B551" t="s">
        <v>622</v>
      </c>
      <c r="H551" s="459" t="s">
        <v>166</v>
      </c>
      <c r="I551" s="493" t="str">
        <f>IF($H$9="USD","USD","tr. VND")</f>
        <v>tr. VND</v>
      </c>
      <c r="K551" s="461"/>
      <c r="L551" s="461" cm="1">
        <f t="array" ref="L551">-SUMPRODUCT('W2'!$M$12:$V$112*('W2'!$M$7:$V$7=$A551)*('W2'!$A$12:$A$112=$B551))*L516*$H$10*POWER(1+Inflation,L$11+1)</f>
        <v>-2752.9666560000001</v>
      </c>
      <c r="M551" s="461" cm="1">
        <f t="array" ref="M551">-SUMPRODUCT('W2'!$M$12:$V$112*('W2'!$M$7:$V$7=$A551)*('W2'!$A$12:$A$112=$B551))*M516*$H$10*POWER(1+Inflation,M$11+1)</f>
        <v>-3854.1533183999995</v>
      </c>
      <c r="N551" s="461" cm="1">
        <f t="array" ref="N551">-SUMPRODUCT('W2'!$M$12:$V$112*('W2'!$M$7:$V$7=$A551)*('W2'!$A$12:$A$112=$B551))*N516*$H$10*POWER(1+Inflation,N$11+1)</f>
        <v>-5781.2299776</v>
      </c>
      <c r="O551" s="461" cm="1">
        <f t="array" ref="O551">-SUMPRODUCT('W2'!$M$12:$V$112*('W2'!$M$7:$V$7=$A551)*('W2'!$A$12:$A$112=$B551))*O516*$H$10*POWER(1+Inflation,O$11+1)</f>
        <v>-6070.2914764800007</v>
      </c>
      <c r="P551" s="461" cm="1">
        <f t="array" ref="P551">-SUMPRODUCT('W2'!$M$12:$V$112*('W2'!$M$7:$V$7=$A551)*('W2'!$A$12:$A$112=$B551))*P516*$H$10*POWER(1+Inflation,P$11+1)</f>
        <v>-6373.8060503040006</v>
      </c>
      <c r="Q551" s="461" cm="1">
        <f t="array" ref="Q551">-SUMPRODUCT('W2'!$M$12:$V$112*('W2'!$M$7:$V$7=$A551)*('W2'!$A$12:$A$112=$B551))*Q516*$H$10*POWER(1+Inflation,Q$11+1)</f>
        <v>-6692.4963528192002</v>
      </c>
      <c r="R551" s="461" cm="1">
        <f t="array" ref="R551">-SUMPRODUCT('W2'!$M$12:$V$112*('W2'!$M$7:$V$7=$A551)*('W2'!$A$12:$A$112=$B551))*R516*$H$10*POWER(1+Inflation,R$11+1)</f>
        <v>-7027.121170460161</v>
      </c>
      <c r="S551" s="461" cm="1">
        <f t="array" ref="S551">-SUMPRODUCT('W2'!$M$12:$V$112*('W2'!$M$7:$V$7=$A551)*('W2'!$A$12:$A$112=$B551))*S516*$H$10*POWER(1+Inflation,S$11+1)</f>
        <v>-7378.4772289831681</v>
      </c>
      <c r="T551" s="461" cm="1">
        <f t="array" ref="T551">-SUMPRODUCT('W2'!$M$12:$V$112*('W2'!$M$7:$V$7=$A551)*('W2'!$A$12:$A$112=$B551))*T516*$H$10*POWER(1+Inflation,T$11+1)</f>
        <v>-7747.4010904323277</v>
      </c>
      <c r="U551" s="461" cm="1">
        <f t="array" ref="U551">-SUMPRODUCT('W2'!$M$12:$V$112*('W2'!$M$7:$V$7=$A551)*('W2'!$A$12:$A$112=$B551))*U516*$H$10*POWER(1+Inflation,U$11+1)</f>
        <v>-8134.7711449539429</v>
      </c>
      <c r="V551" s="461" cm="1">
        <f t="array" ref="V551">-SUMPRODUCT('W2'!$M$12:$V$112*('W2'!$M$7:$V$7=$A551)*('W2'!$A$12:$A$112=$B551))*V516*$H$10*POWER(1+Inflation,V$11+1)</f>
        <v>-8541.5097022016416</v>
      </c>
      <c r="W551" s="461" cm="1">
        <f t="array" ref="W551">-SUMPRODUCT('W2'!$M$12:$V$112*('W2'!$M$7:$V$7=$A551)*('W2'!$A$12:$A$112=$B551))*W516*$H$10*POWER(1+Inflation,W$11+1)</f>
        <v>-8968.5851873117226</v>
      </c>
      <c r="X551" s="461" cm="1">
        <f t="array" ref="X551">-SUMPRODUCT('W2'!$M$12:$V$112*('W2'!$M$7:$V$7=$A551)*('W2'!$A$12:$A$112=$B551))*X516*$H$10*POWER(1+Inflation,X$11+1)</f>
        <v>-9417.014446677309</v>
      </c>
      <c r="Y551" s="461" cm="1">
        <f t="array" ref="Y551">-SUMPRODUCT('W2'!$M$12:$V$112*('W2'!$M$7:$V$7=$A551)*('W2'!$A$12:$A$112=$B551))*Y516*$H$10*POWER(1+Inflation,Y$11+1)</f>
        <v>-9887.8651690111747</v>
      </c>
      <c r="Z551" s="461" cm="1">
        <f t="array" ref="Z551">-SUMPRODUCT('W2'!$M$12:$V$112*('W2'!$M$7:$V$7=$A551)*('W2'!$A$12:$A$112=$B551))*Z516*$H$10*POWER(1+Inflation,Z$11+1)</f>
        <v>-10382.258427461735</v>
      </c>
      <c r="AA551" s="461"/>
      <c r="AB551" s="461"/>
      <c r="AC551" s="461"/>
      <c r="AD551" s="461"/>
      <c r="AE551" s="461"/>
      <c r="AF551" s="461"/>
      <c r="AG551" s="461"/>
      <c r="AH551" s="461"/>
      <c r="AI551" s="461"/>
      <c r="AJ551" s="461"/>
    </row>
    <row r="552" spans="1:36" x14ac:dyDescent="0.25">
      <c r="A552" t="s">
        <v>696</v>
      </c>
      <c r="B552" t="s">
        <v>527</v>
      </c>
      <c r="H552" s="454" t="s">
        <v>469</v>
      </c>
      <c r="I552" s="496" t="str">
        <f>IF($H$9="USD","USD","tr. VND")</f>
        <v>tr. VND</v>
      </c>
      <c r="K552" s="457"/>
      <c r="L552" s="457" cm="1">
        <f t="array" ref="L552">-SUMPRODUCT('W2'!$M$12:$V$112*('W2'!$M$7:$V$7=$A552)*('W2'!$A$12:$A$112=$B552))*L516*$H$10*POWER(1+Inflation,L$11+1)</f>
        <v>0</v>
      </c>
      <c r="M552" s="457" cm="1">
        <f t="array" ref="M552">-SUMPRODUCT('W2'!$M$12:$V$112*('W2'!$M$7:$V$7=$A552)*('W2'!$A$12:$A$112=$B552))*M516*$H$10*POWER(1+Inflation,M$11+1)</f>
        <v>0</v>
      </c>
      <c r="N552" s="457" cm="1">
        <f t="array" ref="N552">-SUMPRODUCT('W2'!$M$12:$V$112*('W2'!$M$7:$V$7=$A552)*('W2'!$A$12:$A$112=$B552))*N516*$H$10*POWER(1+Inflation,N$11+1)</f>
        <v>0</v>
      </c>
      <c r="O552" s="457" cm="1">
        <f t="array" ref="O552">-SUMPRODUCT('W2'!$M$12:$V$112*('W2'!$M$7:$V$7=$A552)*('W2'!$A$12:$A$112=$B552))*O516*$H$10*POWER(1+Inflation,O$11+1)</f>
        <v>0</v>
      </c>
      <c r="P552" s="457" cm="1">
        <f t="array" ref="P552">-SUMPRODUCT('W2'!$M$12:$V$112*('W2'!$M$7:$V$7=$A552)*('W2'!$A$12:$A$112=$B552))*P516*$H$10*POWER(1+Inflation,P$11+1)</f>
        <v>0</v>
      </c>
      <c r="Q552" s="457" cm="1">
        <f t="array" ref="Q552">-SUMPRODUCT('W2'!$M$12:$V$112*('W2'!$M$7:$V$7=$A552)*('W2'!$A$12:$A$112=$B552))*Q516*$H$10*POWER(1+Inflation,Q$11+1)</f>
        <v>0</v>
      </c>
      <c r="R552" s="457" cm="1">
        <f t="array" ref="R552">-SUMPRODUCT('W2'!$M$12:$V$112*('W2'!$M$7:$V$7=$A552)*('W2'!$A$12:$A$112=$B552))*R516*$H$10*POWER(1+Inflation,R$11+1)</f>
        <v>0</v>
      </c>
      <c r="S552" s="457" cm="1">
        <f t="array" ref="S552">-SUMPRODUCT('W2'!$M$12:$V$112*('W2'!$M$7:$V$7=$A552)*('W2'!$A$12:$A$112=$B552))*S516*$H$10*POWER(1+Inflation,S$11+1)</f>
        <v>0</v>
      </c>
      <c r="T552" s="457" cm="1">
        <f t="array" ref="T552">-SUMPRODUCT('W2'!$M$12:$V$112*('W2'!$M$7:$V$7=$A552)*('W2'!$A$12:$A$112=$B552))*T516*$H$10*POWER(1+Inflation,T$11+1)</f>
        <v>0</v>
      </c>
      <c r="U552" s="457" cm="1">
        <f t="array" ref="U552">-SUMPRODUCT('W2'!$M$12:$V$112*('W2'!$M$7:$V$7=$A552)*('W2'!$A$12:$A$112=$B552))*U516*$H$10*POWER(1+Inflation,U$11+1)</f>
        <v>0</v>
      </c>
      <c r="V552" s="457" cm="1">
        <f t="array" ref="V552">-SUMPRODUCT('W2'!$M$12:$V$112*('W2'!$M$7:$V$7=$A552)*('W2'!$A$12:$A$112=$B552))*V516*$H$10*POWER(1+Inflation,V$11+1)</f>
        <v>0</v>
      </c>
      <c r="W552" s="457" cm="1">
        <f t="array" ref="W552">-SUMPRODUCT('W2'!$M$12:$V$112*('W2'!$M$7:$V$7=$A552)*('W2'!$A$12:$A$112=$B552))*W516*$H$10*POWER(1+Inflation,W$11+1)</f>
        <v>0</v>
      </c>
      <c r="X552" s="457" cm="1">
        <f t="array" ref="X552">-SUMPRODUCT('W2'!$M$12:$V$112*('W2'!$M$7:$V$7=$A552)*('W2'!$A$12:$A$112=$B552))*X516*$H$10*POWER(1+Inflation,X$11+1)</f>
        <v>0</v>
      </c>
      <c r="Y552" s="457" cm="1">
        <f t="array" ref="Y552">-SUMPRODUCT('W2'!$M$12:$V$112*('W2'!$M$7:$V$7=$A552)*('W2'!$A$12:$A$112=$B552))*Y516*$H$10*POWER(1+Inflation,Y$11+1)</f>
        <v>0</v>
      </c>
      <c r="Z552" s="457" cm="1">
        <f t="array" ref="Z552">-SUMPRODUCT('W2'!$M$12:$V$112*('W2'!$M$7:$V$7=$A552)*('W2'!$A$12:$A$112=$B552))*Z516*$H$10*POWER(1+Inflation,Z$11+1)</f>
        <v>0</v>
      </c>
      <c r="AA552" s="457"/>
      <c r="AB552" s="457"/>
      <c r="AC552" s="457"/>
      <c r="AD552" s="457"/>
      <c r="AE552" s="457"/>
      <c r="AF552" s="457"/>
      <c r="AG552" s="457"/>
      <c r="AH552" s="457"/>
      <c r="AI552" s="457"/>
      <c r="AJ552" s="457"/>
    </row>
    <row r="553" spans="1:36" x14ac:dyDescent="0.25">
      <c r="A553" t="s">
        <v>696</v>
      </c>
      <c r="B553" t="s">
        <v>522</v>
      </c>
      <c r="H553" s="454" t="s">
        <v>468</v>
      </c>
      <c r="I553" s="496" t="str">
        <f>IF($H$9="USD","USD","tr. VND")</f>
        <v>tr. VND</v>
      </c>
      <c r="K553" s="454"/>
      <c r="L553" s="457" cm="1">
        <f t="array" ref="L553">-SUMPRODUCT('W2'!$M$12:$V$112*('W2'!$M$7:$V$7=$A553)*('W2'!$A$12:$A$112=$B553))*L516*$H$10*POWER(1+Inflation,L$11+1)</f>
        <v>0</v>
      </c>
      <c r="M553" s="457" cm="1">
        <f t="array" ref="M553">-SUMPRODUCT('W2'!$M$12:$V$112*('W2'!$M$7:$V$7=$A553)*('W2'!$A$12:$A$112=$B553))*M516*$H$10*POWER(1+Inflation,M$11+1)</f>
        <v>0</v>
      </c>
      <c r="N553" s="457" cm="1">
        <f t="array" ref="N553">-SUMPRODUCT('W2'!$M$12:$V$112*('W2'!$M$7:$V$7=$A553)*('W2'!$A$12:$A$112=$B553))*N516*$H$10*POWER(1+Inflation,N$11+1)</f>
        <v>0</v>
      </c>
      <c r="O553" s="457" cm="1">
        <f t="array" ref="O553">-SUMPRODUCT('W2'!$M$12:$V$112*('W2'!$M$7:$V$7=$A553)*('W2'!$A$12:$A$112=$B553))*O516*$H$10*POWER(1+Inflation,O$11+1)</f>
        <v>0</v>
      </c>
      <c r="P553" s="457" cm="1">
        <f t="array" ref="P553">-SUMPRODUCT('W2'!$M$12:$V$112*('W2'!$M$7:$V$7=$A553)*('W2'!$A$12:$A$112=$B553))*P516*$H$10*POWER(1+Inflation,P$11+1)</f>
        <v>0</v>
      </c>
      <c r="Q553" s="457" cm="1">
        <f t="array" ref="Q553">-SUMPRODUCT('W2'!$M$12:$V$112*('W2'!$M$7:$V$7=$A553)*('W2'!$A$12:$A$112=$B553))*Q516*$H$10*POWER(1+Inflation,Q$11+1)</f>
        <v>0</v>
      </c>
      <c r="R553" s="457" cm="1">
        <f t="array" ref="R553">-SUMPRODUCT('W2'!$M$12:$V$112*('W2'!$M$7:$V$7=$A553)*('W2'!$A$12:$A$112=$B553))*R516*$H$10*POWER(1+Inflation,R$11+1)</f>
        <v>0</v>
      </c>
      <c r="S553" s="457" cm="1">
        <f t="array" ref="S553">-SUMPRODUCT('W2'!$M$12:$V$112*('W2'!$M$7:$V$7=$A553)*('W2'!$A$12:$A$112=$B553))*S516*$H$10*POWER(1+Inflation,S$11+1)</f>
        <v>0</v>
      </c>
      <c r="T553" s="457" cm="1">
        <f t="array" ref="T553">-SUMPRODUCT('W2'!$M$12:$V$112*('W2'!$M$7:$V$7=$A553)*('W2'!$A$12:$A$112=$B553))*T516*$H$10*POWER(1+Inflation,T$11+1)</f>
        <v>0</v>
      </c>
      <c r="U553" s="457" cm="1">
        <f t="array" ref="U553">-SUMPRODUCT('W2'!$M$12:$V$112*('W2'!$M$7:$V$7=$A553)*('W2'!$A$12:$A$112=$B553))*U516*$H$10*POWER(1+Inflation,U$11+1)</f>
        <v>0</v>
      </c>
      <c r="V553" s="457" cm="1">
        <f t="array" ref="V553">-SUMPRODUCT('W2'!$M$12:$V$112*('W2'!$M$7:$V$7=$A553)*('W2'!$A$12:$A$112=$B553))*V516*$H$10*POWER(1+Inflation,V$11+1)</f>
        <v>0</v>
      </c>
      <c r="W553" s="457" cm="1">
        <f t="array" ref="W553">-SUMPRODUCT('W2'!$M$12:$V$112*('W2'!$M$7:$V$7=$A553)*('W2'!$A$12:$A$112=$B553))*W516*$H$10*POWER(1+Inflation,W$11+1)</f>
        <v>0</v>
      </c>
      <c r="X553" s="457" cm="1">
        <f t="array" ref="X553">-SUMPRODUCT('W2'!$M$12:$V$112*('W2'!$M$7:$V$7=$A553)*('W2'!$A$12:$A$112=$B553))*X516*$H$10*POWER(1+Inflation,X$11+1)</f>
        <v>0</v>
      </c>
      <c r="Y553" s="457" cm="1">
        <f t="array" ref="Y553">-SUMPRODUCT('W2'!$M$12:$V$112*('W2'!$M$7:$V$7=$A553)*('W2'!$A$12:$A$112=$B553))*Y516*$H$10*POWER(1+Inflation,Y$11+1)</f>
        <v>0</v>
      </c>
      <c r="Z553" s="457" cm="1">
        <f t="array" ref="Z553">-SUMPRODUCT('W2'!$M$12:$V$112*('W2'!$M$7:$V$7=$A553)*('W2'!$A$12:$A$112=$B553))*Z516*$H$10*POWER(1+Inflation,Z$11+1)</f>
        <v>0</v>
      </c>
      <c r="AA553" s="457"/>
      <c r="AB553" s="457"/>
      <c r="AC553" s="457"/>
      <c r="AD553" s="457"/>
      <c r="AE553" s="457"/>
      <c r="AF553" s="457"/>
      <c r="AG553" s="457"/>
      <c r="AH553" s="457"/>
      <c r="AI553" s="457"/>
      <c r="AJ553" s="457"/>
    </row>
    <row r="554" spans="1:36" x14ac:dyDescent="0.25">
      <c r="A554" t="s">
        <v>696</v>
      </c>
      <c r="H554" s="454" t="s">
        <v>470</v>
      </c>
      <c r="I554" s="496" t="str">
        <f>IF($H$9="USD","USD","tr. VND")</f>
        <v>tr. VND</v>
      </c>
      <c r="K554" s="454"/>
      <c r="L554" s="457" cm="1">
        <f t="array" ref="L554">-SUMPRODUCT('Lãi vay'!$E$5:$AI$54*('Lãi vay'!$A$5:$A$54=$A554)*('Lãi vay'!$B$5:$B$54="Lãi vay")*('Lãi vay'!$E$3:$AI$3=L$14))*$H$10</f>
        <v>-22086.740200000004</v>
      </c>
      <c r="M554" s="457" cm="1">
        <f t="array" ref="M554">-SUMPRODUCT('Lãi vay'!$E$5:$AI$54*('Lãi vay'!$A$5:$A$54=$A554)*('Lãi vay'!$B$5:$B$54="Lãi vay")*('Lãi vay'!$E$3:$AI$3=M$14))*$H$10</f>
        <v>-21207.806662872372</v>
      </c>
      <c r="N554" s="457" cm="1">
        <f t="array" ref="N554">-SUMPRODUCT('Lãi vay'!$E$5:$AI$54*('Lãi vay'!$A$5:$A$54=$A554)*('Lãi vay'!$B$5:$B$54="Lãi vay")*('Lãi vay'!$E$3:$AI$3=N$14))*$H$10</f>
        <v>-20267.347778145802</v>
      </c>
      <c r="O554" s="457" cm="1">
        <f t="array" ref="O554">-SUMPRODUCT('Lãi vay'!$E$5:$AI$54*('Lãi vay'!$A$5:$A$54=$A554)*('Lãi vay'!$B$5:$B$54="Lãi vay")*('Lãi vay'!$E$3:$AI$3=O$14))*$H$10</f>
        <v>-19261.056771488373</v>
      </c>
      <c r="P554" s="457" cm="1">
        <f t="array" ref="P554">-SUMPRODUCT('Lãi vay'!$E$5:$AI$54*('Lãi vay'!$A$5:$A$54=$A554)*('Lãi vay'!$B$5:$B$54="Lãi vay")*('Lãi vay'!$E$3:$AI$3=P$14))*$H$10</f>
        <v>-18184.325394364925</v>
      </c>
      <c r="Q554" s="457" cm="1">
        <f t="array" ref="Q554">-SUMPRODUCT('Lãi vay'!$E$5:$AI$54*('Lãi vay'!$A$5:$A$54=$A554)*('Lãi vay'!$B$5:$B$54="Lãi vay")*('Lãi vay'!$E$3:$AI$3=Q$14))*$H$10</f>
        <v>-17032.222820842835</v>
      </c>
      <c r="R554" s="457" cm="1">
        <f t="array" ref="R554">-SUMPRODUCT('Lãi vay'!$E$5:$AI$54*('Lãi vay'!$A$5:$A$54=$A554)*('Lãi vay'!$B$5:$B$54="Lãi vay")*('Lãi vay'!$E$3:$AI$3=R$14))*$H$10</f>
        <v>-15799.473067174198</v>
      </c>
      <c r="S554" s="457" cm="1">
        <f t="array" ref="S554">-SUMPRODUCT('Lãi vay'!$E$5:$AI$54*('Lãi vay'!$A$5:$A$54=$A554)*('Lãi vay'!$B$5:$B$54="Lãi vay")*('Lãi vay'!$E$3:$AI$3=S$14))*$H$10</f>
        <v>-14480.430830748757</v>
      </c>
      <c r="T554" s="457" cm="1">
        <f t="array" ref="T554">-SUMPRODUCT('Lãi vay'!$E$5:$AI$54*('Lãi vay'!$A$5:$A$54=$A554)*('Lãi vay'!$B$5:$B$54="Lãi vay")*('Lãi vay'!$E$3:$AI$3=T$14))*$H$10</f>
        <v>-13069.055637773536</v>
      </c>
      <c r="U554" s="457" cm="1">
        <f t="array" ref="U554">-SUMPRODUCT('Lãi vay'!$E$5:$AI$54*('Lãi vay'!$A$5:$A$54=$A554)*('Lãi vay'!$B$5:$B$54="Lãi vay")*('Lãi vay'!$E$3:$AI$3=U$14))*$H$10</f>
        <v>-11558.884181290048</v>
      </c>
      <c r="V554" s="457" cm="1">
        <f t="array" ref="V554">-SUMPRODUCT('Lãi vay'!$E$5:$AI$54*('Lãi vay'!$A$5:$A$54=$A554)*('Lãi vay'!$B$5:$B$54="Lãi vay")*('Lãi vay'!$E$3:$AI$3=V$14))*$H$10</f>
        <v>-9943.0007228527174</v>
      </c>
      <c r="W554" s="457" cm="1">
        <f t="array" ref="W554">-SUMPRODUCT('Lãi vay'!$E$5:$AI$54*('Lãi vay'!$A$5:$A$54=$A554)*('Lãi vay'!$B$5:$B$54="Lãi vay")*('Lãi vay'!$E$3:$AI$3=W$14))*$H$10</f>
        <v>-8214.0054223247735</v>
      </c>
      <c r="X554" s="457" cm="1">
        <f t="array" ref="X554">-SUMPRODUCT('Lãi vay'!$E$5:$AI$54*('Lãi vay'!$A$5:$A$54=$A554)*('Lãi vay'!$B$5:$B$54="Lãi vay")*('Lãi vay'!$E$3:$AI$3=X$14))*$H$10</f>
        <v>-6363.9804507598728</v>
      </c>
      <c r="Y554" s="457" cm="1">
        <f t="array" ref="Y554">-SUMPRODUCT('Lãi vay'!$E$5:$AI$54*('Lãi vay'!$A$5:$A$54=$A554)*('Lãi vay'!$B$5:$B$54="Lãi vay")*('Lãi vay'!$E$3:$AI$3=Y$14))*$H$10</f>
        <v>-4384.4537311854301</v>
      </c>
      <c r="Z554" s="457" cm="1">
        <f t="array" ref="Z554">-SUMPRODUCT('Lãi vay'!$E$5:$AI$54*('Lãi vay'!$A$5:$A$54=$A554)*('Lãi vay'!$B$5:$B$54="Lãi vay")*('Lãi vay'!$E$3:$AI$3=Z$14))*$H$10</f>
        <v>-2266.3601412407766</v>
      </c>
      <c r="AA554" s="457"/>
      <c r="AB554" s="457"/>
      <c r="AC554" s="457"/>
      <c r="AD554" s="457"/>
      <c r="AE554" s="457"/>
      <c r="AF554" s="457"/>
      <c r="AG554" s="457"/>
      <c r="AH554" s="457"/>
      <c r="AI554" s="457"/>
      <c r="AJ554" s="457"/>
    </row>
    <row r="555" spans="1:36" x14ac:dyDescent="0.25">
      <c r="A555" t="s">
        <v>696</v>
      </c>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row>
    <row r="556" spans="1:36" s="16" customFormat="1" x14ac:dyDescent="0.25">
      <c r="A556" s="16" t="s">
        <v>696</v>
      </c>
      <c r="H556" s="270" t="s">
        <v>472</v>
      </c>
      <c r="I556" s="271" t="str">
        <f>IF($H$9="USD","USD","tr. VND")</f>
        <v>tr. VND</v>
      </c>
      <c r="K556" s="272">
        <f t="shared" ref="K556" si="486">K549+SUM(K551:K554)</f>
        <v>0</v>
      </c>
      <c r="L556" s="272">
        <f>L549+SUM(L551:L554)</f>
        <v>-167535.70909316011</v>
      </c>
      <c r="M556" s="272">
        <f t="shared" ref="M556:AJ556" si="487">M549+SUM(M551:M554)</f>
        <v>-204057.18934902988</v>
      </c>
      <c r="N556" s="272">
        <f t="shared" si="487"/>
        <v>-264515.41429388872</v>
      </c>
      <c r="O556" s="272">
        <f t="shared" si="487"/>
        <v>-268972.34338600188</v>
      </c>
      <c r="P556" s="272">
        <f t="shared" si="487"/>
        <v>-273530.25199029793</v>
      </c>
      <c r="Q556" s="272">
        <f t="shared" si="487"/>
        <v>-278190.7454525308</v>
      </c>
      <c r="R556" s="272">
        <f t="shared" si="487"/>
        <v>-282955.37007277482</v>
      </c>
      <c r="S556" s="272">
        <f t="shared" si="487"/>
        <v>-287825.60243605479</v>
      </c>
      <c r="T556" s="272">
        <f t="shared" si="487"/>
        <v>-292802.83771000936</v>
      </c>
      <c r="U556" s="272">
        <f t="shared" si="487"/>
        <v>-297888.3768237863</v>
      </c>
      <c r="V556" s="272">
        <f t="shared" si="487"/>
        <v>-303083.41243570589</v>
      </c>
      <c r="W556" s="272">
        <f t="shared" si="487"/>
        <v>-308389.01359006815</v>
      </c>
      <c r="X556" s="272">
        <f t="shared" si="487"/>
        <v>-287741.12628910679</v>
      </c>
      <c r="Y556" s="272">
        <f t="shared" si="487"/>
        <v>-293270.48586449446</v>
      </c>
      <c r="Z556" s="272">
        <f t="shared" si="487"/>
        <v>-298912.70102390496</v>
      </c>
      <c r="AA556" s="272"/>
      <c r="AB556" s="272"/>
      <c r="AC556" s="272"/>
      <c r="AD556" s="272"/>
      <c r="AE556" s="272"/>
      <c r="AF556" s="272"/>
      <c r="AG556" s="272"/>
      <c r="AH556" s="272"/>
      <c r="AI556" s="272"/>
      <c r="AJ556" s="272"/>
    </row>
    <row r="557" spans="1:36" x14ac:dyDescent="0.25">
      <c r="A557" t="s">
        <v>696</v>
      </c>
    </row>
    <row r="558" spans="1:36" s="24" customFormat="1" ht="17.25" x14ac:dyDescent="0.3">
      <c r="A558" s="24" t="s">
        <v>696</v>
      </c>
      <c r="H558" s="643" t="s">
        <v>473</v>
      </c>
      <c r="I558" s="643"/>
      <c r="K558" s="643"/>
      <c r="L558" s="643"/>
      <c r="M558" s="643"/>
      <c r="N558" s="643"/>
      <c r="O558" s="643"/>
      <c r="P558" s="643"/>
      <c r="Q558" s="643"/>
      <c r="R558" s="643"/>
      <c r="S558" s="643"/>
      <c r="T558" s="643"/>
      <c r="U558" s="643"/>
      <c r="V558" s="643"/>
      <c r="W558" s="643"/>
      <c r="X558" s="643"/>
      <c r="Y558" s="643"/>
      <c r="Z558" s="643"/>
      <c r="AA558" s="643"/>
      <c r="AB558" s="643"/>
      <c r="AC558" s="643"/>
      <c r="AD558" s="643"/>
      <c r="AE558" s="643"/>
      <c r="AF558" s="643"/>
      <c r="AG558" s="643"/>
      <c r="AH558" s="643"/>
      <c r="AI558" s="643"/>
      <c r="AJ558" s="643"/>
    </row>
    <row r="559" spans="1:36" s="1" customFormat="1" x14ac:dyDescent="0.25">
      <c r="A559" s="1" t="s">
        <v>696</v>
      </c>
      <c r="H559" s="273" t="s">
        <v>434</v>
      </c>
      <c r="I559" s="274" t="str">
        <f>IF($H$9="USD","USD/tấn","tr. VND/tấn")</f>
        <v>tr. VND/tấn</v>
      </c>
      <c r="K559" s="278">
        <f t="shared" ref="K559" si="488">SUM(K560:K561,K564:K567,)</f>
        <v>0</v>
      </c>
      <c r="L559" s="278">
        <f>SUM(L560:L561,L564:L567,)</f>
        <v>16.128035493627401</v>
      </c>
      <c r="M559" s="278">
        <f t="shared" ref="M559:AJ559" si="489">SUM(M560:M561,M564:M567,)</f>
        <v>11.520025352591</v>
      </c>
      <c r="N559" s="278">
        <f t="shared" si="489"/>
        <v>8.2092021666088186</v>
      </c>
      <c r="O559" s="278">
        <f t="shared" si="489"/>
        <v>8.3616458073936943</v>
      </c>
      <c r="P559" s="278">
        <f t="shared" si="489"/>
        <v>8.5217116302178137</v>
      </c>
      <c r="Q559" s="278">
        <f t="shared" si="489"/>
        <v>8.6897807441831354</v>
      </c>
      <c r="R559" s="278">
        <f t="shared" si="489"/>
        <v>8.866253313846725</v>
      </c>
      <c r="S559" s="278">
        <f t="shared" si="489"/>
        <v>9.0515495119934961</v>
      </c>
      <c r="T559" s="278">
        <f t="shared" si="489"/>
        <v>9.2461105200476048</v>
      </c>
      <c r="U559" s="278">
        <f t="shared" si="489"/>
        <v>9.450399578504415</v>
      </c>
      <c r="V559" s="278">
        <f t="shared" si="489"/>
        <v>9.6649030898840689</v>
      </c>
      <c r="W559" s="278">
        <f t="shared" si="489"/>
        <v>9.8901317768327068</v>
      </c>
      <c r="X559" s="278">
        <f t="shared" si="489"/>
        <v>6.0804844495677273</v>
      </c>
      <c r="Y559" s="278">
        <f t="shared" si="489"/>
        <v>6.3287990769285969</v>
      </c>
      <c r="Z559" s="278">
        <f t="shared" si="489"/>
        <v>6.5895294356575143</v>
      </c>
      <c r="AA559" s="278"/>
      <c r="AB559" s="278"/>
      <c r="AC559" s="278"/>
      <c r="AD559" s="278"/>
      <c r="AE559" s="278"/>
      <c r="AF559" s="278"/>
      <c r="AG559" s="278"/>
      <c r="AH559" s="278"/>
      <c r="AI559" s="278"/>
      <c r="AJ559" s="278"/>
    </row>
    <row r="560" spans="1:36" x14ac:dyDescent="0.25">
      <c r="A560" t="s">
        <v>696</v>
      </c>
      <c r="C560" t="s">
        <v>367</v>
      </c>
      <c r="H560" s="556" t="s">
        <v>190</v>
      </c>
      <c r="I560" s="557" t="str">
        <f t="shared" ref="I560:I593" si="490">IF($H$9="USD","USD/tấn","tr. VND/tấn")</f>
        <v>tr. VND/tấn</v>
      </c>
      <c r="K560" s="562"/>
      <c r="L560" s="563">
        <f t="shared" ref="L560:AJ560" si="491">-IF($H$9="VND",L528/L516/$H$10/10^3,L528/L516/$H$10*10^3)</f>
        <v>10.029578903950334</v>
      </c>
      <c r="M560" s="563">
        <f t="shared" si="491"/>
        <v>7.1639849313930961</v>
      </c>
      <c r="N560" s="563">
        <f t="shared" si="491"/>
        <v>5.014789451975167</v>
      </c>
      <c r="O560" s="563">
        <f t="shared" si="491"/>
        <v>5.014789451975167</v>
      </c>
      <c r="P560" s="563">
        <f t="shared" si="491"/>
        <v>5.014789451975167</v>
      </c>
      <c r="Q560" s="563">
        <f t="shared" si="491"/>
        <v>5.014789451975167</v>
      </c>
      <c r="R560" s="563">
        <f t="shared" si="491"/>
        <v>5.014789451975167</v>
      </c>
      <c r="S560" s="563">
        <f t="shared" si="491"/>
        <v>5.014789451975167</v>
      </c>
      <c r="T560" s="563">
        <f t="shared" si="491"/>
        <v>5.014789451975167</v>
      </c>
      <c r="U560" s="563">
        <f t="shared" si="491"/>
        <v>5.014789451975167</v>
      </c>
      <c r="V560" s="563">
        <f t="shared" si="491"/>
        <v>5.014789451975167</v>
      </c>
      <c r="W560" s="563">
        <f t="shared" si="491"/>
        <v>5.014789451975167</v>
      </c>
      <c r="X560" s="563">
        <f t="shared" si="491"/>
        <v>0.96865200341411861</v>
      </c>
      <c r="Y560" s="563">
        <f t="shared" si="491"/>
        <v>0.96865200341411861</v>
      </c>
      <c r="Z560" s="563">
        <f t="shared" si="491"/>
        <v>0.96865200341411861</v>
      </c>
      <c r="AA560" s="563"/>
      <c r="AB560" s="563"/>
      <c r="AC560" s="563"/>
      <c r="AD560" s="563"/>
      <c r="AE560" s="563"/>
      <c r="AF560" s="563"/>
      <c r="AG560" s="563"/>
      <c r="AH560" s="563"/>
      <c r="AI560" s="563"/>
      <c r="AJ560" s="563"/>
    </row>
    <row r="561" spans="1:36" x14ac:dyDescent="0.25">
      <c r="A561" t="s">
        <v>696</v>
      </c>
      <c r="H561" s="558" t="s">
        <v>429</v>
      </c>
      <c r="I561" s="559" t="str">
        <f t="shared" si="490"/>
        <v>tr. VND/tấn</v>
      </c>
      <c r="K561" s="564">
        <f>SUM(K562:K563)</f>
        <v>0</v>
      </c>
      <c r="L561" s="564">
        <f t="shared" ref="L561:AJ561" si="492">SUM(L562:L563)</f>
        <v>1.9410042574812794</v>
      </c>
      <c r="M561" s="564">
        <f t="shared" si="492"/>
        <v>1.3864316124866283</v>
      </c>
      <c r="N561" s="564">
        <f t="shared" si="492"/>
        <v>1.0190272351776717</v>
      </c>
      <c r="O561" s="564">
        <f t="shared" si="492"/>
        <v>1.0699785969365552</v>
      </c>
      <c r="P561" s="564">
        <f t="shared" si="492"/>
        <v>1.1234775267833832</v>
      </c>
      <c r="Q561" s="564">
        <f t="shared" si="492"/>
        <v>1.179651403122552</v>
      </c>
      <c r="R561" s="564">
        <f t="shared" si="492"/>
        <v>1.2386339732786797</v>
      </c>
      <c r="S561" s="564">
        <f t="shared" si="492"/>
        <v>1.3005656719426137</v>
      </c>
      <c r="T561" s="564">
        <f t="shared" si="492"/>
        <v>1.3655939555397447</v>
      </c>
      <c r="U561" s="564">
        <f t="shared" si="492"/>
        <v>1.4338736533167316</v>
      </c>
      <c r="V561" s="564">
        <f t="shared" si="492"/>
        <v>1.5055673359825681</v>
      </c>
      <c r="W561" s="564">
        <f t="shared" si="492"/>
        <v>1.5808457027816967</v>
      </c>
      <c r="X561" s="564">
        <f t="shared" si="492"/>
        <v>1.6598879879207817</v>
      </c>
      <c r="Y561" s="564">
        <f t="shared" si="492"/>
        <v>1.7428823873168202</v>
      </c>
      <c r="Z561" s="564">
        <f t="shared" si="492"/>
        <v>1.8300265066826618</v>
      </c>
      <c r="AA561" s="564"/>
      <c r="AB561" s="564"/>
      <c r="AC561" s="564"/>
      <c r="AD561" s="564"/>
      <c r="AE561" s="564"/>
      <c r="AF561" s="564"/>
      <c r="AG561" s="564"/>
      <c r="AH561" s="564"/>
      <c r="AI561" s="564"/>
      <c r="AJ561" s="564"/>
    </row>
    <row r="562" spans="1:36" s="299" customFormat="1" x14ac:dyDescent="0.25">
      <c r="A562" s="299" t="s">
        <v>696</v>
      </c>
      <c r="C562" s="299" t="s">
        <v>367</v>
      </c>
      <c r="H562" s="560" t="s">
        <v>430</v>
      </c>
      <c r="I562" s="561" t="str">
        <f t="shared" si="490"/>
        <v>tr. VND/tấn</v>
      </c>
      <c r="K562" s="565"/>
      <c r="L562" s="565">
        <f t="shared" ref="L562:AJ562" si="493">-IF($H$9="VND",L530/L516/$H$10/10^3,L530/L516/$H$10*10^3)</f>
        <v>0.31733039631846527</v>
      </c>
      <c r="M562" s="565">
        <f t="shared" si="493"/>
        <v>0.22666456879890379</v>
      </c>
      <c r="N562" s="565">
        <f t="shared" si="493"/>
        <v>0.16659845806719425</v>
      </c>
      <c r="O562" s="565">
        <f t="shared" si="493"/>
        <v>0.17492838097055399</v>
      </c>
      <c r="P562" s="565">
        <f t="shared" si="493"/>
        <v>0.18367480001908168</v>
      </c>
      <c r="Q562" s="565">
        <f t="shared" si="493"/>
        <v>0.19285854002003575</v>
      </c>
      <c r="R562" s="565">
        <f t="shared" si="493"/>
        <v>0.20250146702103758</v>
      </c>
      <c r="S562" s="565">
        <f t="shared" si="493"/>
        <v>0.21262654037208945</v>
      </c>
      <c r="T562" s="565">
        <f t="shared" si="493"/>
        <v>0.22325786739069392</v>
      </c>
      <c r="U562" s="565">
        <f t="shared" si="493"/>
        <v>0.23442076076022861</v>
      </c>
      <c r="V562" s="565">
        <f t="shared" si="493"/>
        <v>0.24614179879824005</v>
      </c>
      <c r="W562" s="565">
        <f t="shared" si="493"/>
        <v>0.25844888873815203</v>
      </c>
      <c r="X562" s="565">
        <f t="shared" si="493"/>
        <v>0.27137133317505963</v>
      </c>
      <c r="Y562" s="565">
        <f t="shared" si="493"/>
        <v>0.28493989983381263</v>
      </c>
      <c r="Z562" s="565">
        <f t="shared" si="493"/>
        <v>0.29918689482550326</v>
      </c>
      <c r="AA562" s="565"/>
      <c r="AB562" s="565"/>
      <c r="AC562" s="565"/>
      <c r="AD562" s="565"/>
      <c r="AE562" s="565"/>
      <c r="AF562" s="565"/>
      <c r="AG562" s="565"/>
      <c r="AH562" s="565"/>
      <c r="AI562" s="565"/>
      <c r="AJ562" s="565"/>
    </row>
    <row r="563" spans="1:36" s="299" customFormat="1" x14ac:dyDescent="0.25">
      <c r="A563" s="299" t="s">
        <v>696</v>
      </c>
      <c r="C563" s="299" t="s">
        <v>367</v>
      </c>
      <c r="H563" s="560" t="s">
        <v>431</v>
      </c>
      <c r="I563" s="561" t="str">
        <f t="shared" si="490"/>
        <v>tr. VND/tấn</v>
      </c>
      <c r="K563" s="565"/>
      <c r="L563" s="565">
        <f t="shared" ref="L563:AJ563" si="494">-IF($H$9="VND",L531/L516/$H$10/10^3,L531/L516/$H$10*10^3)</f>
        <v>1.6236738611628141</v>
      </c>
      <c r="M563" s="565">
        <f t="shared" si="494"/>
        <v>1.1597670436877245</v>
      </c>
      <c r="N563" s="565">
        <f t="shared" si="494"/>
        <v>0.85242877711047738</v>
      </c>
      <c r="O563" s="565">
        <f t="shared" si="494"/>
        <v>0.89505021596600121</v>
      </c>
      <c r="P563" s="565">
        <f t="shared" si="494"/>
        <v>0.93980272676430154</v>
      </c>
      <c r="Q563" s="565">
        <f t="shared" si="494"/>
        <v>0.98679286310251635</v>
      </c>
      <c r="R563" s="565">
        <f t="shared" si="494"/>
        <v>1.0361325062576421</v>
      </c>
      <c r="S563" s="565">
        <f t="shared" si="494"/>
        <v>1.0879391315705242</v>
      </c>
      <c r="T563" s="565">
        <f t="shared" si="494"/>
        <v>1.1423360881490507</v>
      </c>
      <c r="U563" s="565">
        <f t="shared" si="494"/>
        <v>1.1994528925565029</v>
      </c>
      <c r="V563" s="565">
        <f t="shared" si="494"/>
        <v>1.2594255371843281</v>
      </c>
      <c r="W563" s="565">
        <f t="shared" si="494"/>
        <v>1.3223968140435447</v>
      </c>
      <c r="X563" s="565">
        <f t="shared" si="494"/>
        <v>1.3885166547457222</v>
      </c>
      <c r="Y563" s="565">
        <f t="shared" si="494"/>
        <v>1.4579424874830076</v>
      </c>
      <c r="Z563" s="565">
        <f t="shared" si="494"/>
        <v>1.5308396118571586</v>
      </c>
      <c r="AA563" s="565"/>
      <c r="AB563" s="565"/>
      <c r="AC563" s="565"/>
      <c r="AD563" s="565"/>
      <c r="AE563" s="565"/>
      <c r="AF563" s="565"/>
      <c r="AG563" s="565"/>
      <c r="AH563" s="565"/>
      <c r="AI563" s="565"/>
      <c r="AJ563" s="565"/>
    </row>
    <row r="564" spans="1:36" x14ac:dyDescent="0.25">
      <c r="A564" t="s">
        <v>696</v>
      </c>
      <c r="C564" t="s">
        <v>367</v>
      </c>
      <c r="H564" s="558" t="s">
        <v>656</v>
      </c>
      <c r="I564" s="559" t="str">
        <f t="shared" si="490"/>
        <v>tr. VND/tấn</v>
      </c>
      <c r="K564" s="564"/>
      <c r="L564" s="564">
        <f t="shared" ref="L564:AJ564" si="495">-IF($H$9="VND",L532/L516/$H$10/10^3,L532/L516/$H$10*10^3)</f>
        <v>0.77492160273129496</v>
      </c>
      <c r="M564" s="564">
        <f t="shared" si="495"/>
        <v>0.55351543052235352</v>
      </c>
      <c r="N564" s="564">
        <f t="shared" si="495"/>
        <v>0.40683384143392981</v>
      </c>
      <c r="O564" s="564">
        <f t="shared" si="495"/>
        <v>0.42717553350562631</v>
      </c>
      <c r="P564" s="564">
        <f t="shared" si="495"/>
        <v>0.44853431018090767</v>
      </c>
      <c r="Q564" s="564">
        <f t="shared" si="495"/>
        <v>0.47096102568995302</v>
      </c>
      <c r="R564" s="564">
        <f t="shared" si="495"/>
        <v>0.49450907697445079</v>
      </c>
      <c r="S564" s="564">
        <f t="shared" si="495"/>
        <v>0.51923453082317328</v>
      </c>
      <c r="T564" s="564">
        <f t="shared" si="495"/>
        <v>0.54519625736433197</v>
      </c>
      <c r="U564" s="564">
        <f t="shared" si="495"/>
        <v>0.57245607023254841</v>
      </c>
      <c r="V564" s="564">
        <f t="shared" si="495"/>
        <v>0.60107887374417601</v>
      </c>
      <c r="W564" s="564">
        <f t="shared" si="495"/>
        <v>0.63113281743138472</v>
      </c>
      <c r="X564" s="564">
        <f t="shared" si="495"/>
        <v>0.662689458302954</v>
      </c>
      <c r="Y564" s="564">
        <f t="shared" si="495"/>
        <v>0.69582393121810171</v>
      </c>
      <c r="Z564" s="564">
        <f t="shared" si="495"/>
        <v>0.73061512777900695</v>
      </c>
      <c r="AA564" s="564"/>
      <c r="AB564" s="564"/>
      <c r="AC564" s="564"/>
      <c r="AD564" s="564"/>
      <c r="AE564" s="564"/>
      <c r="AF564" s="564"/>
      <c r="AG564" s="564"/>
      <c r="AH564" s="564"/>
      <c r="AI564" s="564"/>
      <c r="AJ564" s="564"/>
    </row>
    <row r="565" spans="1:36" x14ac:dyDescent="0.25">
      <c r="A565" t="s">
        <v>696</v>
      </c>
      <c r="C565" t="s">
        <v>367</v>
      </c>
      <c r="H565" s="558" t="s">
        <v>432</v>
      </c>
      <c r="I565" s="559" t="str">
        <f t="shared" si="490"/>
        <v>tr. VND/tấn</v>
      </c>
      <c r="K565" s="564"/>
      <c r="L565" s="564">
        <f t="shared" ref="L565:AJ565" si="496">-IF($H$9="VND",L533/L516/$H$10/10^3,L533/L516/$H$10*10^3)</f>
        <v>2.9132189629639549</v>
      </c>
      <c r="M565" s="564">
        <f t="shared" si="496"/>
        <v>2.0808706878313963</v>
      </c>
      <c r="N565" s="564">
        <f t="shared" si="496"/>
        <v>1.5294399555560763</v>
      </c>
      <c r="O565" s="564">
        <f t="shared" si="496"/>
        <v>1.6059119533338804</v>
      </c>
      <c r="P565" s="564">
        <f t="shared" si="496"/>
        <v>1.6862075510005743</v>
      </c>
      <c r="Q565" s="564">
        <f t="shared" si="496"/>
        <v>1.7705179285506027</v>
      </c>
      <c r="R565" s="564">
        <f t="shared" si="496"/>
        <v>1.8590438249781329</v>
      </c>
      <c r="S565" s="564">
        <f t="shared" si="496"/>
        <v>1.9519960162270396</v>
      </c>
      <c r="T565" s="564">
        <f t="shared" si="496"/>
        <v>2.0495958170383921</v>
      </c>
      <c r="U565" s="564">
        <f t="shared" si="496"/>
        <v>2.1520756078903109</v>
      </c>
      <c r="V565" s="564">
        <f t="shared" si="496"/>
        <v>2.2596793882848267</v>
      </c>
      <c r="W565" s="564">
        <f t="shared" si="496"/>
        <v>2.3726633576990679</v>
      </c>
      <c r="X565" s="564">
        <f t="shared" si="496"/>
        <v>2.4912965255840218</v>
      </c>
      <c r="Y565" s="564">
        <f t="shared" si="496"/>
        <v>2.6158613518632223</v>
      </c>
      <c r="Z565" s="564">
        <f t="shared" si="496"/>
        <v>2.7466544194563838</v>
      </c>
      <c r="AA565" s="564"/>
      <c r="AB565" s="564"/>
      <c r="AC565" s="564"/>
      <c r="AD565" s="564"/>
      <c r="AE565" s="564"/>
      <c r="AF565" s="564"/>
      <c r="AG565" s="564"/>
      <c r="AH565" s="564"/>
      <c r="AI565" s="564"/>
      <c r="AJ565" s="564"/>
    </row>
    <row r="566" spans="1:36" x14ac:dyDescent="0.25">
      <c r="A566" t="s">
        <v>696</v>
      </c>
      <c r="C566" t="s">
        <v>367</v>
      </c>
      <c r="H566" s="558" t="s">
        <v>433</v>
      </c>
      <c r="I566" s="559" t="str">
        <f t="shared" si="490"/>
        <v>tr. VND/tấn</v>
      </c>
      <c r="K566" s="564"/>
      <c r="L566" s="564">
        <f t="shared" ref="L566:AJ566" si="497">-IF($H$9="VND",L534/L516/$H$10/10^3,L534/L516/$H$10*10^3)</f>
        <v>0.17823196862819785</v>
      </c>
      <c r="M566" s="564">
        <f t="shared" si="497"/>
        <v>0.12730854902014133</v>
      </c>
      <c r="N566" s="564">
        <f t="shared" si="497"/>
        <v>9.3571783529803873E-2</v>
      </c>
      <c r="O566" s="564">
        <f t="shared" si="497"/>
        <v>9.8250372706294054E-2</v>
      </c>
      <c r="P566" s="564">
        <f t="shared" si="497"/>
        <v>0.10316289134160876</v>
      </c>
      <c r="Q566" s="564">
        <f t="shared" si="497"/>
        <v>0.1083210359086892</v>
      </c>
      <c r="R566" s="564">
        <f t="shared" si="497"/>
        <v>0.11373708770412366</v>
      </c>
      <c r="S566" s="564">
        <f t="shared" si="497"/>
        <v>0.11942394208932984</v>
      </c>
      <c r="T566" s="564">
        <f t="shared" si="497"/>
        <v>0.12539513919379636</v>
      </c>
      <c r="U566" s="564">
        <f t="shared" si="497"/>
        <v>0.13166489615348614</v>
      </c>
      <c r="V566" s="564">
        <f t="shared" si="497"/>
        <v>0.13824814096116045</v>
      </c>
      <c r="W566" s="564">
        <f t="shared" si="497"/>
        <v>0.14516054800921852</v>
      </c>
      <c r="X566" s="564">
        <f t="shared" si="497"/>
        <v>0.15241857540967946</v>
      </c>
      <c r="Y566" s="564">
        <f t="shared" si="497"/>
        <v>0.16003950418016336</v>
      </c>
      <c r="Z566" s="564">
        <f t="shared" si="497"/>
        <v>0.16804147938917158</v>
      </c>
      <c r="AA566" s="564"/>
      <c r="AB566" s="564"/>
      <c r="AC566" s="564"/>
      <c r="AD566" s="564"/>
      <c r="AE566" s="564"/>
      <c r="AF566" s="564"/>
      <c r="AG566" s="564"/>
      <c r="AH566" s="564"/>
      <c r="AI566" s="564"/>
      <c r="AJ566" s="564"/>
    </row>
    <row r="567" spans="1:36" x14ac:dyDescent="0.25">
      <c r="A567" t="s">
        <v>696</v>
      </c>
      <c r="C567" t="s">
        <v>367</v>
      </c>
      <c r="H567" s="558" t="s">
        <v>520</v>
      </c>
      <c r="I567" s="559" t="str">
        <f t="shared" si="490"/>
        <v>tr. VND/tấn</v>
      </c>
      <c r="K567" s="564"/>
      <c r="L567" s="564">
        <f t="shared" ref="L567:AJ567" si="498">-IF($H$9="VND",L535/L516/$H$10/10^3,L535/L516/$H$10*10^3)</f>
        <v>0.29107979787234217</v>
      </c>
      <c r="M567" s="564">
        <f t="shared" si="498"/>
        <v>0.20791414133738728</v>
      </c>
      <c r="N567" s="564">
        <f t="shared" si="498"/>
        <v>0.14553989893617109</v>
      </c>
      <c r="O567" s="564">
        <f t="shared" si="498"/>
        <v>0.14553989893617109</v>
      </c>
      <c r="P567" s="564">
        <f t="shared" si="498"/>
        <v>0.14553989893617109</v>
      </c>
      <c r="Q567" s="564">
        <f t="shared" si="498"/>
        <v>0.14553989893617109</v>
      </c>
      <c r="R567" s="564">
        <f t="shared" si="498"/>
        <v>0.14553989893617109</v>
      </c>
      <c r="S567" s="564">
        <f t="shared" si="498"/>
        <v>0.14553989893617109</v>
      </c>
      <c r="T567" s="564">
        <f t="shared" si="498"/>
        <v>0.14553989893617109</v>
      </c>
      <c r="U567" s="564">
        <f t="shared" si="498"/>
        <v>0.14553989893617109</v>
      </c>
      <c r="V567" s="564">
        <f t="shared" si="498"/>
        <v>0.14553989893617109</v>
      </c>
      <c r="W567" s="564">
        <f t="shared" si="498"/>
        <v>0.14553989893617109</v>
      </c>
      <c r="X567" s="564">
        <f t="shared" si="498"/>
        <v>0.14553989893617109</v>
      </c>
      <c r="Y567" s="564">
        <f t="shared" si="498"/>
        <v>0.14553989893617109</v>
      </c>
      <c r="Z567" s="564">
        <f t="shared" si="498"/>
        <v>0.14553989893617109</v>
      </c>
      <c r="AA567" s="564"/>
      <c r="AB567" s="564"/>
      <c r="AC567" s="564"/>
      <c r="AD567" s="564"/>
      <c r="AE567" s="564"/>
      <c r="AF567" s="564"/>
      <c r="AG567" s="564"/>
      <c r="AH567" s="564"/>
      <c r="AI567" s="564"/>
      <c r="AJ567" s="564"/>
    </row>
    <row r="568" spans="1:36" x14ac:dyDescent="0.25">
      <c r="A568" t="s">
        <v>696</v>
      </c>
      <c r="H568" s="247"/>
      <c r="I568" s="275"/>
      <c r="K568" s="279"/>
      <c r="L568" s="279"/>
      <c r="M568" s="279"/>
      <c r="N568" s="279"/>
      <c r="O568" s="279"/>
      <c r="P568" s="279"/>
      <c r="Q568" s="279"/>
      <c r="R568" s="279"/>
      <c r="S568" s="279"/>
      <c r="T568" s="279"/>
      <c r="U568" s="279"/>
      <c r="V568" s="279"/>
      <c r="W568" s="279"/>
      <c r="X568" s="279"/>
      <c r="Y568" s="279"/>
      <c r="Z568" s="279"/>
      <c r="AA568" s="279"/>
      <c r="AB568" s="279"/>
      <c r="AC568" s="279"/>
      <c r="AD568" s="279"/>
      <c r="AE568" s="279"/>
      <c r="AF568" s="279"/>
      <c r="AG568" s="279"/>
      <c r="AH568" s="279"/>
      <c r="AI568" s="279"/>
      <c r="AJ568" s="279"/>
    </row>
    <row r="569" spans="1:36" s="1" customFormat="1" x14ac:dyDescent="0.25">
      <c r="A569" s="1" t="s">
        <v>696</v>
      </c>
      <c r="H569" s="273" t="s">
        <v>435</v>
      </c>
      <c r="I569" s="274" t="str">
        <f t="shared" si="490"/>
        <v>tr. VND/tấn</v>
      </c>
      <c r="K569" s="280">
        <f>K570+K573+K576</f>
        <v>0</v>
      </c>
      <c r="L569" s="280">
        <f t="shared" ref="L569:AJ569" si="499">L570+L573+L576</f>
        <v>29.946220655109496</v>
      </c>
      <c r="M569" s="280">
        <f t="shared" si="499"/>
        <v>29.761900249468042</v>
      </c>
      <c r="N569" s="280">
        <f t="shared" si="499"/>
        <v>30.289360993474389</v>
      </c>
      <c r="O569" s="280">
        <f t="shared" si="499"/>
        <v>30.972243868317261</v>
      </c>
      <c r="P569" s="280">
        <f t="shared" si="499"/>
        <v>31.672845596579684</v>
      </c>
      <c r="Q569" s="280">
        <f t="shared" si="499"/>
        <v>32.391723615126203</v>
      </c>
      <c r="R569" s="280">
        <f t="shared" si="499"/>
        <v>33.129456662548428</v>
      </c>
      <c r="S569" s="280">
        <f t="shared" si="499"/>
        <v>33.886645712849131</v>
      </c>
      <c r="T569" s="280">
        <f t="shared" si="499"/>
        <v>34.663914953182356</v>
      </c>
      <c r="U569" s="280">
        <f t="shared" si="499"/>
        <v>35.461912807800097</v>
      </c>
      <c r="V569" s="280">
        <f t="shared" si="499"/>
        <v>36.281313010461943</v>
      </c>
      <c r="W569" s="280">
        <f t="shared" si="499"/>
        <v>37.122815727676354</v>
      </c>
      <c r="X569" s="280">
        <f t="shared" si="499"/>
        <v>37.825303237316888</v>
      </c>
      <c r="Y569" s="280">
        <f t="shared" si="499"/>
        <v>38.713223152877063</v>
      </c>
      <c r="Z569" s="280">
        <f t="shared" si="499"/>
        <v>39.625516726965209</v>
      </c>
      <c r="AA569" s="280"/>
      <c r="AB569" s="280"/>
      <c r="AC569" s="280"/>
      <c r="AD569" s="280"/>
      <c r="AE569" s="280"/>
      <c r="AF569" s="280"/>
      <c r="AG569" s="280"/>
      <c r="AH569" s="280"/>
      <c r="AI569" s="280"/>
      <c r="AJ569" s="280"/>
    </row>
    <row r="570" spans="1:36" x14ac:dyDescent="0.25">
      <c r="A570" t="s">
        <v>696</v>
      </c>
      <c r="H570" s="556" t="s">
        <v>454</v>
      </c>
      <c r="I570" s="557" t="str">
        <f t="shared" si="490"/>
        <v>tr. VND/tấn</v>
      </c>
      <c r="K570" s="566">
        <f>SUM(K571:K572)</f>
        <v>0</v>
      </c>
      <c r="L570" s="566">
        <f t="shared" ref="L570:AJ570" si="500">SUM(L571:L572)</f>
        <v>26.838709677419356</v>
      </c>
      <c r="M570" s="566">
        <f t="shared" si="500"/>
        <v>26.838709677419359</v>
      </c>
      <c r="N570" s="566">
        <f t="shared" si="500"/>
        <v>27.375483870967745</v>
      </c>
      <c r="O570" s="566">
        <f t="shared" si="500"/>
        <v>27.922993548387105</v>
      </c>
      <c r="P570" s="566">
        <f t="shared" si="500"/>
        <v>28.481453419354843</v>
      </c>
      <c r="Q570" s="566">
        <f t="shared" si="500"/>
        <v>29.05108248774194</v>
      </c>
      <c r="R570" s="566">
        <f t="shared" si="500"/>
        <v>29.632104137496778</v>
      </c>
      <c r="S570" s="566">
        <f t="shared" si="500"/>
        <v>30.224746220246715</v>
      </c>
      <c r="T570" s="566">
        <f t="shared" si="500"/>
        <v>30.829241144651643</v>
      </c>
      <c r="U570" s="566">
        <f t="shared" si="500"/>
        <v>31.445825967544675</v>
      </c>
      <c r="V570" s="566">
        <f t="shared" si="500"/>
        <v>32.074742486895573</v>
      </c>
      <c r="W570" s="566">
        <f t="shared" si="500"/>
        <v>32.71623733663349</v>
      </c>
      <c r="X570" s="566">
        <f t="shared" si="500"/>
        <v>33.370562083366146</v>
      </c>
      <c r="Y570" s="566">
        <f t="shared" si="500"/>
        <v>34.037973325033477</v>
      </c>
      <c r="Z570" s="566">
        <f t="shared" si="500"/>
        <v>34.718732791534151</v>
      </c>
      <c r="AA570" s="566"/>
      <c r="AB570" s="566"/>
      <c r="AC570" s="566"/>
      <c r="AD570" s="566"/>
      <c r="AE570" s="566"/>
      <c r="AF570" s="566"/>
      <c r="AG570" s="566"/>
      <c r="AH570" s="566"/>
      <c r="AI570" s="566"/>
      <c r="AJ570" s="566"/>
    </row>
    <row r="571" spans="1:36" s="299" customFormat="1" x14ac:dyDescent="0.25">
      <c r="A571" s="299" t="s">
        <v>696</v>
      </c>
      <c r="C571" s="299" t="s">
        <v>504</v>
      </c>
      <c r="E571" s="331"/>
      <c r="F571" s="331"/>
      <c r="H571" s="560" t="s">
        <v>167</v>
      </c>
      <c r="I571" s="561" t="str">
        <f t="shared" si="490"/>
        <v>tr. VND/tấn</v>
      </c>
      <c r="K571" s="565"/>
      <c r="L571" s="565">
        <f t="shared" ref="L571" si="501">-IF($H$9="VND",L539/L516/$H$10/10^3,L539/L516/$H$10*10^3)</f>
        <v>24.96</v>
      </c>
      <c r="M571" s="565">
        <f>-IF($H$9="VND",M539/M516/$H$10/10^3,M539/M516/$H$10*10^3)</f>
        <v>24.96</v>
      </c>
      <c r="N571" s="565">
        <f t="shared" ref="N571:AJ571" si="502">-IF($H$9="VND",N539/N516/$H$10/10^3,N539/N516/$H$10*10^3)</f>
        <v>25.459199999999999</v>
      </c>
      <c r="O571" s="565">
        <f t="shared" si="502"/>
        <v>25.968384000000004</v>
      </c>
      <c r="P571" s="565">
        <f t="shared" si="502"/>
        <v>26.487751680000002</v>
      </c>
      <c r="Q571" s="565">
        <f t="shared" si="502"/>
        <v>27.017506713600003</v>
      </c>
      <c r="R571" s="565">
        <f t="shared" si="502"/>
        <v>27.557856847872003</v>
      </c>
      <c r="S571" s="565">
        <f t="shared" si="502"/>
        <v>28.109013984829442</v>
      </c>
      <c r="T571" s="565">
        <f t="shared" si="502"/>
        <v>28.671194264526026</v>
      </c>
      <c r="U571" s="565">
        <f t="shared" si="502"/>
        <v>29.244618149816546</v>
      </c>
      <c r="V571" s="565">
        <f t="shared" si="502"/>
        <v>29.829510512812881</v>
      </c>
      <c r="W571" s="565">
        <f t="shared" si="502"/>
        <v>30.426100723069144</v>
      </c>
      <c r="X571" s="565">
        <f t="shared" si="502"/>
        <v>31.034622737530515</v>
      </c>
      <c r="Y571" s="565">
        <f t="shared" si="502"/>
        <v>31.655315192281126</v>
      </c>
      <c r="Z571" s="565">
        <f t="shared" si="502"/>
        <v>32.288421496126759</v>
      </c>
      <c r="AA571" s="565"/>
      <c r="AB571" s="565"/>
      <c r="AC571" s="565"/>
      <c r="AD571" s="565"/>
      <c r="AE571" s="565"/>
      <c r="AF571" s="565"/>
      <c r="AG571" s="565"/>
      <c r="AH571" s="565"/>
      <c r="AI571" s="565"/>
      <c r="AJ571" s="565"/>
    </row>
    <row r="572" spans="1:36" s="299" customFormat="1" x14ac:dyDescent="0.25">
      <c r="A572" s="299" t="s">
        <v>696</v>
      </c>
      <c r="C572" s="299" t="s">
        <v>387</v>
      </c>
      <c r="E572" s="331"/>
      <c r="F572" s="331"/>
      <c r="H572" s="640" t="s">
        <v>203</v>
      </c>
      <c r="I572" s="641" t="str">
        <f t="shared" si="490"/>
        <v>tr. VND/tấn</v>
      </c>
      <c r="K572" s="642"/>
      <c r="L572" s="642">
        <f t="shared" ref="L572:AJ572" si="503">-IF($H$9="VND",L540/L516/$H$10/10^3,L540/L516/$H$10*10^3)</f>
        <v>1.8787096774193559</v>
      </c>
      <c r="M572" s="642">
        <f t="shared" si="503"/>
        <v>1.8787096774193583</v>
      </c>
      <c r="N572" s="642">
        <f t="shared" si="503"/>
        <v>1.9162838709677454</v>
      </c>
      <c r="O572" s="642">
        <f t="shared" si="503"/>
        <v>1.9546095483871007</v>
      </c>
      <c r="P572" s="642">
        <f t="shared" si="503"/>
        <v>1.9937017393548417</v>
      </c>
      <c r="Q572" s="642">
        <f t="shared" si="503"/>
        <v>2.0335757741419362</v>
      </c>
      <c r="R572" s="642">
        <f t="shared" si="503"/>
        <v>2.0742472896247759</v>
      </c>
      <c r="S572" s="642">
        <f t="shared" si="503"/>
        <v>2.1157322354172718</v>
      </c>
      <c r="T572" s="642">
        <f t="shared" si="503"/>
        <v>2.1580468801256183</v>
      </c>
      <c r="U572" s="642">
        <f t="shared" si="503"/>
        <v>2.2012078177281285</v>
      </c>
      <c r="V572" s="642">
        <f t="shared" si="503"/>
        <v>2.2452319740826931</v>
      </c>
      <c r="W572" s="642">
        <f t="shared" si="503"/>
        <v>2.2901366135643446</v>
      </c>
      <c r="X572" s="642">
        <f t="shared" si="503"/>
        <v>2.3359393458356301</v>
      </c>
      <c r="Y572" s="642">
        <f t="shared" si="503"/>
        <v>2.3826581327523475</v>
      </c>
      <c r="Z572" s="642">
        <f t="shared" si="503"/>
        <v>2.430311295407392</v>
      </c>
      <c r="AA572" s="642"/>
      <c r="AB572" s="642"/>
      <c r="AC572" s="642"/>
      <c r="AD572" s="642"/>
      <c r="AE572" s="642"/>
      <c r="AF572" s="642"/>
      <c r="AG572" s="642"/>
      <c r="AH572" s="642"/>
      <c r="AI572" s="642"/>
      <c r="AJ572" s="642"/>
    </row>
    <row r="573" spans="1:36" x14ac:dyDescent="0.25">
      <c r="A573" t="s">
        <v>696</v>
      </c>
      <c r="H573" s="558" t="s">
        <v>676</v>
      </c>
      <c r="I573" s="559" t="str">
        <f t="shared" si="490"/>
        <v>tr. VND/tấn</v>
      </c>
      <c r="K573" s="567">
        <f>SUM(K574:K575)</f>
        <v>0</v>
      </c>
      <c r="L573" s="567">
        <f t="shared" ref="L573:AJ573" si="504">SUM(L574:L575)</f>
        <v>0.20420258064516131</v>
      </c>
      <c r="M573" s="567">
        <f t="shared" si="504"/>
        <v>0.20420258064516134</v>
      </c>
      <c r="N573" s="567">
        <f t="shared" si="504"/>
        <v>0.21441270967741941</v>
      </c>
      <c r="O573" s="567">
        <f t="shared" si="504"/>
        <v>0.22513334516129035</v>
      </c>
      <c r="P573" s="567">
        <f t="shared" si="504"/>
        <v>0.23639001241935489</v>
      </c>
      <c r="Q573" s="567">
        <f t="shared" si="504"/>
        <v>0.24820951304032263</v>
      </c>
      <c r="R573" s="567">
        <f t="shared" si="504"/>
        <v>0.26061998869233877</v>
      </c>
      <c r="S573" s="567">
        <f t="shared" si="504"/>
        <v>0.27365098812695565</v>
      </c>
      <c r="T573" s="567">
        <f t="shared" si="504"/>
        <v>0.28733353753330354</v>
      </c>
      <c r="U573" s="567">
        <f t="shared" si="504"/>
        <v>0.30170021440996864</v>
      </c>
      <c r="V573" s="567">
        <f t="shared" si="504"/>
        <v>0.31678522513046709</v>
      </c>
      <c r="W573" s="567">
        <f t="shared" si="504"/>
        <v>0.33262448638699044</v>
      </c>
      <c r="X573" s="567">
        <f t="shared" si="504"/>
        <v>0.34925571070633998</v>
      </c>
      <c r="Y573" s="567">
        <f t="shared" si="504"/>
        <v>0.36671849624165698</v>
      </c>
      <c r="Z573" s="567">
        <f t="shared" si="504"/>
        <v>0.38505442105373988</v>
      </c>
      <c r="AA573" s="567"/>
      <c r="AB573" s="567"/>
      <c r="AC573" s="567"/>
      <c r="AD573" s="567"/>
      <c r="AE573" s="567"/>
      <c r="AF573" s="567"/>
      <c r="AG573" s="567"/>
      <c r="AH573" s="567"/>
      <c r="AI573" s="567"/>
      <c r="AJ573" s="567"/>
    </row>
    <row r="574" spans="1:36" s="299" customFormat="1" x14ac:dyDescent="0.25">
      <c r="A574" s="299" t="s">
        <v>696</v>
      </c>
      <c r="C574" s="299" t="s">
        <v>367</v>
      </c>
      <c r="E574" s="331"/>
      <c r="F574" s="331"/>
      <c r="H574" s="560" t="s">
        <v>673</v>
      </c>
      <c r="I574" s="561" t="str">
        <f t="shared" si="490"/>
        <v>tr. VND/tấn</v>
      </c>
      <c r="K574" s="565"/>
      <c r="L574" s="565">
        <f>-IF($H$9="VND",L542/L516/$H$10/10^3,L542/L516/$H$10*10^3)</f>
        <v>0.20420258064516131</v>
      </c>
      <c r="M574" s="565">
        <f t="shared" ref="M574:AJ574" si="505">-IF($H$9="VND",M542/M516/$H$10/10^3,M542/M516/$H$10*10^3)</f>
        <v>0.20420258064516134</v>
      </c>
      <c r="N574" s="565">
        <f t="shared" si="505"/>
        <v>0.21441270967741941</v>
      </c>
      <c r="O574" s="565">
        <f t="shared" si="505"/>
        <v>0.22513334516129035</v>
      </c>
      <c r="P574" s="565">
        <f t="shared" si="505"/>
        <v>0.23639001241935489</v>
      </c>
      <c r="Q574" s="565">
        <f t="shared" si="505"/>
        <v>0.24820951304032263</v>
      </c>
      <c r="R574" s="565">
        <f t="shared" si="505"/>
        <v>0.26061998869233877</v>
      </c>
      <c r="S574" s="565">
        <f t="shared" si="505"/>
        <v>0.27365098812695565</v>
      </c>
      <c r="T574" s="565">
        <f t="shared" si="505"/>
        <v>0.28733353753330354</v>
      </c>
      <c r="U574" s="565">
        <f t="shared" si="505"/>
        <v>0.30170021440996864</v>
      </c>
      <c r="V574" s="565">
        <f t="shared" si="505"/>
        <v>0.31678522513046709</v>
      </c>
      <c r="W574" s="565">
        <f t="shared" si="505"/>
        <v>0.33262448638699044</v>
      </c>
      <c r="X574" s="565">
        <f t="shared" si="505"/>
        <v>0.34925571070633998</v>
      </c>
      <c r="Y574" s="565">
        <f t="shared" si="505"/>
        <v>0.36671849624165698</v>
      </c>
      <c r="Z574" s="565">
        <f t="shared" si="505"/>
        <v>0.38505442105373988</v>
      </c>
      <c r="AA574" s="565"/>
      <c r="AB574" s="565"/>
      <c r="AC574" s="565"/>
      <c r="AD574" s="565"/>
      <c r="AE574" s="565"/>
      <c r="AF574" s="565"/>
      <c r="AG574" s="565"/>
      <c r="AH574" s="565"/>
      <c r="AI574" s="565"/>
      <c r="AJ574" s="565"/>
    </row>
    <row r="575" spans="1:36" s="299" customFormat="1" x14ac:dyDescent="0.25">
      <c r="A575" s="299" t="s">
        <v>696</v>
      </c>
      <c r="C575" s="299" t="s">
        <v>367</v>
      </c>
      <c r="E575" s="331"/>
      <c r="F575" s="331"/>
      <c r="H575" s="560" t="s">
        <v>674</v>
      </c>
      <c r="I575" s="561" t="str">
        <f t="shared" si="490"/>
        <v>tr. VND/tấn</v>
      </c>
      <c r="K575" s="565"/>
      <c r="L575" s="565">
        <f>-IF($H$9="VND",L543/L516/$H$10/10^3,L543/L516/$H$10*10^3)</f>
        <v>0</v>
      </c>
      <c r="M575" s="565">
        <f t="shared" ref="M575:AJ575" si="506">-IF($H$9="VND",M543/M516/$H$10/10^3,M543/M516/$H$10*10^3)</f>
        <v>0</v>
      </c>
      <c r="N575" s="565">
        <f t="shared" si="506"/>
        <v>0</v>
      </c>
      <c r="O575" s="565">
        <f t="shared" si="506"/>
        <v>0</v>
      </c>
      <c r="P575" s="565">
        <f t="shared" si="506"/>
        <v>0</v>
      </c>
      <c r="Q575" s="565">
        <f t="shared" si="506"/>
        <v>0</v>
      </c>
      <c r="R575" s="565">
        <f t="shared" si="506"/>
        <v>0</v>
      </c>
      <c r="S575" s="565">
        <f t="shared" si="506"/>
        <v>0</v>
      </c>
      <c r="T575" s="565">
        <f t="shared" si="506"/>
        <v>0</v>
      </c>
      <c r="U575" s="565">
        <f t="shared" si="506"/>
        <v>0</v>
      </c>
      <c r="V575" s="565">
        <f t="shared" si="506"/>
        <v>0</v>
      </c>
      <c r="W575" s="565">
        <f t="shared" si="506"/>
        <v>0</v>
      </c>
      <c r="X575" s="565">
        <f t="shared" si="506"/>
        <v>0</v>
      </c>
      <c r="Y575" s="565">
        <f t="shared" si="506"/>
        <v>0</v>
      </c>
      <c r="Z575" s="565">
        <f t="shared" si="506"/>
        <v>0</v>
      </c>
      <c r="AA575" s="565"/>
      <c r="AB575" s="565"/>
      <c r="AC575" s="565"/>
      <c r="AD575" s="565"/>
      <c r="AE575" s="565"/>
      <c r="AF575" s="565"/>
      <c r="AG575" s="565"/>
      <c r="AH575" s="565"/>
      <c r="AI575" s="565"/>
      <c r="AJ575" s="565"/>
    </row>
    <row r="576" spans="1:36" x14ac:dyDescent="0.25">
      <c r="A576" t="s">
        <v>696</v>
      </c>
      <c r="H576" s="558" t="s">
        <v>180</v>
      </c>
      <c r="I576" s="559" t="str">
        <f t="shared" si="490"/>
        <v>tr. VND/tấn</v>
      </c>
      <c r="K576" s="567">
        <f>SUM(K577:K579)</f>
        <v>0</v>
      </c>
      <c r="L576" s="567">
        <f>SUM(L577:L579)</f>
        <v>2.9033083970449769</v>
      </c>
      <c r="M576" s="567">
        <f t="shared" ref="M576:AJ576" si="507">SUM(M577:M579)</f>
        <v>2.7189879914035204</v>
      </c>
      <c r="N576" s="567">
        <f t="shared" si="507"/>
        <v>2.6994644128292276</v>
      </c>
      <c r="O576" s="567">
        <f t="shared" si="507"/>
        <v>2.8241169747688661</v>
      </c>
      <c r="P576" s="567">
        <f t="shared" si="507"/>
        <v>2.9550021648054869</v>
      </c>
      <c r="Q576" s="567">
        <f t="shared" si="507"/>
        <v>3.0924316143439388</v>
      </c>
      <c r="R576" s="567">
        <f t="shared" si="507"/>
        <v>3.2367325363593134</v>
      </c>
      <c r="S576" s="567">
        <f t="shared" si="507"/>
        <v>3.3882485044754564</v>
      </c>
      <c r="T576" s="567">
        <f t="shared" si="507"/>
        <v>3.547340270997406</v>
      </c>
      <c r="U576" s="567">
        <f t="shared" si="507"/>
        <v>3.7143866258454539</v>
      </c>
      <c r="V576" s="567">
        <f t="shared" si="507"/>
        <v>3.8897852984359034</v>
      </c>
      <c r="W576" s="567">
        <f t="shared" si="507"/>
        <v>4.0739539046558768</v>
      </c>
      <c r="X576" s="567">
        <f t="shared" si="507"/>
        <v>4.1054854432444063</v>
      </c>
      <c r="Y576" s="567">
        <f t="shared" si="507"/>
        <v>4.3085313316019249</v>
      </c>
      <c r="Z576" s="567">
        <f t="shared" si="507"/>
        <v>4.5217295143773217</v>
      </c>
      <c r="AA576" s="567"/>
      <c r="AB576" s="567"/>
      <c r="AC576" s="567"/>
      <c r="AD576" s="567"/>
      <c r="AE576" s="567"/>
      <c r="AF576" s="567"/>
      <c r="AG576" s="567"/>
      <c r="AH576" s="567"/>
      <c r="AI576" s="567"/>
      <c r="AJ576" s="567"/>
    </row>
    <row r="577" spans="1:36" s="299" customFormat="1" x14ac:dyDescent="0.25">
      <c r="A577" s="299" t="s">
        <v>696</v>
      </c>
      <c r="C577" s="299" t="s">
        <v>367</v>
      </c>
      <c r="H577" s="560" t="s">
        <v>73</v>
      </c>
      <c r="I577" s="561" t="str">
        <f t="shared" si="490"/>
        <v>tr. VND/tấn</v>
      </c>
      <c r="K577" s="565"/>
      <c r="L577" s="565">
        <f t="shared" ref="L577:AJ577" si="508">-IF($H$9="VND",L545/L516/$H$10/10^3,L545/L516/$H$10*10^3)</f>
        <v>1.8565188172043012</v>
      </c>
      <c r="M577" s="565">
        <f t="shared" si="508"/>
        <v>1.8565188172043008</v>
      </c>
      <c r="N577" s="565">
        <f t="shared" si="508"/>
        <v>1.949344758064516</v>
      </c>
      <c r="O577" s="565">
        <f t="shared" si="508"/>
        <v>2.046811995967742</v>
      </c>
      <c r="P577" s="565">
        <f t="shared" si="508"/>
        <v>2.1491525957661293</v>
      </c>
      <c r="Q577" s="565">
        <f t="shared" si="508"/>
        <v>2.2566102255544358</v>
      </c>
      <c r="R577" s="565">
        <f t="shared" si="508"/>
        <v>2.3694407368321579</v>
      </c>
      <c r="S577" s="565">
        <f t="shared" si="508"/>
        <v>2.4879127736737656</v>
      </c>
      <c r="T577" s="565">
        <f t="shared" si="508"/>
        <v>2.6123084123574536</v>
      </c>
      <c r="U577" s="565">
        <f t="shared" si="508"/>
        <v>2.7429238329753267</v>
      </c>
      <c r="V577" s="565">
        <f t="shared" si="508"/>
        <v>2.8800700246240925</v>
      </c>
      <c r="W577" s="565">
        <f t="shared" si="508"/>
        <v>3.0240735258552975</v>
      </c>
      <c r="X577" s="565">
        <f t="shared" si="508"/>
        <v>3.1752772021480626</v>
      </c>
      <c r="Y577" s="565">
        <f t="shared" si="508"/>
        <v>3.3340410622554648</v>
      </c>
      <c r="Z577" s="565">
        <f t="shared" si="508"/>
        <v>3.5007431153682393</v>
      </c>
      <c r="AA577" s="565"/>
      <c r="AB577" s="565"/>
      <c r="AC577" s="565"/>
      <c r="AD577" s="565"/>
      <c r="AE577" s="565"/>
      <c r="AF577" s="565"/>
      <c r="AG577" s="565"/>
      <c r="AH577" s="565"/>
      <c r="AI577" s="565"/>
      <c r="AJ577" s="565"/>
    </row>
    <row r="578" spans="1:36" s="299" customFormat="1" x14ac:dyDescent="0.25">
      <c r="A578" s="299" t="s">
        <v>696</v>
      </c>
      <c r="C578" s="299" t="s">
        <v>370</v>
      </c>
      <c r="H578" s="560" t="s">
        <v>192</v>
      </c>
      <c r="I578" s="561" t="str">
        <f t="shared" si="490"/>
        <v>tr. VND/tấn</v>
      </c>
      <c r="K578" s="565"/>
      <c r="L578" s="565">
        <f t="shared" ref="L578:AJ578" si="509">-IF($H$9="VND",L546/L516/$H$10/10^3,L546/L516/$H$10*10^3)</f>
        <v>0.31481481481481483</v>
      </c>
      <c r="M578" s="565">
        <f t="shared" si="509"/>
        <v>0.31481481481481483</v>
      </c>
      <c r="N578" s="565">
        <f t="shared" si="509"/>
        <v>0.3305555555555556</v>
      </c>
      <c r="O578" s="565">
        <f t="shared" si="509"/>
        <v>0.34708333333333335</v>
      </c>
      <c r="P578" s="565">
        <f t="shared" si="509"/>
        <v>0.36443750000000008</v>
      </c>
      <c r="Q578" s="565">
        <f t="shared" si="509"/>
        <v>0.38265937500000002</v>
      </c>
      <c r="R578" s="565">
        <f t="shared" si="509"/>
        <v>0.40179234375000006</v>
      </c>
      <c r="S578" s="565">
        <f t="shared" si="509"/>
        <v>0.42188196093749997</v>
      </c>
      <c r="T578" s="565">
        <f t="shared" si="509"/>
        <v>0.44297605898437514</v>
      </c>
      <c r="U578" s="565">
        <f t="shared" si="509"/>
        <v>0.46512486193359376</v>
      </c>
      <c r="V578" s="565">
        <f t="shared" si="509"/>
        <v>0.48838110503027343</v>
      </c>
      <c r="W578" s="565">
        <f t="shared" si="509"/>
        <v>0.51280016028178721</v>
      </c>
      <c r="X578" s="565">
        <f t="shared" si="509"/>
        <v>0.5384401682958766</v>
      </c>
      <c r="Y578" s="565">
        <f t="shared" si="509"/>
        <v>0.56536217671067035</v>
      </c>
      <c r="Z578" s="565">
        <f t="shared" si="509"/>
        <v>0.5936302855462039</v>
      </c>
      <c r="AA578" s="565"/>
      <c r="AB578" s="565"/>
      <c r="AC578" s="565"/>
      <c r="AD578" s="565"/>
      <c r="AE578" s="565"/>
      <c r="AF578" s="565"/>
      <c r="AG578" s="565"/>
      <c r="AH578" s="565"/>
      <c r="AI578" s="565"/>
      <c r="AJ578" s="565"/>
    </row>
    <row r="579" spans="1:36" s="299" customFormat="1" x14ac:dyDescent="0.25">
      <c r="A579" s="299" t="s">
        <v>696</v>
      </c>
      <c r="C579" s="299" t="s">
        <v>367</v>
      </c>
      <c r="H579" s="560" t="s">
        <v>175</v>
      </c>
      <c r="I579" s="561" t="str">
        <f t="shared" si="490"/>
        <v>tr. VND/tấn</v>
      </c>
      <c r="K579" s="565"/>
      <c r="L579" s="565">
        <f>-IF($H$9="VND",L547/L516/$H$10/10^3,L547/L516/$H$10*10^3)</f>
        <v>0.73197476502586101</v>
      </c>
      <c r="M579" s="565">
        <f t="shared" ref="M579:AJ579" si="510">-IF($H$9="VND",M547/M516/$H$10/10^3,M547/M516/$H$10*10^3)</f>
        <v>0.54765435938440488</v>
      </c>
      <c r="N579" s="565">
        <f t="shared" si="510"/>
        <v>0.41956409920915572</v>
      </c>
      <c r="O579" s="565">
        <f t="shared" si="510"/>
        <v>0.43022164546779085</v>
      </c>
      <c r="P579" s="565">
        <f t="shared" si="510"/>
        <v>0.4414120690393577</v>
      </c>
      <c r="Q579" s="565">
        <f t="shared" si="510"/>
        <v>0.45316201378950288</v>
      </c>
      <c r="R579" s="565">
        <f t="shared" si="510"/>
        <v>0.4654994557771554</v>
      </c>
      <c r="S579" s="565">
        <f t="shared" si="510"/>
        <v>0.47845376986419047</v>
      </c>
      <c r="T579" s="565">
        <f t="shared" si="510"/>
        <v>0.49205579965557728</v>
      </c>
      <c r="U579" s="565">
        <f t="shared" si="510"/>
        <v>0.50633793093653356</v>
      </c>
      <c r="V579" s="565">
        <f t="shared" si="510"/>
        <v>0.52133416878153738</v>
      </c>
      <c r="W579" s="565">
        <f t="shared" si="510"/>
        <v>0.53708021851879162</v>
      </c>
      <c r="X579" s="565">
        <f t="shared" si="510"/>
        <v>0.39176807280046666</v>
      </c>
      <c r="Y579" s="565">
        <f t="shared" si="510"/>
        <v>0.40912809263578942</v>
      </c>
      <c r="Z579" s="565">
        <f t="shared" si="510"/>
        <v>0.42735611346287838</v>
      </c>
      <c r="AA579" s="565"/>
      <c r="AB579" s="565"/>
      <c r="AC579" s="565"/>
      <c r="AD579" s="565"/>
      <c r="AE579" s="565"/>
      <c r="AF579" s="565"/>
      <c r="AG579" s="565"/>
      <c r="AH579" s="565"/>
      <c r="AI579" s="565"/>
      <c r="AJ579" s="565"/>
    </row>
    <row r="580" spans="1:36" x14ac:dyDescent="0.25">
      <c r="A580" t="s">
        <v>696</v>
      </c>
      <c r="H580" s="247"/>
      <c r="I580" s="275"/>
      <c r="K580" s="281"/>
      <c r="L580" s="282"/>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row>
    <row r="581" spans="1:36" s="16" customFormat="1" x14ac:dyDescent="0.25">
      <c r="A581" s="16" t="s">
        <v>696</v>
      </c>
      <c r="H581" s="276" t="s">
        <v>464</v>
      </c>
      <c r="I581" s="277" t="str">
        <f t="shared" si="490"/>
        <v>tr. VND/tấn</v>
      </c>
      <c r="K581" s="283">
        <f>K559+K569</f>
        <v>0</v>
      </c>
      <c r="L581" s="283">
        <f t="shared" ref="L581:AJ581" si="511">L559+L569</f>
        <v>46.074256148736893</v>
      </c>
      <c r="M581" s="283">
        <f t="shared" si="511"/>
        <v>41.28192560205904</v>
      </c>
      <c r="N581" s="283">
        <f t="shared" si="511"/>
        <v>38.498563160083208</v>
      </c>
      <c r="O581" s="283">
        <f t="shared" si="511"/>
        <v>39.333889675710957</v>
      </c>
      <c r="P581" s="283">
        <f t="shared" si="511"/>
        <v>40.1945572267975</v>
      </c>
      <c r="Q581" s="283">
        <f t="shared" si="511"/>
        <v>41.081504359309335</v>
      </c>
      <c r="R581" s="283">
        <f t="shared" si="511"/>
        <v>41.995709976395155</v>
      </c>
      <c r="S581" s="283">
        <f t="shared" si="511"/>
        <v>42.93819522484263</v>
      </c>
      <c r="T581" s="283">
        <f t="shared" si="511"/>
        <v>43.910025473229965</v>
      </c>
      <c r="U581" s="283">
        <f t="shared" si="511"/>
        <v>44.912312386304514</v>
      </c>
      <c r="V581" s="283">
        <f t="shared" si="511"/>
        <v>45.946216100346014</v>
      </c>
      <c r="W581" s="283">
        <f t="shared" si="511"/>
        <v>47.012947504509057</v>
      </c>
      <c r="X581" s="283">
        <f t="shared" si="511"/>
        <v>43.905787686884615</v>
      </c>
      <c r="Y581" s="283">
        <f t="shared" si="511"/>
        <v>45.04202222980566</v>
      </c>
      <c r="Z581" s="283">
        <f t="shared" si="511"/>
        <v>46.215046162622727</v>
      </c>
      <c r="AA581" s="283"/>
      <c r="AB581" s="283"/>
      <c r="AC581" s="283"/>
      <c r="AD581" s="283"/>
      <c r="AE581" s="283"/>
      <c r="AF581" s="283"/>
      <c r="AG581" s="283"/>
      <c r="AH581" s="283"/>
      <c r="AI581" s="283"/>
      <c r="AJ581" s="283"/>
    </row>
    <row r="582" spans="1:36" x14ac:dyDescent="0.25">
      <c r="A582" t="s">
        <v>696</v>
      </c>
      <c r="H582" s="247"/>
      <c r="I582" s="275"/>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row>
    <row r="583" spans="1:36" x14ac:dyDescent="0.25">
      <c r="A583" t="s">
        <v>696</v>
      </c>
      <c r="C583" t="s">
        <v>367</v>
      </c>
      <c r="H583" s="568" t="s">
        <v>166</v>
      </c>
      <c r="I583" s="569" t="str">
        <f t="shared" si="490"/>
        <v>tr. VND/tấn</v>
      </c>
      <c r="K583" s="570"/>
      <c r="L583" s="570">
        <f>-IF($H$9="VND",L551/L516/$H$10/10^3,L551/L516/$H$10*10^3)</f>
        <v>0.88888888888888906</v>
      </c>
      <c r="M583" s="570">
        <f t="shared" ref="M583:AJ583" si="512">-IF($H$9="VND",M551/M516/$H$10/10^3,M551/M516/$H$10*10^3)</f>
        <v>0.88888888888888895</v>
      </c>
      <c r="N583" s="570">
        <f t="shared" si="512"/>
        <v>0.93333333333333335</v>
      </c>
      <c r="O583" s="570">
        <f t="shared" si="512"/>
        <v>0.9800000000000002</v>
      </c>
      <c r="P583" s="570">
        <f t="shared" si="512"/>
        <v>1.0290000000000001</v>
      </c>
      <c r="Q583" s="570">
        <f t="shared" si="512"/>
        <v>1.0804500000000004</v>
      </c>
      <c r="R583" s="570">
        <f t="shared" si="512"/>
        <v>1.1344725000000002</v>
      </c>
      <c r="S583" s="570">
        <f t="shared" si="512"/>
        <v>1.1911961249999998</v>
      </c>
      <c r="T583" s="570">
        <f t="shared" si="512"/>
        <v>1.2507559312500003</v>
      </c>
      <c r="U583" s="570">
        <f t="shared" si="512"/>
        <v>1.3132937278125001</v>
      </c>
      <c r="V583" s="570">
        <f t="shared" si="512"/>
        <v>1.3789584142031253</v>
      </c>
      <c r="W583" s="570">
        <f t="shared" si="512"/>
        <v>1.4479063349132817</v>
      </c>
      <c r="X583" s="570">
        <f t="shared" si="512"/>
        <v>1.5203016516589456</v>
      </c>
      <c r="Y583" s="570">
        <f t="shared" si="512"/>
        <v>1.5963167342418931</v>
      </c>
      <c r="Z583" s="570">
        <f t="shared" si="512"/>
        <v>1.6761325709539878</v>
      </c>
      <c r="AA583" s="570"/>
      <c r="AB583" s="570"/>
      <c r="AC583" s="570"/>
      <c r="AD583" s="570"/>
      <c r="AE583" s="570"/>
      <c r="AF583" s="570"/>
      <c r="AG583" s="570"/>
      <c r="AH583" s="570"/>
      <c r="AI583" s="570"/>
      <c r="AJ583" s="570"/>
    </row>
    <row r="584" spans="1:36" x14ac:dyDescent="0.25">
      <c r="A584" t="s">
        <v>696</v>
      </c>
      <c r="C584" t="s">
        <v>367</v>
      </c>
      <c r="H584" s="558" t="s">
        <v>469</v>
      </c>
      <c r="I584" s="559" t="str">
        <f t="shared" si="490"/>
        <v>tr. VND/tấn</v>
      </c>
      <c r="K584" s="571"/>
      <c r="L584" s="571">
        <f t="shared" ref="L584:AJ584" si="513">-IF($H$9="VND",L552/L516/$H$10/10^3,L552/L516/$H$10*10^3)</f>
        <v>0</v>
      </c>
      <c r="M584" s="571">
        <f t="shared" si="513"/>
        <v>0</v>
      </c>
      <c r="N584" s="571">
        <f t="shared" si="513"/>
        <v>0</v>
      </c>
      <c r="O584" s="571">
        <f t="shared" si="513"/>
        <v>0</v>
      </c>
      <c r="P584" s="571">
        <f t="shared" si="513"/>
        <v>0</v>
      </c>
      <c r="Q584" s="571">
        <f t="shared" si="513"/>
        <v>0</v>
      </c>
      <c r="R584" s="571">
        <f t="shared" si="513"/>
        <v>0</v>
      </c>
      <c r="S584" s="571">
        <f t="shared" si="513"/>
        <v>0</v>
      </c>
      <c r="T584" s="571">
        <f t="shared" si="513"/>
        <v>0</v>
      </c>
      <c r="U584" s="571">
        <f t="shared" si="513"/>
        <v>0</v>
      </c>
      <c r="V584" s="571">
        <f t="shared" si="513"/>
        <v>0</v>
      </c>
      <c r="W584" s="571">
        <f t="shared" si="513"/>
        <v>0</v>
      </c>
      <c r="X584" s="571">
        <f t="shared" si="513"/>
        <v>0</v>
      </c>
      <c r="Y584" s="571">
        <f t="shared" si="513"/>
        <v>0</v>
      </c>
      <c r="Z584" s="571">
        <f t="shared" si="513"/>
        <v>0</v>
      </c>
      <c r="AA584" s="571"/>
      <c r="AB584" s="571"/>
      <c r="AC584" s="571"/>
      <c r="AD584" s="571"/>
      <c r="AE584" s="571"/>
      <c r="AF584" s="571"/>
      <c r="AG584" s="571"/>
      <c r="AH584" s="571"/>
      <c r="AI584" s="571"/>
      <c r="AJ584" s="571"/>
    </row>
    <row r="585" spans="1:36" x14ac:dyDescent="0.25">
      <c r="A585" t="s">
        <v>696</v>
      </c>
      <c r="C585" t="s">
        <v>367</v>
      </c>
      <c r="H585" s="558" t="s">
        <v>468</v>
      </c>
      <c r="I585" s="559" t="str">
        <f t="shared" si="490"/>
        <v>tr. VND/tấn</v>
      </c>
      <c r="K585" s="558"/>
      <c r="L585" s="571">
        <f t="shared" ref="L585:AJ585" si="514">-IF($H$9="VND",L553/L516/$H$10/10^3,L553/L516/$H$10*10^3)</f>
        <v>0</v>
      </c>
      <c r="M585" s="571">
        <f t="shared" si="514"/>
        <v>0</v>
      </c>
      <c r="N585" s="571">
        <f t="shared" si="514"/>
        <v>0</v>
      </c>
      <c r="O585" s="571">
        <f t="shared" si="514"/>
        <v>0</v>
      </c>
      <c r="P585" s="571">
        <f t="shared" si="514"/>
        <v>0</v>
      </c>
      <c r="Q585" s="571">
        <f t="shared" si="514"/>
        <v>0</v>
      </c>
      <c r="R585" s="571">
        <f t="shared" si="514"/>
        <v>0</v>
      </c>
      <c r="S585" s="571">
        <f t="shared" si="514"/>
        <v>0</v>
      </c>
      <c r="T585" s="571">
        <f t="shared" si="514"/>
        <v>0</v>
      </c>
      <c r="U585" s="571">
        <f t="shared" si="514"/>
        <v>0</v>
      </c>
      <c r="V585" s="571">
        <f t="shared" si="514"/>
        <v>0</v>
      </c>
      <c r="W585" s="571">
        <f t="shared" si="514"/>
        <v>0</v>
      </c>
      <c r="X585" s="571">
        <f t="shared" si="514"/>
        <v>0</v>
      </c>
      <c r="Y585" s="571">
        <f t="shared" si="514"/>
        <v>0</v>
      </c>
      <c r="Z585" s="571">
        <f t="shared" si="514"/>
        <v>0</v>
      </c>
      <c r="AA585" s="571"/>
      <c r="AB585" s="571"/>
      <c r="AC585" s="571"/>
      <c r="AD585" s="571"/>
      <c r="AE585" s="571"/>
      <c r="AF585" s="571"/>
      <c r="AG585" s="571"/>
      <c r="AH585" s="571"/>
      <c r="AI585" s="571"/>
      <c r="AJ585" s="571"/>
    </row>
    <row r="586" spans="1:36" x14ac:dyDescent="0.25">
      <c r="A586" t="s">
        <v>696</v>
      </c>
      <c r="C586" t="s">
        <v>367</v>
      </c>
      <c r="H586" s="558" t="s">
        <v>470</v>
      </c>
      <c r="I586" s="559" t="str">
        <f t="shared" si="490"/>
        <v>tr. VND/tấn</v>
      </c>
      <c r="K586" s="558"/>
      <c r="L586" s="571">
        <f t="shared" ref="L586:AJ586" si="515">-IF($H$9="VND",L554/L516/$H$10/10^3,L554/L516/$H$10*10^3)</f>
        <v>7.131455047872385</v>
      </c>
      <c r="M586" s="571">
        <f t="shared" si="515"/>
        <v>4.8911867647644334</v>
      </c>
      <c r="N586" s="571">
        <f t="shared" si="515"/>
        <v>3.2720011715319366</v>
      </c>
      <c r="O586" s="571">
        <f t="shared" si="515"/>
        <v>3.1095435382625483</v>
      </c>
      <c r="P586" s="571">
        <f t="shared" si="515"/>
        <v>2.9357138706643027</v>
      </c>
      <c r="Q586" s="571">
        <f t="shared" si="515"/>
        <v>2.7497161263341807</v>
      </c>
      <c r="R586" s="571">
        <f t="shared" si="515"/>
        <v>2.5506985399009494</v>
      </c>
      <c r="S586" s="571">
        <f t="shared" si="515"/>
        <v>2.3377497224173927</v>
      </c>
      <c r="T586" s="571">
        <f t="shared" si="515"/>
        <v>2.1098944877099868</v>
      </c>
      <c r="U586" s="571">
        <f t="shared" si="515"/>
        <v>1.8660893865730617</v>
      </c>
      <c r="V586" s="571">
        <f t="shared" si="515"/>
        <v>1.6052179283565524</v>
      </c>
      <c r="W586" s="571">
        <f t="shared" si="515"/>
        <v>1.3260854680648875</v>
      </c>
      <c r="X586" s="571">
        <f t="shared" si="515"/>
        <v>1.0274137355528061</v>
      </c>
      <c r="Y586" s="571">
        <f t="shared" si="515"/>
        <v>0.70783498176487913</v>
      </c>
      <c r="Z586" s="571">
        <f t="shared" si="515"/>
        <v>0.36588571521179714</v>
      </c>
      <c r="AA586" s="571"/>
      <c r="AB586" s="571"/>
      <c r="AC586" s="571"/>
      <c r="AD586" s="571"/>
      <c r="AE586" s="571"/>
      <c r="AF586" s="571"/>
      <c r="AG586" s="571"/>
      <c r="AH586" s="571"/>
      <c r="AI586" s="571"/>
      <c r="AJ586" s="571"/>
    </row>
    <row r="587" spans="1:36" x14ac:dyDescent="0.25">
      <c r="A587" t="s">
        <v>696</v>
      </c>
      <c r="H587" s="247"/>
      <c r="I587" s="275"/>
      <c r="K587" s="247"/>
      <c r="L587" s="247"/>
      <c r="M587" s="247"/>
      <c r="N587" s="247"/>
      <c r="O587" s="247"/>
      <c r="P587" s="247"/>
      <c r="Q587" s="247"/>
      <c r="R587" s="247"/>
      <c r="S587" s="247"/>
      <c r="T587" s="247"/>
      <c r="U587" s="247"/>
      <c r="V587" s="247"/>
      <c r="W587" s="247"/>
      <c r="X587" s="247"/>
      <c r="Y587" s="247"/>
      <c r="Z587" s="247"/>
      <c r="AA587" s="247"/>
      <c r="AB587" s="247"/>
      <c r="AC587" s="247"/>
      <c r="AD587" s="247"/>
      <c r="AE587" s="247"/>
      <c r="AF587" s="247"/>
      <c r="AG587" s="247"/>
      <c r="AH587" s="247"/>
      <c r="AI587" s="247"/>
      <c r="AJ587" s="247"/>
    </row>
    <row r="588" spans="1:36" s="16" customFormat="1" x14ac:dyDescent="0.25">
      <c r="A588" s="16" t="s">
        <v>696</v>
      </c>
      <c r="H588" s="276" t="s">
        <v>474</v>
      </c>
      <c r="I588" s="277" t="str">
        <f t="shared" si="490"/>
        <v>tr. VND/tấn</v>
      </c>
      <c r="K588" s="283">
        <f t="shared" ref="K588" si="516">K581+SUM(K583:K586)</f>
        <v>0</v>
      </c>
      <c r="L588" s="283">
        <f>L581+SUM(L583:L586)</f>
        <v>54.094600085498165</v>
      </c>
      <c r="M588" s="283">
        <f t="shared" ref="M588:AJ588" si="517">M581+SUM(M583:M586)</f>
        <v>47.06200125571236</v>
      </c>
      <c r="N588" s="283">
        <f t="shared" si="517"/>
        <v>42.703897664948478</v>
      </c>
      <c r="O588" s="283">
        <f t="shared" si="517"/>
        <v>43.423433213973503</v>
      </c>
      <c r="P588" s="283">
        <f t="shared" si="517"/>
        <v>44.159271097461804</v>
      </c>
      <c r="Q588" s="283">
        <f t="shared" si="517"/>
        <v>44.911670485643519</v>
      </c>
      <c r="R588" s="283">
        <f t="shared" si="517"/>
        <v>45.680881016296105</v>
      </c>
      <c r="S588" s="283">
        <f t="shared" si="517"/>
        <v>46.46714107226002</v>
      </c>
      <c r="T588" s="283">
        <f t="shared" si="517"/>
        <v>47.270675892189949</v>
      </c>
      <c r="U588" s="283">
        <f t="shared" si="517"/>
        <v>48.091695500690079</v>
      </c>
      <c r="V588" s="283">
        <f t="shared" si="517"/>
        <v>48.930392442905692</v>
      </c>
      <c r="W588" s="283">
        <f t="shared" si="517"/>
        <v>49.786939307487224</v>
      </c>
      <c r="X588" s="283">
        <f t="shared" si="517"/>
        <v>46.453503074096368</v>
      </c>
      <c r="Y588" s="283">
        <f t="shared" si="517"/>
        <v>47.346173945812431</v>
      </c>
      <c r="Z588" s="283">
        <f t="shared" si="517"/>
        <v>48.257064448788512</v>
      </c>
      <c r="AA588" s="283"/>
      <c r="AB588" s="283"/>
      <c r="AC588" s="283"/>
      <c r="AD588" s="283"/>
      <c r="AE588" s="283"/>
      <c r="AF588" s="283"/>
      <c r="AG588" s="283"/>
      <c r="AH588" s="283"/>
      <c r="AI588" s="283"/>
      <c r="AJ588" s="283"/>
    </row>
    <row r="589" spans="1:36" x14ac:dyDescent="0.25">
      <c r="A589" t="s">
        <v>696</v>
      </c>
    </row>
    <row r="590" spans="1:36" x14ac:dyDescent="0.25">
      <c r="A590" t="s">
        <v>696</v>
      </c>
      <c r="H590" s="568" t="s">
        <v>361</v>
      </c>
      <c r="I590" s="569" t="str">
        <f t="shared" si="490"/>
        <v>tr. VND/tấn</v>
      </c>
      <c r="K590" s="568"/>
      <c r="L590" s="589">
        <f>INDEX('Cover Page'!$H$12:$AJ$12,MATCH($A590,'Cover Page'!$H$5:$AJ$5,0))</f>
        <v>6.6666666666666666E-2</v>
      </c>
      <c r="M590" s="589">
        <f>INDEX('Cover Page'!$H$12:$AJ$12,MATCH($A590,'Cover Page'!$H$5:$AJ$5,0))</f>
        <v>6.6666666666666666E-2</v>
      </c>
      <c r="N590" s="589">
        <f>INDEX('Cover Page'!$H$12:$AJ$12,MATCH($A590,'Cover Page'!$H$5:$AJ$5,0))</f>
        <v>6.6666666666666666E-2</v>
      </c>
      <c r="O590" s="589">
        <f>INDEX('Cover Page'!$H$12:$AJ$12,MATCH($A590,'Cover Page'!$H$5:$AJ$5,0))</f>
        <v>6.6666666666666666E-2</v>
      </c>
      <c r="P590" s="589">
        <f>INDEX('Cover Page'!$H$12:$AJ$12,MATCH($A590,'Cover Page'!$H$5:$AJ$5,0))</f>
        <v>6.6666666666666666E-2</v>
      </c>
      <c r="Q590" s="589">
        <f>INDEX('Cover Page'!$H$12:$AJ$12,MATCH($A590,'Cover Page'!$H$5:$AJ$5,0))</f>
        <v>6.6666666666666666E-2</v>
      </c>
      <c r="R590" s="589">
        <f>INDEX('Cover Page'!$H$12:$AJ$12,MATCH($A590,'Cover Page'!$H$5:$AJ$5,0))</f>
        <v>6.6666666666666666E-2</v>
      </c>
      <c r="S590" s="589">
        <f>INDEX('Cover Page'!$H$12:$AJ$12,MATCH($A590,'Cover Page'!$H$5:$AJ$5,0))</f>
        <v>6.6666666666666666E-2</v>
      </c>
      <c r="T590" s="589">
        <f>INDEX('Cover Page'!$H$12:$AJ$12,MATCH($A590,'Cover Page'!$H$5:$AJ$5,0))</f>
        <v>6.6666666666666666E-2</v>
      </c>
      <c r="U590" s="589">
        <f>INDEX('Cover Page'!$H$12:$AJ$12,MATCH($A590,'Cover Page'!$H$5:$AJ$5,0))</f>
        <v>6.6666666666666666E-2</v>
      </c>
      <c r="V590" s="589">
        <f>INDEX('Cover Page'!$H$12:$AJ$12,MATCH($A590,'Cover Page'!$H$5:$AJ$5,0))</f>
        <v>6.6666666666666666E-2</v>
      </c>
      <c r="W590" s="589">
        <f>INDEX('Cover Page'!$H$12:$AJ$12,MATCH($A590,'Cover Page'!$H$5:$AJ$5,0))</f>
        <v>6.6666666666666666E-2</v>
      </c>
      <c r="X590" s="589">
        <f>INDEX('Cover Page'!$H$12:$AJ$12,MATCH($A590,'Cover Page'!$H$5:$AJ$5,0))</f>
        <v>6.6666666666666666E-2</v>
      </c>
      <c r="Y590" s="589">
        <f>INDEX('Cover Page'!$H$12:$AJ$12,MATCH($A590,'Cover Page'!$H$5:$AJ$5,0))</f>
        <v>6.6666666666666666E-2</v>
      </c>
      <c r="Z590" s="589">
        <f>INDEX('Cover Page'!$H$12:$AJ$12,MATCH($A590,'Cover Page'!$H$5:$AJ$5,0))</f>
        <v>6.6666666666666666E-2</v>
      </c>
      <c r="AA590" s="589"/>
      <c r="AB590" s="589"/>
      <c r="AC590" s="589"/>
      <c r="AD590" s="589"/>
      <c r="AE590" s="589"/>
      <c r="AF590" s="589"/>
      <c r="AG590" s="589"/>
      <c r="AH590" s="589"/>
      <c r="AI590" s="589"/>
      <c r="AJ590" s="589"/>
    </row>
    <row r="591" spans="1:36" s="1" customFormat="1" x14ac:dyDescent="0.25">
      <c r="A591" s="1" t="s">
        <v>696</v>
      </c>
      <c r="H591" s="585" t="s">
        <v>490</v>
      </c>
      <c r="I591" s="586" t="str">
        <f t="shared" si="490"/>
        <v>tr. VND/tấn</v>
      </c>
      <c r="K591" s="585"/>
      <c r="L591" s="590">
        <f t="shared" ref="L591:AJ591" si="518">L588*(1+L590)</f>
        <v>57.700906757864708</v>
      </c>
      <c r="M591" s="590">
        <f t="shared" si="518"/>
        <v>50.199468006093184</v>
      </c>
      <c r="N591" s="590">
        <f t="shared" si="518"/>
        <v>45.550824175945046</v>
      </c>
      <c r="O591" s="590">
        <f t="shared" si="518"/>
        <v>46.318328761571735</v>
      </c>
      <c r="P591" s="590">
        <f t="shared" si="518"/>
        <v>47.103222503959259</v>
      </c>
      <c r="Q591" s="590">
        <f t="shared" si="518"/>
        <v>47.905781851353083</v>
      </c>
      <c r="R591" s="590">
        <f t="shared" si="518"/>
        <v>48.726273084049176</v>
      </c>
      <c r="S591" s="590">
        <f t="shared" si="518"/>
        <v>49.564950477077353</v>
      </c>
      <c r="T591" s="590">
        <f t="shared" si="518"/>
        <v>50.422054285002609</v>
      </c>
      <c r="U591" s="590">
        <f t="shared" si="518"/>
        <v>51.297808534069418</v>
      </c>
      <c r="V591" s="590">
        <f t="shared" si="518"/>
        <v>52.192418605766072</v>
      </c>
      <c r="W591" s="590">
        <f t="shared" si="518"/>
        <v>53.106068594653038</v>
      </c>
      <c r="X591" s="590">
        <f t="shared" si="518"/>
        <v>49.550403279036125</v>
      </c>
      <c r="Y591" s="590">
        <f t="shared" si="518"/>
        <v>50.502585542199924</v>
      </c>
      <c r="Z591" s="590">
        <f t="shared" si="518"/>
        <v>51.474202078707748</v>
      </c>
      <c r="AA591" s="590"/>
      <c r="AB591" s="590"/>
      <c r="AC591" s="590"/>
      <c r="AD591" s="590"/>
      <c r="AE591" s="590"/>
      <c r="AF591" s="590"/>
      <c r="AG591" s="590"/>
      <c r="AH591" s="590"/>
      <c r="AI591" s="590"/>
      <c r="AJ591" s="590"/>
    </row>
    <row r="592" spans="1:36" x14ac:dyDescent="0.25">
      <c r="A592" t="s">
        <v>696</v>
      </c>
      <c r="H592" s="558" t="s">
        <v>292</v>
      </c>
      <c r="I592" s="559" t="str">
        <f t="shared" si="490"/>
        <v>tr. VND/tấn</v>
      </c>
      <c r="K592" s="558"/>
      <c r="L592" s="591">
        <f t="shared" ref="L592:AJ592" si="519">Tax_rate</f>
        <v>0.2</v>
      </c>
      <c r="M592" s="591">
        <f t="shared" si="519"/>
        <v>0.2</v>
      </c>
      <c r="N592" s="591">
        <f t="shared" si="519"/>
        <v>0.2</v>
      </c>
      <c r="O592" s="591">
        <f t="shared" si="519"/>
        <v>0.2</v>
      </c>
      <c r="P592" s="591">
        <f t="shared" si="519"/>
        <v>0.2</v>
      </c>
      <c r="Q592" s="591">
        <f t="shared" si="519"/>
        <v>0.2</v>
      </c>
      <c r="R592" s="591">
        <f t="shared" si="519"/>
        <v>0.2</v>
      </c>
      <c r="S592" s="591">
        <f t="shared" si="519"/>
        <v>0.2</v>
      </c>
      <c r="T592" s="591">
        <f t="shared" si="519"/>
        <v>0.2</v>
      </c>
      <c r="U592" s="591">
        <f t="shared" si="519"/>
        <v>0.2</v>
      </c>
      <c r="V592" s="591">
        <f t="shared" si="519"/>
        <v>0.2</v>
      </c>
      <c r="W592" s="591">
        <f t="shared" si="519"/>
        <v>0.2</v>
      </c>
      <c r="X592" s="591">
        <f t="shared" si="519"/>
        <v>0.2</v>
      </c>
      <c r="Y592" s="591">
        <f t="shared" si="519"/>
        <v>0.2</v>
      </c>
      <c r="Z592" s="591">
        <f t="shared" si="519"/>
        <v>0.2</v>
      </c>
      <c r="AA592" s="591"/>
      <c r="AB592" s="591"/>
      <c r="AC592" s="591"/>
      <c r="AD592" s="591"/>
      <c r="AE592" s="591"/>
      <c r="AF592" s="591"/>
      <c r="AG592" s="591"/>
      <c r="AH592" s="591"/>
      <c r="AI592" s="591"/>
      <c r="AJ592" s="591"/>
    </row>
    <row r="593" spans="1:36" s="1" customFormat="1" x14ac:dyDescent="0.25">
      <c r="A593" s="1" t="s">
        <v>696</v>
      </c>
      <c r="H593" s="585" t="s">
        <v>491</v>
      </c>
      <c r="I593" s="586" t="str">
        <f t="shared" si="490"/>
        <v>tr. VND/tấn</v>
      </c>
      <c r="K593" s="585"/>
      <c r="L593" s="590">
        <f>(L591-L588)*(1-L592)</f>
        <v>2.8850453378932346</v>
      </c>
      <c r="M593" s="590">
        <f t="shared" ref="M593:AJ593" si="520">(M591-M588)*(1-M592)</f>
        <v>2.5099734003046592</v>
      </c>
      <c r="N593" s="590">
        <f t="shared" si="520"/>
        <v>2.277541208797254</v>
      </c>
      <c r="O593" s="590">
        <f t="shared" si="520"/>
        <v>2.3159164380785855</v>
      </c>
      <c r="P593" s="590">
        <f t="shared" si="520"/>
        <v>2.3551611251979638</v>
      </c>
      <c r="Q593" s="590">
        <f t="shared" si="520"/>
        <v>2.3952890925676513</v>
      </c>
      <c r="R593" s="590">
        <f t="shared" si="520"/>
        <v>2.4363136542024564</v>
      </c>
      <c r="S593" s="590">
        <f t="shared" si="520"/>
        <v>2.4782475238538666</v>
      </c>
      <c r="T593" s="590">
        <f t="shared" si="520"/>
        <v>2.5211027142501283</v>
      </c>
      <c r="U593" s="590">
        <f t="shared" si="520"/>
        <v>2.5648904267034709</v>
      </c>
      <c r="V593" s="590">
        <f t="shared" si="520"/>
        <v>2.6096209302883042</v>
      </c>
      <c r="W593" s="590">
        <f t="shared" si="520"/>
        <v>2.6553034297326521</v>
      </c>
      <c r="X593" s="590">
        <f t="shared" si="520"/>
        <v>2.4775201639518061</v>
      </c>
      <c r="Y593" s="590">
        <f t="shared" si="520"/>
        <v>2.5251292771099942</v>
      </c>
      <c r="Z593" s="590">
        <f t="shared" si="520"/>
        <v>2.5737101039353889</v>
      </c>
      <c r="AA593" s="590"/>
      <c r="AB593" s="590"/>
      <c r="AC593" s="590"/>
      <c r="AD593" s="590"/>
      <c r="AE593" s="590"/>
      <c r="AF593" s="590"/>
      <c r="AG593" s="590"/>
      <c r="AH593" s="590"/>
      <c r="AI593" s="590"/>
      <c r="AJ593" s="590"/>
    </row>
    <row r="594" spans="1:36" s="146" customFormat="1" x14ac:dyDescent="0.25">
      <c r="A594" s="146" t="s">
        <v>696</v>
      </c>
      <c r="H594" s="587" t="s">
        <v>492</v>
      </c>
      <c r="I594" s="588"/>
      <c r="K594" s="587"/>
      <c r="L594" s="592">
        <f>IFERROR(L593/L591,0)</f>
        <v>4.9999999999999989E-2</v>
      </c>
      <c r="M594" s="592">
        <f>IFERROR(M593/M591,0)</f>
        <v>0.05</v>
      </c>
      <c r="N594" s="592">
        <f t="shared" ref="N594:AJ594" si="521">IFERROR(N593/N591,0)</f>
        <v>5.0000000000000037E-2</v>
      </c>
      <c r="O594" s="592">
        <f t="shared" si="521"/>
        <v>4.9999999999999975E-2</v>
      </c>
      <c r="P594" s="592">
        <f t="shared" si="521"/>
        <v>5.0000000000000017E-2</v>
      </c>
      <c r="Q594" s="592">
        <f t="shared" si="521"/>
        <v>4.999999999999994E-2</v>
      </c>
      <c r="R594" s="592">
        <f t="shared" si="521"/>
        <v>4.9999999999999954E-2</v>
      </c>
      <c r="S594" s="592">
        <f t="shared" si="521"/>
        <v>4.9999999999999982E-2</v>
      </c>
      <c r="T594" s="592">
        <f t="shared" si="521"/>
        <v>4.9999999999999961E-2</v>
      </c>
      <c r="U594" s="592">
        <f t="shared" si="521"/>
        <v>0.05</v>
      </c>
      <c r="V594" s="592">
        <f t="shared" si="521"/>
        <v>5.000000000000001E-2</v>
      </c>
      <c r="W594" s="592">
        <f t="shared" si="521"/>
        <v>0.05</v>
      </c>
      <c r="X594" s="592">
        <f t="shared" si="521"/>
        <v>4.9999999999999996E-2</v>
      </c>
      <c r="Y594" s="592">
        <f t="shared" si="521"/>
        <v>4.9999999999999961E-2</v>
      </c>
      <c r="Z594" s="592">
        <f t="shared" si="521"/>
        <v>5.0000000000000031E-2</v>
      </c>
      <c r="AA594" s="592"/>
      <c r="AB594" s="592"/>
      <c r="AC594" s="592"/>
      <c r="AD594" s="592"/>
      <c r="AE594" s="592"/>
      <c r="AF594" s="592"/>
      <c r="AG594" s="592"/>
      <c r="AH594" s="592"/>
      <c r="AI594" s="592"/>
      <c r="AJ594" s="592"/>
    </row>
    <row r="595" spans="1:36" x14ac:dyDescent="0.25">
      <c r="A595" t="s">
        <v>696</v>
      </c>
    </row>
    <row r="596" spans="1:36" s="24" customFormat="1" ht="17.25" x14ac:dyDescent="0.3">
      <c r="A596" s="24" t="s">
        <v>696</v>
      </c>
      <c r="H596" s="644" t="s">
        <v>476</v>
      </c>
      <c r="I596" s="644"/>
      <c r="K596" s="644"/>
      <c r="L596" s="644"/>
      <c r="M596" s="644"/>
      <c r="N596" s="644"/>
      <c r="O596" s="644"/>
      <c r="P596" s="644"/>
      <c r="Q596" s="644"/>
      <c r="R596" s="644"/>
      <c r="S596" s="644"/>
      <c r="T596" s="644"/>
      <c r="U596" s="644"/>
      <c r="V596" s="644"/>
      <c r="W596" s="644"/>
      <c r="X596" s="644"/>
      <c r="Y596" s="644"/>
      <c r="Z596" s="644"/>
      <c r="AA596" s="644"/>
      <c r="AB596" s="644"/>
      <c r="AC596" s="644"/>
      <c r="AD596" s="644"/>
      <c r="AE596" s="644"/>
      <c r="AF596" s="644"/>
      <c r="AG596" s="644"/>
      <c r="AH596" s="644"/>
      <c r="AI596" s="644"/>
      <c r="AJ596" s="644"/>
    </row>
    <row r="597" spans="1:36" s="1" customFormat="1" x14ac:dyDescent="0.25">
      <c r="A597" s="1" t="s">
        <v>696</v>
      </c>
      <c r="H597" s="287" t="s">
        <v>434</v>
      </c>
      <c r="I597" s="288" t="str">
        <f>IF($H$9="USD","USD/1.000 phôi","VND/phôi")</f>
        <v>VND/phôi</v>
      </c>
      <c r="K597" s="293">
        <f t="shared" ref="K597" si="522">SUM(K598:K599,K602:K605,)</f>
        <v>0</v>
      </c>
      <c r="L597" s="293">
        <f>SUM(L598:L599,L602:L605,)</f>
        <v>241.92053240441103</v>
      </c>
      <c r="M597" s="293">
        <f t="shared" ref="M597:AJ597" si="523">SUM(M598:M599,M602:M605,)</f>
        <v>172.80038028886503</v>
      </c>
      <c r="N597" s="293">
        <f t="shared" si="523"/>
        <v>123.13803249913229</v>
      </c>
      <c r="O597" s="293">
        <f t="shared" si="523"/>
        <v>125.42468711090538</v>
      </c>
      <c r="P597" s="293">
        <f t="shared" si="523"/>
        <v>127.82567445326717</v>
      </c>
      <c r="Q597" s="293">
        <f t="shared" si="523"/>
        <v>130.34671116274703</v>
      </c>
      <c r="R597" s="293">
        <f t="shared" si="523"/>
        <v>132.99379970770087</v>
      </c>
      <c r="S597" s="293">
        <f t="shared" si="523"/>
        <v>135.77324267990244</v>
      </c>
      <c r="T597" s="293">
        <f t="shared" si="523"/>
        <v>138.69165780071404</v>
      </c>
      <c r="U597" s="293">
        <f t="shared" si="523"/>
        <v>141.75599367756624</v>
      </c>
      <c r="V597" s="293">
        <f t="shared" si="523"/>
        <v>144.97354634826104</v>
      </c>
      <c r="W597" s="293">
        <f t="shared" si="523"/>
        <v>148.35197665249063</v>
      </c>
      <c r="X597" s="293">
        <f t="shared" si="523"/>
        <v>91.207266743515888</v>
      </c>
      <c r="Y597" s="293">
        <f t="shared" si="523"/>
        <v>94.931986153928946</v>
      </c>
      <c r="Z597" s="293">
        <f t="shared" si="523"/>
        <v>98.842941534862703</v>
      </c>
      <c r="AA597" s="293"/>
      <c r="AB597" s="293"/>
      <c r="AC597" s="293"/>
      <c r="AD597" s="293"/>
      <c r="AE597" s="293"/>
      <c r="AF597" s="293"/>
      <c r="AG597" s="293"/>
      <c r="AH597" s="293"/>
      <c r="AI597" s="293"/>
      <c r="AJ597" s="293"/>
    </row>
    <row r="598" spans="1:36" x14ac:dyDescent="0.25">
      <c r="A598" t="s">
        <v>696</v>
      </c>
      <c r="E598" t="s">
        <v>173</v>
      </c>
      <c r="H598" s="572" t="s">
        <v>190</v>
      </c>
      <c r="I598" s="573" t="str">
        <f t="shared" ref="I598:I605" si="524">IF($H$9="USD","USD/1.000 phôi","VND/phôi")</f>
        <v>VND/phôi</v>
      </c>
      <c r="K598" s="578"/>
      <c r="L598" s="579">
        <f t="shared" ref="L598:AJ598" si="525">-IF($H$9="USD",L528/L517/$H$10*10^3,L528/L517/$H$10)</f>
        <v>150.44368355925502</v>
      </c>
      <c r="M598" s="579">
        <f t="shared" si="525"/>
        <v>107.45977397089644</v>
      </c>
      <c r="N598" s="579">
        <f t="shared" si="525"/>
        <v>75.221841779627511</v>
      </c>
      <c r="O598" s="579">
        <f t="shared" si="525"/>
        <v>75.221841779627511</v>
      </c>
      <c r="P598" s="579">
        <f t="shared" si="525"/>
        <v>75.221841779627511</v>
      </c>
      <c r="Q598" s="579">
        <f t="shared" si="525"/>
        <v>75.221841779627511</v>
      </c>
      <c r="R598" s="579">
        <f t="shared" si="525"/>
        <v>75.221841779627511</v>
      </c>
      <c r="S598" s="579">
        <f t="shared" si="525"/>
        <v>75.221841779627511</v>
      </c>
      <c r="T598" s="579">
        <f t="shared" si="525"/>
        <v>75.221841779627511</v>
      </c>
      <c r="U598" s="579">
        <f t="shared" si="525"/>
        <v>75.221841779627511</v>
      </c>
      <c r="V598" s="579">
        <f t="shared" si="525"/>
        <v>75.221841779627511</v>
      </c>
      <c r="W598" s="579">
        <f t="shared" si="525"/>
        <v>75.221841779627511</v>
      </c>
      <c r="X598" s="579">
        <f t="shared" si="525"/>
        <v>14.529780051211779</v>
      </c>
      <c r="Y598" s="579">
        <f t="shared" si="525"/>
        <v>14.529780051211779</v>
      </c>
      <c r="Z598" s="579">
        <f t="shared" si="525"/>
        <v>14.529780051211779</v>
      </c>
      <c r="AA598" s="579"/>
      <c r="AB598" s="579"/>
      <c r="AC598" s="579"/>
      <c r="AD598" s="579"/>
      <c r="AE598" s="579"/>
      <c r="AF598" s="579"/>
      <c r="AG598" s="579"/>
      <c r="AH598" s="579"/>
      <c r="AI598" s="579"/>
      <c r="AJ598" s="579"/>
    </row>
    <row r="599" spans="1:36" x14ac:dyDescent="0.25">
      <c r="A599" t="s">
        <v>696</v>
      </c>
      <c r="H599" s="574" t="s">
        <v>429</v>
      </c>
      <c r="I599" s="575" t="str">
        <f t="shared" si="524"/>
        <v>VND/phôi</v>
      </c>
      <c r="K599" s="580">
        <f>SUM(K600:K601)</f>
        <v>0</v>
      </c>
      <c r="L599" s="580">
        <f t="shared" ref="L599:AJ599" si="526">SUM(L600:L601)</f>
        <v>29.115063862219181</v>
      </c>
      <c r="M599" s="580">
        <f t="shared" si="526"/>
        <v>20.79647418729942</v>
      </c>
      <c r="N599" s="580">
        <f t="shared" si="526"/>
        <v>15.285408527665071</v>
      </c>
      <c r="O599" s="580">
        <f t="shared" si="526"/>
        <v>16.049678954048325</v>
      </c>
      <c r="P599" s="580">
        <f t="shared" si="526"/>
        <v>16.852162901750745</v>
      </c>
      <c r="Q599" s="580">
        <f t="shared" si="526"/>
        <v>17.69477104683828</v>
      </c>
      <c r="R599" s="580">
        <f t="shared" si="526"/>
        <v>18.579509599180195</v>
      </c>
      <c r="S599" s="580">
        <f t="shared" si="526"/>
        <v>19.508485079139202</v>
      </c>
      <c r="T599" s="580">
        <f t="shared" si="526"/>
        <v>20.483909333096165</v>
      </c>
      <c r="U599" s="580">
        <f t="shared" si="526"/>
        <v>21.508104799750974</v>
      </c>
      <c r="V599" s="580">
        <f t="shared" si="526"/>
        <v>22.58351003973852</v>
      </c>
      <c r="W599" s="580">
        <f t="shared" si="526"/>
        <v>23.712685541725449</v>
      </c>
      <c r="X599" s="580">
        <f t="shared" si="526"/>
        <v>24.898319818811725</v>
      </c>
      <c r="Y599" s="580">
        <f t="shared" si="526"/>
        <v>26.143235809752301</v>
      </c>
      <c r="Z599" s="580">
        <f t="shared" si="526"/>
        <v>27.450397600239924</v>
      </c>
      <c r="AA599" s="580"/>
      <c r="AB599" s="580"/>
      <c r="AC599" s="580"/>
      <c r="AD599" s="580"/>
      <c r="AE599" s="580"/>
      <c r="AF599" s="580"/>
      <c r="AG599" s="580"/>
      <c r="AH599" s="580"/>
      <c r="AI599" s="580"/>
      <c r="AJ599" s="580"/>
    </row>
    <row r="600" spans="1:36" s="299" customFormat="1" x14ac:dyDescent="0.25">
      <c r="A600" s="299" t="s">
        <v>696</v>
      </c>
      <c r="E600" s="299" t="s">
        <v>171</v>
      </c>
      <c r="H600" s="576" t="s">
        <v>430</v>
      </c>
      <c r="I600" s="577" t="str">
        <f t="shared" si="524"/>
        <v>VND/phôi</v>
      </c>
      <c r="K600" s="581"/>
      <c r="L600" s="581">
        <f t="shared" ref="L600:AJ600" si="527">-IF($H$9="USD",L530/L517/$H$10*10^3,L530/L517/$H$10)</f>
        <v>4.7599559447769781</v>
      </c>
      <c r="M600" s="581">
        <f t="shared" si="527"/>
        <v>3.3999685319835566</v>
      </c>
      <c r="N600" s="581">
        <f t="shared" si="527"/>
        <v>2.4989768710079137</v>
      </c>
      <c r="O600" s="581">
        <f t="shared" si="527"/>
        <v>2.6239257145583097</v>
      </c>
      <c r="P600" s="581">
        <f t="shared" si="527"/>
        <v>2.7551220002862253</v>
      </c>
      <c r="Q600" s="581">
        <f t="shared" si="527"/>
        <v>2.8928781003005359</v>
      </c>
      <c r="R600" s="581">
        <f t="shared" si="527"/>
        <v>3.0375220053155632</v>
      </c>
      <c r="S600" s="581">
        <f t="shared" si="527"/>
        <v>3.1893981055813412</v>
      </c>
      <c r="T600" s="581">
        <f t="shared" si="527"/>
        <v>3.3488680108604085</v>
      </c>
      <c r="U600" s="581">
        <f t="shared" si="527"/>
        <v>3.5163114114034286</v>
      </c>
      <c r="V600" s="581">
        <f t="shared" si="527"/>
        <v>3.6921269819736002</v>
      </c>
      <c r="W600" s="581">
        <f t="shared" si="527"/>
        <v>3.8767333310722805</v>
      </c>
      <c r="X600" s="581">
        <f t="shared" si="527"/>
        <v>4.0705699976258947</v>
      </c>
      <c r="Y600" s="581">
        <f t="shared" si="527"/>
        <v>4.2740984975071887</v>
      </c>
      <c r="Z600" s="581">
        <f t="shared" si="527"/>
        <v>4.4878034223825489</v>
      </c>
      <c r="AA600" s="581"/>
      <c r="AB600" s="581"/>
      <c r="AC600" s="581"/>
      <c r="AD600" s="581"/>
      <c r="AE600" s="581"/>
      <c r="AF600" s="581"/>
      <c r="AG600" s="581"/>
      <c r="AH600" s="581"/>
      <c r="AI600" s="581"/>
      <c r="AJ600" s="581"/>
    </row>
    <row r="601" spans="1:36" s="299" customFormat="1" x14ac:dyDescent="0.25">
      <c r="A601" s="299" t="s">
        <v>696</v>
      </c>
      <c r="E601" s="299" t="s">
        <v>171</v>
      </c>
      <c r="H601" s="576" t="s">
        <v>431</v>
      </c>
      <c r="I601" s="577" t="str">
        <f t="shared" si="524"/>
        <v>VND/phôi</v>
      </c>
      <c r="K601" s="581"/>
      <c r="L601" s="581">
        <f t="shared" ref="L601:AJ601" si="528">-IF($H$9="USD",L531/L517/$H$10*10^3,L531/L517/$H$10)</f>
        <v>24.355107917442204</v>
      </c>
      <c r="M601" s="581">
        <f t="shared" si="528"/>
        <v>17.396505655315863</v>
      </c>
      <c r="N601" s="581">
        <f t="shared" si="528"/>
        <v>12.786431656657157</v>
      </c>
      <c r="O601" s="581">
        <f t="shared" si="528"/>
        <v>13.425753239490016</v>
      </c>
      <c r="P601" s="581">
        <f t="shared" si="528"/>
        <v>14.097040901464521</v>
      </c>
      <c r="Q601" s="581">
        <f t="shared" si="528"/>
        <v>14.801892946537743</v>
      </c>
      <c r="R601" s="581">
        <f t="shared" si="528"/>
        <v>15.541987593864631</v>
      </c>
      <c r="S601" s="581">
        <f t="shared" si="528"/>
        <v>16.319086973557862</v>
      </c>
      <c r="T601" s="581">
        <f t="shared" si="528"/>
        <v>17.135041322235757</v>
      </c>
      <c r="U601" s="581">
        <f t="shared" si="528"/>
        <v>17.991793388347546</v>
      </c>
      <c r="V601" s="581">
        <f t="shared" si="528"/>
        <v>18.891383057764919</v>
      </c>
      <c r="W601" s="581">
        <f t="shared" si="528"/>
        <v>19.835952210653168</v>
      </c>
      <c r="X601" s="581">
        <f t="shared" si="528"/>
        <v>20.827749821185829</v>
      </c>
      <c r="Y601" s="581">
        <f t="shared" si="528"/>
        <v>21.869137312245112</v>
      </c>
      <c r="Z601" s="581">
        <f t="shared" si="528"/>
        <v>22.962594177857376</v>
      </c>
      <c r="AA601" s="581"/>
      <c r="AB601" s="581"/>
      <c r="AC601" s="581"/>
      <c r="AD601" s="581"/>
      <c r="AE601" s="581"/>
      <c r="AF601" s="581"/>
      <c r="AG601" s="581"/>
      <c r="AH601" s="581"/>
      <c r="AI601" s="581"/>
      <c r="AJ601" s="581"/>
    </row>
    <row r="602" spans="1:36" x14ac:dyDescent="0.25">
      <c r="A602" t="s">
        <v>696</v>
      </c>
      <c r="E602" t="s">
        <v>172</v>
      </c>
      <c r="H602" s="574" t="s">
        <v>656</v>
      </c>
      <c r="I602" s="575" t="str">
        <f t="shared" si="524"/>
        <v>VND/phôi</v>
      </c>
      <c r="K602" s="580"/>
      <c r="L602" s="580">
        <f t="shared" ref="L602:AJ602" si="529">-IF($H$9="USD",L532/L517/$H$10*10^3,L532/L517/$H$10)</f>
        <v>11.623824040969422</v>
      </c>
      <c r="M602" s="580">
        <f t="shared" si="529"/>
        <v>8.3027314578353018</v>
      </c>
      <c r="N602" s="580">
        <f t="shared" si="529"/>
        <v>6.1025076215089467</v>
      </c>
      <c r="O602" s="580">
        <f t="shared" si="529"/>
        <v>6.4076330025843937</v>
      </c>
      <c r="P602" s="580">
        <f t="shared" si="529"/>
        <v>6.7280146527136147</v>
      </c>
      <c r="Q602" s="580">
        <f t="shared" si="529"/>
        <v>7.064415385349295</v>
      </c>
      <c r="R602" s="580">
        <f t="shared" si="529"/>
        <v>7.4176361546167602</v>
      </c>
      <c r="S602" s="580">
        <f t="shared" si="529"/>
        <v>7.7885179623475977</v>
      </c>
      <c r="T602" s="580">
        <f t="shared" si="529"/>
        <v>8.1779438604649783</v>
      </c>
      <c r="U602" s="580">
        <f t="shared" si="529"/>
        <v>8.5868410534882269</v>
      </c>
      <c r="V602" s="580">
        <f t="shared" si="529"/>
        <v>9.0161831061626376</v>
      </c>
      <c r="W602" s="580">
        <f t="shared" si="529"/>
        <v>9.4669922614707716</v>
      </c>
      <c r="X602" s="580">
        <f t="shared" si="529"/>
        <v>9.9403418745443091</v>
      </c>
      <c r="Y602" s="580">
        <f t="shared" si="529"/>
        <v>10.437358968271525</v>
      </c>
      <c r="Z602" s="580">
        <f t="shared" si="529"/>
        <v>10.959226916685102</v>
      </c>
      <c r="AA602" s="580"/>
      <c r="AB602" s="580"/>
      <c r="AC602" s="580"/>
      <c r="AD602" s="580"/>
      <c r="AE602" s="580"/>
      <c r="AF602" s="580"/>
      <c r="AG602" s="580"/>
      <c r="AH602" s="580"/>
      <c r="AI602" s="580"/>
      <c r="AJ602" s="580"/>
    </row>
    <row r="603" spans="1:36" x14ac:dyDescent="0.25">
      <c r="A603" t="s">
        <v>696</v>
      </c>
      <c r="E603" t="s">
        <v>172</v>
      </c>
      <c r="H603" s="574" t="s">
        <v>432</v>
      </c>
      <c r="I603" s="575" t="str">
        <f t="shared" si="524"/>
        <v>VND/phôi</v>
      </c>
      <c r="K603" s="580"/>
      <c r="L603" s="580">
        <f t="shared" ref="L603:AJ603" si="530">-IF($H$9="USD",L533/L517/$H$10*10^3,L533/L517/$H$10)</f>
        <v>43.698284444459318</v>
      </c>
      <c r="M603" s="580">
        <f t="shared" si="530"/>
        <v>31.213060317470944</v>
      </c>
      <c r="N603" s="580">
        <f t="shared" si="530"/>
        <v>22.941599333341141</v>
      </c>
      <c r="O603" s="580">
        <f t="shared" si="530"/>
        <v>24.088679300008199</v>
      </c>
      <c r="P603" s="580">
        <f t="shared" si="530"/>
        <v>25.293113265008611</v>
      </c>
      <c r="Q603" s="580">
        <f t="shared" si="530"/>
        <v>26.557768928259037</v>
      </c>
      <c r="R603" s="580">
        <f t="shared" si="530"/>
        <v>27.88565737467199</v>
      </c>
      <c r="S603" s="580">
        <f t="shared" si="530"/>
        <v>29.279940243405587</v>
      </c>
      <c r="T603" s="580">
        <f t="shared" si="530"/>
        <v>30.743937255575872</v>
      </c>
      <c r="U603" s="580">
        <f t="shared" si="530"/>
        <v>32.281134118354665</v>
      </c>
      <c r="V603" s="580">
        <f t="shared" si="530"/>
        <v>33.895190824272397</v>
      </c>
      <c r="W603" s="580">
        <f t="shared" si="530"/>
        <v>35.589950365486018</v>
      </c>
      <c r="X603" s="580">
        <f t="shared" si="530"/>
        <v>37.369447883760323</v>
      </c>
      <c r="Y603" s="580">
        <f t="shared" si="530"/>
        <v>39.237920277948334</v>
      </c>
      <c r="Z603" s="580">
        <f t="shared" si="530"/>
        <v>41.199816291845757</v>
      </c>
      <c r="AA603" s="580"/>
      <c r="AB603" s="580"/>
      <c r="AC603" s="580"/>
      <c r="AD603" s="580"/>
      <c r="AE603" s="580"/>
      <c r="AF603" s="580"/>
      <c r="AG603" s="580"/>
      <c r="AH603" s="580"/>
      <c r="AI603" s="580"/>
      <c r="AJ603" s="580"/>
    </row>
    <row r="604" spans="1:36" x14ac:dyDescent="0.25">
      <c r="A604" t="s">
        <v>696</v>
      </c>
      <c r="E604" t="s">
        <v>172</v>
      </c>
      <c r="H604" s="574" t="s">
        <v>433</v>
      </c>
      <c r="I604" s="575" t="str">
        <f t="shared" si="524"/>
        <v>VND/phôi</v>
      </c>
      <c r="K604" s="580"/>
      <c r="L604" s="580">
        <f t="shared" ref="L604:AJ604" si="531">-IF($H$9="USD",L534/L517/$H$10*10^3,L534/L517/$H$10)</f>
        <v>2.6734795294229672</v>
      </c>
      <c r="M604" s="580">
        <f t="shared" si="531"/>
        <v>1.9096282353021197</v>
      </c>
      <c r="N604" s="580">
        <f t="shared" si="531"/>
        <v>1.4035767529470577</v>
      </c>
      <c r="O604" s="580">
        <f t="shared" si="531"/>
        <v>1.4737555905944109</v>
      </c>
      <c r="P604" s="580">
        <f t="shared" si="531"/>
        <v>1.5474433701241312</v>
      </c>
      <c r="Q604" s="580">
        <f t="shared" si="531"/>
        <v>1.624815538630338</v>
      </c>
      <c r="R604" s="580">
        <f t="shared" si="531"/>
        <v>1.7060563155618549</v>
      </c>
      <c r="S604" s="580">
        <f t="shared" si="531"/>
        <v>1.7913591313399475</v>
      </c>
      <c r="T604" s="580">
        <f t="shared" si="531"/>
        <v>1.8809270879069451</v>
      </c>
      <c r="U604" s="580">
        <f t="shared" si="531"/>
        <v>1.9749734423022924</v>
      </c>
      <c r="V604" s="580">
        <f t="shared" si="531"/>
        <v>2.0737221144174067</v>
      </c>
      <c r="W604" s="580">
        <f t="shared" si="531"/>
        <v>2.1774082201382772</v>
      </c>
      <c r="X604" s="580">
        <f t="shared" si="531"/>
        <v>2.2862786311451915</v>
      </c>
      <c r="Y604" s="580">
        <f t="shared" si="531"/>
        <v>2.4005925627024505</v>
      </c>
      <c r="Z604" s="580">
        <f t="shared" si="531"/>
        <v>2.5206221908375732</v>
      </c>
      <c r="AA604" s="580"/>
      <c r="AB604" s="580"/>
      <c r="AC604" s="580"/>
      <c r="AD604" s="580"/>
      <c r="AE604" s="580"/>
      <c r="AF604" s="580"/>
      <c r="AG604" s="580"/>
      <c r="AH604" s="580"/>
      <c r="AI604" s="580"/>
      <c r="AJ604" s="580"/>
    </row>
    <row r="605" spans="1:36" x14ac:dyDescent="0.25">
      <c r="A605" t="s">
        <v>696</v>
      </c>
      <c r="E605" t="s">
        <v>172</v>
      </c>
      <c r="H605" s="574" t="s">
        <v>520</v>
      </c>
      <c r="I605" s="575" t="str">
        <f t="shared" si="524"/>
        <v>VND/phôi</v>
      </c>
      <c r="K605" s="580"/>
      <c r="L605" s="580">
        <f t="shared" ref="L605:AJ605" si="532">-IF($H$9="USD",L535/L517/$H$10*10^3,L535/L517/$H$10)</f>
        <v>4.3661969680851325</v>
      </c>
      <c r="M605" s="580">
        <f t="shared" si="532"/>
        <v>3.1187121200608092</v>
      </c>
      <c r="N605" s="580">
        <f t="shared" si="532"/>
        <v>2.1830984840425662</v>
      </c>
      <c r="O605" s="580">
        <f t="shared" si="532"/>
        <v>2.1830984840425662</v>
      </c>
      <c r="P605" s="580">
        <f t="shared" si="532"/>
        <v>2.1830984840425662</v>
      </c>
      <c r="Q605" s="580">
        <f t="shared" si="532"/>
        <v>2.1830984840425662</v>
      </c>
      <c r="R605" s="580">
        <f t="shared" si="532"/>
        <v>2.1830984840425662</v>
      </c>
      <c r="S605" s="580">
        <f t="shared" si="532"/>
        <v>2.1830984840425662</v>
      </c>
      <c r="T605" s="580">
        <f t="shared" si="532"/>
        <v>2.1830984840425662</v>
      </c>
      <c r="U605" s="580">
        <f t="shared" si="532"/>
        <v>2.1830984840425662</v>
      </c>
      <c r="V605" s="580">
        <f t="shared" si="532"/>
        <v>2.1830984840425662</v>
      </c>
      <c r="W605" s="580">
        <f t="shared" si="532"/>
        <v>2.1830984840425662</v>
      </c>
      <c r="X605" s="580">
        <f t="shared" si="532"/>
        <v>2.1830984840425662</v>
      </c>
      <c r="Y605" s="580">
        <f t="shared" si="532"/>
        <v>2.1830984840425662</v>
      </c>
      <c r="Z605" s="580">
        <f t="shared" si="532"/>
        <v>2.1830984840425662</v>
      </c>
      <c r="AA605" s="580"/>
      <c r="AB605" s="580"/>
      <c r="AC605" s="580"/>
      <c r="AD605" s="580"/>
      <c r="AE605" s="580"/>
      <c r="AF605" s="580"/>
      <c r="AG605" s="580"/>
      <c r="AH605" s="580"/>
      <c r="AI605" s="580"/>
      <c r="AJ605" s="580"/>
    </row>
    <row r="606" spans="1:36" x14ac:dyDescent="0.25">
      <c r="A606" t="s">
        <v>696</v>
      </c>
      <c r="H606" s="289"/>
      <c r="I606" s="290"/>
      <c r="K606" s="294"/>
      <c r="L606" s="294"/>
      <c r="M606" s="294"/>
      <c r="N606" s="294"/>
      <c r="O606" s="294"/>
      <c r="P606" s="294"/>
      <c r="Q606" s="294"/>
      <c r="R606" s="294"/>
      <c r="S606" s="294"/>
      <c r="T606" s="294"/>
      <c r="U606" s="294"/>
      <c r="V606" s="294"/>
      <c r="W606" s="294"/>
      <c r="X606" s="294"/>
      <c r="Y606" s="294"/>
      <c r="Z606" s="294"/>
      <c r="AA606" s="294"/>
      <c r="AB606" s="294"/>
      <c r="AC606" s="294"/>
      <c r="AD606" s="294"/>
      <c r="AE606" s="294"/>
      <c r="AF606" s="294"/>
      <c r="AG606" s="294"/>
      <c r="AH606" s="294"/>
      <c r="AI606" s="294"/>
      <c r="AJ606" s="294"/>
    </row>
    <row r="607" spans="1:36" s="1" customFormat="1" x14ac:dyDescent="0.25">
      <c r="A607" s="1" t="s">
        <v>696</v>
      </c>
      <c r="H607" s="287" t="s">
        <v>435</v>
      </c>
      <c r="I607" s="288" t="str">
        <f t="shared" ref="I607:I631" si="533">IF($H$9="USD","USD/1.000 phôi","VND/phôi")</f>
        <v>VND/phôi</v>
      </c>
      <c r="K607" s="295">
        <f>K608+K611+K614</f>
        <v>0</v>
      </c>
      <c r="L607" s="295">
        <f t="shared" ref="L607:AJ607" si="534">L608+L611+L614</f>
        <v>449.19330982664235</v>
      </c>
      <c r="M607" s="295">
        <f t="shared" si="534"/>
        <v>446.42850374202067</v>
      </c>
      <c r="N607" s="295">
        <f t="shared" si="534"/>
        <v>454.34041490211587</v>
      </c>
      <c r="O607" s="295">
        <f t="shared" si="534"/>
        <v>464.58365802475885</v>
      </c>
      <c r="P607" s="295">
        <f t="shared" si="534"/>
        <v>475.09268394869514</v>
      </c>
      <c r="Q607" s="295">
        <f t="shared" si="534"/>
        <v>485.87585422689295</v>
      </c>
      <c r="R607" s="295">
        <f t="shared" si="534"/>
        <v>496.94184993822643</v>
      </c>
      <c r="S607" s="295">
        <f t="shared" si="534"/>
        <v>508.29968569273683</v>
      </c>
      <c r="T607" s="295">
        <f t="shared" si="534"/>
        <v>519.95872429773522</v>
      </c>
      <c r="U607" s="295">
        <f t="shared" si="534"/>
        <v>531.92869211700133</v>
      </c>
      <c r="V607" s="295">
        <f t="shared" si="534"/>
        <v>544.21969515692911</v>
      </c>
      <c r="W607" s="295">
        <f t="shared" si="534"/>
        <v>556.84223591514524</v>
      </c>
      <c r="X607" s="295">
        <f t="shared" si="534"/>
        <v>567.37954855975329</v>
      </c>
      <c r="Y607" s="295">
        <f t="shared" si="534"/>
        <v>580.69834729315585</v>
      </c>
      <c r="Z607" s="295">
        <f t="shared" si="534"/>
        <v>594.38275090447803</v>
      </c>
      <c r="AA607" s="295"/>
      <c r="AB607" s="295"/>
      <c r="AC607" s="295"/>
      <c r="AD607" s="295"/>
      <c r="AE607" s="295"/>
      <c r="AF607" s="295"/>
      <c r="AG607" s="295"/>
      <c r="AH607" s="295"/>
      <c r="AI607" s="295"/>
      <c r="AJ607" s="295"/>
    </row>
    <row r="608" spans="1:36" x14ac:dyDescent="0.25">
      <c r="A608" t="s">
        <v>696</v>
      </c>
      <c r="H608" s="572" t="s">
        <v>454</v>
      </c>
      <c r="I608" s="573" t="str">
        <f t="shared" si="533"/>
        <v>VND/phôi</v>
      </c>
      <c r="K608" s="582">
        <f>SUM(K609:K610)</f>
        <v>0</v>
      </c>
      <c r="L608" s="582">
        <f t="shared" ref="L608:AJ608" si="535">SUM(L609:L610)</f>
        <v>402.58064516129031</v>
      </c>
      <c r="M608" s="582">
        <f t="shared" si="535"/>
        <v>402.58064516129042</v>
      </c>
      <c r="N608" s="582">
        <f t="shared" si="535"/>
        <v>410.63225806451618</v>
      </c>
      <c r="O608" s="582">
        <f t="shared" si="535"/>
        <v>418.84490322580649</v>
      </c>
      <c r="P608" s="582">
        <f t="shared" si="535"/>
        <v>427.22180129032256</v>
      </c>
      <c r="Q608" s="582">
        <f t="shared" si="535"/>
        <v>435.76623731612904</v>
      </c>
      <c r="R608" s="582">
        <f t="shared" si="535"/>
        <v>444.48156206245164</v>
      </c>
      <c r="S608" s="582">
        <f t="shared" si="535"/>
        <v>453.37119330370069</v>
      </c>
      <c r="T608" s="582">
        <f t="shared" si="535"/>
        <v>462.4386171697746</v>
      </c>
      <c r="U608" s="582">
        <f t="shared" si="535"/>
        <v>471.68738951317005</v>
      </c>
      <c r="V608" s="582">
        <f t="shared" si="535"/>
        <v>481.12113730343356</v>
      </c>
      <c r="W608" s="582">
        <f t="shared" si="535"/>
        <v>490.74356004950221</v>
      </c>
      <c r="X608" s="582">
        <f t="shared" si="535"/>
        <v>500.55843125049216</v>
      </c>
      <c r="Y608" s="582">
        <f t="shared" si="535"/>
        <v>510.56959987550215</v>
      </c>
      <c r="Z608" s="582">
        <f t="shared" si="535"/>
        <v>520.78099187301211</v>
      </c>
      <c r="AA608" s="582"/>
      <c r="AB608" s="582"/>
      <c r="AC608" s="582"/>
      <c r="AD608" s="582"/>
      <c r="AE608" s="582"/>
      <c r="AF608" s="582"/>
      <c r="AG608" s="582"/>
      <c r="AH608" s="582"/>
      <c r="AI608" s="582"/>
      <c r="AJ608" s="582"/>
    </row>
    <row r="609" spans="1:36" s="299" customFormat="1" x14ac:dyDescent="0.25">
      <c r="A609" s="299" t="s">
        <v>696</v>
      </c>
      <c r="E609" s="299" t="s">
        <v>536</v>
      </c>
      <c r="H609" s="576" t="s">
        <v>167</v>
      </c>
      <c r="I609" s="577" t="str">
        <f t="shared" si="533"/>
        <v>VND/phôi</v>
      </c>
      <c r="K609" s="581"/>
      <c r="L609" s="581">
        <f>-IF($H$9="USD",L539/L517/$H$10*10^3,L539/L517/$H$10)</f>
        <v>374.4</v>
      </c>
      <c r="M609" s="581">
        <f t="shared" ref="M609:AJ609" si="536">-IF($H$9="USD",M539/M517/$H$10*10^3,M539/M517/$H$10)</f>
        <v>374.40000000000003</v>
      </c>
      <c r="N609" s="581">
        <f t="shared" si="536"/>
        <v>381.88799999999998</v>
      </c>
      <c r="O609" s="581">
        <f t="shared" si="536"/>
        <v>389.52575999999999</v>
      </c>
      <c r="P609" s="581">
        <f t="shared" si="536"/>
        <v>397.31627519999995</v>
      </c>
      <c r="Q609" s="581">
        <f t="shared" si="536"/>
        <v>405.26260070400002</v>
      </c>
      <c r="R609" s="581">
        <f t="shared" si="536"/>
        <v>413.36785271808003</v>
      </c>
      <c r="S609" s="581">
        <f t="shared" si="536"/>
        <v>421.63520977244161</v>
      </c>
      <c r="T609" s="581">
        <f t="shared" si="536"/>
        <v>430.06791396789032</v>
      </c>
      <c r="U609" s="581">
        <f t="shared" si="536"/>
        <v>438.66927224724816</v>
      </c>
      <c r="V609" s="581">
        <f t="shared" si="536"/>
        <v>447.44265769219317</v>
      </c>
      <c r="W609" s="581">
        <f t="shared" si="536"/>
        <v>456.39151084603702</v>
      </c>
      <c r="X609" s="581">
        <f t="shared" si="536"/>
        <v>465.51934106295772</v>
      </c>
      <c r="Y609" s="581">
        <f t="shared" si="536"/>
        <v>474.82972788421694</v>
      </c>
      <c r="Z609" s="581">
        <f t="shared" si="536"/>
        <v>484.32632244190125</v>
      </c>
      <c r="AA609" s="581"/>
      <c r="AB609" s="581"/>
      <c r="AC609" s="581"/>
      <c r="AD609" s="581"/>
      <c r="AE609" s="581"/>
      <c r="AF609" s="581"/>
      <c r="AG609" s="581"/>
      <c r="AH609" s="581"/>
      <c r="AI609" s="581"/>
      <c r="AJ609" s="581"/>
    </row>
    <row r="610" spans="1:36" s="299" customFormat="1" x14ac:dyDescent="0.25">
      <c r="A610" s="299" t="s">
        <v>696</v>
      </c>
      <c r="E610" s="299" t="s">
        <v>537</v>
      </c>
      <c r="H610" s="645" t="s">
        <v>203</v>
      </c>
      <c r="I610" s="646" t="str">
        <f t="shared" si="533"/>
        <v>VND/phôi</v>
      </c>
      <c r="K610" s="647"/>
      <c r="L610" s="647">
        <f>-IF($H$9="USD",L540/L517/$H$10*10^3,L540/L517/$H$10)</f>
        <v>28.180645161290336</v>
      </c>
      <c r="M610" s="647">
        <f t="shared" ref="M610:AJ610" si="537">-IF($H$9="USD",M540/M517/$H$10*10^3,M540/M517/$H$10)</f>
        <v>28.180645161290371</v>
      </c>
      <c r="N610" s="647">
        <f t="shared" si="537"/>
        <v>28.744258064516178</v>
      </c>
      <c r="O610" s="647">
        <f t="shared" si="537"/>
        <v>29.319143225806506</v>
      </c>
      <c r="P610" s="647">
        <f t="shared" si="537"/>
        <v>29.905526090322624</v>
      </c>
      <c r="Q610" s="647">
        <f t="shared" si="537"/>
        <v>30.503636612129036</v>
      </c>
      <c r="R610" s="647">
        <f t="shared" si="537"/>
        <v>31.113709344371639</v>
      </c>
      <c r="S610" s="647">
        <f t="shared" si="537"/>
        <v>31.735983531259077</v>
      </c>
      <c r="T610" s="647">
        <f t="shared" si="537"/>
        <v>32.370703201884282</v>
      </c>
      <c r="U610" s="647">
        <f t="shared" si="537"/>
        <v>33.018117265921916</v>
      </c>
      <c r="V610" s="647">
        <f t="shared" si="537"/>
        <v>33.678479611240391</v>
      </c>
      <c r="W610" s="647">
        <f t="shared" si="537"/>
        <v>34.352049203465171</v>
      </c>
      <c r="X610" s="647">
        <f t="shared" si="537"/>
        <v>35.039090187534455</v>
      </c>
      <c r="Y610" s="647">
        <f t="shared" si="537"/>
        <v>35.739871991285206</v>
      </c>
      <c r="Z610" s="647">
        <f t="shared" si="537"/>
        <v>36.454669431110879</v>
      </c>
      <c r="AA610" s="647"/>
      <c r="AB610" s="647"/>
      <c r="AC610" s="647"/>
      <c r="AD610" s="647"/>
      <c r="AE610" s="647"/>
      <c r="AF610" s="647"/>
      <c r="AG610" s="647"/>
      <c r="AH610" s="647"/>
      <c r="AI610" s="647"/>
      <c r="AJ610" s="647"/>
    </row>
    <row r="611" spans="1:36" x14ac:dyDescent="0.25">
      <c r="A611" t="s">
        <v>696</v>
      </c>
      <c r="E611" t="s">
        <v>177</v>
      </c>
      <c r="H611" s="574" t="s">
        <v>676</v>
      </c>
      <c r="I611" s="575" t="str">
        <f t="shared" si="533"/>
        <v>VND/phôi</v>
      </c>
      <c r="K611" s="583">
        <f>SUM(K612:K613)</f>
        <v>0</v>
      </c>
      <c r="L611" s="583">
        <f t="shared" ref="L611:AJ611" si="538">SUM(L612:L613)</f>
        <v>3.0630387096774192</v>
      </c>
      <c r="M611" s="583">
        <f t="shared" si="538"/>
        <v>3.0630387096774196</v>
      </c>
      <c r="N611" s="583">
        <f t="shared" si="538"/>
        <v>3.2161906451612912</v>
      </c>
      <c r="O611" s="583">
        <f t="shared" si="538"/>
        <v>3.377000177419355</v>
      </c>
      <c r="P611" s="583">
        <f t="shared" si="538"/>
        <v>3.5458501862903229</v>
      </c>
      <c r="Q611" s="583">
        <f t="shared" si="538"/>
        <v>3.7231426956048392</v>
      </c>
      <c r="R611" s="583">
        <f t="shared" si="538"/>
        <v>3.9092998303850814</v>
      </c>
      <c r="S611" s="583">
        <f t="shared" si="538"/>
        <v>4.1047648219043342</v>
      </c>
      <c r="T611" s="583">
        <f t="shared" si="538"/>
        <v>4.3100030629995523</v>
      </c>
      <c r="U611" s="583">
        <f t="shared" si="538"/>
        <v>4.525503216149529</v>
      </c>
      <c r="V611" s="583">
        <f t="shared" si="538"/>
        <v>4.7517783769570059</v>
      </c>
      <c r="W611" s="583">
        <f t="shared" si="538"/>
        <v>4.9893672958048558</v>
      </c>
      <c r="X611" s="583">
        <f t="shared" si="538"/>
        <v>5.2388356605950994</v>
      </c>
      <c r="Y611" s="583">
        <f t="shared" si="538"/>
        <v>5.5007774436248544</v>
      </c>
      <c r="Z611" s="583">
        <f t="shared" si="538"/>
        <v>5.7758163158060976</v>
      </c>
      <c r="AA611" s="583"/>
      <c r="AB611" s="583"/>
      <c r="AC611" s="583"/>
      <c r="AD611" s="583"/>
      <c r="AE611" s="583"/>
      <c r="AF611" s="583"/>
      <c r="AG611" s="583"/>
      <c r="AH611" s="583"/>
      <c r="AI611" s="583"/>
      <c r="AJ611" s="583"/>
    </row>
    <row r="612" spans="1:36" s="299" customFormat="1" x14ac:dyDescent="0.25">
      <c r="A612" s="299" t="s">
        <v>696</v>
      </c>
      <c r="H612" s="576" t="s">
        <v>673</v>
      </c>
      <c r="I612" s="577" t="str">
        <f t="shared" si="533"/>
        <v>VND/phôi</v>
      </c>
      <c r="K612" s="581"/>
      <c r="L612" s="581">
        <f>-IF($H$9="USD",L542/L517/$H$10*10^3,L542/L517/$H$10)</f>
        <v>3.0630387096774192</v>
      </c>
      <c r="M612" s="581">
        <f t="shared" ref="M612:AJ612" si="539">-IF($H$9="USD",M542/M517/$H$10*10^3,M542/M517/$H$10)</f>
        <v>3.0630387096774196</v>
      </c>
      <c r="N612" s="581">
        <f t="shared" si="539"/>
        <v>3.2161906451612912</v>
      </c>
      <c r="O612" s="581">
        <f t="shared" si="539"/>
        <v>3.377000177419355</v>
      </c>
      <c r="P612" s="581">
        <f t="shared" si="539"/>
        <v>3.5458501862903229</v>
      </c>
      <c r="Q612" s="581">
        <f t="shared" si="539"/>
        <v>3.7231426956048392</v>
      </c>
      <c r="R612" s="581">
        <f t="shared" si="539"/>
        <v>3.9092998303850814</v>
      </c>
      <c r="S612" s="581">
        <f t="shared" si="539"/>
        <v>4.1047648219043342</v>
      </c>
      <c r="T612" s="581">
        <f t="shared" si="539"/>
        <v>4.3100030629995523</v>
      </c>
      <c r="U612" s="581">
        <f t="shared" si="539"/>
        <v>4.525503216149529</v>
      </c>
      <c r="V612" s="581">
        <f t="shared" si="539"/>
        <v>4.7517783769570059</v>
      </c>
      <c r="W612" s="581">
        <f t="shared" si="539"/>
        <v>4.9893672958048558</v>
      </c>
      <c r="X612" s="581">
        <f t="shared" si="539"/>
        <v>5.2388356605950994</v>
      </c>
      <c r="Y612" s="581">
        <f t="shared" si="539"/>
        <v>5.5007774436248544</v>
      </c>
      <c r="Z612" s="581">
        <f t="shared" si="539"/>
        <v>5.7758163158060976</v>
      </c>
      <c r="AA612" s="581"/>
      <c r="AB612" s="581"/>
      <c r="AC612" s="581"/>
      <c r="AD612" s="581"/>
      <c r="AE612" s="581"/>
      <c r="AF612" s="581"/>
      <c r="AG612" s="581"/>
      <c r="AH612" s="581"/>
      <c r="AI612" s="581"/>
      <c r="AJ612" s="581"/>
    </row>
    <row r="613" spans="1:36" s="299" customFormat="1" x14ac:dyDescent="0.25">
      <c r="A613" s="299" t="s">
        <v>696</v>
      </c>
      <c r="H613" s="576" t="s">
        <v>674</v>
      </c>
      <c r="I613" s="577" t="str">
        <f t="shared" si="533"/>
        <v>VND/phôi</v>
      </c>
      <c r="K613" s="581"/>
      <c r="L613" s="581">
        <f>-IF($H$9="USD",L543/L517/$H$10*10^3,L543/L517/$H$10)</f>
        <v>0</v>
      </c>
      <c r="M613" s="581">
        <f t="shared" ref="M613:AJ613" si="540">-IF($H$9="USD",M543/M517/$H$10*10^3,M543/M517/$H$10)</f>
        <v>0</v>
      </c>
      <c r="N613" s="581">
        <f t="shared" si="540"/>
        <v>0</v>
      </c>
      <c r="O613" s="581">
        <f t="shared" si="540"/>
        <v>0</v>
      </c>
      <c r="P613" s="581">
        <f t="shared" si="540"/>
        <v>0</v>
      </c>
      <c r="Q613" s="581">
        <f t="shared" si="540"/>
        <v>0</v>
      </c>
      <c r="R613" s="581">
        <f t="shared" si="540"/>
        <v>0</v>
      </c>
      <c r="S613" s="581">
        <f t="shared" si="540"/>
        <v>0</v>
      </c>
      <c r="T613" s="581">
        <f t="shared" si="540"/>
        <v>0</v>
      </c>
      <c r="U613" s="581">
        <f t="shared" si="540"/>
        <v>0</v>
      </c>
      <c r="V613" s="581">
        <f t="shared" si="540"/>
        <v>0</v>
      </c>
      <c r="W613" s="581">
        <f t="shared" si="540"/>
        <v>0</v>
      </c>
      <c r="X613" s="581">
        <f t="shared" si="540"/>
        <v>0</v>
      </c>
      <c r="Y613" s="581">
        <f t="shared" si="540"/>
        <v>0</v>
      </c>
      <c r="Z613" s="581">
        <f t="shared" si="540"/>
        <v>0</v>
      </c>
      <c r="AA613" s="581"/>
      <c r="AB613" s="581"/>
      <c r="AC613" s="581"/>
      <c r="AD613" s="581"/>
      <c r="AE613" s="581"/>
      <c r="AF613" s="581"/>
      <c r="AG613" s="581"/>
      <c r="AH613" s="581"/>
      <c r="AI613" s="581"/>
      <c r="AJ613" s="581"/>
    </row>
    <row r="614" spans="1:36" x14ac:dyDescent="0.25">
      <c r="A614" t="s">
        <v>696</v>
      </c>
      <c r="H614" s="574" t="s">
        <v>180</v>
      </c>
      <c r="I614" s="575" t="str">
        <f t="shared" si="533"/>
        <v>VND/phôi</v>
      </c>
      <c r="K614" s="583">
        <f>SUM(K615:K617)</f>
        <v>0</v>
      </c>
      <c r="L614" s="583">
        <f>SUM(L615:L617)</f>
        <v>43.549625955674657</v>
      </c>
      <c r="M614" s="583">
        <f t="shared" ref="M614:AJ614" si="541">SUM(M615:M617)</f>
        <v>40.784819871052804</v>
      </c>
      <c r="N614" s="583">
        <f t="shared" si="541"/>
        <v>40.491966192438404</v>
      </c>
      <c r="O614" s="583">
        <f t="shared" si="541"/>
        <v>42.361754621532988</v>
      </c>
      <c r="P614" s="583">
        <f t="shared" si="541"/>
        <v>44.325032472082299</v>
      </c>
      <c r="Q614" s="583">
        <f t="shared" si="541"/>
        <v>46.386474215159069</v>
      </c>
      <c r="R614" s="583">
        <f t="shared" si="541"/>
        <v>48.550988045389694</v>
      </c>
      <c r="S614" s="583">
        <f t="shared" si="541"/>
        <v>50.823727567131826</v>
      </c>
      <c r="T614" s="583">
        <f t="shared" si="541"/>
        <v>53.210104064961087</v>
      </c>
      <c r="U614" s="583">
        <f t="shared" si="541"/>
        <v>55.715799387681798</v>
      </c>
      <c r="V614" s="583">
        <f t="shared" si="541"/>
        <v>58.346779476538543</v>
      </c>
      <c r="W614" s="583">
        <f t="shared" si="541"/>
        <v>61.109308569838142</v>
      </c>
      <c r="X614" s="583">
        <f t="shared" si="541"/>
        <v>61.582281648666068</v>
      </c>
      <c r="Y614" s="583">
        <f t="shared" si="541"/>
        <v>64.627969974028858</v>
      </c>
      <c r="Z614" s="583">
        <f t="shared" si="541"/>
        <v>67.825942715659806</v>
      </c>
      <c r="AA614" s="583"/>
      <c r="AB614" s="583"/>
      <c r="AC614" s="583"/>
      <c r="AD614" s="583"/>
      <c r="AE614" s="583"/>
      <c r="AF614" s="583"/>
      <c r="AG614" s="583"/>
      <c r="AH614" s="583"/>
      <c r="AI614" s="583"/>
      <c r="AJ614" s="583"/>
    </row>
    <row r="615" spans="1:36" s="299" customFormat="1" x14ac:dyDescent="0.25">
      <c r="A615" s="299" t="s">
        <v>696</v>
      </c>
      <c r="E615" s="299" t="s">
        <v>174</v>
      </c>
      <c r="H615" s="576" t="s">
        <v>73</v>
      </c>
      <c r="I615" s="577" t="str">
        <f t="shared" si="533"/>
        <v>VND/phôi</v>
      </c>
      <c r="K615" s="581"/>
      <c r="L615" s="581">
        <f t="shared" ref="L615:AJ615" si="542">-IF($H$9="USD",L545/L517/$H$10*10^3,L545/L517/$H$10)</f>
        <v>27.847782258064516</v>
      </c>
      <c r="M615" s="581">
        <f t="shared" si="542"/>
        <v>27.847782258064512</v>
      </c>
      <c r="N615" s="581">
        <f t="shared" si="542"/>
        <v>29.24017137096774</v>
      </c>
      <c r="O615" s="581">
        <f t="shared" si="542"/>
        <v>30.702179939516128</v>
      </c>
      <c r="P615" s="581">
        <f t="shared" si="542"/>
        <v>32.237288936491936</v>
      </c>
      <c r="Q615" s="581">
        <f t="shared" si="542"/>
        <v>33.849153383316526</v>
      </c>
      <c r="R615" s="581">
        <f t="shared" si="542"/>
        <v>35.541611052482359</v>
      </c>
      <c r="S615" s="581">
        <f t="shared" si="542"/>
        <v>37.318691605106473</v>
      </c>
      <c r="T615" s="581">
        <f t="shared" si="542"/>
        <v>39.1846261853618</v>
      </c>
      <c r="U615" s="581">
        <f t="shared" si="542"/>
        <v>41.143857494629891</v>
      </c>
      <c r="V615" s="581">
        <f t="shared" si="542"/>
        <v>43.201050369361383</v>
      </c>
      <c r="W615" s="581">
        <f t="shared" si="542"/>
        <v>45.36110288782946</v>
      </c>
      <c r="X615" s="581">
        <f t="shared" si="542"/>
        <v>47.629158032220928</v>
      </c>
      <c r="Y615" s="581">
        <f t="shared" si="542"/>
        <v>50.010615933831971</v>
      </c>
      <c r="Z615" s="581">
        <f t="shared" si="542"/>
        <v>52.511146730523578</v>
      </c>
      <c r="AA615" s="581"/>
      <c r="AB615" s="581"/>
      <c r="AC615" s="581"/>
      <c r="AD615" s="581"/>
      <c r="AE615" s="581"/>
      <c r="AF615" s="581"/>
      <c r="AG615" s="581"/>
      <c r="AH615" s="581"/>
      <c r="AI615" s="581"/>
      <c r="AJ615" s="581"/>
    </row>
    <row r="616" spans="1:36" s="299" customFormat="1" x14ac:dyDescent="0.25">
      <c r="A616" s="299" t="s">
        <v>696</v>
      </c>
      <c r="E616" s="299" t="s">
        <v>306</v>
      </c>
      <c r="H616" s="576" t="s">
        <v>192</v>
      </c>
      <c r="I616" s="577" t="str">
        <f t="shared" si="533"/>
        <v>VND/phôi</v>
      </c>
      <c r="K616" s="581"/>
      <c r="L616" s="581">
        <f t="shared" ref="L616:AJ616" si="543">-IF($H$9="USD",L546/L517/$H$10*10^3,L546/L517/$H$10)</f>
        <v>4.7222222222222214</v>
      </c>
      <c r="M616" s="581">
        <f t="shared" si="543"/>
        <v>4.7222222222222214</v>
      </c>
      <c r="N616" s="581">
        <f t="shared" si="543"/>
        <v>4.958333333333333</v>
      </c>
      <c r="O616" s="581">
        <f t="shared" si="543"/>
        <v>5.2062499999999998</v>
      </c>
      <c r="P616" s="581">
        <f t="shared" si="543"/>
        <v>5.4665624999999993</v>
      </c>
      <c r="Q616" s="581">
        <f t="shared" si="543"/>
        <v>5.7398906249999992</v>
      </c>
      <c r="R616" s="581">
        <f t="shared" si="543"/>
        <v>6.0268851562500005</v>
      </c>
      <c r="S616" s="581">
        <f t="shared" si="543"/>
        <v>6.3282294140624984</v>
      </c>
      <c r="T616" s="581">
        <f t="shared" si="543"/>
        <v>6.6446408847656251</v>
      </c>
      <c r="U616" s="581">
        <f t="shared" si="543"/>
        <v>6.976872929003906</v>
      </c>
      <c r="V616" s="581">
        <f t="shared" si="543"/>
        <v>7.3257165754541012</v>
      </c>
      <c r="W616" s="581">
        <f t="shared" si="543"/>
        <v>7.6920024042268071</v>
      </c>
      <c r="X616" s="581">
        <f t="shared" si="543"/>
        <v>8.0766025244381474</v>
      </c>
      <c r="Y616" s="581">
        <f t="shared" si="543"/>
        <v>8.4804326506600525</v>
      </c>
      <c r="Z616" s="581">
        <f t="shared" si="543"/>
        <v>8.9044542831930595</v>
      </c>
      <c r="AA616" s="581"/>
      <c r="AB616" s="581"/>
      <c r="AC616" s="581"/>
      <c r="AD616" s="581"/>
      <c r="AE616" s="581"/>
      <c r="AF616" s="581"/>
      <c r="AG616" s="581"/>
      <c r="AH616" s="581"/>
      <c r="AI616" s="581"/>
      <c r="AJ616" s="581"/>
    </row>
    <row r="617" spans="1:36" s="299" customFormat="1" x14ac:dyDescent="0.25">
      <c r="A617" s="299" t="s">
        <v>696</v>
      </c>
      <c r="E617" s="299" t="s">
        <v>172</v>
      </c>
      <c r="H617" s="576" t="s">
        <v>175</v>
      </c>
      <c r="I617" s="577" t="str">
        <f t="shared" si="533"/>
        <v>VND/phôi</v>
      </c>
      <c r="K617" s="581"/>
      <c r="L617" s="581">
        <f t="shared" ref="L617:AJ617" si="544">-IF($H$9="USD",L547/L517/$H$10*10^3,L547/L517/$H$10)</f>
        <v>10.979621475387912</v>
      </c>
      <c r="M617" s="581">
        <f t="shared" si="544"/>
        <v>8.2148153907660717</v>
      </c>
      <c r="N617" s="581">
        <f t="shared" si="544"/>
        <v>6.2934614881373347</v>
      </c>
      <c r="O617" s="581">
        <f t="shared" si="544"/>
        <v>6.4533246820168619</v>
      </c>
      <c r="P617" s="581">
        <f t="shared" si="544"/>
        <v>6.6211810355903635</v>
      </c>
      <c r="Q617" s="581">
        <f t="shared" si="544"/>
        <v>6.7974302068425425</v>
      </c>
      <c r="R617" s="581">
        <f t="shared" si="544"/>
        <v>6.9824918366573296</v>
      </c>
      <c r="S617" s="581">
        <f t="shared" si="544"/>
        <v>7.1768065479628564</v>
      </c>
      <c r="T617" s="581">
        <f t="shared" si="544"/>
        <v>7.3808369948336585</v>
      </c>
      <c r="U617" s="581">
        <f t="shared" si="544"/>
        <v>7.5950689640480018</v>
      </c>
      <c r="V617" s="581">
        <f t="shared" si="544"/>
        <v>7.8200125317230604</v>
      </c>
      <c r="W617" s="581">
        <f t="shared" si="544"/>
        <v>8.056203277781874</v>
      </c>
      <c r="X617" s="581">
        <f t="shared" si="544"/>
        <v>5.8765210920069988</v>
      </c>
      <c r="Y617" s="581">
        <f t="shared" si="544"/>
        <v>6.1369213895368393</v>
      </c>
      <c r="Z617" s="581">
        <f t="shared" si="544"/>
        <v>6.4103417019431745</v>
      </c>
      <c r="AA617" s="581"/>
      <c r="AB617" s="581"/>
      <c r="AC617" s="581"/>
      <c r="AD617" s="581"/>
      <c r="AE617" s="581"/>
      <c r="AF617" s="581"/>
      <c r="AG617" s="581"/>
      <c r="AH617" s="581"/>
      <c r="AI617" s="581"/>
      <c r="AJ617" s="581"/>
    </row>
    <row r="618" spans="1:36" x14ac:dyDescent="0.25">
      <c r="A618" t="s">
        <v>696</v>
      </c>
      <c r="H618" s="289"/>
      <c r="I618" s="290"/>
      <c r="K618" s="296"/>
      <c r="L618" s="297"/>
      <c r="M618" s="296"/>
      <c r="N618" s="296"/>
      <c r="O618" s="296"/>
      <c r="P618" s="296"/>
      <c r="Q618" s="296"/>
      <c r="R618" s="296"/>
      <c r="S618" s="296"/>
      <c r="T618" s="296"/>
      <c r="U618" s="296"/>
      <c r="V618" s="296"/>
      <c r="W618" s="296"/>
      <c r="X618" s="296"/>
      <c r="Y618" s="296"/>
      <c r="Z618" s="296"/>
      <c r="AA618" s="296"/>
      <c r="AB618" s="296"/>
      <c r="AC618" s="296"/>
      <c r="AD618" s="296"/>
      <c r="AE618" s="296"/>
      <c r="AF618" s="296"/>
      <c r="AG618" s="296"/>
      <c r="AH618" s="296"/>
      <c r="AI618" s="296"/>
      <c r="AJ618" s="296"/>
    </row>
    <row r="619" spans="1:36" s="16" customFormat="1" x14ac:dyDescent="0.25">
      <c r="A619" s="16" t="s">
        <v>696</v>
      </c>
      <c r="H619" s="291" t="s">
        <v>464</v>
      </c>
      <c r="I619" s="292" t="str">
        <f t="shared" si="533"/>
        <v>VND/phôi</v>
      </c>
      <c r="K619" s="298">
        <f>K597+K607</f>
        <v>0</v>
      </c>
      <c r="L619" s="298">
        <f t="shared" ref="L619:AJ619" si="545">L597+L607</f>
        <v>691.11384223105335</v>
      </c>
      <c r="M619" s="298">
        <f t="shared" si="545"/>
        <v>619.22888403088564</v>
      </c>
      <c r="N619" s="298">
        <f t="shared" si="545"/>
        <v>577.4784474012481</v>
      </c>
      <c r="O619" s="298">
        <f t="shared" si="545"/>
        <v>590.00834513566429</v>
      </c>
      <c r="P619" s="298">
        <f t="shared" si="545"/>
        <v>602.91835840196234</v>
      </c>
      <c r="Q619" s="298">
        <f t="shared" si="545"/>
        <v>616.22256538963995</v>
      </c>
      <c r="R619" s="298">
        <f t="shared" si="545"/>
        <v>629.93564964592724</v>
      </c>
      <c r="S619" s="298">
        <f t="shared" si="545"/>
        <v>644.07292837263924</v>
      </c>
      <c r="T619" s="298">
        <f t="shared" si="545"/>
        <v>658.6503820984492</v>
      </c>
      <c r="U619" s="298">
        <f t="shared" si="545"/>
        <v>673.6846857945676</v>
      </c>
      <c r="V619" s="298">
        <f t="shared" si="545"/>
        <v>689.19324150519014</v>
      </c>
      <c r="W619" s="298">
        <f t="shared" si="545"/>
        <v>705.19421256763587</v>
      </c>
      <c r="X619" s="298">
        <f t="shared" si="545"/>
        <v>658.58681530326919</v>
      </c>
      <c r="Y619" s="298">
        <f t="shared" si="545"/>
        <v>675.63033344708481</v>
      </c>
      <c r="Z619" s="298">
        <f t="shared" si="545"/>
        <v>693.22569243934072</v>
      </c>
      <c r="AA619" s="298"/>
      <c r="AB619" s="298"/>
      <c r="AC619" s="298"/>
      <c r="AD619" s="298"/>
      <c r="AE619" s="298"/>
      <c r="AF619" s="298"/>
      <c r="AG619" s="298"/>
      <c r="AH619" s="298"/>
      <c r="AI619" s="298"/>
      <c r="AJ619" s="298"/>
    </row>
    <row r="620" spans="1:36" x14ac:dyDescent="0.25">
      <c r="A620" t="s">
        <v>696</v>
      </c>
      <c r="H620" s="289"/>
      <c r="I620" s="290"/>
      <c r="K620" s="296"/>
      <c r="L620" s="296"/>
      <c r="M620" s="296"/>
      <c r="N620" s="296"/>
      <c r="O620" s="296"/>
      <c r="P620" s="296"/>
      <c r="Q620" s="296"/>
      <c r="R620" s="296"/>
      <c r="S620" s="296"/>
      <c r="T620" s="296"/>
      <c r="U620" s="296"/>
      <c r="V620" s="296"/>
      <c r="W620" s="296"/>
      <c r="X620" s="296"/>
      <c r="Y620" s="296"/>
      <c r="Z620" s="296"/>
      <c r="AA620" s="296"/>
      <c r="AB620" s="296"/>
      <c r="AC620" s="296"/>
      <c r="AD620" s="296"/>
      <c r="AE620" s="296"/>
      <c r="AF620" s="296"/>
      <c r="AG620" s="296"/>
      <c r="AH620" s="296"/>
      <c r="AI620" s="296"/>
      <c r="AJ620" s="296"/>
    </row>
    <row r="621" spans="1:36" x14ac:dyDescent="0.25">
      <c r="A621" t="s">
        <v>696</v>
      </c>
      <c r="E621" t="s">
        <v>172</v>
      </c>
      <c r="H621" s="593" t="s">
        <v>166</v>
      </c>
      <c r="I621" s="594" t="str">
        <f t="shared" si="533"/>
        <v>VND/phôi</v>
      </c>
      <c r="K621" s="604"/>
      <c r="L621" s="604">
        <f>-IF($H$9="USD",L551/L517/$H$10*10^3,L551/L517/$H$10)</f>
        <v>13.333333333333334</v>
      </c>
      <c r="M621" s="604">
        <f t="shared" ref="M621:AJ621" si="546">-IF($H$9="USD",M551/M517/$H$10*10^3,M551/M517/$H$10)</f>
        <v>13.333333333333332</v>
      </c>
      <c r="N621" s="604">
        <f t="shared" si="546"/>
        <v>13.999999999999998</v>
      </c>
      <c r="O621" s="604">
        <f t="shared" si="546"/>
        <v>14.700000000000001</v>
      </c>
      <c r="P621" s="604">
        <f t="shared" si="546"/>
        <v>15.435</v>
      </c>
      <c r="Q621" s="604">
        <f t="shared" si="546"/>
        <v>16.20675</v>
      </c>
      <c r="R621" s="604">
        <f t="shared" si="546"/>
        <v>17.017087500000002</v>
      </c>
      <c r="S621" s="604">
        <f t="shared" si="546"/>
        <v>17.867941875</v>
      </c>
      <c r="T621" s="604">
        <f t="shared" si="546"/>
        <v>18.761338968750003</v>
      </c>
      <c r="U621" s="604">
        <f t="shared" si="546"/>
        <v>19.699405917187502</v>
      </c>
      <c r="V621" s="604">
        <f t="shared" si="546"/>
        <v>20.684376213046878</v>
      </c>
      <c r="W621" s="604">
        <f t="shared" si="546"/>
        <v>21.718595023699219</v>
      </c>
      <c r="X621" s="604">
        <f t="shared" si="546"/>
        <v>22.804524774884179</v>
      </c>
      <c r="Y621" s="604">
        <f t="shared" si="546"/>
        <v>23.944751013628391</v>
      </c>
      <c r="Z621" s="604">
        <f t="shared" si="546"/>
        <v>25.141988564309816</v>
      </c>
      <c r="AA621" s="604"/>
      <c r="AB621" s="604"/>
      <c r="AC621" s="604"/>
      <c r="AD621" s="604"/>
      <c r="AE621" s="604"/>
      <c r="AF621" s="604"/>
      <c r="AG621" s="604"/>
      <c r="AH621" s="604"/>
      <c r="AI621" s="604"/>
      <c r="AJ621" s="604"/>
    </row>
    <row r="622" spans="1:36" x14ac:dyDescent="0.25">
      <c r="A622" t="s">
        <v>696</v>
      </c>
      <c r="E622" t="s">
        <v>171</v>
      </c>
      <c r="H622" s="574" t="s">
        <v>469</v>
      </c>
      <c r="I622" s="575" t="str">
        <f t="shared" si="533"/>
        <v>VND/phôi</v>
      </c>
      <c r="K622" s="584"/>
      <c r="L622" s="584">
        <f t="shared" ref="L622:AJ622" si="547">-IF($H$9="USD",L552/L517/$H$10*10^3,L552/L517/$H$10)</f>
        <v>0</v>
      </c>
      <c r="M622" s="584">
        <f t="shared" si="547"/>
        <v>0</v>
      </c>
      <c r="N622" s="584">
        <f t="shared" si="547"/>
        <v>0</v>
      </c>
      <c r="O622" s="584">
        <f t="shared" si="547"/>
        <v>0</v>
      </c>
      <c r="P622" s="584">
        <f t="shared" si="547"/>
        <v>0</v>
      </c>
      <c r="Q622" s="584">
        <f t="shared" si="547"/>
        <v>0</v>
      </c>
      <c r="R622" s="584">
        <f t="shared" si="547"/>
        <v>0</v>
      </c>
      <c r="S622" s="584">
        <f t="shared" si="547"/>
        <v>0</v>
      </c>
      <c r="T622" s="584">
        <f t="shared" si="547"/>
        <v>0</v>
      </c>
      <c r="U622" s="584">
        <f t="shared" si="547"/>
        <v>0</v>
      </c>
      <c r="V622" s="584">
        <f t="shared" si="547"/>
        <v>0</v>
      </c>
      <c r="W622" s="584">
        <f t="shared" si="547"/>
        <v>0</v>
      </c>
      <c r="X622" s="584">
        <f t="shared" si="547"/>
        <v>0</v>
      </c>
      <c r="Y622" s="584">
        <f t="shared" si="547"/>
        <v>0</v>
      </c>
      <c r="Z622" s="584">
        <f t="shared" si="547"/>
        <v>0</v>
      </c>
      <c r="AA622" s="584"/>
      <c r="AB622" s="584"/>
      <c r="AC622" s="584"/>
      <c r="AD622" s="584"/>
      <c r="AE622" s="584"/>
      <c r="AF622" s="584"/>
      <c r="AG622" s="584"/>
      <c r="AH622" s="584"/>
      <c r="AI622" s="584"/>
      <c r="AJ622" s="584"/>
    </row>
    <row r="623" spans="1:36" x14ac:dyDescent="0.25">
      <c r="A623" t="s">
        <v>696</v>
      </c>
      <c r="E623" t="s">
        <v>182</v>
      </c>
      <c r="H623" s="574" t="s">
        <v>468</v>
      </c>
      <c r="I623" s="575" t="str">
        <f t="shared" si="533"/>
        <v>VND/phôi</v>
      </c>
      <c r="K623" s="574"/>
      <c r="L623" s="584">
        <f t="shared" ref="L623:AJ623" si="548">-IF($H$9="USD",L553/L517/$H$10*10^3,L553/L517/$H$10)</f>
        <v>0</v>
      </c>
      <c r="M623" s="584">
        <f t="shared" si="548"/>
        <v>0</v>
      </c>
      <c r="N623" s="584">
        <f t="shared" si="548"/>
        <v>0</v>
      </c>
      <c r="O623" s="584">
        <f t="shared" si="548"/>
        <v>0</v>
      </c>
      <c r="P623" s="584">
        <f t="shared" si="548"/>
        <v>0</v>
      </c>
      <c r="Q623" s="584">
        <f t="shared" si="548"/>
        <v>0</v>
      </c>
      <c r="R623" s="584">
        <f t="shared" si="548"/>
        <v>0</v>
      </c>
      <c r="S623" s="584">
        <f t="shared" si="548"/>
        <v>0</v>
      </c>
      <c r="T623" s="584">
        <f t="shared" si="548"/>
        <v>0</v>
      </c>
      <c r="U623" s="584">
        <f t="shared" si="548"/>
        <v>0</v>
      </c>
      <c r="V623" s="584">
        <f t="shared" si="548"/>
        <v>0</v>
      </c>
      <c r="W623" s="584">
        <f t="shared" si="548"/>
        <v>0</v>
      </c>
      <c r="X623" s="584">
        <f t="shared" si="548"/>
        <v>0</v>
      </c>
      <c r="Y623" s="584">
        <f t="shared" si="548"/>
        <v>0</v>
      </c>
      <c r="Z623" s="584">
        <f t="shared" si="548"/>
        <v>0</v>
      </c>
      <c r="AA623" s="584"/>
      <c r="AB623" s="584"/>
      <c r="AC623" s="584"/>
      <c r="AD623" s="584"/>
      <c r="AE623" s="584"/>
      <c r="AF623" s="584"/>
      <c r="AG623" s="584"/>
      <c r="AH623" s="584"/>
      <c r="AI623" s="584"/>
      <c r="AJ623" s="584"/>
    </row>
    <row r="624" spans="1:36" x14ac:dyDescent="0.25">
      <c r="A624" t="s">
        <v>696</v>
      </c>
      <c r="E624" t="s">
        <v>182</v>
      </c>
      <c r="H624" s="574" t="s">
        <v>470</v>
      </c>
      <c r="I624" s="575" t="str">
        <f t="shared" si="533"/>
        <v>VND/phôi</v>
      </c>
      <c r="K624" s="574"/>
      <c r="L624" s="584">
        <f>-IF($H$9="USD",L554/L517/$H$10*10^3,L554/L517/$H$10)</f>
        <v>106.97182571808577</v>
      </c>
      <c r="M624" s="584">
        <f t="shared" ref="M624:AJ624" si="549">-IF($H$9="USD",M554/M517/$H$10*10^3,M554/M517/$H$10)</f>
        <v>73.367801471466493</v>
      </c>
      <c r="N624" s="584">
        <f t="shared" si="549"/>
        <v>49.080017572979045</v>
      </c>
      <c r="O624" s="584">
        <f t="shared" si="549"/>
        <v>46.643153073938215</v>
      </c>
      <c r="P624" s="584">
        <f t="shared" si="549"/>
        <v>44.035708059964541</v>
      </c>
      <c r="Q624" s="584">
        <f t="shared" si="549"/>
        <v>41.245741895012706</v>
      </c>
      <c r="R624" s="584">
        <f t="shared" si="549"/>
        <v>38.260478098514241</v>
      </c>
      <c r="S624" s="584">
        <f t="shared" si="549"/>
        <v>35.066245836260883</v>
      </c>
      <c r="T624" s="584">
        <f t="shared" si="549"/>
        <v>31.648417315649791</v>
      </c>
      <c r="U624" s="584">
        <f t="shared" si="549"/>
        <v>27.991340798595921</v>
      </c>
      <c r="V624" s="584">
        <f t="shared" si="549"/>
        <v>24.078268925348286</v>
      </c>
      <c r="W624" s="584">
        <f t="shared" si="549"/>
        <v>19.891282020973311</v>
      </c>
      <c r="X624" s="584">
        <f t="shared" si="549"/>
        <v>15.411206033292091</v>
      </c>
      <c r="Y624" s="584">
        <f t="shared" si="549"/>
        <v>10.617524726473185</v>
      </c>
      <c r="Z624" s="584">
        <f t="shared" si="549"/>
        <v>5.4882857281769573</v>
      </c>
      <c r="AA624" s="584"/>
      <c r="AB624" s="584"/>
      <c r="AC624" s="584"/>
      <c r="AD624" s="584"/>
      <c r="AE624" s="584"/>
      <c r="AF624" s="584"/>
      <c r="AG624" s="584"/>
      <c r="AH624" s="584"/>
      <c r="AI624" s="584"/>
      <c r="AJ624" s="584"/>
    </row>
    <row r="625" spans="1:36" x14ac:dyDescent="0.25">
      <c r="A625" t="s">
        <v>696</v>
      </c>
      <c r="H625" s="289"/>
      <c r="I625" s="290"/>
      <c r="K625" s="289"/>
      <c r="L625" s="289"/>
      <c r="M625" s="289"/>
      <c r="N625" s="289"/>
      <c r="O625" s="289"/>
      <c r="P625" s="289"/>
      <c r="Q625" s="289"/>
      <c r="R625" s="289"/>
      <c r="S625" s="289"/>
      <c r="T625" s="289"/>
      <c r="U625" s="289"/>
      <c r="V625" s="289"/>
      <c r="W625" s="289"/>
      <c r="X625" s="289"/>
      <c r="Y625" s="289"/>
      <c r="Z625" s="289"/>
      <c r="AA625" s="289"/>
      <c r="AB625" s="289"/>
      <c r="AC625" s="289"/>
      <c r="AD625" s="289"/>
      <c r="AE625" s="289"/>
      <c r="AF625" s="289"/>
      <c r="AG625" s="289"/>
      <c r="AH625" s="289"/>
      <c r="AI625" s="289"/>
      <c r="AJ625" s="289"/>
    </row>
    <row r="626" spans="1:36" s="16" customFormat="1" x14ac:dyDescent="0.25">
      <c r="A626" s="16" t="s">
        <v>696</v>
      </c>
      <c r="H626" s="291" t="s">
        <v>487</v>
      </c>
      <c r="I626" s="292" t="str">
        <f t="shared" si="533"/>
        <v>VND/phôi</v>
      </c>
      <c r="K626" s="298">
        <f>K619+SUM(K621:K624)</f>
        <v>0</v>
      </c>
      <c r="L626" s="298">
        <f t="shared" ref="L626:AJ626" si="550">L619+SUM(L621:L624)</f>
        <v>811.41900128247244</v>
      </c>
      <c r="M626" s="298">
        <f t="shared" si="550"/>
        <v>705.93001883568547</v>
      </c>
      <c r="N626" s="298">
        <f t="shared" si="550"/>
        <v>640.55846497422715</v>
      </c>
      <c r="O626" s="298">
        <f t="shared" si="550"/>
        <v>651.35149820960248</v>
      </c>
      <c r="P626" s="298">
        <f t="shared" si="550"/>
        <v>662.38906646192686</v>
      </c>
      <c r="Q626" s="298">
        <f t="shared" si="550"/>
        <v>673.67505728465267</v>
      </c>
      <c r="R626" s="298">
        <f t="shared" si="550"/>
        <v>685.21321524444147</v>
      </c>
      <c r="S626" s="298">
        <f t="shared" si="550"/>
        <v>697.00711608390009</v>
      </c>
      <c r="T626" s="298">
        <f t="shared" si="550"/>
        <v>709.060138382849</v>
      </c>
      <c r="U626" s="298">
        <f t="shared" si="550"/>
        <v>721.37543251035106</v>
      </c>
      <c r="V626" s="298">
        <f t="shared" si="550"/>
        <v>733.95588664358536</v>
      </c>
      <c r="W626" s="298">
        <f t="shared" si="550"/>
        <v>746.80408961230842</v>
      </c>
      <c r="X626" s="298">
        <f t="shared" si="550"/>
        <v>696.80254611144551</v>
      </c>
      <c r="Y626" s="298">
        <f t="shared" si="550"/>
        <v>710.19260918718635</v>
      </c>
      <c r="Z626" s="298">
        <f t="shared" si="550"/>
        <v>723.85596673182749</v>
      </c>
      <c r="AA626" s="298"/>
      <c r="AB626" s="298"/>
      <c r="AC626" s="298"/>
      <c r="AD626" s="298"/>
      <c r="AE626" s="298"/>
      <c r="AF626" s="298"/>
      <c r="AG626" s="298"/>
      <c r="AH626" s="298"/>
      <c r="AI626" s="298"/>
      <c r="AJ626" s="298"/>
    </row>
    <row r="627" spans="1:36" x14ac:dyDescent="0.25">
      <c r="A627" t="s">
        <v>696</v>
      </c>
    </row>
    <row r="628" spans="1:36" x14ac:dyDescent="0.25">
      <c r="A628" t="s">
        <v>696</v>
      </c>
      <c r="H628" s="593" t="s">
        <v>361</v>
      </c>
      <c r="I628" s="594" t="str">
        <f t="shared" si="533"/>
        <v>VND/phôi</v>
      </c>
      <c r="K628" s="593"/>
      <c r="L628" s="599">
        <f>INDEX('Cover Page'!$H$12:$AJ$12,MATCH($A628,'Cover Page'!$H$5:$AJ$5,0))</f>
        <v>6.6666666666666666E-2</v>
      </c>
      <c r="M628" s="599">
        <f>INDEX('Cover Page'!$H$12:$AJ$12,MATCH($A628,'Cover Page'!$H$5:$AJ$5,0))</f>
        <v>6.6666666666666666E-2</v>
      </c>
      <c r="N628" s="599">
        <f>INDEX('Cover Page'!$H$12:$AJ$12,MATCH($A628,'Cover Page'!$H$5:$AJ$5,0))</f>
        <v>6.6666666666666666E-2</v>
      </c>
      <c r="O628" s="599">
        <f>INDEX('Cover Page'!$H$12:$AJ$12,MATCH($A628,'Cover Page'!$H$5:$AJ$5,0))</f>
        <v>6.6666666666666666E-2</v>
      </c>
      <c r="P628" s="599">
        <f>INDEX('Cover Page'!$H$12:$AJ$12,MATCH($A628,'Cover Page'!$H$5:$AJ$5,0))</f>
        <v>6.6666666666666666E-2</v>
      </c>
      <c r="Q628" s="599">
        <f>INDEX('Cover Page'!$H$12:$AJ$12,MATCH($A628,'Cover Page'!$H$5:$AJ$5,0))</f>
        <v>6.6666666666666666E-2</v>
      </c>
      <c r="R628" s="599">
        <f>INDEX('Cover Page'!$H$12:$AJ$12,MATCH($A628,'Cover Page'!$H$5:$AJ$5,0))</f>
        <v>6.6666666666666666E-2</v>
      </c>
      <c r="S628" s="599">
        <f>INDEX('Cover Page'!$H$12:$AJ$12,MATCH($A628,'Cover Page'!$H$5:$AJ$5,0))</f>
        <v>6.6666666666666666E-2</v>
      </c>
      <c r="T628" s="599">
        <f>INDEX('Cover Page'!$H$12:$AJ$12,MATCH($A628,'Cover Page'!$H$5:$AJ$5,0))</f>
        <v>6.6666666666666666E-2</v>
      </c>
      <c r="U628" s="599">
        <f>INDEX('Cover Page'!$H$12:$AJ$12,MATCH($A628,'Cover Page'!$H$5:$AJ$5,0))</f>
        <v>6.6666666666666666E-2</v>
      </c>
      <c r="V628" s="599">
        <f>INDEX('Cover Page'!$H$12:$AJ$12,MATCH($A628,'Cover Page'!$H$5:$AJ$5,0))</f>
        <v>6.6666666666666666E-2</v>
      </c>
      <c r="W628" s="599">
        <f>INDEX('Cover Page'!$H$12:$AJ$12,MATCH($A628,'Cover Page'!$H$5:$AJ$5,0))</f>
        <v>6.6666666666666666E-2</v>
      </c>
      <c r="X628" s="599">
        <f>INDEX('Cover Page'!$H$12:$AJ$12,MATCH($A628,'Cover Page'!$H$5:$AJ$5,0))</f>
        <v>6.6666666666666666E-2</v>
      </c>
      <c r="Y628" s="599">
        <f>INDEX('Cover Page'!$H$12:$AJ$12,MATCH($A628,'Cover Page'!$H$5:$AJ$5,0))</f>
        <v>6.6666666666666666E-2</v>
      </c>
      <c r="Z628" s="599">
        <f>INDEX('Cover Page'!$H$12:$AJ$12,MATCH($A628,'Cover Page'!$H$5:$AJ$5,0))</f>
        <v>6.6666666666666666E-2</v>
      </c>
      <c r="AA628" s="599"/>
      <c r="AB628" s="599"/>
      <c r="AC628" s="599"/>
      <c r="AD628" s="599"/>
      <c r="AE628" s="599"/>
      <c r="AF628" s="599"/>
      <c r="AG628" s="599"/>
      <c r="AH628" s="599"/>
      <c r="AI628" s="599"/>
      <c r="AJ628" s="599"/>
    </row>
    <row r="629" spans="1:36" s="1" customFormat="1" x14ac:dyDescent="0.25">
      <c r="A629" s="1" t="s">
        <v>696</v>
      </c>
      <c r="H629" s="595" t="s">
        <v>490</v>
      </c>
      <c r="I629" s="596" t="str">
        <f t="shared" si="533"/>
        <v>VND/phôi</v>
      </c>
      <c r="K629" s="595"/>
      <c r="L629" s="600">
        <f>L626*(1+L628)</f>
        <v>865.51360136797064</v>
      </c>
      <c r="M629" s="600">
        <f t="shared" ref="M629:AJ629" si="551">M626*(1+M628)</f>
        <v>752.99202009139788</v>
      </c>
      <c r="N629" s="600">
        <f t="shared" si="551"/>
        <v>683.26236263917565</v>
      </c>
      <c r="O629" s="600">
        <f t="shared" si="551"/>
        <v>694.77493142357594</v>
      </c>
      <c r="P629" s="600">
        <f t="shared" si="551"/>
        <v>706.54833755938864</v>
      </c>
      <c r="Q629" s="600">
        <f t="shared" si="551"/>
        <v>718.58672777029619</v>
      </c>
      <c r="R629" s="600">
        <f t="shared" si="551"/>
        <v>730.89409626073757</v>
      </c>
      <c r="S629" s="600">
        <f t="shared" si="551"/>
        <v>743.47425715616009</v>
      </c>
      <c r="T629" s="600">
        <f t="shared" si="551"/>
        <v>756.33081427503896</v>
      </c>
      <c r="U629" s="600">
        <f t="shared" si="551"/>
        <v>769.46712801104115</v>
      </c>
      <c r="V629" s="600">
        <f t="shared" si="551"/>
        <v>782.88627908649107</v>
      </c>
      <c r="W629" s="600">
        <f t="shared" si="551"/>
        <v>796.59102891979569</v>
      </c>
      <c r="X629" s="600">
        <f t="shared" si="551"/>
        <v>743.25604918554188</v>
      </c>
      <c r="Y629" s="600">
        <f t="shared" si="551"/>
        <v>757.53878313299879</v>
      </c>
      <c r="Z629" s="600">
        <f t="shared" si="551"/>
        <v>772.11303118061596</v>
      </c>
      <c r="AA629" s="600"/>
      <c r="AB629" s="600"/>
      <c r="AC629" s="600"/>
      <c r="AD629" s="600"/>
      <c r="AE629" s="600"/>
      <c r="AF629" s="600"/>
      <c r="AG629" s="600"/>
      <c r="AH629" s="600"/>
      <c r="AI629" s="600"/>
      <c r="AJ629" s="600"/>
    </row>
    <row r="630" spans="1:36" x14ac:dyDescent="0.25">
      <c r="A630" t="s">
        <v>696</v>
      </c>
      <c r="H630" s="574" t="s">
        <v>292</v>
      </c>
      <c r="I630" s="575" t="str">
        <f t="shared" si="533"/>
        <v>VND/phôi</v>
      </c>
      <c r="K630" s="574"/>
      <c r="L630" s="601">
        <f t="shared" ref="L630:AJ630" si="552">Tax_rate</f>
        <v>0.2</v>
      </c>
      <c r="M630" s="601">
        <f t="shared" si="552"/>
        <v>0.2</v>
      </c>
      <c r="N630" s="601">
        <f t="shared" si="552"/>
        <v>0.2</v>
      </c>
      <c r="O630" s="601">
        <f t="shared" si="552"/>
        <v>0.2</v>
      </c>
      <c r="P630" s="601">
        <f t="shared" si="552"/>
        <v>0.2</v>
      </c>
      <c r="Q630" s="601">
        <f t="shared" si="552"/>
        <v>0.2</v>
      </c>
      <c r="R630" s="601">
        <f t="shared" si="552"/>
        <v>0.2</v>
      </c>
      <c r="S630" s="601">
        <f t="shared" si="552"/>
        <v>0.2</v>
      </c>
      <c r="T630" s="601">
        <f t="shared" si="552"/>
        <v>0.2</v>
      </c>
      <c r="U630" s="601">
        <f t="shared" si="552"/>
        <v>0.2</v>
      </c>
      <c r="V630" s="601">
        <f t="shared" si="552"/>
        <v>0.2</v>
      </c>
      <c r="W630" s="601">
        <f t="shared" si="552"/>
        <v>0.2</v>
      </c>
      <c r="X630" s="601">
        <f t="shared" si="552"/>
        <v>0.2</v>
      </c>
      <c r="Y630" s="601">
        <f t="shared" si="552"/>
        <v>0.2</v>
      </c>
      <c r="Z630" s="601">
        <f t="shared" si="552"/>
        <v>0.2</v>
      </c>
      <c r="AA630" s="601"/>
      <c r="AB630" s="601"/>
      <c r="AC630" s="601"/>
      <c r="AD630" s="601"/>
      <c r="AE630" s="601"/>
      <c r="AF630" s="601"/>
      <c r="AG630" s="601"/>
      <c r="AH630" s="601"/>
      <c r="AI630" s="601"/>
      <c r="AJ630" s="601"/>
    </row>
    <row r="631" spans="1:36" s="1" customFormat="1" x14ac:dyDescent="0.25">
      <c r="A631" s="1" t="s">
        <v>696</v>
      </c>
      <c r="H631" s="595" t="s">
        <v>491</v>
      </c>
      <c r="I631" s="596" t="str">
        <f t="shared" si="533"/>
        <v>VND/phôi</v>
      </c>
      <c r="K631" s="595"/>
      <c r="L631" s="600">
        <f>(L629-L626)*(1-L630)</f>
        <v>43.275680068398565</v>
      </c>
      <c r="M631" s="600">
        <f t="shared" ref="M631:AJ631" si="553">(M629-M626)*(1-M630)</f>
        <v>37.649601004569924</v>
      </c>
      <c r="N631" s="600">
        <f t="shared" si="553"/>
        <v>34.163118131958804</v>
      </c>
      <c r="O631" s="600">
        <f t="shared" si="553"/>
        <v>34.738746571178766</v>
      </c>
      <c r="P631" s="600">
        <f t="shared" si="553"/>
        <v>35.327416877969426</v>
      </c>
      <c r="Q631" s="600">
        <f t="shared" si="553"/>
        <v>35.92933638851482</v>
      </c>
      <c r="R631" s="600">
        <f t="shared" si="553"/>
        <v>36.54470481303688</v>
      </c>
      <c r="S631" s="600">
        <f t="shared" si="553"/>
        <v>37.173712857808006</v>
      </c>
      <c r="T631" s="600">
        <f t="shared" si="553"/>
        <v>37.816540713751969</v>
      </c>
      <c r="U631" s="600">
        <f t="shared" si="553"/>
        <v>38.473356400552078</v>
      </c>
      <c r="V631" s="600">
        <f t="shared" si="553"/>
        <v>39.144313954324574</v>
      </c>
      <c r="W631" s="600">
        <f t="shared" si="553"/>
        <v>39.829551445989821</v>
      </c>
      <c r="X631" s="600">
        <f t="shared" si="553"/>
        <v>37.162802459277103</v>
      </c>
      <c r="Y631" s="600">
        <f t="shared" si="553"/>
        <v>37.876939156649954</v>
      </c>
      <c r="Z631" s="600">
        <f t="shared" si="553"/>
        <v>38.605651559030775</v>
      </c>
      <c r="AA631" s="600"/>
      <c r="AB631" s="600"/>
      <c r="AC631" s="600"/>
      <c r="AD631" s="600"/>
      <c r="AE631" s="600"/>
      <c r="AF631" s="600"/>
      <c r="AG631" s="600"/>
      <c r="AH631" s="600"/>
      <c r="AI631" s="600"/>
      <c r="AJ631" s="600"/>
    </row>
    <row r="632" spans="1:36" s="146" customFormat="1" x14ac:dyDescent="0.25">
      <c r="A632" s="146" t="s">
        <v>696</v>
      </c>
      <c r="H632" s="597" t="s">
        <v>492</v>
      </c>
      <c r="I632" s="598"/>
      <c r="K632" s="597"/>
      <c r="L632" s="602">
        <f>IFERROR(L631/L629,0)</f>
        <v>5.0000000000000037E-2</v>
      </c>
      <c r="M632" s="602">
        <f>IFERROR(M631/M629,0)</f>
        <v>5.0000000000000037E-2</v>
      </c>
      <c r="N632" s="602">
        <f t="shared" ref="N632:AJ632" si="554">IFERROR(N631/N629,0)</f>
        <v>5.0000000000000031E-2</v>
      </c>
      <c r="O632" s="602">
        <f t="shared" si="554"/>
        <v>4.9999999999999954E-2</v>
      </c>
      <c r="P632" s="602">
        <f t="shared" si="554"/>
        <v>4.9999999999999989E-2</v>
      </c>
      <c r="Q632" s="602">
        <f t="shared" si="554"/>
        <v>5.0000000000000017E-2</v>
      </c>
      <c r="R632" s="602">
        <f t="shared" si="554"/>
        <v>0.05</v>
      </c>
      <c r="S632" s="602">
        <f t="shared" si="554"/>
        <v>0.05</v>
      </c>
      <c r="T632" s="602">
        <f t="shared" si="554"/>
        <v>5.0000000000000031E-2</v>
      </c>
      <c r="U632" s="602">
        <f t="shared" si="554"/>
        <v>5.0000000000000024E-2</v>
      </c>
      <c r="V632" s="602">
        <f t="shared" si="554"/>
        <v>5.0000000000000024E-2</v>
      </c>
      <c r="W632" s="602">
        <f t="shared" si="554"/>
        <v>5.0000000000000044E-2</v>
      </c>
      <c r="X632" s="602">
        <f t="shared" si="554"/>
        <v>5.000000000000001E-2</v>
      </c>
      <c r="Y632" s="602">
        <f t="shared" si="554"/>
        <v>5.0000000000000017E-2</v>
      </c>
      <c r="Z632" s="602">
        <f t="shared" si="554"/>
        <v>4.9999999999999968E-2</v>
      </c>
      <c r="AA632" s="602"/>
      <c r="AB632" s="602"/>
      <c r="AC632" s="602"/>
      <c r="AD632" s="602"/>
      <c r="AE632" s="602"/>
      <c r="AF632" s="602"/>
      <c r="AG632" s="602"/>
      <c r="AH632" s="602"/>
      <c r="AI632" s="602"/>
      <c r="AJ632" s="602"/>
    </row>
    <row r="633" spans="1:36" x14ac:dyDescent="0.25">
      <c r="A633" t="s">
        <v>696</v>
      </c>
      <c r="L633" s="64"/>
    </row>
    <row r="634" spans="1:36" x14ac:dyDescent="0.25">
      <c r="A634" t="s">
        <v>696</v>
      </c>
      <c r="H634" s="1" t="s">
        <v>493</v>
      </c>
    </row>
    <row r="635" spans="1:36" x14ac:dyDescent="0.25">
      <c r="A635" t="s">
        <v>696</v>
      </c>
      <c r="H635" t="s">
        <v>493</v>
      </c>
      <c r="I635" s="65" t="s">
        <v>475</v>
      </c>
      <c r="K635" s="15"/>
      <c r="L635" s="15">
        <f t="shared" ref="L635:AJ635" si="555">L636*PHOI_KG*10^3/10^6</f>
        <v>43.333333333333336</v>
      </c>
      <c r="M635" s="15">
        <f t="shared" si="555"/>
        <v>44.2</v>
      </c>
      <c r="N635" s="15">
        <f t="shared" si="555"/>
        <v>45.084000000000003</v>
      </c>
      <c r="O635" s="15">
        <f t="shared" si="555"/>
        <v>45.985680000000002</v>
      </c>
      <c r="P635" s="15">
        <f t="shared" si="555"/>
        <v>46.905393600000004</v>
      </c>
      <c r="Q635" s="15">
        <f t="shared" si="555"/>
        <v>47.843501472</v>
      </c>
      <c r="R635" s="15">
        <f t="shared" si="555"/>
        <v>48.800371501440011</v>
      </c>
      <c r="S635" s="15">
        <f t="shared" si="555"/>
        <v>49.776378931468798</v>
      </c>
      <c r="T635" s="15">
        <f t="shared" si="555"/>
        <v>50.771906510098177</v>
      </c>
      <c r="U635" s="15">
        <f t="shared" si="555"/>
        <v>51.787344640300141</v>
      </c>
      <c r="V635" s="15">
        <f t="shared" si="555"/>
        <v>52.823091533106144</v>
      </c>
      <c r="W635" s="15">
        <f t="shared" si="555"/>
        <v>53.87955336376826</v>
      </c>
      <c r="X635" s="15">
        <f t="shared" si="555"/>
        <v>54.957144431043631</v>
      </c>
      <c r="Y635" s="15">
        <f t="shared" si="555"/>
        <v>56.056287319664499</v>
      </c>
      <c r="Z635" s="15">
        <f t="shared" si="555"/>
        <v>57.177413066057795</v>
      </c>
      <c r="AA635" s="15"/>
      <c r="AB635" s="15"/>
      <c r="AC635" s="15"/>
      <c r="AD635" s="15"/>
      <c r="AE635" s="15"/>
      <c r="AF635" s="15"/>
      <c r="AG635" s="15"/>
      <c r="AH635" s="15"/>
      <c r="AI635" s="15"/>
      <c r="AJ635" s="15"/>
    </row>
    <row r="636" spans="1:36" x14ac:dyDescent="0.25">
      <c r="A636" t="s">
        <v>696</v>
      </c>
      <c r="F636" t="s">
        <v>570</v>
      </c>
      <c r="H636" t="s">
        <v>493</v>
      </c>
      <c r="I636" s="65" t="s">
        <v>368</v>
      </c>
      <c r="K636" s="27"/>
      <c r="L636" s="27">
        <f>INDEX('Cover Page'!$H$14:$AJ$14,MATCH($A636,'Cover Page'!$H$5:$AJ$5,0))*POWER(1+INDEX('Cover Page'!$H$17:$AJ$17,MATCH($A636,'Cover Page'!$H$5:$AJ$5,0)),L$12+1)</f>
        <v>650</v>
      </c>
      <c r="M636" s="27">
        <f>INDEX('Cover Page'!$H$14:$AJ$14,MATCH($A636,'Cover Page'!$H$5:$AJ$5,0))*POWER(1+INDEX('Cover Page'!$H$17:$AJ$17,MATCH($A636,'Cover Page'!$H$5:$AJ$5,0)),M$12+1)</f>
        <v>663</v>
      </c>
      <c r="N636" s="27">
        <f>INDEX('Cover Page'!$H$14:$AJ$14,MATCH($A636,'Cover Page'!$H$5:$AJ$5,0))*POWER(1+INDEX('Cover Page'!$H$17:$AJ$17,MATCH($A636,'Cover Page'!$H$5:$AJ$5,0)),N$12+1)</f>
        <v>676.26</v>
      </c>
      <c r="O636" s="27">
        <f>INDEX('Cover Page'!$H$14:$AJ$14,MATCH($A636,'Cover Page'!$H$5:$AJ$5,0))*POWER(1+INDEX('Cover Page'!$H$17:$AJ$17,MATCH($A636,'Cover Page'!$H$5:$AJ$5,0)),O$12+1)</f>
        <v>689.78519999999992</v>
      </c>
      <c r="P636" s="27">
        <f>INDEX('Cover Page'!$H$14:$AJ$14,MATCH($A636,'Cover Page'!$H$5:$AJ$5,0))*POWER(1+INDEX('Cover Page'!$H$17:$AJ$17,MATCH($A636,'Cover Page'!$H$5:$AJ$5,0)),P$12+1)</f>
        <v>703.58090400000003</v>
      </c>
      <c r="Q636" s="27">
        <f>INDEX('Cover Page'!$H$14:$AJ$14,MATCH($A636,'Cover Page'!$H$5:$AJ$5,0))*POWER(1+INDEX('Cover Page'!$H$17:$AJ$17,MATCH($A636,'Cover Page'!$H$5:$AJ$5,0)),Q$12+1)</f>
        <v>717.65252208000004</v>
      </c>
      <c r="R636" s="27">
        <f>INDEX('Cover Page'!$H$14:$AJ$14,MATCH($A636,'Cover Page'!$H$5:$AJ$5,0))*POWER(1+INDEX('Cover Page'!$H$17:$AJ$17,MATCH($A636,'Cover Page'!$H$5:$AJ$5,0)),R$12+1)</f>
        <v>732.00557252160002</v>
      </c>
      <c r="S636" s="27">
        <f>INDEX('Cover Page'!$H$14:$AJ$14,MATCH($A636,'Cover Page'!$H$5:$AJ$5,0))*POWER(1+INDEX('Cover Page'!$H$17:$AJ$17,MATCH($A636,'Cover Page'!$H$5:$AJ$5,0)),S$12+1)</f>
        <v>746.64568397203186</v>
      </c>
      <c r="T636" s="27">
        <f>INDEX('Cover Page'!$H$14:$AJ$14,MATCH($A636,'Cover Page'!$H$5:$AJ$5,0))*POWER(1+INDEX('Cover Page'!$H$17:$AJ$17,MATCH($A636,'Cover Page'!$H$5:$AJ$5,0)),T$12+1)</f>
        <v>761.57859765147259</v>
      </c>
      <c r="U636" s="27">
        <f>INDEX('Cover Page'!$H$14:$AJ$14,MATCH($A636,'Cover Page'!$H$5:$AJ$5,0))*POWER(1+INDEX('Cover Page'!$H$17:$AJ$17,MATCH($A636,'Cover Page'!$H$5:$AJ$5,0)),U$12+1)</f>
        <v>776.81016960450199</v>
      </c>
      <c r="V636" s="27">
        <f>INDEX('Cover Page'!$H$14:$AJ$14,MATCH($A636,'Cover Page'!$H$5:$AJ$5,0))*POWER(1+INDEX('Cover Page'!$H$17:$AJ$17,MATCH($A636,'Cover Page'!$H$5:$AJ$5,0)),V$12+1)</f>
        <v>792.34637299659209</v>
      </c>
      <c r="W636" s="27">
        <f>INDEX('Cover Page'!$H$14:$AJ$14,MATCH($A636,'Cover Page'!$H$5:$AJ$5,0))*POWER(1+INDEX('Cover Page'!$H$17:$AJ$17,MATCH($A636,'Cover Page'!$H$5:$AJ$5,0)),W$12+1)</f>
        <v>808.19330045652384</v>
      </c>
      <c r="X636" s="27">
        <f>INDEX('Cover Page'!$H$14:$AJ$14,MATCH($A636,'Cover Page'!$H$5:$AJ$5,0))*POWER(1+INDEX('Cover Page'!$H$17:$AJ$17,MATCH($A636,'Cover Page'!$H$5:$AJ$5,0)),X$12+1)</f>
        <v>824.35716646565447</v>
      </c>
      <c r="Y636" s="27">
        <f>INDEX('Cover Page'!$H$14:$AJ$14,MATCH($A636,'Cover Page'!$H$5:$AJ$5,0))*POWER(1+INDEX('Cover Page'!$H$17:$AJ$17,MATCH($A636,'Cover Page'!$H$5:$AJ$5,0)),Y$12+1)</f>
        <v>840.84430979496744</v>
      </c>
      <c r="Z636" s="27">
        <f>INDEX('Cover Page'!$H$14:$AJ$14,MATCH($A636,'Cover Page'!$H$5:$AJ$5,0))*POWER(1+INDEX('Cover Page'!$H$17:$AJ$17,MATCH($A636,'Cover Page'!$H$5:$AJ$5,0)),Z$12+1)</f>
        <v>857.66119599086687</v>
      </c>
      <c r="AA636" s="27"/>
      <c r="AB636" s="27"/>
      <c r="AC636" s="27"/>
      <c r="AD636" s="27"/>
      <c r="AE636" s="27"/>
      <c r="AF636" s="27"/>
      <c r="AG636" s="27"/>
      <c r="AH636" s="27"/>
      <c r="AI636" s="27"/>
      <c r="AJ636" s="27"/>
    </row>
    <row r="637" spans="1:36" x14ac:dyDescent="0.25">
      <c r="A637" t="s">
        <v>696</v>
      </c>
      <c r="H637" t="s">
        <v>493</v>
      </c>
      <c r="I637" s="65" t="s">
        <v>369</v>
      </c>
      <c r="K637" s="15"/>
      <c r="L637" s="15">
        <f t="shared" ref="L637:AJ637" si="556">L635/EXR*10^6</f>
        <v>1666.6666666666667</v>
      </c>
      <c r="M637" s="15">
        <f t="shared" si="556"/>
        <v>1700.0000000000002</v>
      </c>
      <c r="N637" s="15">
        <f t="shared" si="556"/>
        <v>1734</v>
      </c>
      <c r="O637" s="15">
        <f t="shared" si="556"/>
        <v>1768.68</v>
      </c>
      <c r="P637" s="15">
        <f t="shared" si="556"/>
        <v>1804.0536000000002</v>
      </c>
      <c r="Q637" s="15">
        <f t="shared" si="556"/>
        <v>1840.1346719999999</v>
      </c>
      <c r="R637" s="15">
        <f t="shared" si="556"/>
        <v>1876.9373654400006</v>
      </c>
      <c r="S637" s="15">
        <f t="shared" si="556"/>
        <v>1914.4761127488</v>
      </c>
      <c r="T637" s="15">
        <f t="shared" si="556"/>
        <v>1952.7656350037762</v>
      </c>
      <c r="U637" s="15">
        <f t="shared" si="556"/>
        <v>1991.8209477038517</v>
      </c>
      <c r="V637" s="15">
        <f t="shared" si="556"/>
        <v>2031.6573666579286</v>
      </c>
      <c r="W637" s="15">
        <f t="shared" si="556"/>
        <v>2072.2905139910868</v>
      </c>
      <c r="X637" s="15">
        <f t="shared" si="556"/>
        <v>2113.7363242709089</v>
      </c>
      <c r="Y637" s="15">
        <f t="shared" si="556"/>
        <v>2156.0110507563268</v>
      </c>
      <c r="Z637" s="15">
        <f t="shared" si="556"/>
        <v>2199.1312717714541</v>
      </c>
      <c r="AA637" s="15"/>
      <c r="AB637" s="15"/>
      <c r="AC637" s="15"/>
      <c r="AD637" s="15"/>
      <c r="AE637" s="15"/>
      <c r="AF637" s="15"/>
      <c r="AG637" s="15"/>
      <c r="AH637" s="15"/>
      <c r="AI637" s="15"/>
      <c r="AJ637" s="15"/>
    </row>
    <row r="638" spans="1:36" x14ac:dyDescent="0.25">
      <c r="A638" t="s">
        <v>696</v>
      </c>
      <c r="H638" t="s">
        <v>493</v>
      </c>
      <c r="I638" s="65" t="s">
        <v>494</v>
      </c>
      <c r="K638" s="15"/>
      <c r="L638" s="15">
        <f t="shared" ref="L638:AJ638" si="557">L636*1000/EXR</f>
        <v>25</v>
      </c>
      <c r="M638" s="15">
        <f t="shared" si="557"/>
        <v>25.5</v>
      </c>
      <c r="N638" s="15">
        <f t="shared" si="557"/>
        <v>26.01</v>
      </c>
      <c r="O638" s="15">
        <f t="shared" si="557"/>
        <v>26.530199999999997</v>
      </c>
      <c r="P638" s="15">
        <f t="shared" si="557"/>
        <v>27.060804000000001</v>
      </c>
      <c r="Q638" s="15">
        <f t="shared" si="557"/>
        <v>27.602020080000003</v>
      </c>
      <c r="R638" s="15">
        <f t="shared" si="557"/>
        <v>28.154060481600002</v>
      </c>
      <c r="S638" s="15">
        <f t="shared" si="557"/>
        <v>28.717141691231994</v>
      </c>
      <c r="T638" s="15">
        <f t="shared" si="557"/>
        <v>29.291484525056635</v>
      </c>
      <c r="U638" s="15">
        <f t="shared" si="557"/>
        <v>29.877314215557771</v>
      </c>
      <c r="V638" s="15">
        <f t="shared" si="557"/>
        <v>30.474860499868925</v>
      </c>
      <c r="W638" s="15">
        <f t="shared" si="557"/>
        <v>31.084357709866303</v>
      </c>
      <c r="X638" s="15">
        <f t="shared" si="557"/>
        <v>31.706044864063635</v>
      </c>
      <c r="Y638" s="15">
        <f t="shared" si="557"/>
        <v>32.340165761344899</v>
      </c>
      <c r="Z638" s="15">
        <f t="shared" si="557"/>
        <v>32.986969076571803</v>
      </c>
      <c r="AA638" s="15"/>
      <c r="AB638" s="15"/>
      <c r="AC638" s="15"/>
      <c r="AD638" s="15"/>
      <c r="AE638" s="15"/>
      <c r="AF638" s="15"/>
      <c r="AG638" s="15"/>
      <c r="AH638" s="15"/>
      <c r="AI638" s="15"/>
      <c r="AJ638" s="15"/>
    </row>
    <row r="639" spans="1:36" x14ac:dyDescent="0.25">
      <c r="A639" t="s">
        <v>696</v>
      </c>
    </row>
    <row r="640" spans="1:36" s="16" customFormat="1" x14ac:dyDescent="0.25">
      <c r="A640" s="16" t="s">
        <v>696</v>
      </c>
      <c r="D640" s="16" t="s">
        <v>722</v>
      </c>
      <c r="H640" s="270" t="s">
        <v>497</v>
      </c>
      <c r="I640" s="271" t="str">
        <f>IF($H$9="USD","USD","tr. VND")</f>
        <v>tr. VND</v>
      </c>
      <c r="K640" s="270"/>
      <c r="L640" s="272">
        <f t="shared" ref="L640:AJ640" si="558">IF($H$9="USD",L637*L516/10^3,L635*L516/10^3)</f>
        <v>134207.12448</v>
      </c>
      <c r="M640" s="272">
        <f t="shared" si="558"/>
        <v>191647.77375744001</v>
      </c>
      <c r="N640" s="272">
        <f t="shared" si="558"/>
        <v>279258.18461798399</v>
      </c>
      <c r="O640" s="272">
        <f t="shared" si="558"/>
        <v>284843.34831034369</v>
      </c>
      <c r="P640" s="272">
        <f t="shared" si="558"/>
        <v>290540.21527655062</v>
      </c>
      <c r="Q640" s="272">
        <f t="shared" si="558"/>
        <v>296351.01958208153</v>
      </c>
      <c r="R640" s="272">
        <f t="shared" si="558"/>
        <v>302278.03997372324</v>
      </c>
      <c r="S640" s="272">
        <f t="shared" si="558"/>
        <v>308323.60077319766</v>
      </c>
      <c r="T640" s="272">
        <f t="shared" si="558"/>
        <v>314490.07278866158</v>
      </c>
      <c r="U640" s="272">
        <f t="shared" si="558"/>
        <v>320779.87424443482</v>
      </c>
      <c r="V640" s="272">
        <f t="shared" si="558"/>
        <v>327195.47172932356</v>
      </c>
      <c r="W640" s="272">
        <f t="shared" si="558"/>
        <v>333739.38116390997</v>
      </c>
      <c r="X640" s="272">
        <f t="shared" si="558"/>
        <v>340414.16878718825</v>
      </c>
      <c r="Y640" s="272">
        <f t="shared" si="558"/>
        <v>347222.45216293191</v>
      </c>
      <c r="Z640" s="272">
        <f t="shared" si="558"/>
        <v>354166.90120619064</v>
      </c>
      <c r="AA640" s="272"/>
      <c r="AB640" s="272"/>
      <c r="AC640" s="272"/>
      <c r="AD640" s="272"/>
      <c r="AE640" s="272"/>
      <c r="AF640" s="272"/>
      <c r="AG640" s="272"/>
      <c r="AH640" s="272"/>
      <c r="AI640" s="272"/>
      <c r="AJ640" s="272"/>
    </row>
    <row r="641" spans="1:36" x14ac:dyDescent="0.25">
      <c r="A641" t="s">
        <v>696</v>
      </c>
    </row>
    <row r="642" spans="1:36" s="1" customFormat="1" x14ac:dyDescent="0.25">
      <c r="A642" s="1" t="s">
        <v>696</v>
      </c>
      <c r="H642" s="266" t="s">
        <v>495</v>
      </c>
      <c r="I642" s="267" t="str">
        <f>IF($H$9="USD","USD","tr. VND")</f>
        <v>tr. VND</v>
      </c>
      <c r="K642" s="266"/>
      <c r="L642" s="269">
        <f>L640+L556</f>
        <v>-33328.584613160114</v>
      </c>
      <c r="M642" s="269">
        <f t="shared" ref="M642:AJ642" si="559">M640+M556</f>
        <v>-12409.415591589874</v>
      </c>
      <c r="N642" s="269">
        <f t="shared" si="559"/>
        <v>14742.770324095269</v>
      </c>
      <c r="O642" s="269">
        <f t="shared" si="559"/>
        <v>15871.004924341803</v>
      </c>
      <c r="P642" s="269">
        <f t="shared" si="559"/>
        <v>17009.963286252692</v>
      </c>
      <c r="Q642" s="269">
        <f t="shared" si="559"/>
        <v>18160.274129550729</v>
      </c>
      <c r="R642" s="269">
        <f t="shared" si="559"/>
        <v>19322.669900948415</v>
      </c>
      <c r="S642" s="269">
        <f t="shared" si="559"/>
        <v>20497.998337142868</v>
      </c>
      <c r="T642" s="269">
        <f t="shared" si="559"/>
        <v>21687.235078652215</v>
      </c>
      <c r="U642" s="269">
        <f t="shared" si="559"/>
        <v>22891.49742064852</v>
      </c>
      <c r="V642" s="269">
        <f t="shared" si="559"/>
        <v>24112.059293617669</v>
      </c>
      <c r="W642" s="269">
        <f t="shared" si="559"/>
        <v>25350.367573841824</v>
      </c>
      <c r="X642" s="269">
        <f t="shared" si="559"/>
        <v>52673.042498081457</v>
      </c>
      <c r="Y642" s="269">
        <f t="shared" si="559"/>
        <v>53951.966298437444</v>
      </c>
      <c r="Z642" s="269">
        <f t="shared" si="559"/>
        <v>55254.200182285684</v>
      </c>
      <c r="AA642" s="269"/>
      <c r="AB642" s="269"/>
      <c r="AC642" s="269"/>
      <c r="AD642" s="269"/>
      <c r="AE642" s="269"/>
      <c r="AF642" s="269"/>
      <c r="AG642" s="269"/>
      <c r="AH642" s="269"/>
      <c r="AI642" s="269"/>
      <c r="AJ642" s="269"/>
    </row>
    <row r="643" spans="1:36" s="146" customFormat="1" x14ac:dyDescent="0.25">
      <c r="A643" s="146" t="s">
        <v>696</v>
      </c>
      <c r="H643" s="146" t="s">
        <v>496</v>
      </c>
      <c r="I643" s="144"/>
      <c r="L643" s="147">
        <f>IFERROR(L642/L640,0)</f>
        <v>-0.24833692504995777</v>
      </c>
      <c r="M643" s="147">
        <f t="shared" ref="M643:AJ643" si="560">IFERROR(M642/M640,0)</f>
        <v>-6.4751159631501451E-2</v>
      </c>
      <c r="N643" s="147">
        <f t="shared" si="560"/>
        <v>5.2792616783149594E-2</v>
      </c>
      <c r="O643" s="147">
        <f t="shared" si="560"/>
        <v>5.5718362456019022E-2</v>
      </c>
      <c r="P643" s="147">
        <f t="shared" si="560"/>
        <v>5.8545985691040268E-2</v>
      </c>
      <c r="Q643" s="147">
        <f t="shared" si="560"/>
        <v>6.1279607389779223E-2</v>
      </c>
      <c r="R643" s="147">
        <f t="shared" si="560"/>
        <v>6.3923498718689978E-2</v>
      </c>
      <c r="S643" s="147">
        <f t="shared" si="560"/>
        <v>6.6482093118201357E-2</v>
      </c>
      <c r="T643" s="147">
        <f t="shared" si="560"/>
        <v>6.8959998916169649E-2</v>
      </c>
      <c r="U643" s="147">
        <f t="shared" si="560"/>
        <v>7.1362012578149336E-2</v>
      </c>
      <c r="V643" s="147">
        <f t="shared" si="560"/>
        <v>7.3693132628573368E-2</v>
      </c>
      <c r="W643" s="147">
        <f t="shared" si="560"/>
        <v>7.5958574278626886E-2</v>
      </c>
      <c r="X643" s="147">
        <f t="shared" si="560"/>
        <v>0.15473222717415824</v>
      </c>
      <c r="Y643" s="147">
        <f t="shared" si="560"/>
        <v>0.15538156004128681</v>
      </c>
      <c r="Z643" s="147">
        <f t="shared" si="560"/>
        <v>0.15601175602267112</v>
      </c>
      <c r="AA643" s="147"/>
      <c r="AB643" s="147"/>
      <c r="AC643" s="147"/>
      <c r="AD643" s="147"/>
      <c r="AE643" s="147"/>
      <c r="AF643" s="147"/>
      <c r="AG643" s="147"/>
      <c r="AH643" s="147"/>
      <c r="AI643" s="147"/>
      <c r="AJ643" s="147"/>
    </row>
    <row r="644" spans="1:36" x14ac:dyDescent="0.25">
      <c r="A644" t="s">
        <v>696</v>
      </c>
    </row>
    <row r="645" spans="1:36" s="16" customFormat="1" x14ac:dyDescent="0.25">
      <c r="A645" s="16" t="s">
        <v>696</v>
      </c>
      <c r="D645" s="16" t="s">
        <v>488</v>
      </c>
      <c r="H645" s="270" t="s">
        <v>488</v>
      </c>
      <c r="I645" s="271" t="str">
        <f>IF($H$9="USD","USD","tr. VND")</f>
        <v>tr. VND</v>
      </c>
      <c r="K645" s="270"/>
      <c r="L645" s="272">
        <f t="shared" ref="L645:AJ645" si="561">L642*(1-Tax_rate)</f>
        <v>-26662.867690528092</v>
      </c>
      <c r="M645" s="272">
        <f t="shared" si="561"/>
        <v>-9927.5324732719</v>
      </c>
      <c r="N645" s="272">
        <f t="shared" si="561"/>
        <v>11794.216259276216</v>
      </c>
      <c r="O645" s="272">
        <f t="shared" si="561"/>
        <v>12696.803939473444</v>
      </c>
      <c r="P645" s="272">
        <f t="shared" si="561"/>
        <v>13607.970629002155</v>
      </c>
      <c r="Q645" s="272">
        <f t="shared" si="561"/>
        <v>14528.219303640584</v>
      </c>
      <c r="R645" s="272">
        <f t="shared" si="561"/>
        <v>15458.135920758732</v>
      </c>
      <c r="S645" s="272">
        <f t="shared" si="561"/>
        <v>16398.398669714294</v>
      </c>
      <c r="T645" s="272">
        <f t="shared" si="561"/>
        <v>17349.788062921773</v>
      </c>
      <c r="U645" s="272">
        <f t="shared" si="561"/>
        <v>18313.197936518816</v>
      </c>
      <c r="V645" s="272">
        <f t="shared" si="561"/>
        <v>19289.647434894137</v>
      </c>
      <c r="W645" s="272">
        <f t="shared" si="561"/>
        <v>20280.294059073462</v>
      </c>
      <c r="X645" s="272">
        <f t="shared" si="561"/>
        <v>42138.433998465167</v>
      </c>
      <c r="Y645" s="272">
        <f t="shared" si="561"/>
        <v>43161.573038749957</v>
      </c>
      <c r="Z645" s="272">
        <f t="shared" si="561"/>
        <v>44203.360145828548</v>
      </c>
      <c r="AA645" s="272"/>
      <c r="AB645" s="272"/>
      <c r="AC645" s="272"/>
      <c r="AD645" s="272"/>
      <c r="AE645" s="272"/>
      <c r="AF645" s="272"/>
      <c r="AG645" s="272"/>
      <c r="AH645" s="272"/>
      <c r="AI645" s="272"/>
      <c r="AJ645" s="272"/>
    </row>
    <row r="646" spans="1:36" s="146" customFormat="1" x14ac:dyDescent="0.25">
      <c r="A646" s="146" t="s">
        <v>696</v>
      </c>
      <c r="H646" s="146" t="s">
        <v>489</v>
      </c>
      <c r="I646" s="144"/>
      <c r="L646" s="147">
        <f>IFERROR(L645/L640,0)</f>
        <v>-0.19866954003996623</v>
      </c>
      <c r="M646" s="147">
        <f t="shared" ref="M646:AJ646" si="562">IFERROR(M645/M640,0)</f>
        <v>-5.1800927705201172E-2</v>
      </c>
      <c r="N646" s="147">
        <f t="shared" si="562"/>
        <v>4.2234093426519674E-2</v>
      </c>
      <c r="O646" s="147">
        <f t="shared" si="562"/>
        <v>4.4574689964815221E-2</v>
      </c>
      <c r="P646" s="147">
        <f t="shared" si="562"/>
        <v>4.6836788552832222E-2</v>
      </c>
      <c r="Q646" s="147">
        <f t="shared" si="562"/>
        <v>4.9023685911823378E-2</v>
      </c>
      <c r="R646" s="147">
        <f t="shared" si="562"/>
        <v>5.1138798974951979E-2</v>
      </c>
      <c r="S646" s="147">
        <f t="shared" si="562"/>
        <v>5.3185674494561089E-2</v>
      </c>
      <c r="T646" s="147">
        <f t="shared" si="562"/>
        <v>5.516799913293572E-2</v>
      </c>
      <c r="U646" s="147">
        <f t="shared" si="562"/>
        <v>5.7089610062519468E-2</v>
      </c>
      <c r="V646" s="147">
        <f t="shared" si="562"/>
        <v>5.8954506102858704E-2</v>
      </c>
      <c r="W646" s="147">
        <f t="shared" si="562"/>
        <v>6.0766859422901512E-2</v>
      </c>
      <c r="X646" s="147">
        <f t="shared" si="562"/>
        <v>0.1237857817393266</v>
      </c>
      <c r="Y646" s="147">
        <f t="shared" si="562"/>
        <v>0.12430524803302946</v>
      </c>
      <c r="Z646" s="147">
        <f t="shared" si="562"/>
        <v>0.1248094048181369</v>
      </c>
      <c r="AA646" s="147"/>
      <c r="AB646" s="147"/>
      <c r="AC646" s="147"/>
      <c r="AD646" s="147"/>
      <c r="AE646" s="147"/>
      <c r="AF646" s="147"/>
      <c r="AG646" s="147"/>
      <c r="AH646" s="147"/>
      <c r="AI646" s="147"/>
      <c r="AJ646" s="147"/>
    </row>
    <row r="647" spans="1:36" x14ac:dyDescent="0.25">
      <c r="A647" t="s">
        <v>696</v>
      </c>
    </row>
    <row r="648" spans="1:36" s="16" customFormat="1" x14ac:dyDescent="0.25">
      <c r="A648" s="16" t="s">
        <v>696</v>
      </c>
      <c r="H648" s="270" t="s">
        <v>477</v>
      </c>
      <c r="I648" s="271" t="str">
        <f>IF($H$9="USD","USD","tr. VND")</f>
        <v>tr. VND</v>
      </c>
      <c r="K648" s="272">
        <f>SUM(K650:K653)</f>
        <v>-450749.80000000005</v>
      </c>
      <c r="L648" s="272">
        <f t="shared" ref="L648:AJ648" si="563">SUM(L650:L653)</f>
        <v>0</v>
      </c>
      <c r="M648" s="272">
        <f t="shared" si="563"/>
        <v>0</v>
      </c>
      <c r="N648" s="272">
        <f t="shared" si="563"/>
        <v>0</v>
      </c>
      <c r="O648" s="272">
        <f t="shared" si="563"/>
        <v>0</v>
      </c>
      <c r="P648" s="272">
        <f t="shared" si="563"/>
        <v>0</v>
      </c>
      <c r="Q648" s="272">
        <f t="shared" si="563"/>
        <v>0</v>
      </c>
      <c r="R648" s="272">
        <f t="shared" si="563"/>
        <v>0</v>
      </c>
      <c r="S648" s="272">
        <f t="shared" si="563"/>
        <v>0</v>
      </c>
      <c r="T648" s="272">
        <f t="shared" si="563"/>
        <v>0</v>
      </c>
      <c r="U648" s="272">
        <f t="shared" si="563"/>
        <v>0</v>
      </c>
      <c r="V648" s="272">
        <f t="shared" si="563"/>
        <v>0</v>
      </c>
      <c r="W648" s="272">
        <f t="shared" si="563"/>
        <v>0</v>
      </c>
      <c r="X648" s="272">
        <f t="shared" si="563"/>
        <v>0</v>
      </c>
      <c r="Y648" s="272">
        <f t="shared" si="563"/>
        <v>0</v>
      </c>
      <c r="Z648" s="272">
        <f t="shared" si="563"/>
        <v>0</v>
      </c>
      <c r="AA648" s="272"/>
      <c r="AB648" s="272"/>
      <c r="AC648" s="272"/>
      <c r="AD648" s="272"/>
      <c r="AE648" s="272"/>
      <c r="AF648" s="272"/>
      <c r="AG648" s="272"/>
      <c r="AH648" s="272"/>
      <c r="AI648" s="272"/>
      <c r="AJ648" s="272"/>
    </row>
    <row r="649" spans="1:36" x14ac:dyDescent="0.25">
      <c r="A649" t="s">
        <v>696</v>
      </c>
    </row>
    <row r="650" spans="1:36" x14ac:dyDescent="0.25">
      <c r="A650" t="s">
        <v>696</v>
      </c>
      <c r="B650" t="s">
        <v>480</v>
      </c>
      <c r="H650" s="459" t="s">
        <v>30</v>
      </c>
      <c r="I650" s="493" t="str">
        <f t="shared" ref="I650:I653" si="564">IF($H$9="USD","USD","tr. VND")</f>
        <v>tr. VND</v>
      </c>
      <c r="K650" s="461" cm="1">
        <f t="array" ref="K650">-SUMPRODUCT('W1'!$H$10:$BC$60*('W1'!$A$10:$A$60=$B650)*('W1'!$H$7:$BC$7="Giá trị đầu tư")*('W1'!$H$6:$BC$6=$A650))*$H$10</f>
        <v>-246389.00000000003</v>
      </c>
      <c r="L650" s="461"/>
      <c r="M650" s="461"/>
      <c r="N650" s="461"/>
      <c r="O650" s="461"/>
      <c r="P650" s="461"/>
      <c r="Q650" s="461"/>
      <c r="R650" s="461"/>
      <c r="S650" s="461"/>
      <c r="T650" s="461"/>
      <c r="U650" s="461"/>
      <c r="V650" s="461"/>
      <c r="W650" s="461"/>
      <c r="X650" s="461"/>
      <c r="Y650" s="461"/>
      <c r="Z650" s="461"/>
      <c r="AA650" s="461"/>
      <c r="AB650" s="461"/>
      <c r="AC650" s="461"/>
      <c r="AD650" s="461"/>
      <c r="AE650" s="461"/>
      <c r="AF650" s="461"/>
      <c r="AG650" s="461"/>
      <c r="AH650" s="461"/>
      <c r="AI650" s="461"/>
      <c r="AJ650" s="461"/>
    </row>
    <row r="651" spans="1:36" x14ac:dyDescent="0.25">
      <c r="A651" t="s">
        <v>696</v>
      </c>
      <c r="B651" t="s">
        <v>481</v>
      </c>
      <c r="H651" s="454" t="s">
        <v>32</v>
      </c>
      <c r="I651" s="496" t="str">
        <f t="shared" si="564"/>
        <v>tr. VND</v>
      </c>
      <c r="K651" s="457" cm="1">
        <f t="array" ref="K651">-SUMPRODUCT('W1'!$H$10:$BC$60*('W1'!$A$10:$A$60=$B651)*('W1'!$H$7:$BC$7="Giá trị đầu tư")*('W1'!$H$6:$BC$6=$A651))*$H$10</f>
        <v>-38110.799999999996</v>
      </c>
      <c r="L651" s="457"/>
      <c r="M651" s="457"/>
      <c r="N651" s="457"/>
      <c r="O651" s="457"/>
      <c r="P651" s="457"/>
      <c r="Q651" s="457"/>
      <c r="R651" s="457"/>
      <c r="S651" s="457"/>
      <c r="T651" s="457"/>
      <c r="U651" s="457"/>
      <c r="V651" s="457"/>
      <c r="W651" s="457"/>
      <c r="X651" s="457"/>
      <c r="Y651" s="457"/>
      <c r="Z651" s="457"/>
      <c r="AA651" s="457"/>
      <c r="AB651" s="457"/>
      <c r="AC651" s="457"/>
      <c r="AD651" s="457"/>
      <c r="AE651" s="457"/>
      <c r="AF651" s="457"/>
      <c r="AG651" s="457"/>
      <c r="AH651" s="457"/>
      <c r="AI651" s="457"/>
      <c r="AJ651" s="457"/>
    </row>
    <row r="652" spans="1:36" x14ac:dyDescent="0.25">
      <c r="A652" t="s">
        <v>696</v>
      </c>
      <c r="B652" t="s">
        <v>482</v>
      </c>
      <c r="H652" s="454" t="s">
        <v>478</v>
      </c>
      <c r="I652" s="496" t="str">
        <f t="shared" si="564"/>
        <v>tr. VND</v>
      </c>
      <c r="K652" s="457" cm="1">
        <f t="array" ref="K652">-SUMPRODUCT('W1'!$H$10:$BC$60*('W1'!$A$10:$A$60=$B652)*('W1'!$H$7:$BC$7="Giá trị đầu tư")*('W1'!$H$6:$BC$6=$A652))*$H$10</f>
        <v>-150000</v>
      </c>
      <c r="L652" s="457"/>
      <c r="M652" s="457"/>
      <c r="N652" s="457"/>
      <c r="O652" s="457"/>
      <c r="P652" s="457"/>
      <c r="Q652" s="457"/>
      <c r="R652" s="457"/>
      <c r="S652" s="457"/>
      <c r="T652" s="457"/>
      <c r="U652" s="457"/>
      <c r="V652" s="457"/>
      <c r="W652" s="457"/>
      <c r="X652" s="457"/>
      <c r="Y652" s="457"/>
      <c r="Z652" s="457"/>
      <c r="AA652" s="457"/>
      <c r="AB652" s="457"/>
      <c r="AC652" s="457"/>
      <c r="AD652" s="457"/>
      <c r="AE652" s="457"/>
      <c r="AF652" s="457"/>
      <c r="AG652" s="457"/>
      <c r="AH652" s="457"/>
      <c r="AI652" s="457"/>
      <c r="AJ652" s="457"/>
    </row>
    <row r="653" spans="1:36" x14ac:dyDescent="0.25">
      <c r="A653" t="s">
        <v>696</v>
      </c>
      <c r="B653" t="s">
        <v>483</v>
      </c>
      <c r="H653" s="454" t="s">
        <v>479</v>
      </c>
      <c r="I653" s="496" t="str">
        <f t="shared" si="564"/>
        <v>tr. VND</v>
      </c>
      <c r="K653" s="457" cm="1">
        <f t="array" ref="K653">-SUMPRODUCT('W1'!$H$10:$BC$60*('W1'!$A$10:$A$60=$B653)*('W1'!$H$7:$BC$7="Giá trị đầu tư")*('W1'!$H$6:$BC$6=$A653))*$H$10</f>
        <v>-16250</v>
      </c>
      <c r="L653" s="457"/>
      <c r="M653" s="457"/>
      <c r="N653" s="457"/>
      <c r="O653" s="457"/>
      <c r="P653" s="457"/>
      <c r="Q653" s="457"/>
      <c r="R653" s="457"/>
      <c r="S653" s="457"/>
      <c r="T653" s="457"/>
      <c r="U653" s="457"/>
      <c r="V653" s="457"/>
      <c r="W653" s="457"/>
      <c r="X653" s="457"/>
      <c r="Y653" s="457"/>
      <c r="Z653" s="457"/>
      <c r="AA653" s="457"/>
      <c r="AB653" s="457"/>
      <c r="AC653" s="457"/>
      <c r="AD653" s="457"/>
      <c r="AE653" s="457"/>
      <c r="AF653" s="457"/>
      <c r="AG653" s="457"/>
      <c r="AH653" s="457"/>
      <c r="AI653" s="457"/>
      <c r="AJ653" s="457"/>
    </row>
    <row r="654" spans="1:36" x14ac:dyDescent="0.25">
      <c r="A654" t="s">
        <v>696</v>
      </c>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row>
    <row r="655" spans="1:36" s="16" customFormat="1" x14ac:dyDescent="0.25">
      <c r="A655" s="16" t="s">
        <v>696</v>
      </c>
      <c r="H655" s="270" t="s">
        <v>498</v>
      </c>
      <c r="I655" s="271" t="str">
        <f>IF($H$9="USD","USD","tr. VND")</f>
        <v>tr. VND</v>
      </c>
      <c r="K655" s="272">
        <f>K648</f>
        <v>-450749.80000000005</v>
      </c>
      <c r="L655" s="272">
        <f t="shared" ref="L655:AJ655" si="565">L640+L556-(L528+L554)</f>
        <v>19820.638920173224</v>
      </c>
      <c r="M655" s="272">
        <f t="shared" si="565"/>
        <v>39860.874404615832</v>
      </c>
      <c r="N655" s="272">
        <f t="shared" si="565"/>
        <v>66072.601435574412</v>
      </c>
      <c r="O655" s="272">
        <f t="shared" si="565"/>
        <v>66194.545029163506</v>
      </c>
      <c r="P655" s="272">
        <f t="shared" si="565"/>
        <v>66256.772013950947</v>
      </c>
      <c r="Q655" s="272">
        <f t="shared" si="565"/>
        <v>66254.980283726894</v>
      </c>
      <c r="R655" s="272">
        <f t="shared" si="565"/>
        <v>66184.626301455952</v>
      </c>
      <c r="S655" s="272">
        <f t="shared" si="565"/>
        <v>66040.912501224957</v>
      </c>
      <c r="T655" s="272">
        <f t="shared" si="565"/>
        <v>65818.774049759086</v>
      </c>
      <c r="U655" s="272">
        <f t="shared" si="565"/>
        <v>65512.8649352719</v>
      </c>
      <c r="V655" s="272">
        <f t="shared" si="565"/>
        <v>65117.543349803716</v>
      </c>
      <c r="W655" s="272">
        <f t="shared" si="565"/>
        <v>64626.856329499933</v>
      </c>
      <c r="X655" s="272">
        <f t="shared" si="565"/>
        <v>65037.022948841332</v>
      </c>
      <c r="Y655" s="272">
        <f t="shared" si="565"/>
        <v>64336.420029622874</v>
      </c>
      <c r="Z655" s="272">
        <f t="shared" si="565"/>
        <v>63520.560323526457</v>
      </c>
      <c r="AA655" s="272"/>
      <c r="AB655" s="272"/>
      <c r="AC655" s="272"/>
      <c r="AD655" s="272"/>
      <c r="AE655" s="272"/>
      <c r="AF655" s="272"/>
      <c r="AG655" s="272"/>
      <c r="AH655" s="272"/>
      <c r="AI655" s="272"/>
      <c r="AJ655" s="272"/>
    </row>
    <row r="656" spans="1:36" x14ac:dyDescent="0.25">
      <c r="A656" t="s">
        <v>696</v>
      </c>
      <c r="H656" t="s">
        <v>292</v>
      </c>
      <c r="I656" s="65" t="str">
        <f t="shared" ref="I656:I663" si="566">IF($H$9="USD","USD","tr. VND")</f>
        <v>tr. VND</v>
      </c>
      <c r="L656" s="15">
        <f>-(L655+L528)*Tax_rate</f>
        <v>2248.3688826320222</v>
      </c>
      <c r="M656" s="15">
        <f t="shared" ref="M656:AJ656" si="567">-(M655+M528)*Tax_rate</f>
        <v>-1759.6782142564998</v>
      </c>
      <c r="N656" s="15">
        <f t="shared" si="567"/>
        <v>-7002.0236204482153</v>
      </c>
      <c r="O656" s="15">
        <f t="shared" si="567"/>
        <v>-7026.4123391660341</v>
      </c>
      <c r="P656" s="15">
        <f t="shared" si="567"/>
        <v>-7038.857736123522</v>
      </c>
      <c r="Q656" s="15">
        <f t="shared" si="567"/>
        <v>-7038.4993900787122</v>
      </c>
      <c r="R656" s="15">
        <f t="shared" si="567"/>
        <v>-7024.4285936245233</v>
      </c>
      <c r="S656" s="15">
        <f t="shared" si="567"/>
        <v>-6995.6858335783245</v>
      </c>
      <c r="T656" s="15">
        <f t="shared" si="567"/>
        <v>-6951.2581432851503</v>
      </c>
      <c r="U656" s="15">
        <f t="shared" si="567"/>
        <v>-6890.0763203877141</v>
      </c>
      <c r="V656" s="15">
        <f t="shared" si="567"/>
        <v>-6811.0120032940758</v>
      </c>
      <c r="W656" s="15">
        <f t="shared" si="567"/>
        <v>-6712.8745992333197</v>
      </c>
      <c r="X656" s="15">
        <f t="shared" si="567"/>
        <v>-11807.404589768266</v>
      </c>
      <c r="Y656" s="15">
        <f t="shared" si="567"/>
        <v>-11667.284005924575</v>
      </c>
      <c r="Z656" s="15">
        <f t="shared" si="567"/>
        <v>-11504.112064705292</v>
      </c>
      <c r="AA656" s="15"/>
      <c r="AB656" s="15"/>
      <c r="AC656" s="15"/>
      <c r="AD656" s="15"/>
      <c r="AE656" s="15"/>
      <c r="AF656" s="15"/>
      <c r="AG656" s="15"/>
      <c r="AH656" s="15"/>
      <c r="AI656" s="15"/>
      <c r="AJ656" s="15"/>
    </row>
    <row r="657" spans="1:36" s="16" customFormat="1" x14ac:dyDescent="0.25">
      <c r="A657" s="16" t="s">
        <v>696</v>
      </c>
      <c r="H657" s="270" t="s">
        <v>499</v>
      </c>
      <c r="I657" s="271" t="str">
        <f t="shared" si="566"/>
        <v>tr. VND</v>
      </c>
      <c r="K657" s="272">
        <f>K655+K656</f>
        <v>-450749.80000000005</v>
      </c>
      <c r="L657" s="272">
        <f t="shared" ref="L657:AJ657" si="568">L655+L656</f>
        <v>22069.007802805245</v>
      </c>
      <c r="M657" s="272">
        <f t="shared" si="568"/>
        <v>38101.196190359333</v>
      </c>
      <c r="N657" s="272">
        <f t="shared" si="568"/>
        <v>59070.577815126198</v>
      </c>
      <c r="O657" s="272">
        <f t="shared" si="568"/>
        <v>59168.132689997474</v>
      </c>
      <c r="P657" s="272">
        <f t="shared" si="568"/>
        <v>59217.914277827425</v>
      </c>
      <c r="Q657" s="272">
        <f t="shared" si="568"/>
        <v>59216.480893648186</v>
      </c>
      <c r="R657" s="272">
        <f t="shared" si="568"/>
        <v>59160.19770783143</v>
      </c>
      <c r="S657" s="272">
        <f t="shared" si="568"/>
        <v>59045.226667646632</v>
      </c>
      <c r="T657" s="272">
        <f t="shared" si="568"/>
        <v>58867.515906473935</v>
      </c>
      <c r="U657" s="272">
        <f t="shared" si="568"/>
        <v>58622.788614884186</v>
      </c>
      <c r="V657" s="272">
        <f t="shared" si="568"/>
        <v>58306.531346509641</v>
      </c>
      <c r="W657" s="272">
        <f t="shared" si="568"/>
        <v>57913.981730266612</v>
      </c>
      <c r="X657" s="272">
        <f t="shared" si="568"/>
        <v>53229.618359073065</v>
      </c>
      <c r="Y657" s="272">
        <f t="shared" si="568"/>
        <v>52669.136023698302</v>
      </c>
      <c r="Z657" s="272">
        <f t="shared" si="568"/>
        <v>52016.448258821169</v>
      </c>
      <c r="AA657" s="272"/>
      <c r="AB657" s="272"/>
      <c r="AC657" s="272"/>
      <c r="AD657" s="272"/>
      <c r="AE657" s="272"/>
      <c r="AF657" s="272"/>
      <c r="AG657" s="272"/>
      <c r="AH657" s="272"/>
      <c r="AI657" s="272"/>
      <c r="AJ657" s="272"/>
    </row>
    <row r="658" spans="1:36" x14ac:dyDescent="0.25">
      <c r="A658" t="s">
        <v>696</v>
      </c>
      <c r="H658" t="s">
        <v>500</v>
      </c>
      <c r="K658" s="95">
        <f>INDEX('Cover Page'!$H$23:$AJ$23,MATCH($A658,'Cover Page'!$H$5:$AJ$5,0))</f>
        <v>7.2660000000000016E-2</v>
      </c>
    </row>
    <row r="659" spans="1:36" s="16" customFormat="1" x14ac:dyDescent="0.25">
      <c r="A659" s="16" t="s">
        <v>696</v>
      </c>
      <c r="D659" s="16" t="s">
        <v>515</v>
      </c>
      <c r="H659" s="270" t="s">
        <v>501</v>
      </c>
      <c r="I659" s="271" t="str">
        <f t="shared" si="566"/>
        <v>tr. VND</v>
      </c>
      <c r="K659" s="272">
        <f>K657/POWER(1+$K658,K$14)</f>
        <v>-450749.80000000005</v>
      </c>
      <c r="L659" s="272">
        <f t="shared" ref="L659:AJ659" si="569">L657/POWER(1+$K658,L$14)</f>
        <v>20574.094123771974</v>
      </c>
      <c r="M659" s="272">
        <f t="shared" si="569"/>
        <v>33114.213067488847</v>
      </c>
      <c r="N659" s="272">
        <f t="shared" si="569"/>
        <v>47861.351879116948</v>
      </c>
      <c r="O659" s="272">
        <f t="shared" si="569"/>
        <v>44693.001279384713</v>
      </c>
      <c r="P659" s="272">
        <f t="shared" si="569"/>
        <v>41700.635894059764</v>
      </c>
      <c r="Q659" s="272">
        <f t="shared" si="569"/>
        <v>38874.971118445756</v>
      </c>
      <c r="R659" s="272">
        <f t="shared" si="569"/>
        <v>36207.206219507949</v>
      </c>
      <c r="S659" s="272">
        <f t="shared" si="569"/>
        <v>33688.999010347448</v>
      </c>
      <c r="T659" s="272">
        <f t="shared" si="569"/>
        <v>31312.441867413327</v>
      </c>
      <c r="U659" s="272">
        <f t="shared" si="569"/>
        <v>29070.039017944426</v>
      </c>
      <c r="V659" s="272">
        <f t="shared" si="569"/>
        <v>26954.685029137778</v>
      </c>
      <c r="W659" s="272">
        <f t="shared" si="569"/>
        <v>24959.644434314039</v>
      </c>
      <c r="X659" s="272">
        <f t="shared" si="569"/>
        <v>21386.821071673152</v>
      </c>
      <c r="Y659" s="272">
        <f t="shared" si="569"/>
        <v>19728.178649102898</v>
      </c>
      <c r="Z659" s="272">
        <f t="shared" si="569"/>
        <v>18163.912728792202</v>
      </c>
      <c r="AA659" s="272"/>
      <c r="AB659" s="272"/>
      <c r="AC659" s="272"/>
      <c r="AD659" s="272"/>
      <c r="AE659" s="272"/>
      <c r="AF659" s="272"/>
      <c r="AG659" s="272"/>
      <c r="AH659" s="272"/>
      <c r="AI659" s="272"/>
      <c r="AJ659" s="272"/>
    </row>
    <row r="660" spans="1:36" x14ac:dyDescent="0.25">
      <c r="A660" t="s">
        <v>696</v>
      </c>
      <c r="H660" t="s">
        <v>503</v>
      </c>
      <c r="I660" s="65" t="str">
        <f t="shared" si="566"/>
        <v>tr. VND</v>
      </c>
      <c r="K660" s="15">
        <f>SUM($K659:K659)</f>
        <v>-450749.80000000005</v>
      </c>
      <c r="L660" s="15">
        <f>SUM($K659:L659)</f>
        <v>-430175.70587622805</v>
      </c>
      <c r="M660" s="15">
        <f>SUM($K659:M659)</f>
        <v>-397061.49280873919</v>
      </c>
      <c r="N660" s="15">
        <f>SUM($K659:N659)</f>
        <v>-349200.14092962223</v>
      </c>
      <c r="O660" s="15">
        <f>SUM($K659:O659)</f>
        <v>-304507.13965023751</v>
      </c>
      <c r="P660" s="15">
        <f>SUM($K659:P659)</f>
        <v>-262806.50375617773</v>
      </c>
      <c r="Q660" s="15">
        <f>SUM($K659:Q659)</f>
        <v>-223931.53263773199</v>
      </c>
      <c r="R660" s="15">
        <f>SUM($K659:R659)</f>
        <v>-187724.32641822402</v>
      </c>
      <c r="S660" s="15">
        <f>SUM($K659:S659)</f>
        <v>-154035.32740787658</v>
      </c>
      <c r="T660" s="15">
        <f>SUM($K659:T659)</f>
        <v>-122722.88554046326</v>
      </c>
      <c r="U660" s="15">
        <f>SUM($K659:U659)</f>
        <v>-93652.846522518841</v>
      </c>
      <c r="V660" s="15">
        <f>SUM($K659:V659)</f>
        <v>-66698.161493381063</v>
      </c>
      <c r="W660" s="15">
        <f>SUM($K659:W659)</f>
        <v>-41738.517059067024</v>
      </c>
      <c r="X660" s="15">
        <f>SUM($K659:X659)</f>
        <v>-20351.695987393872</v>
      </c>
      <c r="Y660" s="15">
        <f>SUM($K659:Y659)</f>
        <v>-623.51733829097429</v>
      </c>
      <c r="Z660" s="15">
        <f>SUM($K659:Z659)</f>
        <v>17540.395390501228</v>
      </c>
      <c r="AA660" s="15"/>
      <c r="AB660" s="15"/>
      <c r="AC660" s="15"/>
      <c r="AD660" s="15"/>
      <c r="AE660" s="15"/>
      <c r="AF660" s="15"/>
      <c r="AG660" s="15"/>
      <c r="AH660" s="15"/>
      <c r="AI660" s="15"/>
      <c r="AJ660" s="15"/>
    </row>
    <row r="661" spans="1:36" x14ac:dyDescent="0.25">
      <c r="A661" t="s">
        <v>696</v>
      </c>
    </row>
    <row r="662" spans="1:36" ht="15.75" thickBot="1" x14ac:dyDescent="0.3">
      <c r="A662" t="s">
        <v>696</v>
      </c>
    </row>
    <row r="663" spans="1:36" x14ac:dyDescent="0.25">
      <c r="A663" t="s">
        <v>696</v>
      </c>
      <c r="D663" t="s">
        <v>544</v>
      </c>
      <c r="H663" s="96" t="s">
        <v>401</v>
      </c>
      <c r="I663" s="310" t="str">
        <f t="shared" si="566"/>
        <v>tr. VND</v>
      </c>
      <c r="J663" s="311"/>
      <c r="K663" s="97">
        <f>SUM(K659:AJ659)</f>
        <v>17540.395390501228</v>
      </c>
      <c r="L663" s="263"/>
      <c r="M663" s="70"/>
      <c r="N663" s="70"/>
    </row>
    <row r="664" spans="1:36" x14ac:dyDescent="0.25">
      <c r="A664" t="s">
        <v>696</v>
      </c>
      <c r="D664" t="s">
        <v>516</v>
      </c>
      <c r="H664" s="212" t="s">
        <v>402</v>
      </c>
      <c r="I664" s="255"/>
      <c r="J664" s="48"/>
      <c r="K664" s="314">
        <f>IFERROR(IRR(K657:AJ657),0)</f>
        <v>7.8400170416034864E-2</v>
      </c>
    </row>
    <row r="665" spans="1:36" ht="15.75" thickBot="1" x14ac:dyDescent="0.3">
      <c r="A665" t="s">
        <v>696</v>
      </c>
      <c r="D665" t="s">
        <v>517</v>
      </c>
      <c r="H665" s="98" t="s">
        <v>403</v>
      </c>
      <c r="I665" s="312" t="s">
        <v>290</v>
      </c>
      <c r="J665" s="313"/>
      <c r="K665" s="315" cm="1">
        <f t="array" ref="K665">ROUNDUP(IF(K663&lt;0,0,INDEX(K$14:AJ$14,,MATCH(_xlfn.MINIFS(K660:AJ660,K660:AJ660,"&gt;"&amp;0),K660:AJ660))-1-INDEX(K660:AJ660,,MATCH(_xlfn.MINIFS(K660:AJ660,K660:AJ660,"&gt;"&amp;0),K660:AJ660)-1)/INDEX(K659:AJ659,,MATCH(_xlfn.MINIFS(K660:AJ660,K660:AJ660,"&gt;"&amp;0),K660:AJ660))),1)</f>
        <v>14.1</v>
      </c>
    </row>
    <row r="666" spans="1:36" x14ac:dyDescent="0.25">
      <c r="A666" t="s">
        <v>696</v>
      </c>
      <c r="H666" s="316" t="str">
        <f>INT(K665)&amp;" năm"&amp;IF(MOD(K665,1)*12=0,," "&amp;TEXT(MOD(K665,1)*12,"00")&amp;" tháng")</f>
        <v>14 năm 01 tháng</v>
      </c>
    </row>
    <row r="667" spans="1:36" x14ac:dyDescent="0.25">
      <c r="A667" t="s">
        <v>696</v>
      </c>
    </row>
    <row r="668" spans="1:36" x14ac:dyDescent="0.25">
      <c r="A668" t="s">
        <v>696</v>
      </c>
    </row>
    <row r="669" spans="1:36" s="304" customFormat="1" x14ac:dyDescent="0.25">
      <c r="I669" s="305"/>
    </row>
    <row r="670" spans="1:36" s="631" customFormat="1" ht="19.5" x14ac:dyDescent="0.3">
      <c r="A670" s="631" t="s">
        <v>697</v>
      </c>
      <c r="H670" s="632" t="s">
        <v>697</v>
      </c>
      <c r="K670" s="633"/>
      <c r="L670" s="633"/>
      <c r="M670" s="633"/>
      <c r="N670" s="633"/>
      <c r="O670" s="633"/>
      <c r="P670" s="633"/>
      <c r="Q670" s="633"/>
      <c r="R670" s="633"/>
      <c r="S670" s="633"/>
      <c r="T670" s="633"/>
      <c r="U670" s="633"/>
      <c r="V670" s="633"/>
      <c r="W670" s="633"/>
      <c r="X670" s="633"/>
      <c r="Y670" s="633"/>
      <c r="Z670" s="633"/>
      <c r="AA670" s="633"/>
      <c r="AB670" s="633"/>
      <c r="AC670" s="633"/>
      <c r="AD670" s="633"/>
      <c r="AE670" s="633"/>
      <c r="AF670" s="633"/>
      <c r="AG670" s="633"/>
      <c r="AH670" s="633"/>
      <c r="AI670" s="633"/>
      <c r="AJ670" s="633"/>
    </row>
    <row r="671" spans="1:36" x14ac:dyDescent="0.25">
      <c r="A671" t="s">
        <v>697</v>
      </c>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row>
    <row r="672" spans="1:36" s="24" customFormat="1" ht="17.25" x14ac:dyDescent="0.3">
      <c r="A672" s="24" t="s">
        <v>697</v>
      </c>
      <c r="H672" s="24" t="s">
        <v>669</v>
      </c>
      <c r="K672" s="634"/>
      <c r="L672" s="634"/>
      <c r="M672" s="634"/>
      <c r="N672" s="634"/>
      <c r="O672" s="634"/>
      <c r="P672" s="634"/>
      <c r="Q672" s="634"/>
      <c r="R672" s="634"/>
      <c r="S672" s="634"/>
      <c r="T672" s="634"/>
      <c r="U672" s="634"/>
      <c r="V672" s="634"/>
      <c r="W672" s="634"/>
      <c r="X672" s="634"/>
      <c r="Y672" s="634"/>
      <c r="Z672" s="634"/>
      <c r="AA672" s="634"/>
      <c r="AB672" s="634"/>
      <c r="AC672" s="634"/>
      <c r="AD672" s="634"/>
      <c r="AE672" s="634"/>
      <c r="AF672" s="634"/>
      <c r="AG672" s="634"/>
      <c r="AH672" s="634"/>
      <c r="AI672" s="634"/>
      <c r="AJ672" s="634"/>
    </row>
    <row r="673" spans="1:36" x14ac:dyDescent="0.25">
      <c r="A673" t="s">
        <v>697</v>
      </c>
      <c r="H673" s="459" t="s">
        <v>427</v>
      </c>
      <c r="I673" s="493" t="s">
        <v>436</v>
      </c>
      <c r="K673" s="548"/>
      <c r="L673" s="548">
        <f t="shared" ref="L673:AA674" si="570">Capacity*24*365</f>
        <v>7568640</v>
      </c>
      <c r="M673" s="548">
        <f t="shared" si="570"/>
        <v>7568640</v>
      </c>
      <c r="N673" s="548">
        <f t="shared" si="570"/>
        <v>7568640</v>
      </c>
      <c r="O673" s="548">
        <f t="shared" si="570"/>
        <v>7568640</v>
      </c>
      <c r="P673" s="548">
        <f t="shared" si="570"/>
        <v>7568640</v>
      </c>
      <c r="Q673" s="548">
        <f t="shared" si="570"/>
        <v>7568640</v>
      </c>
      <c r="R673" s="548">
        <f t="shared" si="570"/>
        <v>7568640</v>
      </c>
      <c r="S673" s="548">
        <f t="shared" si="570"/>
        <v>7568640</v>
      </c>
      <c r="T673" s="548">
        <f t="shared" si="570"/>
        <v>7568640</v>
      </c>
      <c r="U673" s="548">
        <f t="shared" si="570"/>
        <v>7568640</v>
      </c>
      <c r="V673" s="548">
        <f t="shared" si="570"/>
        <v>7568640</v>
      </c>
      <c r="W673" s="548">
        <f t="shared" si="570"/>
        <v>7568640</v>
      </c>
      <c r="X673" s="548">
        <f t="shared" si="570"/>
        <v>7568640</v>
      </c>
      <c r="Y673" s="548">
        <f t="shared" si="570"/>
        <v>7568640</v>
      </c>
      <c r="Z673" s="548">
        <f t="shared" si="570"/>
        <v>7568640</v>
      </c>
      <c r="AA673" s="548"/>
      <c r="AB673" s="548"/>
      <c r="AC673" s="548"/>
      <c r="AD673" s="548"/>
      <c r="AE673" s="548"/>
      <c r="AF673" s="548"/>
      <c r="AG673" s="548"/>
      <c r="AH673" s="548"/>
      <c r="AI673" s="548"/>
      <c r="AJ673" s="548"/>
    </row>
    <row r="674" spans="1:36" x14ac:dyDescent="0.25">
      <c r="A674" t="s">
        <v>697</v>
      </c>
      <c r="H674" s="454" t="s">
        <v>427</v>
      </c>
      <c r="I674" s="496" t="s">
        <v>320</v>
      </c>
      <c r="K674" s="549"/>
      <c r="L674" s="549">
        <f t="shared" si="570"/>
        <v>7568640</v>
      </c>
      <c r="M674" s="549">
        <f t="shared" si="570"/>
        <v>7568640</v>
      </c>
      <c r="N674" s="549">
        <f t="shared" si="570"/>
        <v>7568640</v>
      </c>
      <c r="O674" s="549">
        <f t="shared" si="570"/>
        <v>7568640</v>
      </c>
      <c r="P674" s="549">
        <f t="shared" si="570"/>
        <v>7568640</v>
      </c>
      <c r="Q674" s="549">
        <f t="shared" si="570"/>
        <v>7568640</v>
      </c>
      <c r="R674" s="549">
        <f t="shared" si="570"/>
        <v>7568640</v>
      </c>
      <c r="S674" s="549">
        <f t="shared" si="570"/>
        <v>7568640</v>
      </c>
      <c r="T674" s="549">
        <f t="shared" si="570"/>
        <v>7568640</v>
      </c>
      <c r="U674" s="549">
        <f t="shared" si="570"/>
        <v>7568640</v>
      </c>
      <c r="V674" s="549">
        <f t="shared" si="570"/>
        <v>7568640</v>
      </c>
      <c r="W674" s="549">
        <f t="shared" si="570"/>
        <v>7568640</v>
      </c>
      <c r="X674" s="549">
        <f t="shared" si="570"/>
        <v>7568640</v>
      </c>
      <c r="Y674" s="549">
        <f t="shared" si="570"/>
        <v>7568640</v>
      </c>
      <c r="Z674" s="549">
        <f t="shared" si="570"/>
        <v>7568640</v>
      </c>
      <c r="AA674" s="549"/>
      <c r="AB674" s="549"/>
      <c r="AC674" s="549"/>
      <c r="AD674" s="549"/>
      <c r="AE674" s="549"/>
      <c r="AF674" s="549"/>
      <c r="AG674" s="549"/>
      <c r="AH674" s="549"/>
      <c r="AI674" s="549"/>
      <c r="AJ674" s="549"/>
    </row>
    <row r="675" spans="1:36" s="250" customFormat="1" x14ac:dyDescent="0.25">
      <c r="A675" s="250" t="s">
        <v>697</v>
      </c>
      <c r="H675" s="536" t="s">
        <v>460</v>
      </c>
      <c r="I675" s="547"/>
      <c r="K675" s="550"/>
      <c r="L675" s="551">
        <v>0.88</v>
      </c>
      <c r="M675" s="551">
        <v>0.88</v>
      </c>
      <c r="N675" s="551">
        <v>0.88</v>
      </c>
      <c r="O675" s="551">
        <v>0.88</v>
      </c>
      <c r="P675" s="551">
        <v>0.88</v>
      </c>
      <c r="Q675" s="551">
        <v>0.88</v>
      </c>
      <c r="R675" s="551">
        <v>0.88</v>
      </c>
      <c r="S675" s="551">
        <v>0.88</v>
      </c>
      <c r="T675" s="551">
        <v>0.88</v>
      </c>
      <c r="U675" s="551">
        <v>0.88</v>
      </c>
      <c r="V675" s="551">
        <v>0.88</v>
      </c>
      <c r="W675" s="551">
        <v>0.88</v>
      </c>
      <c r="X675" s="551">
        <v>0.88</v>
      </c>
      <c r="Y675" s="551">
        <v>0.88</v>
      </c>
      <c r="Z675" s="551">
        <v>0.88</v>
      </c>
      <c r="AA675" s="551"/>
      <c r="AB675" s="551"/>
      <c r="AC675" s="551"/>
      <c r="AD675" s="551"/>
      <c r="AE675" s="551"/>
      <c r="AF675" s="551"/>
      <c r="AG675" s="551"/>
      <c r="AH675" s="551"/>
      <c r="AI675" s="551"/>
      <c r="AJ675" s="551"/>
    </row>
    <row r="676" spans="1:36" s="250" customFormat="1" x14ac:dyDescent="0.25">
      <c r="A676" s="250" t="s">
        <v>697</v>
      </c>
      <c r="H676" s="536" t="s">
        <v>461</v>
      </c>
      <c r="I676" s="547"/>
      <c r="K676" s="550"/>
      <c r="L676" s="551">
        <v>0.5</v>
      </c>
      <c r="M676" s="551">
        <v>0.7</v>
      </c>
      <c r="N676" s="551">
        <v>1</v>
      </c>
      <c r="O676" s="551">
        <v>1</v>
      </c>
      <c r="P676" s="551">
        <v>1</v>
      </c>
      <c r="Q676" s="551">
        <v>1</v>
      </c>
      <c r="R676" s="551">
        <v>1</v>
      </c>
      <c r="S676" s="551">
        <v>1</v>
      </c>
      <c r="T676" s="551">
        <v>1</v>
      </c>
      <c r="U676" s="551">
        <v>1</v>
      </c>
      <c r="V676" s="551">
        <v>1</v>
      </c>
      <c r="W676" s="551">
        <v>1</v>
      </c>
      <c r="X676" s="551">
        <v>1</v>
      </c>
      <c r="Y676" s="551">
        <v>1</v>
      </c>
      <c r="Z676" s="551">
        <v>1</v>
      </c>
      <c r="AA676" s="551"/>
      <c r="AB676" s="551"/>
      <c r="AC676" s="551"/>
      <c r="AD676" s="551"/>
      <c r="AE676" s="551"/>
      <c r="AF676" s="551"/>
      <c r="AG676" s="551"/>
      <c r="AH676" s="551"/>
      <c r="AI676" s="551"/>
      <c r="AJ676" s="551"/>
    </row>
    <row r="677" spans="1:36" x14ac:dyDescent="0.25">
      <c r="A677" t="s">
        <v>697</v>
      </c>
      <c r="B677" t="s">
        <v>437</v>
      </c>
      <c r="H677" s="454" t="s">
        <v>70</v>
      </c>
      <c r="I677" s="496"/>
      <c r="K677" s="549"/>
      <c r="L677" s="552" cm="1">
        <f t="array" ref="L677">SUMPRODUCT('W2'!$M$12:$V$112*('W2'!$M$7:$V$7=$A677)*('W2'!$A$12:$A$112=$B677))</f>
        <v>7.0000000000000007E-2</v>
      </c>
      <c r="M677" s="552">
        <f>L677</f>
        <v>7.0000000000000007E-2</v>
      </c>
      <c r="N677" s="552">
        <f t="shared" ref="N677" si="571">M677</f>
        <v>7.0000000000000007E-2</v>
      </c>
      <c r="O677" s="552">
        <f t="shared" ref="O677" si="572">N677</f>
        <v>7.0000000000000007E-2</v>
      </c>
      <c r="P677" s="552">
        <f t="shared" ref="P677" si="573">O677</f>
        <v>7.0000000000000007E-2</v>
      </c>
      <c r="Q677" s="552">
        <f t="shared" ref="Q677" si="574">P677</f>
        <v>7.0000000000000007E-2</v>
      </c>
      <c r="R677" s="552">
        <f t="shared" ref="R677" si="575">Q677</f>
        <v>7.0000000000000007E-2</v>
      </c>
      <c r="S677" s="552">
        <f t="shared" ref="S677" si="576">R677</f>
        <v>7.0000000000000007E-2</v>
      </c>
      <c r="T677" s="552">
        <f t="shared" ref="T677" si="577">S677</f>
        <v>7.0000000000000007E-2</v>
      </c>
      <c r="U677" s="552">
        <f t="shared" ref="U677" si="578">T677</f>
        <v>7.0000000000000007E-2</v>
      </c>
      <c r="V677" s="552">
        <f t="shared" ref="V677" si="579">U677</f>
        <v>7.0000000000000007E-2</v>
      </c>
      <c r="W677" s="552">
        <f t="shared" ref="W677" si="580">V677</f>
        <v>7.0000000000000007E-2</v>
      </c>
      <c r="X677" s="552">
        <f t="shared" ref="X677" si="581">W677</f>
        <v>7.0000000000000007E-2</v>
      </c>
      <c r="Y677" s="552">
        <f t="shared" ref="Y677" si="582">X677</f>
        <v>7.0000000000000007E-2</v>
      </c>
      <c r="Z677" s="552">
        <f t="shared" ref="Z677" si="583">Y677</f>
        <v>7.0000000000000007E-2</v>
      </c>
      <c r="AA677" s="552"/>
      <c r="AB677" s="552"/>
      <c r="AC677" s="552"/>
      <c r="AD677" s="552"/>
      <c r="AE677" s="552"/>
      <c r="AF677" s="552"/>
      <c r="AG677" s="552"/>
      <c r="AH677" s="552"/>
      <c r="AI677" s="552"/>
      <c r="AJ677" s="552"/>
    </row>
    <row r="678" spans="1:36" x14ac:dyDescent="0.25">
      <c r="A678" t="s">
        <v>697</v>
      </c>
      <c r="H678" s="454" t="s">
        <v>59</v>
      </c>
      <c r="I678" s="496"/>
      <c r="K678" s="549"/>
      <c r="L678" s="549">
        <f>365*L675*L676</f>
        <v>160.6</v>
      </c>
      <c r="M678" s="549">
        <f t="shared" ref="M678:AJ678" si="584">365*M675*M676</f>
        <v>224.83999999999997</v>
      </c>
      <c r="N678" s="549">
        <f t="shared" si="584"/>
        <v>321.2</v>
      </c>
      <c r="O678" s="549">
        <f t="shared" si="584"/>
        <v>321.2</v>
      </c>
      <c r="P678" s="549">
        <f t="shared" si="584"/>
        <v>321.2</v>
      </c>
      <c r="Q678" s="549">
        <f t="shared" si="584"/>
        <v>321.2</v>
      </c>
      <c r="R678" s="549">
        <f t="shared" si="584"/>
        <v>321.2</v>
      </c>
      <c r="S678" s="549">
        <f t="shared" si="584"/>
        <v>321.2</v>
      </c>
      <c r="T678" s="549">
        <f t="shared" si="584"/>
        <v>321.2</v>
      </c>
      <c r="U678" s="549">
        <f t="shared" si="584"/>
        <v>321.2</v>
      </c>
      <c r="V678" s="549">
        <f t="shared" si="584"/>
        <v>321.2</v>
      </c>
      <c r="W678" s="549">
        <f t="shared" si="584"/>
        <v>321.2</v>
      </c>
      <c r="X678" s="549">
        <f t="shared" si="584"/>
        <v>321.2</v>
      </c>
      <c r="Y678" s="549">
        <f t="shared" si="584"/>
        <v>321.2</v>
      </c>
      <c r="Z678" s="549">
        <f t="shared" si="584"/>
        <v>321.2</v>
      </c>
      <c r="AA678" s="549"/>
      <c r="AB678" s="549"/>
      <c r="AC678" s="549"/>
      <c r="AD678" s="549"/>
      <c r="AE678" s="549"/>
      <c r="AF678" s="549"/>
      <c r="AG678" s="549"/>
      <c r="AH678" s="549"/>
      <c r="AI678" s="549"/>
      <c r="AJ678" s="549"/>
    </row>
    <row r="679" spans="1:36" x14ac:dyDescent="0.25">
      <c r="A679" t="s">
        <v>697</v>
      </c>
      <c r="C679" t="s">
        <v>574</v>
      </c>
      <c r="H679" s="454" t="s">
        <v>202</v>
      </c>
      <c r="I679" s="496" t="s">
        <v>436</v>
      </c>
      <c r="K679" s="549"/>
      <c r="L679" s="549">
        <f>L673*L675*(1-L677)*L676</f>
        <v>3097087.4879999999</v>
      </c>
      <c r="M679" s="549">
        <f t="shared" ref="M679:AJ679" si="585">M673*M675*(1-M677)*M676</f>
        <v>4335922.4831999997</v>
      </c>
      <c r="N679" s="549">
        <f t="shared" si="585"/>
        <v>6194174.9759999998</v>
      </c>
      <c r="O679" s="549">
        <f t="shared" si="585"/>
        <v>6194174.9759999998</v>
      </c>
      <c r="P679" s="549">
        <f t="shared" si="585"/>
        <v>6194174.9759999998</v>
      </c>
      <c r="Q679" s="549">
        <f t="shared" si="585"/>
        <v>6194174.9759999998</v>
      </c>
      <c r="R679" s="549">
        <f t="shared" si="585"/>
        <v>6194174.9759999998</v>
      </c>
      <c r="S679" s="549">
        <f t="shared" si="585"/>
        <v>6194174.9759999998</v>
      </c>
      <c r="T679" s="549">
        <f t="shared" si="585"/>
        <v>6194174.9759999998</v>
      </c>
      <c r="U679" s="549">
        <f t="shared" si="585"/>
        <v>6194174.9759999998</v>
      </c>
      <c r="V679" s="549">
        <f t="shared" si="585"/>
        <v>6194174.9759999998</v>
      </c>
      <c r="W679" s="549">
        <f t="shared" si="585"/>
        <v>6194174.9759999998</v>
      </c>
      <c r="X679" s="549">
        <f t="shared" si="585"/>
        <v>6194174.9759999998</v>
      </c>
      <c r="Y679" s="549">
        <f t="shared" si="585"/>
        <v>6194174.9759999998</v>
      </c>
      <c r="Z679" s="549">
        <f t="shared" si="585"/>
        <v>6194174.9759999998</v>
      </c>
      <c r="AA679" s="549"/>
      <c r="AB679" s="549"/>
      <c r="AC679" s="549"/>
      <c r="AD679" s="549"/>
      <c r="AE679" s="549"/>
      <c r="AF679" s="549"/>
      <c r="AG679" s="549"/>
      <c r="AH679" s="549"/>
      <c r="AI679" s="549"/>
      <c r="AJ679" s="549"/>
    </row>
    <row r="680" spans="1:36" x14ac:dyDescent="0.25">
      <c r="A680" t="s">
        <v>697</v>
      </c>
      <c r="C680" t="s">
        <v>575</v>
      </c>
      <c r="H680" s="454" t="s">
        <v>202</v>
      </c>
      <c r="I680" s="496" t="s">
        <v>320</v>
      </c>
      <c r="K680" s="549"/>
      <c r="L680" s="549">
        <f t="shared" ref="L680:AJ680" si="586">L679*PHOI_KG</f>
        <v>206472499.20000002</v>
      </c>
      <c r="M680" s="549">
        <f t="shared" si="586"/>
        <v>289061498.88</v>
      </c>
      <c r="N680" s="549">
        <f t="shared" si="586"/>
        <v>412944998.40000004</v>
      </c>
      <c r="O680" s="549">
        <f t="shared" si="586"/>
        <v>412944998.40000004</v>
      </c>
      <c r="P680" s="549">
        <f t="shared" si="586"/>
        <v>412944998.40000004</v>
      </c>
      <c r="Q680" s="549">
        <f t="shared" si="586"/>
        <v>412944998.40000004</v>
      </c>
      <c r="R680" s="549">
        <f t="shared" si="586"/>
        <v>412944998.40000004</v>
      </c>
      <c r="S680" s="549">
        <f t="shared" si="586"/>
        <v>412944998.40000004</v>
      </c>
      <c r="T680" s="549">
        <f t="shared" si="586"/>
        <v>412944998.40000004</v>
      </c>
      <c r="U680" s="549">
        <f t="shared" si="586"/>
        <v>412944998.40000004</v>
      </c>
      <c r="V680" s="549">
        <f t="shared" si="586"/>
        <v>412944998.40000004</v>
      </c>
      <c r="W680" s="549">
        <f t="shared" si="586"/>
        <v>412944998.40000004</v>
      </c>
      <c r="X680" s="549">
        <f t="shared" si="586"/>
        <v>412944998.40000004</v>
      </c>
      <c r="Y680" s="549">
        <f t="shared" si="586"/>
        <v>412944998.40000004</v>
      </c>
      <c r="Z680" s="549">
        <f t="shared" si="586"/>
        <v>412944998.40000004</v>
      </c>
      <c r="AA680" s="549"/>
      <c r="AB680" s="549"/>
      <c r="AC680" s="549"/>
      <c r="AD680" s="549"/>
      <c r="AE680" s="549"/>
      <c r="AF680" s="549"/>
      <c r="AG680" s="549"/>
      <c r="AH680" s="549"/>
      <c r="AI680" s="549"/>
      <c r="AJ680" s="549"/>
    </row>
    <row r="681" spans="1:36" x14ac:dyDescent="0.25">
      <c r="A681" t="s">
        <v>697</v>
      </c>
      <c r="K681" s="243"/>
      <c r="L681" s="243"/>
      <c r="M681" s="243"/>
      <c r="N681" s="243"/>
      <c r="O681" s="243"/>
      <c r="P681" s="243"/>
      <c r="Q681" s="243"/>
      <c r="R681" s="243"/>
      <c r="S681" s="243"/>
      <c r="T681" s="243"/>
      <c r="U681" s="243"/>
      <c r="V681" s="243"/>
      <c r="W681" s="243"/>
      <c r="X681" s="243"/>
      <c r="Y681" s="243"/>
      <c r="Z681" s="243"/>
      <c r="AA681" s="243"/>
      <c r="AB681" s="243"/>
      <c r="AC681" s="243"/>
      <c r="AD681" s="243"/>
      <c r="AE681" s="243"/>
      <c r="AF681" s="243"/>
      <c r="AG681" s="243"/>
      <c r="AH681" s="243"/>
      <c r="AI681" s="243"/>
      <c r="AJ681" s="243"/>
    </row>
    <row r="682" spans="1:36" s="24" customFormat="1" ht="17.25" x14ac:dyDescent="0.3">
      <c r="A682" s="24" t="s">
        <v>697</v>
      </c>
      <c r="H682" s="24" t="s">
        <v>670</v>
      </c>
      <c r="K682" s="635"/>
      <c r="L682" s="635"/>
      <c r="M682" s="635"/>
      <c r="N682" s="635"/>
      <c r="O682" s="635"/>
      <c r="P682" s="635"/>
      <c r="Q682" s="635"/>
      <c r="R682" s="635"/>
      <c r="S682" s="635"/>
      <c r="T682" s="635"/>
      <c r="U682" s="635"/>
      <c r="V682" s="635"/>
      <c r="W682" s="635"/>
      <c r="X682" s="635"/>
      <c r="Y682" s="635"/>
      <c r="Z682" s="635"/>
      <c r="AA682" s="635"/>
      <c r="AB682" s="635"/>
      <c r="AC682" s="635"/>
      <c r="AD682" s="635"/>
      <c r="AE682" s="635"/>
      <c r="AF682" s="635"/>
      <c r="AG682" s="635"/>
      <c r="AH682" s="635"/>
      <c r="AI682" s="635"/>
      <c r="AJ682" s="635"/>
    </row>
    <row r="683" spans="1:36" s="250" customFormat="1" x14ac:dyDescent="0.25">
      <c r="A683" s="250" t="s">
        <v>697</v>
      </c>
      <c r="B683" s="250" t="s">
        <v>665</v>
      </c>
      <c r="H683" s="625" t="s">
        <v>663</v>
      </c>
      <c r="I683" s="626" t="s">
        <v>71</v>
      </c>
      <c r="K683" s="627"/>
      <c r="L683" s="630" cm="1">
        <f t="array" ref="L683">SUMPRODUCT('W2'!$M$12:$V$112*('W2'!$M$7:$V$7=$A683)*('W2'!$A$12:$A$112=$B683))</f>
        <v>2.0000000000000001E-4</v>
      </c>
      <c r="M683" s="629">
        <f>L683</f>
        <v>2.0000000000000001E-4</v>
      </c>
      <c r="N683" s="629">
        <f t="shared" ref="N683:N684" si="587">M683</f>
        <v>2.0000000000000001E-4</v>
      </c>
      <c r="O683" s="629">
        <f t="shared" ref="O683:O684" si="588">N683</f>
        <v>2.0000000000000001E-4</v>
      </c>
      <c r="P683" s="629">
        <f t="shared" ref="P683:P684" si="589">O683</f>
        <v>2.0000000000000001E-4</v>
      </c>
      <c r="Q683" s="629">
        <f t="shared" ref="Q683:Q684" si="590">P683</f>
        <v>2.0000000000000001E-4</v>
      </c>
      <c r="R683" s="629">
        <f t="shared" ref="R683:R684" si="591">Q683</f>
        <v>2.0000000000000001E-4</v>
      </c>
      <c r="S683" s="629">
        <f t="shared" ref="S683:S684" si="592">R683</f>
        <v>2.0000000000000001E-4</v>
      </c>
      <c r="T683" s="629">
        <f t="shared" ref="T683:T684" si="593">S683</f>
        <v>2.0000000000000001E-4</v>
      </c>
      <c r="U683" s="629">
        <f t="shared" ref="U683:U684" si="594">T683</f>
        <v>2.0000000000000001E-4</v>
      </c>
      <c r="V683" s="629">
        <f t="shared" ref="V683:V684" si="595">U683</f>
        <v>2.0000000000000001E-4</v>
      </c>
      <c r="W683" s="629">
        <f t="shared" ref="W683:W684" si="596">V683</f>
        <v>2.0000000000000001E-4</v>
      </c>
      <c r="X683" s="629">
        <f t="shared" ref="X683:X684" si="597">W683</f>
        <v>2.0000000000000001E-4</v>
      </c>
      <c r="Y683" s="629">
        <f t="shared" ref="Y683:Y684" si="598">X683</f>
        <v>2.0000000000000001E-4</v>
      </c>
      <c r="Z683" s="629">
        <f t="shared" ref="Z683:Z684" si="599">Y683</f>
        <v>2.0000000000000001E-4</v>
      </c>
      <c r="AA683" s="629"/>
      <c r="AB683" s="629"/>
      <c r="AC683" s="629"/>
      <c r="AD683" s="629"/>
      <c r="AE683" s="629"/>
      <c r="AF683" s="629"/>
      <c r="AG683" s="629"/>
      <c r="AH683" s="629"/>
      <c r="AI683" s="629"/>
      <c r="AJ683" s="629"/>
    </row>
    <row r="684" spans="1:36" s="250" customFormat="1" x14ac:dyDescent="0.25">
      <c r="A684" s="250" t="s">
        <v>697</v>
      </c>
      <c r="B684" s="250" t="s">
        <v>666</v>
      </c>
      <c r="H684" s="536" t="s">
        <v>664</v>
      </c>
      <c r="I684" s="547" t="s">
        <v>71</v>
      </c>
      <c r="K684" s="628"/>
      <c r="L684" s="630" cm="1">
        <f t="array" ref="L684">SUMPRODUCT('W2'!$M$12:$V$112*('W2'!$M$7:$V$7=$A684)*('W2'!$A$12:$A$112=$B684))</f>
        <v>0</v>
      </c>
      <c r="M684" s="629">
        <f>L684</f>
        <v>0</v>
      </c>
      <c r="N684" s="629">
        <f t="shared" si="587"/>
        <v>0</v>
      </c>
      <c r="O684" s="629">
        <f t="shared" si="588"/>
        <v>0</v>
      </c>
      <c r="P684" s="629">
        <f t="shared" si="589"/>
        <v>0</v>
      </c>
      <c r="Q684" s="629">
        <f t="shared" si="590"/>
        <v>0</v>
      </c>
      <c r="R684" s="629">
        <f t="shared" si="591"/>
        <v>0</v>
      </c>
      <c r="S684" s="629">
        <f t="shared" si="592"/>
        <v>0</v>
      </c>
      <c r="T684" s="629">
        <f t="shared" si="593"/>
        <v>0</v>
      </c>
      <c r="U684" s="629">
        <f t="shared" si="594"/>
        <v>0</v>
      </c>
      <c r="V684" s="629">
        <f t="shared" si="595"/>
        <v>0</v>
      </c>
      <c r="W684" s="629">
        <f t="shared" si="596"/>
        <v>0</v>
      </c>
      <c r="X684" s="629">
        <f t="shared" si="597"/>
        <v>0</v>
      </c>
      <c r="Y684" s="629">
        <f t="shared" si="598"/>
        <v>0</v>
      </c>
      <c r="Z684" s="629">
        <f t="shared" si="599"/>
        <v>0</v>
      </c>
      <c r="AA684" s="629"/>
      <c r="AB684" s="629"/>
      <c r="AC684" s="629"/>
      <c r="AD684" s="629"/>
      <c r="AE684" s="629"/>
      <c r="AF684" s="629"/>
      <c r="AG684" s="629"/>
      <c r="AH684" s="629"/>
      <c r="AI684" s="629"/>
      <c r="AJ684" s="629"/>
    </row>
    <row r="685" spans="1:36" x14ac:dyDescent="0.25">
      <c r="A685" t="s">
        <v>697</v>
      </c>
      <c r="H685" s="454" t="s">
        <v>671</v>
      </c>
      <c r="I685" s="496" t="s">
        <v>436</v>
      </c>
      <c r="K685" s="549"/>
      <c r="L685" s="549">
        <f>L683*L679/(1-L677)</f>
        <v>666.04032000000007</v>
      </c>
      <c r="M685" s="549">
        <f>M683*M679/(1-M677)</f>
        <v>932.45644800000014</v>
      </c>
      <c r="N685" s="549">
        <f t="shared" ref="N685:AJ685" si="600">N683*N679/(1-N677)</f>
        <v>1332.0806400000001</v>
      </c>
      <c r="O685" s="549">
        <f t="shared" si="600"/>
        <v>1332.0806400000001</v>
      </c>
      <c r="P685" s="549">
        <f t="shared" si="600"/>
        <v>1332.0806400000001</v>
      </c>
      <c r="Q685" s="549">
        <f t="shared" si="600"/>
        <v>1332.0806400000001</v>
      </c>
      <c r="R685" s="549">
        <f t="shared" si="600"/>
        <v>1332.0806400000001</v>
      </c>
      <c r="S685" s="549">
        <f t="shared" si="600"/>
        <v>1332.0806400000001</v>
      </c>
      <c r="T685" s="549">
        <f t="shared" si="600"/>
        <v>1332.0806400000001</v>
      </c>
      <c r="U685" s="549">
        <f t="shared" si="600"/>
        <v>1332.0806400000001</v>
      </c>
      <c r="V685" s="549">
        <f t="shared" si="600"/>
        <v>1332.0806400000001</v>
      </c>
      <c r="W685" s="549">
        <f t="shared" si="600"/>
        <v>1332.0806400000001</v>
      </c>
      <c r="X685" s="549">
        <f t="shared" si="600"/>
        <v>1332.0806400000001</v>
      </c>
      <c r="Y685" s="549">
        <f t="shared" si="600"/>
        <v>1332.0806400000001</v>
      </c>
      <c r="Z685" s="549">
        <f t="shared" si="600"/>
        <v>1332.0806400000001</v>
      </c>
      <c r="AA685" s="549"/>
      <c r="AB685" s="549"/>
      <c r="AC685" s="549"/>
      <c r="AD685" s="549"/>
      <c r="AE685" s="549"/>
      <c r="AF685" s="549"/>
      <c r="AG685" s="549"/>
      <c r="AH685" s="549"/>
      <c r="AI685" s="549"/>
      <c r="AJ685" s="549"/>
    </row>
    <row r="686" spans="1:36" x14ac:dyDescent="0.25">
      <c r="A686" t="s">
        <v>697</v>
      </c>
      <c r="H686" s="454" t="s">
        <v>675</v>
      </c>
      <c r="I686" s="496" t="s">
        <v>436</v>
      </c>
      <c r="K686" s="549"/>
      <c r="L686" s="549">
        <f>L684*L679/(1-L677)</f>
        <v>0</v>
      </c>
      <c r="M686" s="549">
        <f t="shared" ref="M686:AJ686" si="601">M684*M679/(1-M677)</f>
        <v>0</v>
      </c>
      <c r="N686" s="549">
        <f t="shared" si="601"/>
        <v>0</v>
      </c>
      <c r="O686" s="549">
        <f t="shared" si="601"/>
        <v>0</v>
      </c>
      <c r="P686" s="549">
        <f t="shared" si="601"/>
        <v>0</v>
      </c>
      <c r="Q686" s="549">
        <f t="shared" si="601"/>
        <v>0</v>
      </c>
      <c r="R686" s="549">
        <f t="shared" si="601"/>
        <v>0</v>
      </c>
      <c r="S686" s="549">
        <f t="shared" si="601"/>
        <v>0</v>
      </c>
      <c r="T686" s="549">
        <f t="shared" si="601"/>
        <v>0</v>
      </c>
      <c r="U686" s="549">
        <f t="shared" si="601"/>
        <v>0</v>
      </c>
      <c r="V686" s="549">
        <f t="shared" si="601"/>
        <v>0</v>
      </c>
      <c r="W686" s="549">
        <f t="shared" si="601"/>
        <v>0</v>
      </c>
      <c r="X686" s="549">
        <f t="shared" si="601"/>
        <v>0</v>
      </c>
      <c r="Y686" s="549">
        <f t="shared" si="601"/>
        <v>0</v>
      </c>
      <c r="Z686" s="549">
        <f t="shared" si="601"/>
        <v>0</v>
      </c>
      <c r="AA686" s="549"/>
      <c r="AB686" s="549"/>
      <c r="AC686" s="549"/>
      <c r="AD686" s="549"/>
      <c r="AE686" s="549"/>
      <c r="AF686" s="549"/>
      <c r="AG686" s="549"/>
      <c r="AH686" s="549"/>
      <c r="AI686" s="549"/>
      <c r="AJ686" s="549"/>
    </row>
    <row r="687" spans="1:36" x14ac:dyDescent="0.25">
      <c r="A687" t="s">
        <v>697</v>
      </c>
      <c r="K687" s="243"/>
      <c r="L687" s="243"/>
      <c r="M687" s="243"/>
      <c r="N687" s="243"/>
      <c r="O687" s="243"/>
      <c r="P687" s="243"/>
      <c r="Q687" s="243"/>
      <c r="R687" s="243"/>
      <c r="S687" s="243"/>
      <c r="T687" s="243"/>
      <c r="U687" s="243"/>
      <c r="V687" s="243"/>
      <c r="W687" s="243"/>
      <c r="X687" s="243"/>
      <c r="Y687" s="243"/>
      <c r="Z687" s="243"/>
      <c r="AA687" s="243"/>
      <c r="AB687" s="243"/>
      <c r="AC687" s="243"/>
      <c r="AD687" s="243"/>
      <c r="AE687" s="243"/>
      <c r="AF687" s="243"/>
      <c r="AG687" s="243"/>
      <c r="AH687" s="243"/>
      <c r="AI687" s="243"/>
      <c r="AJ687" s="243"/>
    </row>
    <row r="688" spans="1:36" x14ac:dyDescent="0.25">
      <c r="A688" t="s">
        <v>697</v>
      </c>
      <c r="K688" s="243"/>
      <c r="L688" s="243"/>
      <c r="M688" s="243"/>
      <c r="N688" s="243"/>
      <c r="O688" s="243"/>
      <c r="P688" s="243"/>
      <c r="Q688" s="243"/>
      <c r="R688" s="243"/>
      <c r="S688" s="243"/>
      <c r="T688" s="243"/>
      <c r="U688" s="243"/>
      <c r="V688" s="243"/>
      <c r="W688" s="243"/>
      <c r="X688" s="243"/>
      <c r="Y688" s="243"/>
      <c r="Z688" s="243"/>
      <c r="AA688" s="243"/>
      <c r="AB688" s="243"/>
      <c r="AC688" s="243"/>
      <c r="AD688" s="243"/>
      <c r="AE688" s="243"/>
      <c r="AF688" s="243"/>
      <c r="AG688" s="243"/>
      <c r="AH688" s="243"/>
      <c r="AI688" s="243"/>
      <c r="AJ688" s="243"/>
    </row>
    <row r="689" spans="1:43" x14ac:dyDescent="0.25">
      <c r="A689" t="s">
        <v>697</v>
      </c>
      <c r="K689" s="243"/>
      <c r="L689" s="243"/>
      <c r="M689" s="243"/>
      <c r="N689" s="243"/>
      <c r="O689" s="243"/>
      <c r="P689" s="243"/>
      <c r="Q689" s="243"/>
      <c r="R689" s="243"/>
      <c r="S689" s="243"/>
      <c r="T689" s="243"/>
      <c r="U689" s="243"/>
      <c r="V689" s="243"/>
      <c r="W689" s="243"/>
      <c r="X689" s="243"/>
      <c r="Y689" s="243"/>
      <c r="Z689" s="243"/>
      <c r="AA689" s="243"/>
      <c r="AB689" s="243"/>
      <c r="AC689" s="243"/>
      <c r="AD689" s="243"/>
      <c r="AE689" s="243"/>
      <c r="AF689" s="243"/>
      <c r="AG689" s="243"/>
      <c r="AH689" s="243"/>
      <c r="AI689" s="243"/>
      <c r="AJ689" s="243"/>
    </row>
    <row r="690" spans="1:43" s="1" customFormat="1" x14ac:dyDescent="0.25">
      <c r="A690" s="1" t="s">
        <v>697</v>
      </c>
      <c r="H690" s="266" t="s">
        <v>434</v>
      </c>
      <c r="I690" s="267" t="str">
        <f t="shared" ref="I690:I698" si="602">IF($H$9="USD","USD","tr. VND")</f>
        <v>tr. VND</v>
      </c>
      <c r="K690" s="268">
        <f t="shared" ref="K690" si="603">SUM(K691:K692,K695:K698,)</f>
        <v>0</v>
      </c>
      <c r="L690" s="268">
        <f>SUM(L691:L692,L695:L698,)</f>
        <v>-43649.936933333331</v>
      </c>
      <c r="M690" s="268">
        <f t="shared" ref="M690:AJ690" si="604">SUM(M691:M692,M695:M698,)</f>
        <v>-43649.936933333331</v>
      </c>
      <c r="N690" s="268">
        <f t="shared" si="604"/>
        <v>-44549.234633333333</v>
      </c>
      <c r="O690" s="268">
        <f t="shared" si="604"/>
        <v>-45493.497218333338</v>
      </c>
      <c r="P690" s="268">
        <f t="shared" si="604"/>
        <v>-46484.97293258334</v>
      </c>
      <c r="Q690" s="268">
        <f t="shared" si="604"/>
        <v>-47526.022432545833</v>
      </c>
      <c r="R690" s="268">
        <f t="shared" si="604"/>
        <v>-48619.124407506461</v>
      </c>
      <c r="S690" s="268">
        <f t="shared" si="604"/>
        <v>-49766.881481215125</v>
      </c>
      <c r="T690" s="268">
        <f t="shared" si="604"/>
        <v>-50972.026408609207</v>
      </c>
      <c r="U690" s="268">
        <f t="shared" si="604"/>
        <v>-52237.428582373002</v>
      </c>
      <c r="V690" s="268">
        <f t="shared" si="604"/>
        <v>-53566.100864824984</v>
      </c>
      <c r="W690" s="268">
        <f t="shared" si="604"/>
        <v>-54961.20676139956</v>
      </c>
      <c r="X690" s="268">
        <f t="shared" si="604"/>
        <v>-31363.584619469544</v>
      </c>
      <c r="Y690" s="268">
        <f t="shared" si="604"/>
        <v>-32901.688870443017</v>
      </c>
      <c r="Z690" s="268">
        <f t="shared" si="604"/>
        <v>-34516.698333965178</v>
      </c>
      <c r="AA690" s="268"/>
      <c r="AB690" s="268"/>
      <c r="AC690" s="268"/>
      <c r="AD690" s="268"/>
      <c r="AE690" s="268"/>
      <c r="AF690" s="268"/>
      <c r="AG690" s="268"/>
      <c r="AH690" s="268"/>
      <c r="AI690" s="268"/>
      <c r="AJ690" s="268"/>
    </row>
    <row r="691" spans="1:43" x14ac:dyDescent="0.25">
      <c r="A691" t="s">
        <v>697</v>
      </c>
      <c r="B691" t="s">
        <v>173</v>
      </c>
      <c r="H691" s="459" t="s">
        <v>190</v>
      </c>
      <c r="I691" s="493" t="str">
        <f t="shared" si="602"/>
        <v>tr. VND</v>
      </c>
      <c r="K691" s="492"/>
      <c r="L691" s="548" cm="1">
        <f t="array" ref="L691">-SUMPRODUCT('W1'!$BI$10:$NE$60*('W1'!$BI$7:$NE$7=$A691)*('W1'!$BI$8:$NE$8=L$14)*('W1'!$A$10:$A$60=$B691))*$H$10</f>
        <v>-25062.483333333334</v>
      </c>
      <c r="M691" s="548" cm="1">
        <f t="array" ref="M691">-SUMPRODUCT('W1'!$BI$10:$NE$60*('W1'!$BI$7:$NE$7=$A691)*('W1'!$BI$8:$NE$8=M$14)*('W1'!$A$10:$A$60=$B691))*$H$10</f>
        <v>-25062.483333333334</v>
      </c>
      <c r="N691" s="548" cm="1">
        <f t="array" ref="N691">-SUMPRODUCT('W1'!$BI$10:$NE$60*('W1'!$BI$7:$NE$7=$A691)*('W1'!$BI$8:$NE$8=N$14)*('W1'!$A$10:$A$60=$B691))*$H$10</f>
        <v>-25062.483333333334</v>
      </c>
      <c r="O691" s="548" cm="1">
        <f t="array" ref="O691">-SUMPRODUCT('W1'!$BI$10:$NE$60*('W1'!$BI$7:$NE$7=$A691)*('W1'!$BI$8:$NE$8=O$14)*('W1'!$A$10:$A$60=$B691))*$H$10</f>
        <v>-25062.483333333334</v>
      </c>
      <c r="P691" s="548" cm="1">
        <f t="array" ref="P691">-SUMPRODUCT('W1'!$BI$10:$NE$60*('W1'!$BI$7:$NE$7=$A691)*('W1'!$BI$8:$NE$8=P$14)*('W1'!$A$10:$A$60=$B691))*$H$10</f>
        <v>-25062.483333333334</v>
      </c>
      <c r="Q691" s="548" cm="1">
        <f t="array" ref="Q691">-SUMPRODUCT('W1'!$BI$10:$NE$60*('W1'!$BI$7:$NE$7=$A691)*('W1'!$BI$8:$NE$8=Q$14)*('W1'!$A$10:$A$60=$B691))*$H$10</f>
        <v>-25062.483333333334</v>
      </c>
      <c r="R691" s="548" cm="1">
        <f t="array" ref="R691">-SUMPRODUCT('W1'!$BI$10:$NE$60*('W1'!$BI$7:$NE$7=$A691)*('W1'!$BI$8:$NE$8=R$14)*('W1'!$A$10:$A$60=$B691))*$H$10</f>
        <v>-25062.483333333334</v>
      </c>
      <c r="S691" s="548" cm="1">
        <f t="array" ref="S691">-SUMPRODUCT('W1'!$BI$10:$NE$60*('W1'!$BI$7:$NE$7=$A691)*('W1'!$BI$8:$NE$8=S$14)*('W1'!$A$10:$A$60=$B691))*$H$10</f>
        <v>-25062.483333333334</v>
      </c>
      <c r="T691" s="548" cm="1">
        <f t="array" ref="T691">-SUMPRODUCT('W1'!$BI$10:$NE$60*('W1'!$BI$7:$NE$7=$A691)*('W1'!$BI$8:$NE$8=T$14)*('W1'!$A$10:$A$60=$B691))*$H$10</f>
        <v>-25062.483333333334</v>
      </c>
      <c r="U691" s="548" cm="1">
        <f t="array" ref="U691">-SUMPRODUCT('W1'!$BI$10:$NE$60*('W1'!$BI$7:$NE$7=$A691)*('W1'!$BI$8:$NE$8=U$14)*('W1'!$A$10:$A$60=$B691))*$H$10</f>
        <v>-25062.483333333334</v>
      </c>
      <c r="V691" s="548" cm="1">
        <f t="array" ref="V691">-SUMPRODUCT('W1'!$BI$10:$NE$60*('W1'!$BI$7:$NE$7=$A691)*('W1'!$BI$8:$NE$8=V$14)*('W1'!$A$10:$A$60=$B691))*$H$10</f>
        <v>-25062.483333333334</v>
      </c>
      <c r="W691" s="548" cm="1">
        <f t="array" ref="W691">-SUMPRODUCT('W1'!$BI$10:$NE$60*('W1'!$BI$7:$NE$7=$A691)*('W1'!$BI$8:$NE$8=W$14)*('W1'!$A$10:$A$60=$B691))*$H$10</f>
        <v>-25062.483333333334</v>
      </c>
      <c r="X691" s="548" cm="1">
        <f t="array" ref="X691">-SUMPRODUCT('W1'!$BI$10:$NE$60*('W1'!$BI$7:$NE$7=$A691)*('W1'!$BI$8:$NE$8=X$14)*('W1'!$A$10:$A$60=$B691))*$H$10</f>
        <v>0</v>
      </c>
      <c r="Y691" s="548" cm="1">
        <f t="array" ref="Y691">-SUMPRODUCT('W1'!$BI$10:$NE$60*('W1'!$BI$7:$NE$7=$A691)*('W1'!$BI$8:$NE$8=Y$14)*('W1'!$A$10:$A$60=$B691))*$H$10</f>
        <v>0</v>
      </c>
      <c r="Z691" s="548" cm="1">
        <f t="array" ref="Z691">-SUMPRODUCT('W1'!$BI$10:$NE$60*('W1'!$BI$7:$NE$7=$A691)*('W1'!$BI$8:$NE$8=Z$14)*('W1'!$A$10:$A$60=$B691))*$H$10</f>
        <v>0</v>
      </c>
      <c r="AA691" s="548"/>
      <c r="AB691" s="548"/>
      <c r="AC691" s="548"/>
      <c r="AD691" s="548"/>
      <c r="AE691" s="548"/>
      <c r="AF691" s="548"/>
      <c r="AG691" s="548"/>
      <c r="AH691" s="548"/>
      <c r="AI691" s="548"/>
      <c r="AJ691" s="548"/>
    </row>
    <row r="692" spans="1:43" x14ac:dyDescent="0.25">
      <c r="A692" t="s">
        <v>697</v>
      </c>
      <c r="H692" s="454" t="s">
        <v>429</v>
      </c>
      <c r="I692" s="496" t="str">
        <f t="shared" si="602"/>
        <v>tr. VND</v>
      </c>
      <c r="K692" s="549">
        <f>SUM(K693:K694)</f>
        <v>0</v>
      </c>
      <c r="L692" s="549">
        <f t="shared" ref="L692:AJ692" si="605">SUM(L693:L694)</f>
        <v>-6011.46</v>
      </c>
      <c r="M692" s="549">
        <f t="shared" si="605"/>
        <v>-6011.46</v>
      </c>
      <c r="N692" s="549">
        <f t="shared" si="605"/>
        <v>-6312.0329999999994</v>
      </c>
      <c r="O692" s="549">
        <f t="shared" si="605"/>
        <v>-6627.63465</v>
      </c>
      <c r="P692" s="549">
        <f t="shared" si="605"/>
        <v>-6959.0163825000009</v>
      </c>
      <c r="Q692" s="549">
        <f t="shared" si="605"/>
        <v>-7306.9672016249997</v>
      </c>
      <c r="R692" s="549">
        <f t="shared" si="605"/>
        <v>-7672.3155617062503</v>
      </c>
      <c r="S692" s="549">
        <f t="shared" si="605"/>
        <v>-8055.931339791563</v>
      </c>
      <c r="T692" s="549">
        <f t="shared" si="605"/>
        <v>-8458.7279067811414</v>
      </c>
      <c r="U692" s="549">
        <f t="shared" si="605"/>
        <v>-8881.664302120198</v>
      </c>
      <c r="V692" s="549">
        <f t="shared" si="605"/>
        <v>-9325.7475172262075</v>
      </c>
      <c r="W692" s="549">
        <f t="shared" si="605"/>
        <v>-9792.0348930875189</v>
      </c>
      <c r="X692" s="549">
        <f t="shared" si="605"/>
        <v>-10281.636637741896</v>
      </c>
      <c r="Y692" s="549">
        <f t="shared" si="605"/>
        <v>-10795.718469628988</v>
      </c>
      <c r="Z692" s="549">
        <f t="shared" si="605"/>
        <v>-11335.504393110441</v>
      </c>
      <c r="AA692" s="549"/>
      <c r="AB692" s="549"/>
      <c r="AC692" s="549"/>
      <c r="AD692" s="549"/>
      <c r="AE692" s="549"/>
      <c r="AF692" s="549"/>
      <c r="AG692" s="549"/>
      <c r="AH692" s="549"/>
      <c r="AI692" s="549"/>
      <c r="AJ692" s="549"/>
    </row>
    <row r="693" spans="1:43" s="299" customFormat="1" x14ac:dyDescent="0.25">
      <c r="A693" s="299" t="s">
        <v>697</v>
      </c>
      <c r="B693" s="299" t="s">
        <v>449</v>
      </c>
      <c r="H693" s="553" t="s">
        <v>430</v>
      </c>
      <c r="I693" s="554" t="str">
        <f t="shared" si="602"/>
        <v>tr. VND</v>
      </c>
      <c r="K693" s="555"/>
      <c r="L693" s="555" cm="1">
        <f t="array" ref="L693">-SUMPRODUCT('W2'!$M$12:$V$112*('W2'!$M$7:$V$7=$A693)*('W2'!$A$12:$A$112=$B693))*$H$10*POWER(1+Inflation,L$11+1)</f>
        <v>-982.8</v>
      </c>
      <c r="M693" s="555" cm="1">
        <f t="array" ref="M693">-SUMPRODUCT('W2'!$M$12:$V$112*('W2'!$M$7:$V$7=$A693)*('W2'!$A$12:$A$112=$B693))*$H$10*POWER(1+Inflation,M$11+1)</f>
        <v>-982.8</v>
      </c>
      <c r="N693" s="555" cm="1">
        <f t="array" ref="N693">-SUMPRODUCT('W2'!$M$12:$V$112*('W2'!$M$7:$V$7=$A693)*('W2'!$A$12:$A$112=$B693))*$H$10*POWER(1+Inflation,N$11+1)</f>
        <v>-1031.94</v>
      </c>
      <c r="O693" s="555" cm="1">
        <f t="array" ref="O693">-SUMPRODUCT('W2'!$M$12:$V$112*('W2'!$M$7:$V$7=$A693)*('W2'!$A$12:$A$112=$B693))*$H$10*POWER(1+Inflation,O$11+1)</f>
        <v>-1083.537</v>
      </c>
      <c r="P693" s="555" cm="1">
        <f t="array" ref="P693">-SUMPRODUCT('W2'!$M$12:$V$112*('W2'!$M$7:$V$7=$A693)*('W2'!$A$12:$A$112=$B693))*$H$10*POWER(1+Inflation,P$11+1)</f>
        <v>-1137.7138500000001</v>
      </c>
      <c r="Q693" s="555" cm="1">
        <f t="array" ref="Q693">-SUMPRODUCT('W2'!$M$12:$V$112*('W2'!$M$7:$V$7=$A693)*('W2'!$A$12:$A$112=$B693))*$H$10*POWER(1+Inflation,Q$11+1)</f>
        <v>-1194.5995424999999</v>
      </c>
      <c r="R693" s="555" cm="1">
        <f t="array" ref="R693">-SUMPRODUCT('W2'!$M$12:$V$112*('W2'!$M$7:$V$7=$A693)*('W2'!$A$12:$A$112=$B693))*$H$10*POWER(1+Inflation,R$11+1)</f>
        <v>-1254.3295196250001</v>
      </c>
      <c r="S693" s="555" cm="1">
        <f t="array" ref="S693">-SUMPRODUCT('W2'!$M$12:$V$112*('W2'!$M$7:$V$7=$A693)*('W2'!$A$12:$A$112=$B693))*$H$10*POWER(1+Inflation,S$11+1)</f>
        <v>-1317.04599560625</v>
      </c>
      <c r="T693" s="555" cm="1">
        <f t="array" ref="T693">-SUMPRODUCT('W2'!$M$12:$V$112*('W2'!$M$7:$V$7=$A693)*('W2'!$A$12:$A$112=$B693))*$H$10*POWER(1+Inflation,T$11+1)</f>
        <v>-1382.8982953865627</v>
      </c>
      <c r="U693" s="555" cm="1">
        <f t="array" ref="U693">-SUMPRODUCT('W2'!$M$12:$V$112*('W2'!$M$7:$V$7=$A693)*('W2'!$A$12:$A$112=$B693))*$H$10*POWER(1+Inflation,U$11+1)</f>
        <v>-1452.0432101558906</v>
      </c>
      <c r="V693" s="555" cm="1">
        <f t="array" ref="V693">-SUMPRODUCT('W2'!$M$12:$V$112*('W2'!$M$7:$V$7=$A693)*('W2'!$A$12:$A$112=$B693))*$H$10*POWER(1+Inflation,V$11+1)</f>
        <v>-1524.6453706636853</v>
      </c>
      <c r="W693" s="555" cm="1">
        <f t="array" ref="W693">-SUMPRODUCT('W2'!$M$12:$V$112*('W2'!$M$7:$V$7=$A693)*('W2'!$A$12:$A$112=$B693))*$H$10*POWER(1+Inflation,W$11+1)</f>
        <v>-1600.8776391968695</v>
      </c>
      <c r="X693" s="555" cm="1">
        <f t="array" ref="X693">-SUMPRODUCT('W2'!$M$12:$V$112*('W2'!$M$7:$V$7=$A693)*('W2'!$A$12:$A$112=$B693))*$H$10*POWER(1+Inflation,X$11+1)</f>
        <v>-1680.9215211567132</v>
      </c>
      <c r="Y693" s="555" cm="1">
        <f t="array" ref="Y693">-SUMPRODUCT('W2'!$M$12:$V$112*('W2'!$M$7:$V$7=$A693)*('W2'!$A$12:$A$112=$B693))*$H$10*POWER(1+Inflation,Y$11+1)</f>
        <v>-1764.9675972145485</v>
      </c>
      <c r="Z693" s="555" cm="1">
        <f t="array" ref="Z693">-SUMPRODUCT('W2'!$M$12:$V$112*('W2'!$M$7:$V$7=$A693)*('W2'!$A$12:$A$112=$B693))*$H$10*POWER(1+Inflation,Z$11+1)</f>
        <v>-1853.2159770752762</v>
      </c>
      <c r="AA693" s="555"/>
      <c r="AB693" s="555"/>
      <c r="AC693" s="555"/>
      <c r="AD693" s="555"/>
      <c r="AE693" s="555"/>
      <c r="AF693" s="555"/>
      <c r="AG693" s="555"/>
      <c r="AH693" s="555"/>
      <c r="AI693" s="555"/>
      <c r="AJ693" s="555"/>
      <c r="AN693" s="876"/>
      <c r="AP693" s="876"/>
      <c r="AQ693" s="876"/>
    </row>
    <row r="694" spans="1:43" s="299" customFormat="1" x14ac:dyDescent="0.25">
      <c r="A694" s="299" t="s">
        <v>697</v>
      </c>
      <c r="B694" s="299" t="s">
        <v>450</v>
      </c>
      <c r="H694" s="553" t="s">
        <v>431</v>
      </c>
      <c r="I694" s="554" t="str">
        <f t="shared" si="602"/>
        <v>tr. VND</v>
      </c>
      <c r="K694" s="555"/>
      <c r="L694" s="555" cm="1">
        <f t="array" ref="L694">-SUMPRODUCT('W2'!$M$12:$V$112*('W2'!$M$7:$V$7=$A694)*('W2'!$A$12:$A$112=$B694))*$H$10*POWER(1+Inflation,L$11+1)</f>
        <v>-5028.66</v>
      </c>
      <c r="M694" s="555" cm="1">
        <f t="array" ref="M694">-SUMPRODUCT('W2'!$M$12:$V$112*('W2'!$M$7:$V$7=$A694)*('W2'!$A$12:$A$112=$B694))*$H$10*POWER(1+Inflation,M$11+1)</f>
        <v>-5028.66</v>
      </c>
      <c r="N694" s="555" cm="1">
        <f t="array" ref="N694">-SUMPRODUCT('W2'!$M$12:$V$112*('W2'!$M$7:$V$7=$A694)*('W2'!$A$12:$A$112=$B694))*$H$10*POWER(1+Inflation,N$11+1)</f>
        <v>-5280.0929999999998</v>
      </c>
      <c r="O694" s="555" cm="1">
        <f t="array" ref="O694">-SUMPRODUCT('W2'!$M$12:$V$112*('W2'!$M$7:$V$7=$A694)*('W2'!$A$12:$A$112=$B694))*$H$10*POWER(1+Inflation,O$11+1)</f>
        <v>-5544.0976499999997</v>
      </c>
      <c r="P694" s="555" cm="1">
        <f t="array" ref="P694">-SUMPRODUCT('W2'!$M$12:$V$112*('W2'!$M$7:$V$7=$A694)*('W2'!$A$12:$A$112=$B694))*$H$10*POWER(1+Inflation,P$11+1)</f>
        <v>-5821.3025325000008</v>
      </c>
      <c r="Q694" s="555" cm="1">
        <f t="array" ref="Q694">-SUMPRODUCT('W2'!$M$12:$V$112*('W2'!$M$7:$V$7=$A694)*('W2'!$A$12:$A$112=$B694))*$H$10*POWER(1+Inflation,Q$11+1)</f>
        <v>-6112.3676591249996</v>
      </c>
      <c r="R694" s="555" cm="1">
        <f t="array" ref="R694">-SUMPRODUCT('W2'!$M$12:$V$112*('W2'!$M$7:$V$7=$A694)*('W2'!$A$12:$A$112=$B694))*$H$10*POWER(1+Inflation,R$11+1)</f>
        <v>-6417.9860420812502</v>
      </c>
      <c r="S694" s="555" cm="1">
        <f t="array" ref="S694">-SUMPRODUCT('W2'!$M$12:$V$112*('W2'!$M$7:$V$7=$A694)*('W2'!$A$12:$A$112=$B694))*$H$10*POWER(1+Inflation,S$11+1)</f>
        <v>-6738.8853441853125</v>
      </c>
      <c r="T694" s="555" cm="1">
        <f t="array" ref="T694">-SUMPRODUCT('W2'!$M$12:$V$112*('W2'!$M$7:$V$7=$A694)*('W2'!$A$12:$A$112=$B694))*$H$10*POWER(1+Inflation,T$11+1)</f>
        <v>-7075.8296113945789</v>
      </c>
      <c r="U694" s="555" cm="1">
        <f t="array" ref="U694">-SUMPRODUCT('W2'!$M$12:$V$112*('W2'!$M$7:$V$7=$A694)*('W2'!$A$12:$A$112=$B694))*$H$10*POWER(1+Inflation,U$11+1)</f>
        <v>-7429.6210919643072</v>
      </c>
      <c r="V694" s="555" cm="1">
        <f t="array" ref="V694">-SUMPRODUCT('W2'!$M$12:$V$112*('W2'!$M$7:$V$7=$A694)*('W2'!$A$12:$A$112=$B694))*$H$10*POWER(1+Inflation,V$11+1)</f>
        <v>-7801.1021465625226</v>
      </c>
      <c r="W694" s="555" cm="1">
        <f t="array" ref="W694">-SUMPRODUCT('W2'!$M$12:$V$112*('W2'!$M$7:$V$7=$A694)*('W2'!$A$12:$A$112=$B694))*$H$10*POWER(1+Inflation,W$11+1)</f>
        <v>-8191.1572538906494</v>
      </c>
      <c r="X694" s="555" cm="1">
        <f t="array" ref="X694">-SUMPRODUCT('W2'!$M$12:$V$112*('W2'!$M$7:$V$7=$A694)*('W2'!$A$12:$A$112=$B694))*$H$10*POWER(1+Inflation,X$11+1)</f>
        <v>-8600.7151165851828</v>
      </c>
      <c r="Y694" s="555" cm="1">
        <f t="array" ref="Y694">-SUMPRODUCT('W2'!$M$12:$V$112*('W2'!$M$7:$V$7=$A694)*('W2'!$A$12:$A$112=$B694))*$H$10*POWER(1+Inflation,Y$11+1)</f>
        <v>-9030.7508724144391</v>
      </c>
      <c r="Z694" s="555" cm="1">
        <f t="array" ref="Z694">-SUMPRODUCT('W2'!$M$12:$V$112*('W2'!$M$7:$V$7=$A694)*('W2'!$A$12:$A$112=$B694))*$H$10*POWER(1+Inflation,Z$11+1)</f>
        <v>-9482.2884160351641</v>
      </c>
      <c r="AA694" s="555"/>
      <c r="AB694" s="555"/>
      <c r="AC694" s="555"/>
      <c r="AD694" s="555"/>
      <c r="AE694" s="555"/>
      <c r="AF694" s="555"/>
      <c r="AG694" s="555"/>
      <c r="AH694" s="555"/>
      <c r="AI694" s="555"/>
      <c r="AJ694" s="555"/>
    </row>
    <row r="695" spans="1:43" x14ac:dyDescent="0.25">
      <c r="A695" t="s">
        <v>697</v>
      </c>
      <c r="B695" t="s">
        <v>451</v>
      </c>
      <c r="H695" s="454" t="s">
        <v>656</v>
      </c>
      <c r="I695" s="496" t="str">
        <f t="shared" si="602"/>
        <v>tr. VND</v>
      </c>
      <c r="K695" s="549"/>
      <c r="L695" s="549" cm="1">
        <f t="array" ref="L695">-SUMPRODUCT('W2'!$M$12:$V$112*('W2'!$M$7:$V$7=$A695)*('W2'!$A$12:$A$112=$B695))*$H$10*POWER(1+Inflation,L$11+1)</f>
        <v>-2400</v>
      </c>
      <c r="M695" s="549" cm="1">
        <f t="array" ref="M695">-SUMPRODUCT('W2'!$M$12:$V$112*('W2'!$M$7:$V$7=$A695)*('W2'!$A$12:$A$112=$B695))*$H$10*POWER(1+Inflation,M$11+1)</f>
        <v>-2400</v>
      </c>
      <c r="N695" s="549" cm="1">
        <f t="array" ref="N695">-SUMPRODUCT('W2'!$M$12:$V$112*('W2'!$M$7:$V$7=$A695)*('W2'!$A$12:$A$112=$B695))*$H$10*POWER(1+Inflation,N$11+1)</f>
        <v>-2520</v>
      </c>
      <c r="O695" s="549" cm="1">
        <f t="array" ref="O695">-SUMPRODUCT('W2'!$M$12:$V$112*('W2'!$M$7:$V$7=$A695)*('W2'!$A$12:$A$112=$B695))*$H$10*POWER(1+Inflation,O$11+1)</f>
        <v>-2646</v>
      </c>
      <c r="P695" s="549" cm="1">
        <f t="array" ref="P695">-SUMPRODUCT('W2'!$M$12:$V$112*('W2'!$M$7:$V$7=$A695)*('W2'!$A$12:$A$112=$B695))*$H$10*POWER(1+Inflation,P$11+1)</f>
        <v>-2778.3</v>
      </c>
      <c r="Q695" s="549" cm="1">
        <f t="array" ref="Q695">-SUMPRODUCT('W2'!$M$12:$V$112*('W2'!$M$7:$V$7=$A695)*('W2'!$A$12:$A$112=$B695))*$H$10*POWER(1+Inflation,Q$11+1)</f>
        <v>-2917.2150000000001</v>
      </c>
      <c r="R695" s="549" cm="1">
        <f t="array" ref="R695">-SUMPRODUCT('W2'!$M$12:$V$112*('W2'!$M$7:$V$7=$A695)*('W2'!$A$12:$A$112=$B695))*$H$10*POWER(1+Inflation,R$11+1)</f>
        <v>-3063.0757500000004</v>
      </c>
      <c r="S695" s="549" cm="1">
        <f t="array" ref="S695">-SUMPRODUCT('W2'!$M$12:$V$112*('W2'!$M$7:$V$7=$A695)*('W2'!$A$12:$A$112=$B695))*$H$10*POWER(1+Inflation,S$11+1)</f>
        <v>-3216.2295374999999</v>
      </c>
      <c r="T695" s="549" cm="1">
        <f t="array" ref="T695">-SUMPRODUCT('W2'!$M$12:$V$112*('W2'!$M$7:$V$7=$A695)*('W2'!$A$12:$A$112=$B695))*$H$10*POWER(1+Inflation,T$11+1)</f>
        <v>-3377.0410143750005</v>
      </c>
      <c r="U695" s="549" cm="1">
        <f t="array" ref="U695">-SUMPRODUCT('W2'!$M$12:$V$112*('W2'!$M$7:$V$7=$A695)*('W2'!$A$12:$A$112=$B695))*$H$10*POWER(1+Inflation,U$11+1)</f>
        <v>-3545.89306509375</v>
      </c>
      <c r="V695" s="549" cm="1">
        <f t="array" ref="V695">-SUMPRODUCT('W2'!$M$12:$V$112*('W2'!$M$7:$V$7=$A695)*('W2'!$A$12:$A$112=$B695))*$H$10*POWER(1+Inflation,V$11+1)</f>
        <v>-3723.187718348438</v>
      </c>
      <c r="W695" s="549" cm="1">
        <f t="array" ref="W695">-SUMPRODUCT('W2'!$M$12:$V$112*('W2'!$M$7:$V$7=$A695)*('W2'!$A$12:$A$112=$B695))*$H$10*POWER(1+Inflation,W$11+1)</f>
        <v>-3909.3471042658598</v>
      </c>
      <c r="X695" s="549" cm="1">
        <f t="array" ref="X695">-SUMPRODUCT('W2'!$M$12:$V$112*('W2'!$M$7:$V$7=$A695)*('W2'!$A$12:$A$112=$B695))*$H$10*POWER(1+Inflation,X$11+1)</f>
        <v>-4104.8144594791529</v>
      </c>
      <c r="Y695" s="549" cm="1">
        <f t="array" ref="Y695">-SUMPRODUCT('W2'!$M$12:$V$112*('W2'!$M$7:$V$7=$A695)*('W2'!$A$12:$A$112=$B695))*$H$10*POWER(1+Inflation,Y$11+1)</f>
        <v>-4310.0551824531103</v>
      </c>
      <c r="Z695" s="549" cm="1">
        <f t="array" ref="Z695">-SUMPRODUCT('W2'!$M$12:$V$112*('W2'!$M$7:$V$7=$A695)*('W2'!$A$12:$A$112=$B695))*$H$10*POWER(1+Inflation,Z$11+1)</f>
        <v>-4525.5579415757666</v>
      </c>
      <c r="AA695" s="549"/>
      <c r="AB695" s="549"/>
      <c r="AC695" s="549"/>
      <c r="AD695" s="549"/>
      <c r="AE695" s="549"/>
      <c r="AF695" s="549"/>
      <c r="AG695" s="549"/>
      <c r="AH695" s="549"/>
      <c r="AI695" s="549"/>
      <c r="AJ695" s="549"/>
    </row>
    <row r="696" spans="1:43" x14ac:dyDescent="0.25">
      <c r="A696" t="s">
        <v>697</v>
      </c>
      <c r="B696" t="s">
        <v>452</v>
      </c>
      <c r="H696" s="454" t="s">
        <v>432</v>
      </c>
      <c r="I696" s="496" t="str">
        <f t="shared" si="602"/>
        <v>tr. VND</v>
      </c>
      <c r="K696" s="549"/>
      <c r="L696" s="549" cm="1">
        <f t="array" ref="L696">-SUMPRODUCT('W2'!$M$12:$V$112*('W2'!$M$7:$V$7=$A696)*('W2'!$A$12:$A$112=$B696))*$H$10*POWER(1+Inflation,L$11+1)</f>
        <v>-9022.4939999999988</v>
      </c>
      <c r="M696" s="549" cm="1">
        <f t="array" ref="M696">-SUMPRODUCT('W2'!$M$12:$V$112*('W2'!$M$7:$V$7=$A696)*('W2'!$A$12:$A$112=$B696))*$H$10*POWER(1+Inflation,M$11+1)</f>
        <v>-9022.4939999999988</v>
      </c>
      <c r="N696" s="549" cm="1">
        <f t="array" ref="N696">-SUMPRODUCT('W2'!$M$12:$V$112*('W2'!$M$7:$V$7=$A696)*('W2'!$A$12:$A$112=$B696))*$H$10*POWER(1+Inflation,N$11+1)</f>
        <v>-9473.6186999999991</v>
      </c>
      <c r="O696" s="549" cm="1">
        <f t="array" ref="O696">-SUMPRODUCT('W2'!$M$12:$V$112*('W2'!$M$7:$V$7=$A696)*('W2'!$A$12:$A$112=$B696))*$H$10*POWER(1+Inflation,O$11+1)</f>
        <v>-9947.2996349999994</v>
      </c>
      <c r="P696" s="549" cm="1">
        <f t="array" ref="P696">-SUMPRODUCT('W2'!$M$12:$V$112*('W2'!$M$7:$V$7=$A696)*('W2'!$A$12:$A$112=$B696))*$H$10*POWER(1+Inflation,P$11+1)</f>
        <v>-10444.66461675</v>
      </c>
      <c r="Q696" s="549" cm="1">
        <f t="array" ref="Q696">-SUMPRODUCT('W2'!$M$12:$V$112*('W2'!$M$7:$V$7=$A696)*('W2'!$A$12:$A$112=$B696))*$H$10*POWER(1+Inflation,Q$11+1)</f>
        <v>-10966.897847587499</v>
      </c>
      <c r="R696" s="549" cm="1">
        <f t="array" ref="R696">-SUMPRODUCT('W2'!$M$12:$V$112*('W2'!$M$7:$V$7=$A696)*('W2'!$A$12:$A$112=$B696))*$H$10*POWER(1+Inflation,R$11+1)</f>
        <v>-11515.242739966874</v>
      </c>
      <c r="S696" s="549" cm="1">
        <f t="array" ref="S696">-SUMPRODUCT('W2'!$M$12:$V$112*('W2'!$M$7:$V$7=$A696)*('W2'!$A$12:$A$112=$B696))*$H$10*POWER(1+Inflation,S$11+1)</f>
        <v>-12091.004876965217</v>
      </c>
      <c r="T696" s="549" cm="1">
        <f t="array" ref="T696">-SUMPRODUCT('W2'!$M$12:$V$112*('W2'!$M$7:$V$7=$A696)*('W2'!$A$12:$A$112=$B696))*$H$10*POWER(1+Inflation,T$11+1)</f>
        <v>-12695.55512081348</v>
      </c>
      <c r="U696" s="549" cm="1">
        <f t="array" ref="U696">-SUMPRODUCT('W2'!$M$12:$V$112*('W2'!$M$7:$V$7=$A696)*('W2'!$A$12:$A$112=$B696))*$H$10*POWER(1+Inflation,U$11+1)</f>
        <v>-13330.332876854152</v>
      </c>
      <c r="V696" s="549" cm="1">
        <f t="array" ref="V696">-SUMPRODUCT('W2'!$M$12:$V$112*('W2'!$M$7:$V$7=$A696)*('W2'!$A$12:$A$112=$B696))*$H$10*POWER(1+Inflation,V$11+1)</f>
        <v>-13996.84952069686</v>
      </c>
      <c r="W696" s="549" cm="1">
        <f t="array" ref="W696">-SUMPRODUCT('W2'!$M$12:$V$112*('W2'!$M$7:$V$7=$A696)*('W2'!$A$12:$A$112=$B696))*$H$10*POWER(1+Inflation,W$11+1)</f>
        <v>-14696.691996731704</v>
      </c>
      <c r="X696" s="549" cm="1">
        <f t="array" ref="X696">-SUMPRODUCT('W2'!$M$12:$V$112*('W2'!$M$7:$V$7=$A696)*('W2'!$A$12:$A$112=$B696))*$H$10*POWER(1+Inflation,X$11+1)</f>
        <v>-15431.52659656829</v>
      </c>
      <c r="Y696" s="549" cm="1">
        <f t="array" ref="Y696">-SUMPRODUCT('W2'!$M$12:$V$112*('W2'!$M$7:$V$7=$A696)*('W2'!$A$12:$A$112=$B696))*$H$10*POWER(1+Inflation,Y$11+1)</f>
        <v>-16203.102926396703</v>
      </c>
      <c r="Z696" s="549" cm="1">
        <f t="array" ref="Z696">-SUMPRODUCT('W2'!$M$12:$V$112*('W2'!$M$7:$V$7=$A696)*('W2'!$A$12:$A$112=$B696))*$H$10*POWER(1+Inflation,Z$11+1)</f>
        <v>-17013.25807271654</v>
      </c>
      <c r="AA696" s="549"/>
      <c r="AB696" s="549"/>
      <c r="AC696" s="549"/>
      <c r="AD696" s="549"/>
      <c r="AE696" s="549"/>
      <c r="AF696" s="549"/>
      <c r="AG696" s="549"/>
      <c r="AH696" s="549"/>
      <c r="AI696" s="549"/>
      <c r="AJ696" s="549"/>
    </row>
    <row r="697" spans="1:43" x14ac:dyDescent="0.25">
      <c r="A697" t="s">
        <v>697</v>
      </c>
      <c r="B697" t="s">
        <v>453</v>
      </c>
      <c r="H697" s="454" t="s">
        <v>433</v>
      </c>
      <c r="I697" s="496" t="str">
        <f t="shared" si="602"/>
        <v>tr. VND</v>
      </c>
      <c r="K697" s="549"/>
      <c r="L697" s="549" cm="1">
        <f t="array" ref="L697">-SUMPRODUCT('W2'!$M$12:$V$112*('W2'!$M$7:$V$7=$A697)*('W2'!$A$12:$A$112=$B697))*$H$10*POWER(1+Inflation,L$11+1)</f>
        <v>-552</v>
      </c>
      <c r="M697" s="549" cm="1">
        <f t="array" ref="M697">-SUMPRODUCT('W2'!$M$12:$V$112*('W2'!$M$7:$V$7=$A697)*('W2'!$A$12:$A$112=$B697))*$H$10*POWER(1+Inflation,M$11+1)</f>
        <v>-552</v>
      </c>
      <c r="N697" s="549" cm="1">
        <f t="array" ref="N697">-SUMPRODUCT('W2'!$M$12:$V$112*('W2'!$M$7:$V$7=$A697)*('W2'!$A$12:$A$112=$B697))*$H$10*POWER(1+Inflation,N$11+1)</f>
        <v>-579.6</v>
      </c>
      <c r="O697" s="549" cm="1">
        <f t="array" ref="O697">-SUMPRODUCT('W2'!$M$12:$V$112*('W2'!$M$7:$V$7=$A697)*('W2'!$A$12:$A$112=$B697))*$H$10*POWER(1+Inflation,O$11+1)</f>
        <v>-608.58000000000004</v>
      </c>
      <c r="P697" s="549" cm="1">
        <f t="array" ref="P697">-SUMPRODUCT('W2'!$M$12:$V$112*('W2'!$M$7:$V$7=$A697)*('W2'!$A$12:$A$112=$B697))*$H$10*POWER(1+Inflation,P$11+1)</f>
        <v>-639.00900000000001</v>
      </c>
      <c r="Q697" s="549" cm="1">
        <f t="array" ref="Q697">-SUMPRODUCT('W2'!$M$12:$V$112*('W2'!$M$7:$V$7=$A697)*('W2'!$A$12:$A$112=$B697))*$H$10*POWER(1+Inflation,Q$11+1)</f>
        <v>-670.95945000000006</v>
      </c>
      <c r="R697" s="549" cm="1">
        <f t="array" ref="R697">-SUMPRODUCT('W2'!$M$12:$V$112*('W2'!$M$7:$V$7=$A697)*('W2'!$A$12:$A$112=$B697))*$H$10*POWER(1+Inflation,R$11+1)</f>
        <v>-704.50742250000008</v>
      </c>
      <c r="S697" s="549" cm="1">
        <f t="array" ref="S697">-SUMPRODUCT('W2'!$M$12:$V$112*('W2'!$M$7:$V$7=$A697)*('W2'!$A$12:$A$112=$B697))*$H$10*POWER(1+Inflation,S$11+1)</f>
        <v>-739.732793625</v>
      </c>
      <c r="T697" s="549" cm="1">
        <f t="array" ref="T697">-SUMPRODUCT('W2'!$M$12:$V$112*('W2'!$M$7:$V$7=$A697)*('W2'!$A$12:$A$112=$B697))*$H$10*POWER(1+Inflation,T$11+1)</f>
        <v>-776.71943330625015</v>
      </c>
      <c r="U697" s="549" cm="1">
        <f t="array" ref="U697">-SUMPRODUCT('W2'!$M$12:$V$112*('W2'!$M$7:$V$7=$A697)*('W2'!$A$12:$A$112=$B697))*$H$10*POWER(1+Inflation,U$11+1)</f>
        <v>-815.55540497156255</v>
      </c>
      <c r="V697" s="549" cm="1">
        <f t="array" ref="V697">-SUMPRODUCT('W2'!$M$12:$V$112*('W2'!$M$7:$V$7=$A697)*('W2'!$A$12:$A$112=$B697))*$H$10*POWER(1+Inflation,V$11+1)</f>
        <v>-856.33317522014067</v>
      </c>
      <c r="W697" s="549" cm="1">
        <f t="array" ref="W697">-SUMPRODUCT('W2'!$M$12:$V$112*('W2'!$M$7:$V$7=$A697)*('W2'!$A$12:$A$112=$B697))*$H$10*POWER(1+Inflation,W$11+1)</f>
        <v>-899.14983398114771</v>
      </c>
      <c r="X697" s="549" cm="1">
        <f t="array" ref="X697">-SUMPRODUCT('W2'!$M$12:$V$112*('W2'!$M$7:$V$7=$A697)*('W2'!$A$12:$A$112=$B697))*$H$10*POWER(1+Inflation,X$11+1)</f>
        <v>-944.10732568020524</v>
      </c>
      <c r="Y697" s="549" cm="1">
        <f t="array" ref="Y697">-SUMPRODUCT('W2'!$M$12:$V$112*('W2'!$M$7:$V$7=$A697)*('W2'!$A$12:$A$112=$B697))*$H$10*POWER(1+Inflation,Y$11+1)</f>
        <v>-991.31269196421533</v>
      </c>
      <c r="Z697" s="549" cm="1">
        <f t="array" ref="Z697">-SUMPRODUCT('W2'!$M$12:$V$112*('W2'!$M$7:$V$7=$A697)*('W2'!$A$12:$A$112=$B697))*$H$10*POWER(1+Inflation,Z$11+1)</f>
        <v>-1040.8783265624263</v>
      </c>
      <c r="AA697" s="549"/>
      <c r="AB697" s="549"/>
      <c r="AC697" s="549"/>
      <c r="AD697" s="549"/>
      <c r="AE697" s="549"/>
      <c r="AF697" s="549"/>
      <c r="AG697" s="549"/>
      <c r="AH697" s="549"/>
      <c r="AI697" s="549"/>
      <c r="AJ697" s="549"/>
    </row>
    <row r="698" spans="1:43" x14ac:dyDescent="0.25">
      <c r="A698" t="s">
        <v>697</v>
      </c>
      <c r="B698" t="s">
        <v>521</v>
      </c>
      <c r="H698" s="454" t="s">
        <v>520</v>
      </c>
      <c r="I698" s="496" t="str">
        <f t="shared" si="602"/>
        <v>tr. VND</v>
      </c>
      <c r="K698" s="549"/>
      <c r="L698" s="549" cm="1">
        <f t="array" ref="L698">-SUMPRODUCT('W2'!$M$12:$V$112*('W2'!$M$7:$V$7=$A698)*('W2'!$A$12:$A$112=$B698))*$H$10</f>
        <v>-601.49959999999999</v>
      </c>
      <c r="M698" s="549" cm="1">
        <f t="array" ref="M698">-SUMPRODUCT('W2'!$M$12:$V$112*('W2'!$M$7:$V$7=$A698)*('W2'!$A$12:$A$112=$B698))*$H$10</f>
        <v>-601.49959999999999</v>
      </c>
      <c r="N698" s="549" cm="1">
        <f t="array" ref="N698">-SUMPRODUCT('W2'!$M$12:$V$112*('W2'!$M$7:$V$7=$A698)*('W2'!$A$12:$A$112=$B698))*$H$10</f>
        <v>-601.49959999999999</v>
      </c>
      <c r="O698" s="549" cm="1">
        <f t="array" ref="O698">-SUMPRODUCT('W2'!$M$12:$V$112*('W2'!$M$7:$V$7=$A698)*('W2'!$A$12:$A$112=$B698))*$H$10</f>
        <v>-601.49959999999999</v>
      </c>
      <c r="P698" s="549" cm="1">
        <f t="array" ref="P698">-SUMPRODUCT('W2'!$M$12:$V$112*('W2'!$M$7:$V$7=$A698)*('W2'!$A$12:$A$112=$B698))*$H$10</f>
        <v>-601.49959999999999</v>
      </c>
      <c r="Q698" s="549" cm="1">
        <f t="array" ref="Q698">-SUMPRODUCT('W2'!$M$12:$V$112*('W2'!$M$7:$V$7=$A698)*('W2'!$A$12:$A$112=$B698))*$H$10</f>
        <v>-601.49959999999999</v>
      </c>
      <c r="R698" s="549" cm="1">
        <f t="array" ref="R698">-SUMPRODUCT('W2'!$M$12:$V$112*('W2'!$M$7:$V$7=$A698)*('W2'!$A$12:$A$112=$B698))*$H$10</f>
        <v>-601.49959999999999</v>
      </c>
      <c r="S698" s="549" cm="1">
        <f t="array" ref="S698">-SUMPRODUCT('W2'!$M$12:$V$112*('W2'!$M$7:$V$7=$A698)*('W2'!$A$12:$A$112=$B698))*$H$10</f>
        <v>-601.49959999999999</v>
      </c>
      <c r="T698" s="549" cm="1">
        <f t="array" ref="T698">-SUMPRODUCT('W2'!$M$12:$V$112*('W2'!$M$7:$V$7=$A698)*('W2'!$A$12:$A$112=$B698))*$H$10</f>
        <v>-601.49959999999999</v>
      </c>
      <c r="U698" s="549" cm="1">
        <f t="array" ref="U698">-SUMPRODUCT('W2'!$M$12:$V$112*('W2'!$M$7:$V$7=$A698)*('W2'!$A$12:$A$112=$B698))*$H$10</f>
        <v>-601.49959999999999</v>
      </c>
      <c r="V698" s="549" cm="1">
        <f t="array" ref="V698">-SUMPRODUCT('W2'!$M$12:$V$112*('W2'!$M$7:$V$7=$A698)*('W2'!$A$12:$A$112=$B698))*$H$10</f>
        <v>-601.49959999999999</v>
      </c>
      <c r="W698" s="549" cm="1">
        <f t="array" ref="W698">-SUMPRODUCT('W2'!$M$12:$V$112*('W2'!$M$7:$V$7=$A698)*('W2'!$A$12:$A$112=$B698))*$H$10</f>
        <v>-601.49959999999999</v>
      </c>
      <c r="X698" s="549" cm="1">
        <f t="array" ref="X698">-SUMPRODUCT('W2'!$M$12:$V$112*('W2'!$M$7:$V$7=$A698)*('W2'!$A$12:$A$112=$B698))*$H$10</f>
        <v>-601.49959999999999</v>
      </c>
      <c r="Y698" s="549" cm="1">
        <f t="array" ref="Y698">-SUMPRODUCT('W2'!$M$12:$V$112*('W2'!$M$7:$V$7=$A698)*('W2'!$A$12:$A$112=$B698))*$H$10</f>
        <v>-601.49959999999999</v>
      </c>
      <c r="Z698" s="549" cm="1">
        <f t="array" ref="Z698">-SUMPRODUCT('W2'!$M$12:$V$112*('W2'!$M$7:$V$7=$A698)*('W2'!$A$12:$A$112=$B698))*$H$10</f>
        <v>-601.49959999999999</v>
      </c>
      <c r="AA698" s="549"/>
      <c r="AB698" s="549"/>
      <c r="AC698" s="549"/>
      <c r="AD698" s="549"/>
      <c r="AE698" s="549"/>
      <c r="AF698" s="549"/>
      <c r="AG698" s="549"/>
      <c r="AH698" s="549"/>
      <c r="AI698" s="549"/>
      <c r="AJ698" s="549"/>
    </row>
    <row r="699" spans="1:43" x14ac:dyDescent="0.25">
      <c r="A699" t="s">
        <v>697</v>
      </c>
      <c r="K699" s="243"/>
      <c r="L699" s="243"/>
      <c r="M699" s="243"/>
      <c r="N699" s="243"/>
      <c r="O699" s="243"/>
      <c r="P699" s="243"/>
      <c r="Q699" s="243"/>
      <c r="R699" s="243"/>
      <c r="S699" s="243"/>
      <c r="T699" s="243"/>
      <c r="U699" s="243"/>
      <c r="V699" s="243"/>
      <c r="W699" s="243"/>
      <c r="X699" s="243"/>
      <c r="Y699" s="243"/>
      <c r="Z699" s="243"/>
      <c r="AA699" s="243"/>
      <c r="AB699" s="243"/>
      <c r="AC699" s="243"/>
      <c r="AD699" s="243"/>
      <c r="AE699" s="243"/>
      <c r="AF699" s="243"/>
      <c r="AG699" s="243"/>
      <c r="AH699" s="243"/>
      <c r="AI699" s="243"/>
      <c r="AJ699" s="243"/>
    </row>
    <row r="700" spans="1:43" s="1" customFormat="1" x14ac:dyDescent="0.25">
      <c r="A700" s="1" t="s">
        <v>697</v>
      </c>
      <c r="H700" s="266" t="s">
        <v>435</v>
      </c>
      <c r="I700" s="267" t="str">
        <f t="shared" ref="I700:I703" si="606">IF($H$9="USD","USD","tr. VND")</f>
        <v>tr. VND</v>
      </c>
      <c r="K700" s="269">
        <f>K701+K704+K707</f>
        <v>0</v>
      </c>
      <c r="L700" s="269">
        <f t="shared" ref="L700:AJ700" si="607">L701+L704+L707</f>
        <v>-92494.065303826777</v>
      </c>
      <c r="M700" s="269">
        <f t="shared" si="607"/>
        <v>-128793.29243442416</v>
      </c>
      <c r="N700" s="269">
        <f t="shared" si="607"/>
        <v>-187365.60190480959</v>
      </c>
      <c r="O700" s="269">
        <f t="shared" si="607"/>
        <v>-191595.4979197002</v>
      </c>
      <c r="P700" s="269">
        <f t="shared" si="607"/>
        <v>-195935.14761304564</v>
      </c>
      <c r="Q700" s="269">
        <f t="shared" si="607"/>
        <v>-200388.00384632294</v>
      </c>
      <c r="R700" s="269">
        <f t="shared" si="607"/>
        <v>-204957.65142763397</v>
      </c>
      <c r="S700" s="269">
        <f t="shared" si="607"/>
        <v>-209647.81289510772</v>
      </c>
      <c r="T700" s="269">
        <f t="shared" si="607"/>
        <v>-214462.35457319432</v>
      </c>
      <c r="U700" s="269">
        <f t="shared" si="607"/>
        <v>-219405.29291516927</v>
      </c>
      <c r="V700" s="269">
        <f t="shared" si="607"/>
        <v>-224480.80114582658</v>
      </c>
      <c r="W700" s="269">
        <f t="shared" si="607"/>
        <v>-229693.21621903207</v>
      </c>
      <c r="X700" s="269">
        <f t="shared" si="607"/>
        <v>-234044.54677220009</v>
      </c>
      <c r="Y700" s="269">
        <f t="shared" si="607"/>
        <v>-239544.47809385488</v>
      </c>
      <c r="Z700" s="269">
        <f t="shared" si="607"/>
        <v>-245195.38412123729</v>
      </c>
      <c r="AA700" s="269"/>
      <c r="AB700" s="269"/>
      <c r="AC700" s="269"/>
      <c r="AD700" s="269"/>
      <c r="AE700" s="269"/>
      <c r="AF700" s="269"/>
      <c r="AG700" s="269"/>
      <c r="AH700" s="269"/>
      <c r="AI700" s="269"/>
      <c r="AJ700" s="269"/>
    </row>
    <row r="701" spans="1:43" x14ac:dyDescent="0.25">
      <c r="A701" t="s">
        <v>697</v>
      </c>
      <c r="H701" s="636" t="s">
        <v>454</v>
      </c>
      <c r="I701" s="637" t="str">
        <f t="shared" si="606"/>
        <v>tr. VND</v>
      </c>
      <c r="K701" s="638">
        <f>SUM(K702:K703)</f>
        <v>0</v>
      </c>
      <c r="L701" s="638">
        <f t="shared" ref="L701:AJ701" si="608">SUM(L702:L703)</f>
        <v>-83121.831936000002</v>
      </c>
      <c r="M701" s="638">
        <f t="shared" si="608"/>
        <v>-116370.56471040001</v>
      </c>
      <c r="N701" s="638">
        <f t="shared" si="608"/>
        <v>-169568.53714944003</v>
      </c>
      <c r="O701" s="638">
        <f t="shared" si="608"/>
        <v>-172959.90789242883</v>
      </c>
      <c r="P701" s="638">
        <f t="shared" si="608"/>
        <v>-176419.10605027739</v>
      </c>
      <c r="Q701" s="638">
        <f t="shared" si="608"/>
        <v>-179947.48817128292</v>
      </c>
      <c r="R701" s="638">
        <f t="shared" si="608"/>
        <v>-183546.43793470861</v>
      </c>
      <c r="S701" s="638">
        <f t="shared" si="608"/>
        <v>-187217.36669340279</v>
      </c>
      <c r="T701" s="638">
        <f t="shared" si="608"/>
        <v>-190961.71402727079</v>
      </c>
      <c r="U701" s="638">
        <f t="shared" si="608"/>
        <v>-194780.9483078162</v>
      </c>
      <c r="V701" s="638">
        <f t="shared" si="608"/>
        <v>-198676.56727397256</v>
      </c>
      <c r="W701" s="638">
        <f t="shared" si="608"/>
        <v>-202650.09861945201</v>
      </c>
      <c r="X701" s="638">
        <f t="shared" si="608"/>
        <v>-206703.10059184101</v>
      </c>
      <c r="Y701" s="638">
        <f t="shared" si="608"/>
        <v>-210837.16260367786</v>
      </c>
      <c r="Z701" s="638">
        <f t="shared" si="608"/>
        <v>-215053.90585575142</v>
      </c>
      <c r="AA701" s="638"/>
      <c r="AB701" s="638"/>
      <c r="AC701" s="638"/>
      <c r="AD701" s="638"/>
      <c r="AE701" s="638"/>
      <c r="AF701" s="638"/>
      <c r="AG701" s="638"/>
      <c r="AH701" s="638"/>
      <c r="AI701" s="638"/>
      <c r="AJ701" s="638"/>
    </row>
    <row r="702" spans="1:43" s="299" customFormat="1" x14ac:dyDescent="0.25">
      <c r="A702" s="299" t="s">
        <v>697</v>
      </c>
      <c r="B702" s="299" t="s">
        <v>459</v>
      </c>
      <c r="H702" s="553" t="s">
        <v>167</v>
      </c>
      <c r="I702" s="554" t="str">
        <f t="shared" si="606"/>
        <v>tr. VND</v>
      </c>
      <c r="K702" s="555"/>
      <c r="L702" s="555" cm="1">
        <f t="array" ref="L702">-SUMPRODUCT('W2'!$M$12:$V$112*('W2'!$M$7:$V$7=$A702)*('W2'!$A$12:$A$112=$B702))*L679*$H$10*POWER(1+INDEX('Cover Page'!$H$8:$AJ$8,MATCH($A702,'Cover Page'!$H$5:$AJ$5,0)),1+L$13)</f>
        <v>-77303.303700479999</v>
      </c>
      <c r="M702" s="555" cm="1">
        <f t="array" ref="M702">-SUMPRODUCT('W2'!$M$12:$V$112*('W2'!$M$7:$V$7=$A702)*('W2'!$A$12:$A$112=$B702))*M679*$H$10*POWER(1+INDEX('Cover Page'!$H$8:$AJ$8,MATCH($A702,'Cover Page'!$H$5:$AJ$5,0)),1+M$13)</f>
        <v>-108224.625180672</v>
      </c>
      <c r="N702" s="555" cm="1">
        <f t="array" ref="N702">-SUMPRODUCT('W2'!$M$12:$V$112*('W2'!$M$7:$V$7=$A702)*('W2'!$A$12:$A$112=$B702))*N679*$H$10*POWER(1+INDEX('Cover Page'!$H$8:$AJ$8,MATCH($A702,'Cover Page'!$H$5:$AJ$5,0)),1+N$13)</f>
        <v>-157698.73954897921</v>
      </c>
      <c r="O702" s="555" cm="1">
        <f t="array" ref="O702">-SUMPRODUCT('W2'!$M$12:$V$112*('W2'!$M$7:$V$7=$A702)*('W2'!$A$12:$A$112=$B702))*O679*$H$10*POWER(1+INDEX('Cover Page'!$H$8:$AJ$8,MATCH($A702,'Cover Page'!$H$5:$AJ$5,0)),1+O$13)</f>
        <v>-160852.71433995879</v>
      </c>
      <c r="P702" s="555" cm="1">
        <f t="array" ref="P702">-SUMPRODUCT('W2'!$M$12:$V$112*('W2'!$M$7:$V$7=$A702)*('W2'!$A$12:$A$112=$B702))*P679*$H$10*POWER(1+INDEX('Cover Page'!$H$8:$AJ$8,MATCH($A702,'Cover Page'!$H$5:$AJ$5,0)),1+P$13)</f>
        <v>-164069.76862675796</v>
      </c>
      <c r="Q702" s="555" cm="1">
        <f t="array" ref="Q702">-SUMPRODUCT('W2'!$M$12:$V$112*('W2'!$M$7:$V$7=$A702)*('W2'!$A$12:$A$112=$B702))*Q679*$H$10*POWER(1+INDEX('Cover Page'!$H$8:$AJ$8,MATCH($A702,'Cover Page'!$H$5:$AJ$5,0)),1+Q$13)</f>
        <v>-167351.16399929312</v>
      </c>
      <c r="R702" s="555" cm="1">
        <f t="array" ref="R702">-SUMPRODUCT('W2'!$M$12:$V$112*('W2'!$M$7:$V$7=$A702)*('W2'!$A$12:$A$112=$B702))*R679*$H$10*POWER(1+INDEX('Cover Page'!$H$8:$AJ$8,MATCH($A702,'Cover Page'!$H$5:$AJ$5,0)),1+R$13)</f>
        <v>-170698.18727927899</v>
      </c>
      <c r="S702" s="555" cm="1">
        <f t="array" ref="S702">-SUMPRODUCT('W2'!$M$12:$V$112*('W2'!$M$7:$V$7=$A702)*('W2'!$A$12:$A$112=$B702))*S679*$H$10*POWER(1+INDEX('Cover Page'!$H$8:$AJ$8,MATCH($A702,'Cover Page'!$H$5:$AJ$5,0)),1+S$13)</f>
        <v>-174112.15102486458</v>
      </c>
      <c r="T702" s="555" cm="1">
        <f t="array" ref="T702">-SUMPRODUCT('W2'!$M$12:$V$112*('W2'!$M$7:$V$7=$A702)*('W2'!$A$12:$A$112=$B702))*T679*$H$10*POWER(1+INDEX('Cover Page'!$H$8:$AJ$8,MATCH($A702,'Cover Page'!$H$5:$AJ$5,0)),1+T$13)</f>
        <v>-177594.39404536181</v>
      </c>
      <c r="U702" s="555" cm="1">
        <f t="array" ref="U702">-SUMPRODUCT('W2'!$M$12:$V$112*('W2'!$M$7:$V$7=$A702)*('W2'!$A$12:$A$112=$B702))*U679*$H$10*POWER(1+INDEX('Cover Page'!$H$8:$AJ$8,MATCH($A702,'Cover Page'!$H$5:$AJ$5,0)),1+U$13)</f>
        <v>-181146.28192626906</v>
      </c>
      <c r="V702" s="555" cm="1">
        <f t="array" ref="V702">-SUMPRODUCT('W2'!$M$12:$V$112*('W2'!$M$7:$V$7=$A702)*('W2'!$A$12:$A$112=$B702))*V679*$H$10*POWER(1+INDEX('Cover Page'!$H$8:$AJ$8,MATCH($A702,'Cover Page'!$H$5:$AJ$5,0)),1+V$13)</f>
        <v>-184769.20756479446</v>
      </c>
      <c r="W702" s="555" cm="1">
        <f t="array" ref="W702">-SUMPRODUCT('W2'!$M$12:$V$112*('W2'!$M$7:$V$7=$A702)*('W2'!$A$12:$A$112=$B702))*W679*$H$10*POWER(1+INDEX('Cover Page'!$H$8:$AJ$8,MATCH($A702,'Cover Page'!$H$5:$AJ$5,0)),1+W$13)</f>
        <v>-188464.59171609036</v>
      </c>
      <c r="X702" s="555" cm="1">
        <f t="array" ref="X702">-SUMPRODUCT('W2'!$M$12:$V$112*('W2'!$M$7:$V$7=$A702)*('W2'!$A$12:$A$112=$B702))*X679*$H$10*POWER(1+INDEX('Cover Page'!$H$8:$AJ$8,MATCH($A702,'Cover Page'!$H$5:$AJ$5,0)),1+X$13)</f>
        <v>-192233.88355041214</v>
      </c>
      <c r="Y702" s="555" cm="1">
        <f t="array" ref="Y702">-SUMPRODUCT('W2'!$M$12:$V$112*('W2'!$M$7:$V$7=$A702)*('W2'!$A$12:$A$112=$B702))*Y679*$H$10*POWER(1+INDEX('Cover Page'!$H$8:$AJ$8,MATCH($A702,'Cover Page'!$H$5:$AJ$5,0)),1+Y$13)</f>
        <v>-196078.56122142039</v>
      </c>
      <c r="Z702" s="555" cm="1">
        <f t="array" ref="Z702">-SUMPRODUCT('W2'!$M$12:$V$112*('W2'!$M$7:$V$7=$A702)*('W2'!$A$12:$A$112=$B702))*Z679*$H$10*POWER(1+INDEX('Cover Page'!$H$8:$AJ$8,MATCH($A702,'Cover Page'!$H$5:$AJ$5,0)),1+Z$13)</f>
        <v>-200000.13244584881</v>
      </c>
      <c r="AA702" s="555"/>
      <c r="AB702" s="555"/>
      <c r="AC702" s="555"/>
      <c r="AD702" s="555"/>
      <c r="AE702" s="555"/>
      <c r="AF702" s="555"/>
      <c r="AG702" s="555"/>
      <c r="AH702" s="555"/>
      <c r="AI702" s="555"/>
      <c r="AJ702" s="555"/>
    </row>
    <row r="703" spans="1:43" s="299" customFormat="1" x14ac:dyDescent="0.25">
      <c r="A703" s="299" t="s">
        <v>697</v>
      </c>
      <c r="H703" s="553" t="s">
        <v>203</v>
      </c>
      <c r="I703" s="554" t="str">
        <f t="shared" si="606"/>
        <v>tr. VND</v>
      </c>
      <c r="K703" s="639"/>
      <c r="L703" s="639">
        <f>L702/(1-L677)-L702</f>
        <v>-5818.5282355200034</v>
      </c>
      <c r="M703" s="639">
        <f t="shared" ref="M703:AJ703" si="609">M702/(1-M677)-M702</f>
        <v>-8145.9395297280134</v>
      </c>
      <c r="N703" s="639">
        <f t="shared" si="609"/>
        <v>-11869.797600460821</v>
      </c>
      <c r="O703" s="639">
        <f t="shared" si="609"/>
        <v>-12107.193552470038</v>
      </c>
      <c r="P703" s="639">
        <f t="shared" si="609"/>
        <v>-12349.337423519435</v>
      </c>
      <c r="Q703" s="639">
        <f t="shared" si="609"/>
        <v>-12596.324171989807</v>
      </c>
      <c r="R703" s="639">
        <f t="shared" si="609"/>
        <v>-12848.250655429612</v>
      </c>
      <c r="S703" s="639">
        <f t="shared" si="609"/>
        <v>-13105.215668538207</v>
      </c>
      <c r="T703" s="639">
        <f t="shared" si="609"/>
        <v>-13367.319981908979</v>
      </c>
      <c r="U703" s="639">
        <f t="shared" si="609"/>
        <v>-13634.66638154714</v>
      </c>
      <c r="V703" s="639">
        <f t="shared" si="609"/>
        <v>-13907.359709178098</v>
      </c>
      <c r="W703" s="639">
        <f t="shared" si="609"/>
        <v>-14185.506903361646</v>
      </c>
      <c r="X703" s="639">
        <f t="shared" si="609"/>
        <v>-14469.21704142887</v>
      </c>
      <c r="Y703" s="639">
        <f t="shared" si="609"/>
        <v>-14758.601382257475</v>
      </c>
      <c r="Z703" s="639">
        <f t="shared" si="609"/>
        <v>-15053.773409902613</v>
      </c>
      <c r="AA703" s="639"/>
      <c r="AB703" s="639"/>
      <c r="AC703" s="639"/>
      <c r="AD703" s="639"/>
      <c r="AE703" s="639"/>
      <c r="AF703" s="639"/>
      <c r="AG703" s="639"/>
      <c r="AH703" s="639"/>
      <c r="AI703" s="639"/>
      <c r="AJ703" s="639"/>
    </row>
    <row r="704" spans="1:43" x14ac:dyDescent="0.25">
      <c r="A704" t="s">
        <v>697</v>
      </c>
      <c r="H704" s="454" t="s">
        <v>676</v>
      </c>
      <c r="I704" s="496" t="s">
        <v>672</v>
      </c>
      <c r="K704" s="616">
        <f t="shared" ref="K704:AJ704" si="610">SUM(K705:K706)</f>
        <v>0</v>
      </c>
      <c r="L704" s="616">
        <f t="shared" si="610"/>
        <v>-632.43325753344004</v>
      </c>
      <c r="M704" s="616">
        <f t="shared" si="610"/>
        <v>-885.40656054681608</v>
      </c>
      <c r="N704" s="616">
        <f t="shared" si="610"/>
        <v>-1328.1098408202242</v>
      </c>
      <c r="O704" s="616">
        <f t="shared" si="610"/>
        <v>-1394.5153328612353</v>
      </c>
      <c r="P704" s="616">
        <f t="shared" si="610"/>
        <v>-1464.2410995042972</v>
      </c>
      <c r="Q704" s="616">
        <f t="shared" si="610"/>
        <v>-1537.453154479512</v>
      </c>
      <c r="R704" s="616">
        <f t="shared" si="610"/>
        <v>-1614.3258122034877</v>
      </c>
      <c r="S704" s="616">
        <f t="shared" si="610"/>
        <v>-1695.0421028136618</v>
      </c>
      <c r="T704" s="616">
        <f t="shared" si="610"/>
        <v>-1779.7942079543452</v>
      </c>
      <c r="U704" s="616">
        <f t="shared" si="610"/>
        <v>-1868.7839183520623</v>
      </c>
      <c r="V704" s="616">
        <f t="shared" si="610"/>
        <v>-1962.2231142696655</v>
      </c>
      <c r="W704" s="616">
        <f t="shared" si="610"/>
        <v>-2060.3342699831487</v>
      </c>
      <c r="X704" s="616">
        <f t="shared" si="610"/>
        <v>-2163.3509834823062</v>
      </c>
      <c r="Y704" s="616">
        <f t="shared" si="610"/>
        <v>-2271.5185326564215</v>
      </c>
      <c r="Z704" s="616">
        <f t="shared" si="610"/>
        <v>-2385.0944592892429</v>
      </c>
      <c r="AA704" s="616"/>
      <c r="AB704" s="616"/>
      <c r="AC704" s="616"/>
      <c r="AD704" s="616"/>
      <c r="AE704" s="616"/>
      <c r="AF704" s="616"/>
      <c r="AG704" s="616"/>
      <c r="AH704" s="616"/>
      <c r="AI704" s="616"/>
      <c r="AJ704" s="616"/>
    </row>
    <row r="705" spans="1:36" s="299" customFormat="1" x14ac:dyDescent="0.25">
      <c r="A705" s="299" t="s">
        <v>697</v>
      </c>
      <c r="B705" s="299" t="s">
        <v>667</v>
      </c>
      <c r="H705" s="553" t="s">
        <v>673</v>
      </c>
      <c r="I705" s="554" t="s">
        <v>672</v>
      </c>
      <c r="K705" s="555"/>
      <c r="L705" s="555" cm="1">
        <f t="array" ref="L705">-SUMPRODUCT('W2'!$M$12:$V$112*('W2'!$M$7:$V$7=$A705)*('W2'!$A$12:$A$112=$B705))*L685*$H$10*POWER(1+Inflation,L$11+1)</f>
        <v>-632.43325753344004</v>
      </c>
      <c r="M705" s="555" cm="1">
        <f t="array" ref="M705">-SUMPRODUCT('W2'!$M$12:$V$112*('W2'!$M$7:$V$7=$A705)*('W2'!$A$12:$A$112=$B705))*M685*$H$10*POWER(1+Inflation,M$11+1)</f>
        <v>-885.40656054681608</v>
      </c>
      <c r="N705" s="555" cm="1">
        <f t="array" ref="N705">-SUMPRODUCT('W2'!$M$12:$V$112*('W2'!$M$7:$V$7=$A705)*('W2'!$A$12:$A$112=$B705))*N685*$H$10*POWER(1+Inflation,N$11+1)</f>
        <v>-1328.1098408202242</v>
      </c>
      <c r="O705" s="555" cm="1">
        <f t="array" ref="O705">-SUMPRODUCT('W2'!$M$12:$V$112*('W2'!$M$7:$V$7=$A705)*('W2'!$A$12:$A$112=$B705))*O685*$H$10*POWER(1+Inflation,O$11+1)</f>
        <v>-1394.5153328612353</v>
      </c>
      <c r="P705" s="555" cm="1">
        <f t="array" ref="P705">-SUMPRODUCT('W2'!$M$12:$V$112*('W2'!$M$7:$V$7=$A705)*('W2'!$A$12:$A$112=$B705))*P685*$H$10*POWER(1+Inflation,P$11+1)</f>
        <v>-1464.2410995042972</v>
      </c>
      <c r="Q705" s="555" cm="1">
        <f t="array" ref="Q705">-SUMPRODUCT('W2'!$M$12:$V$112*('W2'!$M$7:$V$7=$A705)*('W2'!$A$12:$A$112=$B705))*Q685*$H$10*POWER(1+Inflation,Q$11+1)</f>
        <v>-1537.453154479512</v>
      </c>
      <c r="R705" s="555" cm="1">
        <f t="array" ref="R705">-SUMPRODUCT('W2'!$M$12:$V$112*('W2'!$M$7:$V$7=$A705)*('W2'!$A$12:$A$112=$B705))*R685*$H$10*POWER(1+Inflation,R$11+1)</f>
        <v>-1614.3258122034877</v>
      </c>
      <c r="S705" s="555" cm="1">
        <f t="array" ref="S705">-SUMPRODUCT('W2'!$M$12:$V$112*('W2'!$M$7:$V$7=$A705)*('W2'!$A$12:$A$112=$B705))*S685*$H$10*POWER(1+Inflation,S$11+1)</f>
        <v>-1695.0421028136618</v>
      </c>
      <c r="T705" s="555" cm="1">
        <f t="array" ref="T705">-SUMPRODUCT('W2'!$M$12:$V$112*('W2'!$M$7:$V$7=$A705)*('W2'!$A$12:$A$112=$B705))*T685*$H$10*POWER(1+Inflation,T$11+1)</f>
        <v>-1779.7942079543452</v>
      </c>
      <c r="U705" s="555" cm="1">
        <f t="array" ref="U705">-SUMPRODUCT('W2'!$M$12:$V$112*('W2'!$M$7:$V$7=$A705)*('W2'!$A$12:$A$112=$B705))*U685*$H$10*POWER(1+Inflation,U$11+1)</f>
        <v>-1868.7839183520623</v>
      </c>
      <c r="V705" s="555" cm="1">
        <f t="array" ref="V705">-SUMPRODUCT('W2'!$M$12:$V$112*('W2'!$M$7:$V$7=$A705)*('W2'!$A$12:$A$112=$B705))*V685*$H$10*POWER(1+Inflation,V$11+1)</f>
        <v>-1962.2231142696655</v>
      </c>
      <c r="W705" s="555" cm="1">
        <f t="array" ref="W705">-SUMPRODUCT('W2'!$M$12:$V$112*('W2'!$M$7:$V$7=$A705)*('W2'!$A$12:$A$112=$B705))*W685*$H$10*POWER(1+Inflation,W$11+1)</f>
        <v>-2060.3342699831487</v>
      </c>
      <c r="X705" s="555" cm="1">
        <f t="array" ref="X705">-SUMPRODUCT('W2'!$M$12:$V$112*('W2'!$M$7:$V$7=$A705)*('W2'!$A$12:$A$112=$B705))*X685*$H$10*POWER(1+Inflation,X$11+1)</f>
        <v>-2163.3509834823062</v>
      </c>
      <c r="Y705" s="555" cm="1">
        <f t="array" ref="Y705">-SUMPRODUCT('W2'!$M$12:$V$112*('W2'!$M$7:$V$7=$A705)*('W2'!$A$12:$A$112=$B705))*Y685*$H$10*POWER(1+Inflation,Y$11+1)</f>
        <v>-2271.5185326564215</v>
      </c>
      <c r="Z705" s="555" cm="1">
        <f t="array" ref="Z705">-SUMPRODUCT('W2'!$M$12:$V$112*('W2'!$M$7:$V$7=$A705)*('W2'!$A$12:$A$112=$B705))*Z685*$H$10*POWER(1+Inflation,Z$11+1)</f>
        <v>-2385.0944592892429</v>
      </c>
      <c r="AA705" s="555"/>
      <c r="AB705" s="555"/>
      <c r="AC705" s="555"/>
      <c r="AD705" s="555"/>
      <c r="AE705" s="555"/>
      <c r="AF705" s="555"/>
      <c r="AG705" s="555"/>
      <c r="AH705" s="555"/>
      <c r="AI705" s="555"/>
      <c r="AJ705" s="555"/>
    </row>
    <row r="706" spans="1:36" s="299" customFormat="1" x14ac:dyDescent="0.25">
      <c r="A706" s="299" t="s">
        <v>697</v>
      </c>
      <c r="B706" s="299" t="s">
        <v>668</v>
      </c>
      <c r="H706" s="553" t="s">
        <v>674</v>
      </c>
      <c r="I706" s="554" t="s">
        <v>672</v>
      </c>
      <c r="K706" s="555"/>
      <c r="L706" s="555" cm="1">
        <f t="array" ref="L706">-SUMPRODUCT('W2'!$M$12:$V$112*('W2'!$M$7:$V$7=$A706)*('W2'!$A$12:$A$112=$B706))*L686*$H$10*POWER(1+Inflation,L$11+1)</f>
        <v>0</v>
      </c>
      <c r="M706" s="555" cm="1">
        <f t="array" ref="M706">-SUMPRODUCT('W2'!$M$12:$V$112*('W2'!$M$7:$V$7=$A706)*('W2'!$A$12:$A$112=$B706))*M686*$H$10*POWER(1+Inflation,M$11+1)</f>
        <v>0</v>
      </c>
      <c r="N706" s="555" cm="1">
        <f t="array" ref="N706">-SUMPRODUCT('W2'!$M$12:$V$112*('W2'!$M$7:$V$7=$A706)*('W2'!$A$12:$A$112=$B706))*N686*$H$10*POWER(1+Inflation,N$11+1)</f>
        <v>0</v>
      </c>
      <c r="O706" s="555" cm="1">
        <f t="array" ref="O706">-SUMPRODUCT('W2'!$M$12:$V$112*('W2'!$M$7:$V$7=$A706)*('W2'!$A$12:$A$112=$B706))*O686*$H$10*POWER(1+Inflation,O$11+1)</f>
        <v>0</v>
      </c>
      <c r="P706" s="555" cm="1">
        <f t="array" ref="P706">-SUMPRODUCT('W2'!$M$12:$V$112*('W2'!$M$7:$V$7=$A706)*('W2'!$A$12:$A$112=$B706))*P686*$H$10*POWER(1+Inflation,P$11+1)</f>
        <v>0</v>
      </c>
      <c r="Q706" s="555" cm="1">
        <f t="array" ref="Q706">-SUMPRODUCT('W2'!$M$12:$V$112*('W2'!$M$7:$V$7=$A706)*('W2'!$A$12:$A$112=$B706))*Q686*$H$10*POWER(1+Inflation,Q$11+1)</f>
        <v>0</v>
      </c>
      <c r="R706" s="555" cm="1">
        <f t="array" ref="R706">-SUMPRODUCT('W2'!$M$12:$V$112*('W2'!$M$7:$V$7=$A706)*('W2'!$A$12:$A$112=$B706))*R686*$H$10*POWER(1+Inflation,R$11+1)</f>
        <v>0</v>
      </c>
      <c r="S706" s="555" cm="1">
        <f t="array" ref="S706">-SUMPRODUCT('W2'!$M$12:$V$112*('W2'!$M$7:$V$7=$A706)*('W2'!$A$12:$A$112=$B706))*S686*$H$10*POWER(1+Inflation,S$11+1)</f>
        <v>0</v>
      </c>
      <c r="T706" s="555" cm="1">
        <f t="array" ref="T706">-SUMPRODUCT('W2'!$M$12:$V$112*('W2'!$M$7:$V$7=$A706)*('W2'!$A$12:$A$112=$B706))*T686*$H$10*POWER(1+Inflation,T$11+1)</f>
        <v>0</v>
      </c>
      <c r="U706" s="555" cm="1">
        <f t="array" ref="U706">-SUMPRODUCT('W2'!$M$12:$V$112*('W2'!$M$7:$V$7=$A706)*('W2'!$A$12:$A$112=$B706))*U686*$H$10*POWER(1+Inflation,U$11+1)</f>
        <v>0</v>
      </c>
      <c r="V706" s="555" cm="1">
        <f t="array" ref="V706">-SUMPRODUCT('W2'!$M$12:$V$112*('W2'!$M$7:$V$7=$A706)*('W2'!$A$12:$A$112=$B706))*V686*$H$10*POWER(1+Inflation,V$11+1)</f>
        <v>0</v>
      </c>
      <c r="W706" s="555" cm="1">
        <f t="array" ref="W706">-SUMPRODUCT('W2'!$M$12:$V$112*('W2'!$M$7:$V$7=$A706)*('W2'!$A$12:$A$112=$B706))*W686*$H$10*POWER(1+Inflation,W$11+1)</f>
        <v>0</v>
      </c>
      <c r="X706" s="555" cm="1">
        <f t="array" ref="X706">-SUMPRODUCT('W2'!$M$12:$V$112*('W2'!$M$7:$V$7=$A706)*('W2'!$A$12:$A$112=$B706))*X686*$H$10*POWER(1+Inflation,X$11+1)</f>
        <v>0</v>
      </c>
      <c r="Y706" s="555" cm="1">
        <f t="array" ref="Y706">-SUMPRODUCT('W2'!$M$12:$V$112*('W2'!$M$7:$V$7=$A706)*('W2'!$A$12:$A$112=$B706))*Y686*$H$10*POWER(1+Inflation,Y$11+1)</f>
        <v>0</v>
      </c>
      <c r="Z706" s="555" cm="1">
        <f t="array" ref="Z706">-SUMPRODUCT('W2'!$M$12:$V$112*('W2'!$M$7:$V$7=$A706)*('W2'!$A$12:$A$112=$B706))*Z686*$H$10*POWER(1+Inflation,Z$11+1)</f>
        <v>0</v>
      </c>
      <c r="AA706" s="555"/>
      <c r="AB706" s="555"/>
      <c r="AC706" s="555"/>
      <c r="AD706" s="555"/>
      <c r="AE706" s="555"/>
      <c r="AF706" s="555"/>
      <c r="AG706" s="555"/>
      <c r="AH706" s="555"/>
      <c r="AI706" s="555"/>
      <c r="AJ706" s="555"/>
    </row>
    <row r="707" spans="1:36" x14ac:dyDescent="0.25">
      <c r="A707" t="s">
        <v>697</v>
      </c>
      <c r="H707" s="454" t="s">
        <v>180</v>
      </c>
      <c r="I707" s="496" t="str">
        <f t="shared" ref="I707:I710" si="611">IF($H$9="USD","USD","tr. VND")</f>
        <v>tr. VND</v>
      </c>
      <c r="K707" s="616">
        <f>SUM(K708:K710)</f>
        <v>0</v>
      </c>
      <c r="L707" s="616">
        <f>SUM(L708:L710)</f>
        <v>-8739.800110293334</v>
      </c>
      <c r="M707" s="616">
        <f t="shared" ref="M707:AJ707" si="612">SUM(M708:M710)</f>
        <v>-11537.321163477332</v>
      </c>
      <c r="N707" s="616">
        <f t="shared" si="612"/>
        <v>-16468.954914549333</v>
      </c>
      <c r="O707" s="616">
        <f t="shared" si="612"/>
        <v>-17241.074694410134</v>
      </c>
      <c r="P707" s="616">
        <f t="shared" si="612"/>
        <v>-18051.800463263975</v>
      </c>
      <c r="Q707" s="616">
        <f t="shared" si="612"/>
        <v>-18903.062520560507</v>
      </c>
      <c r="R707" s="616">
        <f t="shared" si="612"/>
        <v>-19796.887680721866</v>
      </c>
      <c r="S707" s="616">
        <f t="shared" si="612"/>
        <v>-20735.404098891289</v>
      </c>
      <c r="T707" s="616">
        <f t="shared" si="612"/>
        <v>-21720.846337969193</v>
      </c>
      <c r="U707" s="616">
        <f t="shared" si="612"/>
        <v>-22755.560689000984</v>
      </c>
      <c r="V707" s="616">
        <f t="shared" si="612"/>
        <v>-23842.010757584365</v>
      </c>
      <c r="W707" s="616">
        <f t="shared" si="612"/>
        <v>-24982.783329596918</v>
      </c>
      <c r="X707" s="616">
        <f t="shared" si="612"/>
        <v>-25178.095196876766</v>
      </c>
      <c r="Y707" s="616">
        <f t="shared" si="612"/>
        <v>-26435.796957520601</v>
      </c>
      <c r="Z707" s="616">
        <f t="shared" si="612"/>
        <v>-27756.383806196634</v>
      </c>
      <c r="AA707" s="616"/>
      <c r="AB707" s="616"/>
      <c r="AC707" s="616"/>
      <c r="AD707" s="616"/>
      <c r="AE707" s="616"/>
      <c r="AF707" s="616"/>
      <c r="AG707" s="616"/>
      <c r="AH707" s="616"/>
      <c r="AI707" s="616"/>
      <c r="AJ707" s="616"/>
    </row>
    <row r="708" spans="1:36" s="299" customFormat="1" x14ac:dyDescent="0.25">
      <c r="A708" s="299" t="s">
        <v>697</v>
      </c>
      <c r="B708" s="299" t="s">
        <v>174</v>
      </c>
      <c r="H708" s="553" t="s">
        <v>73</v>
      </c>
      <c r="I708" s="554" t="str">
        <f t="shared" si="611"/>
        <v>tr. VND</v>
      </c>
      <c r="K708" s="555"/>
      <c r="L708" s="555" cm="1">
        <f t="array" ref="L708">-SUMPRODUCT('W2'!$M$12:$V$112*('W2'!$M$7:$V$7=$A708)*('W2'!$A$12:$A$112=$B708))*L678*24*$H$10*POWER(1+Inflation,L$11+1)</f>
        <v>-5749.8011999999999</v>
      </c>
      <c r="M708" s="555" cm="1">
        <f t="array" ref="M708">-SUMPRODUCT('W2'!$M$12:$V$112*('W2'!$M$7:$V$7=$A708)*('W2'!$A$12:$A$112=$B708))*M678*24*$H$10*POWER(1+Inflation,M$11+1)</f>
        <v>-8049.7216799999978</v>
      </c>
      <c r="N708" s="555" cm="1">
        <f t="array" ref="N708">-SUMPRODUCT('W2'!$M$12:$V$112*('W2'!$M$7:$V$7=$A708)*('W2'!$A$12:$A$112=$B708))*N678*24*$H$10*POWER(1+Inflation,N$11+1)</f>
        <v>-12074.58252</v>
      </c>
      <c r="O708" s="555" cm="1">
        <f t="array" ref="O708">-SUMPRODUCT('W2'!$M$12:$V$112*('W2'!$M$7:$V$7=$A708)*('W2'!$A$12:$A$112=$B708))*O678*24*$H$10*POWER(1+Inflation,O$11+1)</f>
        <v>-12678.311646</v>
      </c>
      <c r="P708" s="555" cm="1">
        <f t="array" ref="P708">-SUMPRODUCT('W2'!$M$12:$V$112*('W2'!$M$7:$V$7=$A708)*('W2'!$A$12:$A$112=$B708))*P678*24*$H$10*POWER(1+Inflation,P$11+1)</f>
        <v>-13312.227228300002</v>
      </c>
      <c r="Q708" s="555" cm="1">
        <f t="array" ref="Q708">-SUMPRODUCT('W2'!$M$12:$V$112*('W2'!$M$7:$V$7=$A708)*('W2'!$A$12:$A$112=$B708))*Q678*24*$H$10*POWER(1+Inflation,Q$11+1)</f>
        <v>-13977.838589715</v>
      </c>
      <c r="R708" s="555" cm="1">
        <f t="array" ref="R708">-SUMPRODUCT('W2'!$M$12:$V$112*('W2'!$M$7:$V$7=$A708)*('W2'!$A$12:$A$112=$B708))*R678*24*$H$10*POWER(1+Inflation,R$11+1)</f>
        <v>-14676.730519200752</v>
      </c>
      <c r="S708" s="555" cm="1">
        <f t="array" ref="S708">-SUMPRODUCT('W2'!$M$12:$V$112*('W2'!$M$7:$V$7=$A708)*('W2'!$A$12:$A$112=$B708))*S678*24*$H$10*POWER(1+Inflation,S$11+1)</f>
        <v>-15410.567045160788</v>
      </c>
      <c r="T708" s="555" cm="1">
        <f t="array" ref="T708">-SUMPRODUCT('W2'!$M$12:$V$112*('W2'!$M$7:$V$7=$A708)*('W2'!$A$12:$A$112=$B708))*T678*24*$H$10*POWER(1+Inflation,T$11+1)</f>
        <v>-16181.095397418829</v>
      </c>
      <c r="U708" s="555" cm="1">
        <f t="array" ref="U708">-SUMPRODUCT('W2'!$M$12:$V$112*('W2'!$M$7:$V$7=$A708)*('W2'!$A$12:$A$112=$B708))*U678*24*$H$10*POWER(1+Inflation,U$11+1)</f>
        <v>-16990.150167289768</v>
      </c>
      <c r="V708" s="555" cm="1">
        <f t="array" ref="V708">-SUMPRODUCT('W2'!$M$12:$V$112*('W2'!$M$7:$V$7=$A708)*('W2'!$A$12:$A$112=$B708))*V678*24*$H$10*POWER(1+Inflation,V$11+1)</f>
        <v>-17839.657675654256</v>
      </c>
      <c r="W708" s="555" cm="1">
        <f t="array" ref="W708">-SUMPRODUCT('W2'!$M$12:$V$112*('W2'!$M$7:$V$7=$A708)*('W2'!$A$12:$A$112=$B708))*W678*24*$H$10*POWER(1+Inflation,W$11+1)</f>
        <v>-18731.640559436972</v>
      </c>
      <c r="X708" s="555" cm="1">
        <f t="array" ref="X708">-SUMPRODUCT('W2'!$M$12:$V$112*('W2'!$M$7:$V$7=$A708)*('W2'!$A$12:$A$112=$B708))*X678*24*$H$10*POWER(1+Inflation,X$11+1)</f>
        <v>-19668.222587408822</v>
      </c>
      <c r="Y708" s="555" cm="1">
        <f t="array" ref="Y708">-SUMPRODUCT('W2'!$M$12:$V$112*('W2'!$M$7:$V$7=$A708)*('W2'!$A$12:$A$112=$B708))*Y678*24*$H$10*POWER(1+Inflation,Y$11+1)</f>
        <v>-20651.633716779259</v>
      </c>
      <c r="Z708" s="555" cm="1">
        <f t="array" ref="Z708">-SUMPRODUCT('W2'!$M$12:$V$112*('W2'!$M$7:$V$7=$A708)*('W2'!$A$12:$A$112=$B708))*Z678*24*$H$10*POWER(1+Inflation,Z$11+1)</f>
        <v>-21684.215402618225</v>
      </c>
      <c r="AA708" s="555"/>
      <c r="AB708" s="555"/>
      <c r="AC708" s="555"/>
      <c r="AD708" s="555"/>
      <c r="AE708" s="555"/>
      <c r="AF708" s="555"/>
      <c r="AG708" s="555"/>
      <c r="AH708" s="555"/>
      <c r="AI708" s="555"/>
      <c r="AJ708" s="555"/>
    </row>
    <row r="709" spans="1:36" s="299" customFormat="1" x14ac:dyDescent="0.25">
      <c r="A709" s="299" t="s">
        <v>697</v>
      </c>
      <c r="B709" s="299" t="s">
        <v>462</v>
      </c>
      <c r="H709" s="553" t="s">
        <v>192</v>
      </c>
      <c r="I709" s="554" t="str">
        <f t="shared" si="611"/>
        <v>tr. VND</v>
      </c>
      <c r="K709" s="555"/>
      <c r="L709" s="555" cm="1">
        <f t="array" ref="L709">-SUMPRODUCT('W2'!$M$12:$V$112*('W2'!$M$7:$V$7=$A709)*('W2'!$A$12:$A$112=$B709))*L679*$H$10*POWER(1+Inflation,L$11+1)</f>
        <v>-975.00902399999995</v>
      </c>
      <c r="M709" s="555" cm="1">
        <f t="array" ref="M709">-SUMPRODUCT('W2'!$M$12:$V$112*('W2'!$M$7:$V$7=$A709)*('W2'!$A$12:$A$112=$B709))*M679*$H$10*POWER(1+Inflation,M$11+1)</f>
        <v>-1365.0126335999998</v>
      </c>
      <c r="N709" s="555" cm="1">
        <f t="array" ref="N709">-SUMPRODUCT('W2'!$M$12:$V$112*('W2'!$M$7:$V$7=$A709)*('W2'!$A$12:$A$112=$B709))*N679*$H$10*POWER(1+Inflation,N$11+1)</f>
        <v>-2047.5189504</v>
      </c>
      <c r="O709" s="555" cm="1">
        <f t="array" ref="O709">-SUMPRODUCT('W2'!$M$12:$V$112*('W2'!$M$7:$V$7=$A709)*('W2'!$A$12:$A$112=$B709))*O679*$H$10*POWER(1+Inflation,O$11+1)</f>
        <v>-2149.8948979199999</v>
      </c>
      <c r="P709" s="555" cm="1">
        <f t="array" ref="P709">-SUMPRODUCT('W2'!$M$12:$V$112*('W2'!$M$7:$V$7=$A709)*('W2'!$A$12:$A$112=$B709))*P679*$H$10*POWER(1+Inflation,P$11+1)</f>
        <v>-2257.3896428160001</v>
      </c>
      <c r="Q709" s="555" cm="1">
        <f t="array" ref="Q709">-SUMPRODUCT('W2'!$M$12:$V$112*('W2'!$M$7:$V$7=$A709)*('W2'!$A$12:$A$112=$B709))*Q679*$H$10*POWER(1+Inflation,Q$11+1)</f>
        <v>-2370.2591249568</v>
      </c>
      <c r="R709" s="555" cm="1">
        <f t="array" ref="R709">-SUMPRODUCT('W2'!$M$12:$V$112*('W2'!$M$7:$V$7=$A709)*('W2'!$A$12:$A$112=$B709))*R679*$H$10*POWER(1+Inflation,R$11+1)</f>
        <v>-2488.77208120464</v>
      </c>
      <c r="S709" s="555" cm="1">
        <f t="array" ref="S709">-SUMPRODUCT('W2'!$M$12:$V$112*('W2'!$M$7:$V$7=$A709)*('W2'!$A$12:$A$112=$B709))*S679*$H$10*POWER(1+Inflation,S$11+1)</f>
        <v>-2613.2106852648717</v>
      </c>
      <c r="T709" s="555" cm="1">
        <f t="array" ref="T709">-SUMPRODUCT('W2'!$M$12:$V$112*('W2'!$M$7:$V$7=$A709)*('W2'!$A$12:$A$112=$B709))*T679*$H$10*POWER(1+Inflation,T$11+1)</f>
        <v>-2743.8712195281159</v>
      </c>
      <c r="U709" s="555" cm="1">
        <f t="array" ref="U709">-SUMPRODUCT('W2'!$M$12:$V$112*('W2'!$M$7:$V$7=$A709)*('W2'!$A$12:$A$112=$B709))*U679*$H$10*POWER(1+Inflation,U$11+1)</f>
        <v>-2881.0647805045214</v>
      </c>
      <c r="V709" s="555" cm="1">
        <f t="array" ref="V709">-SUMPRODUCT('W2'!$M$12:$V$112*('W2'!$M$7:$V$7=$A709)*('W2'!$A$12:$A$112=$B709))*V679*$H$10*POWER(1+Inflation,V$11+1)</f>
        <v>-3025.1180195297475</v>
      </c>
      <c r="W709" s="555" cm="1">
        <f t="array" ref="W709">-SUMPRODUCT('W2'!$M$12:$V$112*('W2'!$M$7:$V$7=$A709)*('W2'!$A$12:$A$112=$B709))*W679*$H$10*POWER(1+Inflation,W$11+1)</f>
        <v>-3176.3739205062352</v>
      </c>
      <c r="X709" s="555" cm="1">
        <f t="array" ref="X709">-SUMPRODUCT('W2'!$M$12:$V$112*('W2'!$M$7:$V$7=$A709)*('W2'!$A$12:$A$112=$B709))*X679*$H$10*POWER(1+Inflation,X$11+1)</f>
        <v>-3335.1926165315472</v>
      </c>
      <c r="Y709" s="555" cm="1">
        <f t="array" ref="Y709">-SUMPRODUCT('W2'!$M$12:$V$112*('W2'!$M$7:$V$7=$A709)*('W2'!$A$12:$A$112=$B709))*Y679*$H$10*POWER(1+Inflation,Y$11+1)</f>
        <v>-3501.9522473581237</v>
      </c>
      <c r="Z709" s="555" cm="1">
        <f t="array" ref="Z709">-SUMPRODUCT('W2'!$M$12:$V$112*('W2'!$M$7:$V$7=$A709)*('W2'!$A$12:$A$112=$B709))*Z679*$H$10*POWER(1+Inflation,Z$11+1)</f>
        <v>-3677.0498597260307</v>
      </c>
      <c r="AA709" s="555"/>
      <c r="AB709" s="555"/>
      <c r="AC709" s="555"/>
      <c r="AD709" s="555"/>
      <c r="AE709" s="555"/>
      <c r="AF709" s="555"/>
      <c r="AG709" s="555"/>
      <c r="AH709" s="555"/>
      <c r="AI709" s="555"/>
      <c r="AJ709" s="555"/>
    </row>
    <row r="710" spans="1:36" s="299" customFormat="1" x14ac:dyDescent="0.25">
      <c r="A710" s="299" t="s">
        <v>697</v>
      </c>
      <c r="B710" s="299" t="s">
        <v>140</v>
      </c>
      <c r="H710" s="553" t="s">
        <v>175</v>
      </c>
      <c r="I710" s="554" t="str">
        <f t="shared" si="611"/>
        <v>tr. VND</v>
      </c>
      <c r="K710" s="555"/>
      <c r="L710" s="555" cm="1">
        <f t="array" ref="L710">SUMPRODUCT('W2'!$M$12:$V$112*('W2'!$M$7:$V$7=$A710)*('W2'!$A$12:$A$112=$B710))*(SUM(L690,L708:L709))</f>
        <v>-2014.9898862933333</v>
      </c>
      <c r="M710" s="555" cm="1">
        <f t="array" ref="M710">SUMPRODUCT('W2'!$M$12:$V$112*('W2'!$M$7:$V$7=$A710)*('W2'!$A$12:$A$112=$B710))*(SUM(M690,M708:M709))</f>
        <v>-2122.5868498773334</v>
      </c>
      <c r="N710" s="555" cm="1">
        <f t="array" ref="N710">SUMPRODUCT('W2'!$M$12:$V$112*('W2'!$M$7:$V$7=$A710)*('W2'!$A$12:$A$112=$B710))*(SUM(N690,N708:N709))</f>
        <v>-2346.8534441493334</v>
      </c>
      <c r="O710" s="555" cm="1">
        <f t="array" ref="O710">SUMPRODUCT('W2'!$M$12:$V$112*('W2'!$M$7:$V$7=$A710)*('W2'!$A$12:$A$112=$B710))*(SUM(O690,O708:O709))</f>
        <v>-2412.8681504901338</v>
      </c>
      <c r="P710" s="555" cm="1">
        <f t="array" ref="P710">SUMPRODUCT('W2'!$M$12:$V$112*('W2'!$M$7:$V$7=$A710)*('W2'!$A$12:$A$112=$B710))*(SUM(P690,P708:P709))</f>
        <v>-2482.1835921479737</v>
      </c>
      <c r="Q710" s="555" cm="1">
        <f t="array" ref="Q710">SUMPRODUCT('W2'!$M$12:$V$112*('W2'!$M$7:$V$7=$A710)*('W2'!$A$12:$A$112=$B710))*(SUM(Q690,Q708:Q709))</f>
        <v>-2554.9648058887055</v>
      </c>
      <c r="R710" s="555" cm="1">
        <f t="array" ref="R710">SUMPRODUCT('W2'!$M$12:$V$112*('W2'!$M$7:$V$7=$A710)*('W2'!$A$12:$A$112=$B710))*(SUM(R690,R708:R709))</f>
        <v>-2631.3850803164742</v>
      </c>
      <c r="S710" s="555" cm="1">
        <f t="array" ref="S710">SUMPRODUCT('W2'!$M$12:$V$112*('W2'!$M$7:$V$7=$A710)*('W2'!$A$12:$A$112=$B710))*(SUM(S690,S708:S709))</f>
        <v>-2711.6263684656315</v>
      </c>
      <c r="T710" s="555" cm="1">
        <f t="array" ref="T710">SUMPRODUCT('W2'!$M$12:$V$112*('W2'!$M$7:$V$7=$A710)*('W2'!$A$12:$A$112=$B710))*(SUM(T690,T708:T709))</f>
        <v>-2795.879721022246</v>
      </c>
      <c r="U710" s="555" cm="1">
        <f t="array" ref="U710">SUMPRODUCT('W2'!$M$12:$V$112*('W2'!$M$7:$V$7=$A710)*('W2'!$A$12:$A$112=$B710))*(SUM(U690,U708:U709))</f>
        <v>-2884.3457412066919</v>
      </c>
      <c r="V710" s="555" cm="1">
        <f t="array" ref="V710">SUMPRODUCT('W2'!$M$12:$V$112*('W2'!$M$7:$V$7=$A710)*('W2'!$A$12:$A$112=$B710))*(SUM(V690,V708:V709))</f>
        <v>-2977.2350624003593</v>
      </c>
      <c r="W710" s="555" cm="1">
        <f t="array" ref="W710">SUMPRODUCT('W2'!$M$12:$V$112*('W2'!$M$7:$V$7=$A710)*('W2'!$A$12:$A$112=$B710))*(SUM(W690,W708:W709))</f>
        <v>-3074.7688496537107</v>
      </c>
      <c r="X710" s="555" cm="1">
        <f t="array" ref="X710">SUMPRODUCT('W2'!$M$12:$V$112*('W2'!$M$7:$V$7=$A710)*('W2'!$A$12:$A$112=$B710))*(SUM(X690,X708:X709))</f>
        <v>-2174.6799929363965</v>
      </c>
      <c r="Y710" s="555" cm="1">
        <f t="array" ref="Y710">SUMPRODUCT('W2'!$M$12:$V$112*('W2'!$M$7:$V$7=$A710)*('W2'!$A$12:$A$112=$B710))*(SUM(Y690,Y708:Y709))</f>
        <v>-2282.2109933832162</v>
      </c>
      <c r="Z710" s="555" cm="1">
        <f t="array" ref="Z710">SUMPRODUCT('W2'!$M$12:$V$112*('W2'!$M$7:$V$7=$A710)*('W2'!$A$12:$A$112=$B710))*(SUM(Z690,Z708:Z709))</f>
        <v>-2395.1185438523776</v>
      </c>
      <c r="AA710" s="555"/>
      <c r="AB710" s="555"/>
      <c r="AC710" s="555"/>
      <c r="AD710" s="555"/>
      <c r="AE710" s="555"/>
      <c r="AF710" s="555"/>
      <c r="AG710" s="555"/>
      <c r="AH710" s="555"/>
      <c r="AI710" s="555"/>
      <c r="AJ710" s="555"/>
    </row>
    <row r="711" spans="1:36" x14ac:dyDescent="0.25">
      <c r="A711" t="s">
        <v>697</v>
      </c>
      <c r="K711" s="15"/>
      <c r="L711" s="263"/>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row>
    <row r="712" spans="1:36" s="300" customFormat="1" x14ac:dyDescent="0.25">
      <c r="A712" s="300" t="s">
        <v>697</v>
      </c>
      <c r="H712" s="301" t="s">
        <v>464</v>
      </c>
      <c r="I712" s="302" t="str">
        <f>IF($H$9="USD","USD","tr. VND")</f>
        <v>tr. VND</v>
      </c>
      <c r="K712" s="303">
        <f>K690+K700</f>
        <v>0</v>
      </c>
      <c r="L712" s="303">
        <f t="shared" ref="L712:AJ712" si="613">L690+L700</f>
        <v>-136144.00223716011</v>
      </c>
      <c r="M712" s="303">
        <f t="shared" si="613"/>
        <v>-172443.22936775751</v>
      </c>
      <c r="N712" s="303">
        <f t="shared" si="613"/>
        <v>-231914.83653814293</v>
      </c>
      <c r="O712" s="303">
        <f t="shared" si="613"/>
        <v>-237088.99513803353</v>
      </c>
      <c r="P712" s="303">
        <f t="shared" si="613"/>
        <v>-242420.12054562898</v>
      </c>
      <c r="Q712" s="303">
        <f t="shared" si="613"/>
        <v>-247914.02627886878</v>
      </c>
      <c r="R712" s="303">
        <f t="shared" si="613"/>
        <v>-253576.77583514043</v>
      </c>
      <c r="S712" s="303">
        <f t="shared" si="613"/>
        <v>-259414.69437632285</v>
      </c>
      <c r="T712" s="303">
        <f t="shared" si="613"/>
        <v>-265434.38098180352</v>
      </c>
      <c r="U712" s="303">
        <f t="shared" si="613"/>
        <v>-271642.72149754228</v>
      </c>
      <c r="V712" s="303">
        <f t="shared" si="613"/>
        <v>-278046.90201065154</v>
      </c>
      <c r="W712" s="303">
        <f t="shared" si="613"/>
        <v>-284654.42298043164</v>
      </c>
      <c r="X712" s="303">
        <f t="shared" si="613"/>
        <v>-265408.13139166962</v>
      </c>
      <c r="Y712" s="303">
        <f t="shared" si="613"/>
        <v>-272446.16696429788</v>
      </c>
      <c r="Z712" s="303">
        <f t="shared" si="613"/>
        <v>-279712.08245520247</v>
      </c>
      <c r="AA712" s="303"/>
      <c r="AB712" s="303"/>
      <c r="AC712" s="303"/>
      <c r="AD712" s="303"/>
      <c r="AE712" s="303"/>
      <c r="AF712" s="303"/>
      <c r="AG712" s="303"/>
      <c r="AH712" s="303"/>
      <c r="AI712" s="303"/>
      <c r="AJ712" s="303"/>
    </row>
    <row r="713" spans="1:36" x14ac:dyDescent="0.25">
      <c r="A713" t="s">
        <v>697</v>
      </c>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row>
    <row r="714" spans="1:36" x14ac:dyDescent="0.25">
      <c r="A714" t="s">
        <v>697</v>
      </c>
      <c r="B714" t="s">
        <v>622</v>
      </c>
      <c r="H714" s="459" t="s">
        <v>166</v>
      </c>
      <c r="I714" s="493" t="str">
        <f>IF($H$9="USD","USD","tr. VND")</f>
        <v>tr. VND</v>
      </c>
      <c r="K714" s="461"/>
      <c r="L714" s="461" cm="1">
        <f t="array" ref="L714">-SUMPRODUCT('W2'!$M$12:$V$112*('W2'!$M$7:$V$7=$A714)*('W2'!$A$12:$A$112=$B714))*L679*$H$10*POWER(1+Inflation,L$11+1)</f>
        <v>-2752.9666560000001</v>
      </c>
      <c r="M714" s="461" cm="1">
        <f t="array" ref="M714">-SUMPRODUCT('W2'!$M$12:$V$112*('W2'!$M$7:$V$7=$A714)*('W2'!$A$12:$A$112=$B714))*M679*$H$10*POWER(1+Inflation,M$11+1)</f>
        <v>-3854.1533183999995</v>
      </c>
      <c r="N714" s="461" cm="1">
        <f t="array" ref="N714">-SUMPRODUCT('W2'!$M$12:$V$112*('W2'!$M$7:$V$7=$A714)*('W2'!$A$12:$A$112=$B714))*N679*$H$10*POWER(1+Inflation,N$11+1)</f>
        <v>-5781.2299776</v>
      </c>
      <c r="O714" s="461" cm="1">
        <f t="array" ref="O714">-SUMPRODUCT('W2'!$M$12:$V$112*('W2'!$M$7:$V$7=$A714)*('W2'!$A$12:$A$112=$B714))*O679*$H$10*POWER(1+Inflation,O$11+1)</f>
        <v>-6070.2914764800007</v>
      </c>
      <c r="P714" s="461" cm="1">
        <f t="array" ref="P714">-SUMPRODUCT('W2'!$M$12:$V$112*('W2'!$M$7:$V$7=$A714)*('W2'!$A$12:$A$112=$B714))*P679*$H$10*POWER(1+Inflation,P$11+1)</f>
        <v>-6373.8060503040006</v>
      </c>
      <c r="Q714" s="461" cm="1">
        <f t="array" ref="Q714">-SUMPRODUCT('W2'!$M$12:$V$112*('W2'!$M$7:$V$7=$A714)*('W2'!$A$12:$A$112=$B714))*Q679*$H$10*POWER(1+Inflation,Q$11+1)</f>
        <v>-6692.4963528192002</v>
      </c>
      <c r="R714" s="461" cm="1">
        <f t="array" ref="R714">-SUMPRODUCT('W2'!$M$12:$V$112*('W2'!$M$7:$V$7=$A714)*('W2'!$A$12:$A$112=$B714))*R679*$H$10*POWER(1+Inflation,R$11+1)</f>
        <v>-7027.121170460161</v>
      </c>
      <c r="S714" s="461" cm="1">
        <f t="array" ref="S714">-SUMPRODUCT('W2'!$M$12:$V$112*('W2'!$M$7:$V$7=$A714)*('W2'!$A$12:$A$112=$B714))*S679*$H$10*POWER(1+Inflation,S$11+1)</f>
        <v>-7378.4772289831681</v>
      </c>
      <c r="T714" s="461" cm="1">
        <f t="array" ref="T714">-SUMPRODUCT('W2'!$M$12:$V$112*('W2'!$M$7:$V$7=$A714)*('W2'!$A$12:$A$112=$B714))*T679*$H$10*POWER(1+Inflation,T$11+1)</f>
        <v>-7747.4010904323277</v>
      </c>
      <c r="U714" s="461" cm="1">
        <f t="array" ref="U714">-SUMPRODUCT('W2'!$M$12:$V$112*('W2'!$M$7:$V$7=$A714)*('W2'!$A$12:$A$112=$B714))*U679*$H$10*POWER(1+Inflation,U$11+1)</f>
        <v>-8134.7711449539429</v>
      </c>
      <c r="V714" s="461" cm="1">
        <f t="array" ref="V714">-SUMPRODUCT('W2'!$M$12:$V$112*('W2'!$M$7:$V$7=$A714)*('W2'!$A$12:$A$112=$B714))*V679*$H$10*POWER(1+Inflation,V$11+1)</f>
        <v>-8541.5097022016416</v>
      </c>
      <c r="W714" s="461" cm="1">
        <f t="array" ref="W714">-SUMPRODUCT('W2'!$M$12:$V$112*('W2'!$M$7:$V$7=$A714)*('W2'!$A$12:$A$112=$B714))*W679*$H$10*POWER(1+Inflation,W$11+1)</f>
        <v>-8968.5851873117226</v>
      </c>
      <c r="X714" s="461" cm="1">
        <f t="array" ref="X714">-SUMPRODUCT('W2'!$M$12:$V$112*('W2'!$M$7:$V$7=$A714)*('W2'!$A$12:$A$112=$B714))*X679*$H$10*POWER(1+Inflation,X$11+1)</f>
        <v>-9417.014446677309</v>
      </c>
      <c r="Y714" s="461" cm="1">
        <f t="array" ref="Y714">-SUMPRODUCT('W2'!$M$12:$V$112*('W2'!$M$7:$V$7=$A714)*('W2'!$A$12:$A$112=$B714))*Y679*$H$10*POWER(1+Inflation,Y$11+1)</f>
        <v>-9887.8651690111747</v>
      </c>
      <c r="Z714" s="461" cm="1">
        <f t="array" ref="Z714">-SUMPRODUCT('W2'!$M$12:$V$112*('W2'!$M$7:$V$7=$A714)*('W2'!$A$12:$A$112=$B714))*Z679*$H$10*POWER(1+Inflation,Z$11+1)</f>
        <v>-10382.258427461735</v>
      </c>
      <c r="AA714" s="461"/>
      <c r="AB714" s="461"/>
      <c r="AC714" s="461"/>
      <c r="AD714" s="461"/>
      <c r="AE714" s="461"/>
      <c r="AF714" s="461"/>
      <c r="AG714" s="461"/>
      <c r="AH714" s="461"/>
      <c r="AI714" s="461"/>
      <c r="AJ714" s="461"/>
    </row>
    <row r="715" spans="1:36" x14ac:dyDescent="0.25">
      <c r="A715" t="s">
        <v>697</v>
      </c>
      <c r="B715" t="s">
        <v>527</v>
      </c>
      <c r="H715" s="454" t="s">
        <v>469</v>
      </c>
      <c r="I715" s="496" t="str">
        <f>IF($H$9="USD","USD","tr. VND")</f>
        <v>tr. VND</v>
      </c>
      <c r="K715" s="457"/>
      <c r="L715" s="457" cm="1">
        <f t="array" ref="L715">-SUMPRODUCT('W2'!$M$12:$V$112*('W2'!$M$7:$V$7=$A715)*('W2'!$A$12:$A$112=$B715))*L679*$H$10*POWER(1+Inflation,L$11+1)</f>
        <v>0</v>
      </c>
      <c r="M715" s="457" cm="1">
        <f t="array" ref="M715">-SUMPRODUCT('W2'!$M$12:$V$112*('W2'!$M$7:$V$7=$A715)*('W2'!$A$12:$A$112=$B715))*M679*$H$10*POWER(1+Inflation,M$11+1)</f>
        <v>0</v>
      </c>
      <c r="N715" s="457" cm="1">
        <f t="array" ref="N715">-SUMPRODUCT('W2'!$M$12:$V$112*('W2'!$M$7:$V$7=$A715)*('W2'!$A$12:$A$112=$B715))*N679*$H$10*POWER(1+Inflation,N$11+1)</f>
        <v>0</v>
      </c>
      <c r="O715" s="457" cm="1">
        <f t="array" ref="O715">-SUMPRODUCT('W2'!$M$12:$V$112*('W2'!$M$7:$V$7=$A715)*('W2'!$A$12:$A$112=$B715))*O679*$H$10*POWER(1+Inflation,O$11+1)</f>
        <v>0</v>
      </c>
      <c r="P715" s="457" cm="1">
        <f t="array" ref="P715">-SUMPRODUCT('W2'!$M$12:$V$112*('W2'!$M$7:$V$7=$A715)*('W2'!$A$12:$A$112=$B715))*P679*$H$10*POWER(1+Inflation,P$11+1)</f>
        <v>0</v>
      </c>
      <c r="Q715" s="457" cm="1">
        <f t="array" ref="Q715">-SUMPRODUCT('W2'!$M$12:$V$112*('W2'!$M$7:$V$7=$A715)*('W2'!$A$12:$A$112=$B715))*Q679*$H$10*POWER(1+Inflation,Q$11+1)</f>
        <v>0</v>
      </c>
      <c r="R715" s="457" cm="1">
        <f t="array" ref="R715">-SUMPRODUCT('W2'!$M$12:$V$112*('W2'!$M$7:$V$7=$A715)*('W2'!$A$12:$A$112=$B715))*R679*$H$10*POWER(1+Inflation,R$11+1)</f>
        <v>0</v>
      </c>
      <c r="S715" s="457" cm="1">
        <f t="array" ref="S715">-SUMPRODUCT('W2'!$M$12:$V$112*('W2'!$M$7:$V$7=$A715)*('W2'!$A$12:$A$112=$B715))*S679*$H$10*POWER(1+Inflation,S$11+1)</f>
        <v>0</v>
      </c>
      <c r="T715" s="457" cm="1">
        <f t="array" ref="T715">-SUMPRODUCT('W2'!$M$12:$V$112*('W2'!$M$7:$V$7=$A715)*('W2'!$A$12:$A$112=$B715))*T679*$H$10*POWER(1+Inflation,T$11+1)</f>
        <v>0</v>
      </c>
      <c r="U715" s="457" cm="1">
        <f t="array" ref="U715">-SUMPRODUCT('W2'!$M$12:$V$112*('W2'!$M$7:$V$7=$A715)*('W2'!$A$12:$A$112=$B715))*U679*$H$10*POWER(1+Inflation,U$11+1)</f>
        <v>0</v>
      </c>
      <c r="V715" s="457" cm="1">
        <f t="array" ref="V715">-SUMPRODUCT('W2'!$M$12:$V$112*('W2'!$M$7:$V$7=$A715)*('W2'!$A$12:$A$112=$B715))*V679*$H$10*POWER(1+Inflation,V$11+1)</f>
        <v>0</v>
      </c>
      <c r="W715" s="457" cm="1">
        <f t="array" ref="W715">-SUMPRODUCT('W2'!$M$12:$V$112*('W2'!$M$7:$V$7=$A715)*('W2'!$A$12:$A$112=$B715))*W679*$H$10*POWER(1+Inflation,W$11+1)</f>
        <v>0</v>
      </c>
      <c r="X715" s="457" cm="1">
        <f t="array" ref="X715">-SUMPRODUCT('W2'!$M$12:$V$112*('W2'!$M$7:$V$7=$A715)*('W2'!$A$12:$A$112=$B715))*X679*$H$10*POWER(1+Inflation,X$11+1)</f>
        <v>0</v>
      </c>
      <c r="Y715" s="457" cm="1">
        <f t="array" ref="Y715">-SUMPRODUCT('W2'!$M$12:$V$112*('W2'!$M$7:$V$7=$A715)*('W2'!$A$12:$A$112=$B715))*Y679*$H$10*POWER(1+Inflation,Y$11+1)</f>
        <v>0</v>
      </c>
      <c r="Z715" s="457" cm="1">
        <f t="array" ref="Z715">-SUMPRODUCT('W2'!$M$12:$V$112*('W2'!$M$7:$V$7=$A715)*('W2'!$A$12:$A$112=$B715))*Z679*$H$10*POWER(1+Inflation,Z$11+1)</f>
        <v>0</v>
      </c>
      <c r="AA715" s="457"/>
      <c r="AB715" s="457"/>
      <c r="AC715" s="457"/>
      <c r="AD715" s="457"/>
      <c r="AE715" s="457"/>
      <c r="AF715" s="457"/>
      <c r="AG715" s="457"/>
      <c r="AH715" s="457"/>
      <c r="AI715" s="457"/>
      <c r="AJ715" s="457"/>
    </row>
    <row r="716" spans="1:36" x14ac:dyDescent="0.25">
      <c r="A716" t="s">
        <v>697</v>
      </c>
      <c r="B716" t="s">
        <v>522</v>
      </c>
      <c r="H716" s="454" t="s">
        <v>468</v>
      </c>
      <c r="I716" s="496" t="str">
        <f>IF($H$9="USD","USD","tr. VND")</f>
        <v>tr. VND</v>
      </c>
      <c r="K716" s="454"/>
      <c r="L716" s="457" cm="1">
        <f t="array" ref="L716">-SUMPRODUCT('W2'!$M$12:$V$112*('W2'!$M$7:$V$7=$A716)*('W2'!$A$12:$A$112=$B716))*L679*$H$10*POWER(1+Inflation,L$11+1)</f>
        <v>0</v>
      </c>
      <c r="M716" s="457" cm="1">
        <f t="array" ref="M716">-SUMPRODUCT('W2'!$M$12:$V$112*('W2'!$M$7:$V$7=$A716)*('W2'!$A$12:$A$112=$B716))*M679*$H$10*POWER(1+Inflation,M$11+1)</f>
        <v>0</v>
      </c>
      <c r="N716" s="457" cm="1">
        <f t="array" ref="N716">-SUMPRODUCT('W2'!$M$12:$V$112*('W2'!$M$7:$V$7=$A716)*('W2'!$A$12:$A$112=$B716))*N679*$H$10*POWER(1+Inflation,N$11+1)</f>
        <v>0</v>
      </c>
      <c r="O716" s="457" cm="1">
        <f t="array" ref="O716">-SUMPRODUCT('W2'!$M$12:$V$112*('W2'!$M$7:$V$7=$A716)*('W2'!$A$12:$A$112=$B716))*O679*$H$10*POWER(1+Inflation,O$11+1)</f>
        <v>0</v>
      </c>
      <c r="P716" s="457" cm="1">
        <f t="array" ref="P716">-SUMPRODUCT('W2'!$M$12:$V$112*('W2'!$M$7:$V$7=$A716)*('W2'!$A$12:$A$112=$B716))*P679*$H$10*POWER(1+Inflation,P$11+1)</f>
        <v>0</v>
      </c>
      <c r="Q716" s="457" cm="1">
        <f t="array" ref="Q716">-SUMPRODUCT('W2'!$M$12:$V$112*('W2'!$M$7:$V$7=$A716)*('W2'!$A$12:$A$112=$B716))*Q679*$H$10*POWER(1+Inflation,Q$11+1)</f>
        <v>0</v>
      </c>
      <c r="R716" s="457" cm="1">
        <f t="array" ref="R716">-SUMPRODUCT('W2'!$M$12:$V$112*('W2'!$M$7:$V$7=$A716)*('W2'!$A$12:$A$112=$B716))*R679*$H$10*POWER(1+Inflation,R$11+1)</f>
        <v>0</v>
      </c>
      <c r="S716" s="457" cm="1">
        <f t="array" ref="S716">-SUMPRODUCT('W2'!$M$12:$V$112*('W2'!$M$7:$V$7=$A716)*('W2'!$A$12:$A$112=$B716))*S679*$H$10*POWER(1+Inflation,S$11+1)</f>
        <v>0</v>
      </c>
      <c r="T716" s="457" cm="1">
        <f t="array" ref="T716">-SUMPRODUCT('W2'!$M$12:$V$112*('W2'!$M$7:$V$7=$A716)*('W2'!$A$12:$A$112=$B716))*T679*$H$10*POWER(1+Inflation,T$11+1)</f>
        <v>0</v>
      </c>
      <c r="U716" s="457" cm="1">
        <f t="array" ref="U716">-SUMPRODUCT('W2'!$M$12:$V$112*('W2'!$M$7:$V$7=$A716)*('W2'!$A$12:$A$112=$B716))*U679*$H$10*POWER(1+Inflation,U$11+1)</f>
        <v>0</v>
      </c>
      <c r="V716" s="457" cm="1">
        <f t="array" ref="V716">-SUMPRODUCT('W2'!$M$12:$V$112*('W2'!$M$7:$V$7=$A716)*('W2'!$A$12:$A$112=$B716))*V679*$H$10*POWER(1+Inflation,V$11+1)</f>
        <v>0</v>
      </c>
      <c r="W716" s="457" cm="1">
        <f t="array" ref="W716">-SUMPRODUCT('W2'!$M$12:$V$112*('W2'!$M$7:$V$7=$A716)*('W2'!$A$12:$A$112=$B716))*W679*$H$10*POWER(1+Inflation,W$11+1)</f>
        <v>0</v>
      </c>
      <c r="X716" s="457" cm="1">
        <f t="array" ref="X716">-SUMPRODUCT('W2'!$M$12:$V$112*('W2'!$M$7:$V$7=$A716)*('W2'!$A$12:$A$112=$B716))*X679*$H$10*POWER(1+Inflation,X$11+1)</f>
        <v>0</v>
      </c>
      <c r="Y716" s="457" cm="1">
        <f t="array" ref="Y716">-SUMPRODUCT('W2'!$M$12:$V$112*('W2'!$M$7:$V$7=$A716)*('W2'!$A$12:$A$112=$B716))*Y679*$H$10*POWER(1+Inflation,Y$11+1)</f>
        <v>0</v>
      </c>
      <c r="Z716" s="457" cm="1">
        <f t="array" ref="Z716">-SUMPRODUCT('W2'!$M$12:$V$112*('W2'!$M$7:$V$7=$A716)*('W2'!$A$12:$A$112=$B716))*Z679*$H$10*POWER(1+Inflation,Z$11+1)</f>
        <v>0</v>
      </c>
      <c r="AA716" s="457"/>
      <c r="AB716" s="457"/>
      <c r="AC716" s="457"/>
      <c r="AD716" s="457"/>
      <c r="AE716" s="457"/>
      <c r="AF716" s="457"/>
      <c r="AG716" s="457"/>
      <c r="AH716" s="457"/>
      <c r="AI716" s="457"/>
      <c r="AJ716" s="457"/>
    </row>
    <row r="717" spans="1:36" x14ac:dyDescent="0.25">
      <c r="A717" t="s">
        <v>697</v>
      </c>
      <c r="H717" s="454" t="s">
        <v>470</v>
      </c>
      <c r="I717" s="496" t="str">
        <f>IF($H$9="USD","USD","tr. VND")</f>
        <v>tr. VND</v>
      </c>
      <c r="K717" s="454"/>
      <c r="L717" s="457" cm="1">
        <f t="array" ref="L717">-SUMPRODUCT('Lãi vay'!$E$5:$AI$54*('Lãi vay'!$A$5:$A$54=$A717)*('Lãi vay'!$B$5:$B$54="Lãi vay")*('Lãi vay'!$E$3:$AI$3=L$14))*$H$10</f>
        <v>-14736.740200000002</v>
      </c>
      <c r="M717" s="457" cm="1">
        <f t="array" ref="M717">-SUMPRODUCT('Lãi vay'!$E$5:$AI$54*('Lãi vay'!$A$5:$A$54=$A717)*('Lãi vay'!$B$5:$B$54="Lãi vay")*('Lãi vay'!$E$3:$AI$3=M$14))*$H$10</f>
        <v>-14150.297154424765</v>
      </c>
      <c r="N717" s="457" cm="1">
        <f t="array" ref="N717">-SUMPRODUCT('Lãi vay'!$E$5:$AI$54*('Lãi vay'!$A$5:$A$54=$A717)*('Lãi vay'!$B$5:$B$54="Lãi vay")*('Lãi vay'!$E$3:$AI$3=N$14))*$H$10</f>
        <v>-13522.803095659263</v>
      </c>
      <c r="O717" s="457" cm="1">
        <f t="array" ref="O717">-SUMPRODUCT('Lãi vay'!$E$5:$AI$54*('Lãi vay'!$A$5:$A$54=$A717)*('Lãi vay'!$B$5:$B$54="Lãi vay")*('Lãi vay'!$E$3:$AI$3=O$14))*$H$10</f>
        <v>-12851.384452780176</v>
      </c>
      <c r="P717" s="457" cm="1">
        <f t="array" ref="P717">-SUMPRODUCT('Lãi vay'!$E$5:$AI$54*('Lãi vay'!$A$5:$A$54=$A717)*('Lãi vay'!$B$5:$B$54="Lãi vay")*('Lãi vay'!$E$3:$AI$3=P$14))*$H$10</f>
        <v>-12132.96650489955</v>
      </c>
      <c r="Q717" s="457" cm="1">
        <f t="array" ref="Q717">-SUMPRODUCT('Lãi vay'!$E$5:$AI$54*('Lãi vay'!$A$5:$A$54=$A717)*('Lãi vay'!$B$5:$B$54="Lãi vay")*('Lãi vay'!$E$3:$AI$3=Q$14))*$H$10</f>
        <v>-11364.259300667285</v>
      </c>
      <c r="R717" s="457" cm="1">
        <f t="array" ref="R717">-SUMPRODUCT('Lãi vay'!$E$5:$AI$54*('Lãi vay'!$A$5:$A$54=$A717)*('Lãi vay'!$B$5:$B$54="Lãi vay")*('Lãi vay'!$E$3:$AI$3=R$14))*$H$10</f>
        <v>-10541.742592138758</v>
      </c>
      <c r="S717" s="457" cm="1">
        <f t="array" ref="S717">-SUMPRODUCT('Lãi vay'!$E$5:$AI$54*('Lãi vay'!$A$5:$A$54=$A717)*('Lãi vay'!$B$5:$B$54="Lãi vay")*('Lãi vay'!$E$3:$AI$3=S$14))*$H$10</f>
        <v>-9661.649714013236</v>
      </c>
      <c r="T717" s="457" cm="1">
        <f t="array" ref="T717">-SUMPRODUCT('Lãi vay'!$E$5:$AI$54*('Lãi vay'!$A$5:$A$54=$A717)*('Lãi vay'!$B$5:$B$54="Lãi vay")*('Lãi vay'!$E$3:$AI$3=T$14))*$H$10</f>
        <v>-8719.950334418927</v>
      </c>
      <c r="U717" s="457" cm="1">
        <f t="array" ref="U717">-SUMPRODUCT('Lãi vay'!$E$5:$AI$54*('Lãi vay'!$A$5:$A$54=$A717)*('Lãi vay'!$B$5:$B$54="Lãi vay")*('Lãi vay'!$E$3:$AI$3=U$14))*$H$10</f>
        <v>-7712.3319982530165</v>
      </c>
      <c r="V717" s="457" cm="1">
        <f t="array" ref="V717">-SUMPRODUCT('Lãi vay'!$E$5:$AI$54*('Lãi vay'!$A$5:$A$54=$A717)*('Lãi vay'!$B$5:$B$54="Lãi vay")*('Lãi vay'!$E$3:$AI$3=V$14))*$H$10</f>
        <v>-6634.1803785554921</v>
      </c>
      <c r="W717" s="457" cm="1">
        <f t="array" ref="W717">-SUMPRODUCT('Lãi vay'!$E$5:$AI$54*('Lãi vay'!$A$5:$A$54=$A717)*('Lãi vay'!$B$5:$B$54="Lãi vay")*('Lãi vay'!$E$3:$AI$3=W$14))*$H$10</f>
        <v>-5480.55814547914</v>
      </c>
      <c r="X717" s="457" cm="1">
        <f t="array" ref="X717">-SUMPRODUCT('Lãi vay'!$E$5:$AI$54*('Lãi vay'!$A$5:$A$54=$A717)*('Lãi vay'!$B$5:$B$54="Lãi vay")*('Lãi vay'!$E$3:$AI$3=X$14))*$H$10</f>
        <v>-4246.1823560874445</v>
      </c>
      <c r="Y717" s="457" cm="1">
        <f t="array" ref="Y717">-SUMPRODUCT('Lãi vay'!$E$5:$AI$54*('Lãi vay'!$A$5:$A$54=$A717)*('Lãi vay'!$B$5:$B$54="Lãi vay")*('Lãi vay'!$E$3:$AI$3=Y$14))*$H$10</f>
        <v>-2925.4002614383289</v>
      </c>
      <c r="Z717" s="457" cm="1">
        <f t="array" ref="Z717">-SUMPRODUCT('Lãi vay'!$E$5:$AI$54*('Lãi vay'!$A$5:$A$54=$A717)*('Lãi vay'!$B$5:$B$54="Lãi vay")*('Lãi vay'!$E$3:$AI$3=Z$14))*$H$10</f>
        <v>-1512.1634201637758</v>
      </c>
      <c r="AA717" s="457"/>
      <c r="AB717" s="457"/>
      <c r="AC717" s="457"/>
      <c r="AD717" s="457"/>
      <c r="AE717" s="457"/>
      <c r="AF717" s="457"/>
      <c r="AG717" s="457"/>
      <c r="AH717" s="457"/>
      <c r="AI717" s="457"/>
      <c r="AJ717" s="457"/>
    </row>
    <row r="718" spans="1:36" x14ac:dyDescent="0.25">
      <c r="A718" t="s">
        <v>697</v>
      </c>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row>
    <row r="719" spans="1:36" s="16" customFormat="1" x14ac:dyDescent="0.25">
      <c r="A719" s="16" t="s">
        <v>697</v>
      </c>
      <c r="H719" s="270" t="s">
        <v>472</v>
      </c>
      <c r="I719" s="271" t="str">
        <f>IF($H$9="USD","USD","tr. VND")</f>
        <v>tr. VND</v>
      </c>
      <c r="K719" s="272">
        <f t="shared" ref="K719" si="614">K712+SUM(K714:K717)</f>
        <v>0</v>
      </c>
      <c r="L719" s="272">
        <f>L712+SUM(L714:L717)</f>
        <v>-153633.70909316011</v>
      </c>
      <c r="M719" s="272">
        <f t="shared" ref="M719:AJ719" si="615">M712+SUM(M714:M717)</f>
        <v>-190447.67984058228</v>
      </c>
      <c r="N719" s="272">
        <f t="shared" si="615"/>
        <v>-251218.86961140219</v>
      </c>
      <c r="O719" s="272">
        <f t="shared" si="615"/>
        <v>-256010.6710672937</v>
      </c>
      <c r="P719" s="272">
        <f t="shared" si="615"/>
        <v>-260926.89310083253</v>
      </c>
      <c r="Q719" s="272">
        <f t="shared" si="615"/>
        <v>-265970.78193235525</v>
      </c>
      <c r="R719" s="272">
        <f t="shared" si="615"/>
        <v>-271145.63959773933</v>
      </c>
      <c r="S719" s="272">
        <f t="shared" si="615"/>
        <v>-276454.82131931925</v>
      </c>
      <c r="T719" s="272">
        <f t="shared" si="615"/>
        <v>-281901.7324066548</v>
      </c>
      <c r="U719" s="272">
        <f t="shared" si="615"/>
        <v>-287489.82464074926</v>
      </c>
      <c r="V719" s="272">
        <f t="shared" si="615"/>
        <v>-293222.59209140867</v>
      </c>
      <c r="W719" s="272">
        <f t="shared" si="615"/>
        <v>-299103.56631322252</v>
      </c>
      <c r="X719" s="272">
        <f t="shared" si="615"/>
        <v>-279071.32819443441</v>
      </c>
      <c r="Y719" s="272">
        <f t="shared" si="615"/>
        <v>-285259.43239474739</v>
      </c>
      <c r="Z719" s="272">
        <f t="shared" si="615"/>
        <v>-291606.50430282799</v>
      </c>
      <c r="AA719" s="272"/>
      <c r="AB719" s="272"/>
      <c r="AC719" s="272"/>
      <c r="AD719" s="272"/>
      <c r="AE719" s="272"/>
      <c r="AF719" s="272"/>
      <c r="AG719" s="272"/>
      <c r="AH719" s="272"/>
      <c r="AI719" s="272"/>
      <c r="AJ719" s="272"/>
    </row>
    <row r="720" spans="1:36" x14ac:dyDescent="0.25">
      <c r="A720" t="s">
        <v>697</v>
      </c>
    </row>
    <row r="721" spans="1:40" s="24" customFormat="1" ht="17.25" x14ac:dyDescent="0.3">
      <c r="A721" s="24" t="s">
        <v>697</v>
      </c>
      <c r="H721" s="643" t="s">
        <v>473</v>
      </c>
      <c r="I721" s="643"/>
      <c r="K721" s="643"/>
      <c r="L721" s="643"/>
      <c r="M721" s="643"/>
      <c r="N721" s="643"/>
      <c r="O721" s="643"/>
      <c r="P721" s="643"/>
      <c r="Q721" s="643"/>
      <c r="R721" s="643"/>
      <c r="S721" s="643"/>
      <c r="T721" s="643"/>
      <c r="U721" s="643"/>
      <c r="V721" s="643"/>
      <c r="W721" s="643"/>
      <c r="X721" s="643"/>
      <c r="Y721" s="643"/>
      <c r="Z721" s="643"/>
      <c r="AA721" s="643"/>
      <c r="AB721" s="643"/>
      <c r="AC721" s="643"/>
      <c r="AD721" s="643"/>
      <c r="AE721" s="643"/>
      <c r="AF721" s="643"/>
      <c r="AG721" s="643"/>
      <c r="AH721" s="643"/>
      <c r="AI721" s="643"/>
      <c r="AJ721" s="643"/>
    </row>
    <row r="722" spans="1:40" s="1" customFormat="1" x14ac:dyDescent="0.25">
      <c r="A722" s="1" t="s">
        <v>697</v>
      </c>
      <c r="H722" s="273" t="s">
        <v>434</v>
      </c>
      <c r="I722" s="274" t="str">
        <f>IF($H$9="USD","USD/tấn","tr. VND/tấn")</f>
        <v>tr. VND/tấn</v>
      </c>
      <c r="K722" s="278">
        <f t="shared" ref="K722" si="616">SUM(K723:K724,K727:K730,)</f>
        <v>0</v>
      </c>
      <c r="L722" s="278">
        <f>SUM(L723:L724,L727:L730,)</f>
        <v>14.093866286457756</v>
      </c>
      <c r="M722" s="278">
        <f t="shared" ref="M722:AJ722" si="617">SUM(M723:M724,M727:M730,)</f>
        <v>10.067047347469824</v>
      </c>
      <c r="N722" s="278">
        <f t="shared" si="617"/>
        <v>7.1921175630239942</v>
      </c>
      <c r="O722" s="278">
        <f t="shared" si="617"/>
        <v>7.3445612038088699</v>
      </c>
      <c r="P722" s="278">
        <f t="shared" si="617"/>
        <v>7.5046270266329884</v>
      </c>
      <c r="Q722" s="278">
        <f t="shared" si="617"/>
        <v>7.672696140598311</v>
      </c>
      <c r="R722" s="278">
        <f t="shared" si="617"/>
        <v>7.8491687102619006</v>
      </c>
      <c r="S722" s="278">
        <f t="shared" si="617"/>
        <v>8.034464908408669</v>
      </c>
      <c r="T722" s="278">
        <f t="shared" si="617"/>
        <v>8.2290259164627795</v>
      </c>
      <c r="U722" s="278">
        <f t="shared" si="617"/>
        <v>8.4333149749195915</v>
      </c>
      <c r="V722" s="278">
        <f t="shared" si="617"/>
        <v>8.6478184862992435</v>
      </c>
      <c r="W722" s="278">
        <f t="shared" si="617"/>
        <v>8.8730471732478833</v>
      </c>
      <c r="X722" s="278">
        <f t="shared" si="617"/>
        <v>5.0633998459829019</v>
      </c>
      <c r="Y722" s="278">
        <f t="shared" si="617"/>
        <v>5.3117144733437733</v>
      </c>
      <c r="Z722" s="278">
        <f t="shared" si="617"/>
        <v>5.5724448320726889</v>
      </c>
      <c r="AA722" s="278"/>
      <c r="AB722" s="278"/>
      <c r="AC722" s="278"/>
      <c r="AD722" s="278"/>
      <c r="AE722" s="278"/>
      <c r="AF722" s="278"/>
      <c r="AG722" s="278"/>
      <c r="AH722" s="278"/>
      <c r="AI722" s="278"/>
      <c r="AJ722" s="278"/>
      <c r="AM722" s="39"/>
      <c r="AN722" s="39"/>
    </row>
    <row r="723" spans="1:40" x14ac:dyDescent="0.25">
      <c r="A723" t="s">
        <v>697</v>
      </c>
      <c r="C723" t="s">
        <v>367</v>
      </c>
      <c r="H723" s="556" t="s">
        <v>190</v>
      </c>
      <c r="I723" s="557" t="str">
        <f t="shared" ref="I723:I756" si="618">IF($H$9="USD","USD/tấn","tr. VND/tấn")</f>
        <v>tr. VND/tấn</v>
      </c>
      <c r="K723" s="562"/>
      <c r="L723" s="563">
        <f t="shared" ref="L723:AJ723" si="619">-IF($H$9="VND",L691/L679/$H$10/10^3,L691/L679/$H$10*10^3)</f>
        <v>8.0922748971220972</v>
      </c>
      <c r="M723" s="563">
        <f t="shared" si="619"/>
        <v>5.7801963550872131</v>
      </c>
      <c r="N723" s="563">
        <f t="shared" si="619"/>
        <v>4.0461374485610486</v>
      </c>
      <c r="O723" s="563">
        <f t="shared" si="619"/>
        <v>4.0461374485610486</v>
      </c>
      <c r="P723" s="563">
        <f t="shared" si="619"/>
        <v>4.0461374485610486</v>
      </c>
      <c r="Q723" s="563">
        <f t="shared" si="619"/>
        <v>4.0461374485610486</v>
      </c>
      <c r="R723" s="563">
        <f t="shared" si="619"/>
        <v>4.0461374485610486</v>
      </c>
      <c r="S723" s="563">
        <f t="shared" si="619"/>
        <v>4.0461374485610486</v>
      </c>
      <c r="T723" s="563">
        <f t="shared" si="619"/>
        <v>4.0461374485610486</v>
      </c>
      <c r="U723" s="563">
        <f t="shared" si="619"/>
        <v>4.0461374485610486</v>
      </c>
      <c r="V723" s="563">
        <f t="shared" si="619"/>
        <v>4.0461374485610486</v>
      </c>
      <c r="W723" s="563">
        <f t="shared" si="619"/>
        <v>4.0461374485610486</v>
      </c>
      <c r="X723" s="563">
        <f t="shared" si="619"/>
        <v>0</v>
      </c>
      <c r="Y723" s="563">
        <f t="shared" si="619"/>
        <v>0</v>
      </c>
      <c r="Z723" s="563">
        <f t="shared" si="619"/>
        <v>0</v>
      </c>
      <c r="AA723" s="563"/>
      <c r="AB723" s="563"/>
      <c r="AC723" s="563"/>
      <c r="AD723" s="563"/>
      <c r="AE723" s="563"/>
      <c r="AF723" s="563"/>
      <c r="AG723" s="563"/>
      <c r="AH723" s="563"/>
      <c r="AI723" s="563"/>
      <c r="AJ723" s="563"/>
      <c r="AM723" s="15"/>
      <c r="AN723" s="15"/>
    </row>
    <row r="724" spans="1:40" x14ac:dyDescent="0.25">
      <c r="A724" t="s">
        <v>697</v>
      </c>
      <c r="H724" s="558" t="s">
        <v>429</v>
      </c>
      <c r="I724" s="559" t="str">
        <f t="shared" si="618"/>
        <v>tr. VND/tấn</v>
      </c>
      <c r="K724" s="564">
        <f>SUM(K725:K726)</f>
        <v>0</v>
      </c>
      <c r="L724" s="564">
        <f t="shared" ref="L724:AJ724" si="620">SUM(L725:L726)</f>
        <v>1.9410042574812794</v>
      </c>
      <c r="M724" s="564">
        <f t="shared" si="620"/>
        <v>1.3864316124866283</v>
      </c>
      <c r="N724" s="564">
        <f t="shared" si="620"/>
        <v>1.0190272351776717</v>
      </c>
      <c r="O724" s="564">
        <f t="shared" si="620"/>
        <v>1.0699785969365552</v>
      </c>
      <c r="P724" s="564">
        <f t="shared" si="620"/>
        <v>1.1234775267833832</v>
      </c>
      <c r="Q724" s="564">
        <f t="shared" si="620"/>
        <v>1.179651403122552</v>
      </c>
      <c r="R724" s="564">
        <f t="shared" si="620"/>
        <v>1.2386339732786797</v>
      </c>
      <c r="S724" s="564">
        <f t="shared" si="620"/>
        <v>1.3005656719426137</v>
      </c>
      <c r="T724" s="564">
        <f t="shared" si="620"/>
        <v>1.3655939555397447</v>
      </c>
      <c r="U724" s="564">
        <f t="shared" si="620"/>
        <v>1.4338736533167316</v>
      </c>
      <c r="V724" s="564">
        <f t="shared" si="620"/>
        <v>1.5055673359825681</v>
      </c>
      <c r="W724" s="564">
        <f t="shared" si="620"/>
        <v>1.5808457027816967</v>
      </c>
      <c r="X724" s="564">
        <f t="shared" si="620"/>
        <v>1.6598879879207817</v>
      </c>
      <c r="Y724" s="564">
        <f t="shared" si="620"/>
        <v>1.7428823873168202</v>
      </c>
      <c r="Z724" s="564">
        <f t="shared" si="620"/>
        <v>1.8300265066826618</v>
      </c>
      <c r="AA724" s="564"/>
      <c r="AB724" s="564"/>
      <c r="AC724" s="564"/>
      <c r="AD724" s="564"/>
      <c r="AE724" s="564"/>
      <c r="AF724" s="564"/>
      <c r="AG724" s="564"/>
      <c r="AH724" s="564"/>
      <c r="AI724" s="564"/>
      <c r="AJ724" s="564"/>
      <c r="AM724" s="15"/>
      <c r="AN724" s="15"/>
    </row>
    <row r="725" spans="1:40" s="299" customFormat="1" x14ac:dyDescent="0.25">
      <c r="A725" s="299" t="s">
        <v>697</v>
      </c>
      <c r="C725" s="299" t="s">
        <v>367</v>
      </c>
      <c r="H725" s="560" t="s">
        <v>430</v>
      </c>
      <c r="I725" s="561" t="str">
        <f t="shared" si="618"/>
        <v>tr. VND/tấn</v>
      </c>
      <c r="K725" s="565"/>
      <c r="L725" s="565">
        <f t="shared" ref="L725:AJ725" si="621">-IF($H$9="VND",L693/L679/$H$10/10^3,L693/L679/$H$10*10^3)</f>
        <v>0.31733039631846527</v>
      </c>
      <c r="M725" s="565">
        <f t="shared" si="621"/>
        <v>0.22666456879890379</v>
      </c>
      <c r="N725" s="565">
        <f t="shared" si="621"/>
        <v>0.16659845806719425</v>
      </c>
      <c r="O725" s="565">
        <f t="shared" si="621"/>
        <v>0.17492838097055399</v>
      </c>
      <c r="P725" s="565">
        <f t="shared" si="621"/>
        <v>0.18367480001908168</v>
      </c>
      <c r="Q725" s="565">
        <f t="shared" si="621"/>
        <v>0.19285854002003575</v>
      </c>
      <c r="R725" s="565">
        <f t="shared" si="621"/>
        <v>0.20250146702103758</v>
      </c>
      <c r="S725" s="565">
        <f t="shared" si="621"/>
        <v>0.21262654037208945</v>
      </c>
      <c r="T725" s="565">
        <f t="shared" si="621"/>
        <v>0.22325786739069392</v>
      </c>
      <c r="U725" s="565">
        <f t="shared" si="621"/>
        <v>0.23442076076022861</v>
      </c>
      <c r="V725" s="565">
        <f t="shared" si="621"/>
        <v>0.24614179879824005</v>
      </c>
      <c r="W725" s="565">
        <f t="shared" si="621"/>
        <v>0.25844888873815203</v>
      </c>
      <c r="X725" s="565">
        <f t="shared" si="621"/>
        <v>0.27137133317505963</v>
      </c>
      <c r="Y725" s="565">
        <f t="shared" si="621"/>
        <v>0.28493989983381263</v>
      </c>
      <c r="Z725" s="565">
        <f t="shared" si="621"/>
        <v>0.29918689482550326</v>
      </c>
      <c r="AA725" s="565"/>
      <c r="AB725" s="565"/>
      <c r="AC725" s="565"/>
      <c r="AD725" s="565"/>
      <c r="AE725" s="565"/>
      <c r="AF725" s="565"/>
      <c r="AG725" s="565"/>
      <c r="AH725" s="565"/>
      <c r="AI725" s="565"/>
      <c r="AJ725" s="565"/>
      <c r="AM725" s="876"/>
      <c r="AN725" s="876"/>
    </row>
    <row r="726" spans="1:40" s="299" customFormat="1" x14ac:dyDescent="0.25">
      <c r="A726" s="299" t="s">
        <v>697</v>
      </c>
      <c r="C726" s="299" t="s">
        <v>367</v>
      </c>
      <c r="H726" s="560" t="s">
        <v>431</v>
      </c>
      <c r="I726" s="561" t="str">
        <f t="shared" si="618"/>
        <v>tr. VND/tấn</v>
      </c>
      <c r="K726" s="565"/>
      <c r="L726" s="565">
        <f t="shared" ref="L726:AJ726" si="622">-IF($H$9="VND",L694/L679/$H$10/10^3,L694/L679/$H$10*10^3)</f>
        <v>1.6236738611628141</v>
      </c>
      <c r="M726" s="565">
        <f t="shared" si="622"/>
        <v>1.1597670436877245</v>
      </c>
      <c r="N726" s="565">
        <f t="shared" si="622"/>
        <v>0.85242877711047738</v>
      </c>
      <c r="O726" s="565">
        <f t="shared" si="622"/>
        <v>0.89505021596600121</v>
      </c>
      <c r="P726" s="565">
        <f t="shared" si="622"/>
        <v>0.93980272676430154</v>
      </c>
      <c r="Q726" s="565">
        <f t="shared" si="622"/>
        <v>0.98679286310251635</v>
      </c>
      <c r="R726" s="565">
        <f t="shared" si="622"/>
        <v>1.0361325062576421</v>
      </c>
      <c r="S726" s="565">
        <f t="shared" si="622"/>
        <v>1.0879391315705242</v>
      </c>
      <c r="T726" s="565">
        <f t="shared" si="622"/>
        <v>1.1423360881490507</v>
      </c>
      <c r="U726" s="565">
        <f t="shared" si="622"/>
        <v>1.1994528925565029</v>
      </c>
      <c r="V726" s="565">
        <f t="shared" si="622"/>
        <v>1.2594255371843281</v>
      </c>
      <c r="W726" s="565">
        <f t="shared" si="622"/>
        <v>1.3223968140435447</v>
      </c>
      <c r="X726" s="565">
        <f t="shared" si="622"/>
        <v>1.3885166547457222</v>
      </c>
      <c r="Y726" s="565">
        <f t="shared" si="622"/>
        <v>1.4579424874830076</v>
      </c>
      <c r="Z726" s="565">
        <f t="shared" si="622"/>
        <v>1.5308396118571586</v>
      </c>
      <c r="AA726" s="565"/>
      <c r="AB726" s="565"/>
      <c r="AC726" s="565"/>
      <c r="AD726" s="565"/>
      <c r="AE726" s="565"/>
      <c r="AF726" s="565"/>
      <c r="AG726" s="565"/>
      <c r="AH726" s="565"/>
      <c r="AI726" s="565"/>
      <c r="AJ726" s="565"/>
      <c r="AM726" s="876"/>
      <c r="AN726" s="876"/>
    </row>
    <row r="727" spans="1:40" x14ac:dyDescent="0.25">
      <c r="A727" t="s">
        <v>697</v>
      </c>
      <c r="C727" t="s">
        <v>367</v>
      </c>
      <c r="H727" s="558" t="s">
        <v>656</v>
      </c>
      <c r="I727" s="559" t="str">
        <f t="shared" si="618"/>
        <v>tr. VND/tấn</v>
      </c>
      <c r="K727" s="564"/>
      <c r="L727" s="564">
        <f t="shared" ref="L727:AJ727" si="623">-IF($H$9="VND",L695/L679/$H$10/10^3,L695/L679/$H$10*10^3)</f>
        <v>0.77492160273129496</v>
      </c>
      <c r="M727" s="564">
        <f t="shared" si="623"/>
        <v>0.55351543052235352</v>
      </c>
      <c r="N727" s="564">
        <f t="shared" si="623"/>
        <v>0.40683384143392981</v>
      </c>
      <c r="O727" s="564">
        <f t="shared" si="623"/>
        <v>0.42717553350562631</v>
      </c>
      <c r="P727" s="564">
        <f t="shared" si="623"/>
        <v>0.44853431018090767</v>
      </c>
      <c r="Q727" s="564">
        <f t="shared" si="623"/>
        <v>0.47096102568995302</v>
      </c>
      <c r="R727" s="564">
        <f t="shared" si="623"/>
        <v>0.49450907697445079</v>
      </c>
      <c r="S727" s="564">
        <f t="shared" si="623"/>
        <v>0.51923453082317328</v>
      </c>
      <c r="T727" s="564">
        <f t="shared" si="623"/>
        <v>0.54519625736433197</v>
      </c>
      <c r="U727" s="564">
        <f t="shared" si="623"/>
        <v>0.57245607023254841</v>
      </c>
      <c r="V727" s="564">
        <f t="shared" si="623"/>
        <v>0.60107887374417601</v>
      </c>
      <c r="W727" s="564">
        <f t="shared" si="623"/>
        <v>0.63113281743138472</v>
      </c>
      <c r="X727" s="564">
        <f t="shared" si="623"/>
        <v>0.662689458302954</v>
      </c>
      <c r="Y727" s="564">
        <f t="shared" si="623"/>
        <v>0.69582393121810171</v>
      </c>
      <c r="Z727" s="564">
        <f t="shared" si="623"/>
        <v>0.73061512777900695</v>
      </c>
      <c r="AA727" s="564"/>
      <c r="AB727" s="564"/>
      <c r="AC727" s="564"/>
      <c r="AD727" s="564"/>
      <c r="AE727" s="564"/>
      <c r="AF727" s="564"/>
      <c r="AG727" s="564"/>
      <c r="AH727" s="564"/>
      <c r="AI727" s="564"/>
      <c r="AJ727" s="564"/>
      <c r="AM727" s="15"/>
      <c r="AN727" s="15"/>
    </row>
    <row r="728" spans="1:40" x14ac:dyDescent="0.25">
      <c r="A728" t="s">
        <v>697</v>
      </c>
      <c r="C728" t="s">
        <v>367</v>
      </c>
      <c r="H728" s="558" t="s">
        <v>432</v>
      </c>
      <c r="I728" s="559" t="str">
        <f t="shared" si="618"/>
        <v>tr. VND/tấn</v>
      </c>
      <c r="K728" s="564"/>
      <c r="L728" s="564">
        <f t="shared" ref="L728:AJ728" si="624">-IF($H$9="VND",L696/L679/$H$10/10^3,L696/L679/$H$10*10^3)</f>
        <v>2.9132189629639549</v>
      </c>
      <c r="M728" s="564">
        <f t="shared" si="624"/>
        <v>2.0808706878313963</v>
      </c>
      <c r="N728" s="564">
        <f t="shared" si="624"/>
        <v>1.5294399555560763</v>
      </c>
      <c r="O728" s="564">
        <f t="shared" si="624"/>
        <v>1.6059119533338804</v>
      </c>
      <c r="P728" s="564">
        <f t="shared" si="624"/>
        <v>1.6862075510005743</v>
      </c>
      <c r="Q728" s="564">
        <f t="shared" si="624"/>
        <v>1.7705179285506027</v>
      </c>
      <c r="R728" s="564">
        <f t="shared" si="624"/>
        <v>1.8590438249781329</v>
      </c>
      <c r="S728" s="564">
        <f t="shared" si="624"/>
        <v>1.9519960162270396</v>
      </c>
      <c r="T728" s="564">
        <f t="shared" si="624"/>
        <v>2.0495958170383921</v>
      </c>
      <c r="U728" s="564">
        <f t="shared" si="624"/>
        <v>2.1520756078903109</v>
      </c>
      <c r="V728" s="564">
        <f t="shared" si="624"/>
        <v>2.2596793882848267</v>
      </c>
      <c r="W728" s="564">
        <f t="shared" si="624"/>
        <v>2.3726633576990679</v>
      </c>
      <c r="X728" s="564">
        <f t="shared" si="624"/>
        <v>2.4912965255840218</v>
      </c>
      <c r="Y728" s="564">
        <f t="shared" si="624"/>
        <v>2.6158613518632223</v>
      </c>
      <c r="Z728" s="564">
        <f t="shared" si="624"/>
        <v>2.7466544194563838</v>
      </c>
      <c r="AA728" s="564"/>
      <c r="AB728" s="564"/>
      <c r="AC728" s="564"/>
      <c r="AD728" s="564"/>
      <c r="AE728" s="564"/>
      <c r="AF728" s="564"/>
      <c r="AG728" s="564"/>
      <c r="AH728" s="564"/>
      <c r="AI728" s="564"/>
      <c r="AJ728" s="564"/>
      <c r="AM728" s="15"/>
      <c r="AN728" s="15"/>
    </row>
    <row r="729" spans="1:40" x14ac:dyDescent="0.25">
      <c r="A729" t="s">
        <v>697</v>
      </c>
      <c r="C729" t="s">
        <v>367</v>
      </c>
      <c r="H729" s="558" t="s">
        <v>433</v>
      </c>
      <c r="I729" s="559" t="str">
        <f t="shared" si="618"/>
        <v>tr. VND/tấn</v>
      </c>
      <c r="K729" s="564"/>
      <c r="L729" s="564">
        <f t="shared" ref="L729:AJ729" si="625">-IF($H$9="VND",L697/L679/$H$10/10^3,L697/L679/$H$10*10^3)</f>
        <v>0.17823196862819785</v>
      </c>
      <c r="M729" s="564">
        <f t="shared" si="625"/>
        <v>0.12730854902014133</v>
      </c>
      <c r="N729" s="564">
        <f t="shared" si="625"/>
        <v>9.3571783529803873E-2</v>
      </c>
      <c r="O729" s="564">
        <f t="shared" si="625"/>
        <v>9.8250372706294054E-2</v>
      </c>
      <c r="P729" s="564">
        <f t="shared" si="625"/>
        <v>0.10316289134160876</v>
      </c>
      <c r="Q729" s="564">
        <f t="shared" si="625"/>
        <v>0.1083210359086892</v>
      </c>
      <c r="R729" s="564">
        <f t="shared" si="625"/>
        <v>0.11373708770412366</v>
      </c>
      <c r="S729" s="564">
        <f t="shared" si="625"/>
        <v>0.11942394208932984</v>
      </c>
      <c r="T729" s="564">
        <f t="shared" si="625"/>
        <v>0.12539513919379636</v>
      </c>
      <c r="U729" s="564">
        <f t="shared" si="625"/>
        <v>0.13166489615348614</v>
      </c>
      <c r="V729" s="564">
        <f t="shared" si="625"/>
        <v>0.13824814096116045</v>
      </c>
      <c r="W729" s="564">
        <f t="shared" si="625"/>
        <v>0.14516054800921852</v>
      </c>
      <c r="X729" s="564">
        <f t="shared" si="625"/>
        <v>0.15241857540967946</v>
      </c>
      <c r="Y729" s="564">
        <f t="shared" si="625"/>
        <v>0.16003950418016336</v>
      </c>
      <c r="Z729" s="564">
        <f t="shared" si="625"/>
        <v>0.16804147938917158</v>
      </c>
      <c r="AA729" s="564"/>
      <c r="AB729" s="564"/>
      <c r="AC729" s="564"/>
      <c r="AD729" s="564"/>
      <c r="AE729" s="564"/>
      <c r="AF729" s="564"/>
      <c r="AG729" s="564"/>
      <c r="AH729" s="564"/>
      <c r="AI729" s="564"/>
      <c r="AJ729" s="564"/>
      <c r="AM729" s="15"/>
      <c r="AN729" s="15"/>
    </row>
    <row r="730" spans="1:40" x14ac:dyDescent="0.25">
      <c r="A730" t="s">
        <v>697</v>
      </c>
      <c r="C730" t="s">
        <v>367</v>
      </c>
      <c r="H730" s="558" t="s">
        <v>520</v>
      </c>
      <c r="I730" s="559" t="str">
        <f t="shared" si="618"/>
        <v>tr. VND/tấn</v>
      </c>
      <c r="K730" s="564"/>
      <c r="L730" s="564">
        <f t="shared" ref="L730:AJ730" si="626">-IF($H$9="VND",L698/L679/$H$10/10^3,L698/L679/$H$10*10^3)</f>
        <v>0.19421459753093032</v>
      </c>
      <c r="M730" s="564">
        <f t="shared" si="626"/>
        <v>0.13872471252209312</v>
      </c>
      <c r="N730" s="564">
        <f t="shared" si="626"/>
        <v>9.7107298765465158E-2</v>
      </c>
      <c r="O730" s="564">
        <f t="shared" si="626"/>
        <v>9.7107298765465158E-2</v>
      </c>
      <c r="P730" s="564">
        <f t="shared" si="626"/>
        <v>9.7107298765465158E-2</v>
      </c>
      <c r="Q730" s="564">
        <f t="shared" si="626"/>
        <v>9.7107298765465158E-2</v>
      </c>
      <c r="R730" s="564">
        <f t="shared" si="626"/>
        <v>9.7107298765465158E-2</v>
      </c>
      <c r="S730" s="564">
        <f t="shared" si="626"/>
        <v>9.7107298765465158E-2</v>
      </c>
      <c r="T730" s="564">
        <f t="shared" si="626"/>
        <v>9.7107298765465158E-2</v>
      </c>
      <c r="U730" s="564">
        <f t="shared" si="626"/>
        <v>9.7107298765465158E-2</v>
      </c>
      <c r="V730" s="564">
        <f t="shared" si="626"/>
        <v>9.7107298765465158E-2</v>
      </c>
      <c r="W730" s="564">
        <f t="shared" si="626"/>
        <v>9.7107298765465158E-2</v>
      </c>
      <c r="X730" s="564">
        <f t="shared" si="626"/>
        <v>9.7107298765465158E-2</v>
      </c>
      <c r="Y730" s="564">
        <f t="shared" si="626"/>
        <v>9.7107298765465158E-2</v>
      </c>
      <c r="Z730" s="564">
        <f t="shared" si="626"/>
        <v>9.7107298765465158E-2</v>
      </c>
      <c r="AA730" s="564"/>
      <c r="AB730" s="564"/>
      <c r="AC730" s="564"/>
      <c r="AD730" s="564"/>
      <c r="AE730" s="564"/>
      <c r="AF730" s="564"/>
      <c r="AG730" s="564"/>
      <c r="AH730" s="564"/>
      <c r="AI730" s="564"/>
      <c r="AJ730" s="564"/>
      <c r="AM730" s="15"/>
      <c r="AN730" s="15"/>
    </row>
    <row r="731" spans="1:40" x14ac:dyDescent="0.25">
      <c r="A731" t="s">
        <v>697</v>
      </c>
      <c r="H731" s="247"/>
      <c r="I731" s="275"/>
      <c r="K731" s="279"/>
      <c r="L731" s="279"/>
      <c r="M731" s="279"/>
      <c r="N731" s="279"/>
      <c r="O731" s="279"/>
      <c r="P731" s="279"/>
      <c r="Q731" s="279"/>
      <c r="R731" s="279"/>
      <c r="S731" s="279"/>
      <c r="T731" s="279"/>
      <c r="U731" s="279"/>
      <c r="V731" s="279"/>
      <c r="W731" s="279"/>
      <c r="X731" s="279"/>
      <c r="Y731" s="279"/>
      <c r="Z731" s="279"/>
      <c r="AA731" s="279"/>
      <c r="AB731" s="279"/>
      <c r="AC731" s="279"/>
      <c r="AD731" s="279"/>
      <c r="AE731" s="279"/>
      <c r="AF731" s="279"/>
      <c r="AG731" s="279"/>
      <c r="AH731" s="279"/>
      <c r="AI731" s="279"/>
      <c r="AJ731" s="279"/>
      <c r="AM731" s="15"/>
      <c r="AN731" s="15"/>
    </row>
    <row r="732" spans="1:40" s="1" customFormat="1" x14ac:dyDescent="0.25">
      <c r="A732" s="1" t="s">
        <v>697</v>
      </c>
      <c r="H732" s="273" t="s">
        <v>435</v>
      </c>
      <c r="I732" s="274" t="str">
        <f t="shared" si="618"/>
        <v>tr. VND/tấn</v>
      </c>
      <c r="K732" s="280">
        <f>K733+K736+K739</f>
        <v>0</v>
      </c>
      <c r="L732" s="280">
        <f t="shared" ref="L732:AJ732" si="627">L733+L736+L739</f>
        <v>29.864853886822708</v>
      </c>
      <c r="M732" s="280">
        <f t="shared" si="627"/>
        <v>29.703781129263195</v>
      </c>
      <c r="N732" s="280">
        <f t="shared" si="627"/>
        <v>30.248677609330997</v>
      </c>
      <c r="O732" s="280">
        <f t="shared" si="627"/>
        <v>30.931560484173868</v>
      </c>
      <c r="P732" s="280">
        <f t="shared" si="627"/>
        <v>31.632162212436292</v>
      </c>
      <c r="Q732" s="280">
        <f t="shared" si="627"/>
        <v>32.351040230982811</v>
      </c>
      <c r="R732" s="280">
        <f t="shared" si="627"/>
        <v>33.088773278405036</v>
      </c>
      <c r="S732" s="280">
        <f t="shared" si="627"/>
        <v>33.845962328705731</v>
      </c>
      <c r="T732" s="280">
        <f t="shared" si="627"/>
        <v>34.623231569038957</v>
      </c>
      <c r="U732" s="280">
        <f t="shared" si="627"/>
        <v>35.421229423656705</v>
      </c>
      <c r="V732" s="280">
        <f t="shared" si="627"/>
        <v>36.240629626318551</v>
      </c>
      <c r="W732" s="280">
        <f t="shared" si="627"/>
        <v>37.082132343532962</v>
      </c>
      <c r="X732" s="280">
        <f t="shared" si="627"/>
        <v>37.784619853173496</v>
      </c>
      <c r="Y732" s="280">
        <f t="shared" si="627"/>
        <v>38.672539768733671</v>
      </c>
      <c r="Z732" s="280">
        <f t="shared" si="627"/>
        <v>39.584833342821817</v>
      </c>
      <c r="AA732" s="280"/>
      <c r="AB732" s="280"/>
      <c r="AC732" s="280"/>
      <c r="AD732" s="280"/>
      <c r="AE732" s="280"/>
      <c r="AF732" s="280"/>
      <c r="AG732" s="280"/>
      <c r="AH732" s="280"/>
      <c r="AI732" s="280"/>
      <c r="AJ732" s="280"/>
      <c r="AM732" s="39"/>
      <c r="AN732" s="39"/>
    </row>
    <row r="733" spans="1:40" x14ac:dyDescent="0.25">
      <c r="A733" t="s">
        <v>697</v>
      </c>
      <c r="H733" s="556" t="s">
        <v>454</v>
      </c>
      <c r="I733" s="557" t="str">
        <f t="shared" si="618"/>
        <v>tr. VND/tấn</v>
      </c>
      <c r="K733" s="566">
        <f>SUM(K734:K735)</f>
        <v>0</v>
      </c>
      <c r="L733" s="566">
        <f t="shared" ref="L733:AJ733" si="628">SUM(L734:L735)</f>
        <v>26.838709677419356</v>
      </c>
      <c r="M733" s="566">
        <f t="shared" si="628"/>
        <v>26.838709677419359</v>
      </c>
      <c r="N733" s="566">
        <f t="shared" si="628"/>
        <v>27.375483870967745</v>
      </c>
      <c r="O733" s="566">
        <f t="shared" si="628"/>
        <v>27.922993548387105</v>
      </c>
      <c r="P733" s="566">
        <f t="shared" si="628"/>
        <v>28.481453419354843</v>
      </c>
      <c r="Q733" s="566">
        <f t="shared" si="628"/>
        <v>29.05108248774194</v>
      </c>
      <c r="R733" s="566">
        <f t="shared" si="628"/>
        <v>29.632104137496778</v>
      </c>
      <c r="S733" s="566">
        <f t="shared" si="628"/>
        <v>30.224746220246715</v>
      </c>
      <c r="T733" s="566">
        <f t="shared" si="628"/>
        <v>30.829241144651643</v>
      </c>
      <c r="U733" s="566">
        <f t="shared" si="628"/>
        <v>31.445825967544675</v>
      </c>
      <c r="V733" s="566">
        <f t="shared" si="628"/>
        <v>32.074742486895573</v>
      </c>
      <c r="W733" s="566">
        <f t="shared" si="628"/>
        <v>32.71623733663349</v>
      </c>
      <c r="X733" s="566">
        <f t="shared" si="628"/>
        <v>33.370562083366146</v>
      </c>
      <c r="Y733" s="566">
        <f t="shared" si="628"/>
        <v>34.037973325033477</v>
      </c>
      <c r="Z733" s="566">
        <f t="shared" si="628"/>
        <v>34.718732791534151</v>
      </c>
      <c r="AA733" s="566"/>
      <c r="AB733" s="566"/>
      <c r="AC733" s="566"/>
      <c r="AD733" s="566"/>
      <c r="AE733" s="566"/>
      <c r="AF733" s="566"/>
      <c r="AG733" s="566"/>
      <c r="AH733" s="566"/>
      <c r="AI733" s="566"/>
      <c r="AJ733" s="566"/>
      <c r="AM733" s="15"/>
      <c r="AN733" s="15"/>
    </row>
    <row r="734" spans="1:40" s="299" customFormat="1" x14ac:dyDescent="0.25">
      <c r="A734" s="299" t="s">
        <v>697</v>
      </c>
      <c r="C734" s="299" t="s">
        <v>504</v>
      </c>
      <c r="E734" s="331"/>
      <c r="F734" s="331"/>
      <c r="H734" s="560" t="s">
        <v>167</v>
      </c>
      <c r="I734" s="561" t="str">
        <f t="shared" si="618"/>
        <v>tr. VND/tấn</v>
      </c>
      <c r="K734" s="565"/>
      <c r="L734" s="565">
        <f t="shared" ref="L734" si="629">-IF($H$9="VND",L702/L679/$H$10/10^3,L702/L679/$H$10*10^3)</f>
        <v>24.96</v>
      </c>
      <c r="M734" s="565">
        <f>-IF($H$9="VND",M702/M679/$H$10/10^3,M702/M679/$H$10*10^3)</f>
        <v>24.96</v>
      </c>
      <c r="N734" s="565">
        <f t="shared" ref="N734:AJ734" si="630">-IF($H$9="VND",N702/N679/$H$10/10^3,N702/N679/$H$10*10^3)</f>
        <v>25.459199999999999</v>
      </c>
      <c r="O734" s="565">
        <f t="shared" si="630"/>
        <v>25.968384000000004</v>
      </c>
      <c r="P734" s="565">
        <f t="shared" si="630"/>
        <v>26.487751680000002</v>
      </c>
      <c r="Q734" s="565">
        <f t="shared" si="630"/>
        <v>27.017506713600003</v>
      </c>
      <c r="R734" s="565">
        <f t="shared" si="630"/>
        <v>27.557856847872003</v>
      </c>
      <c r="S734" s="565">
        <f t="shared" si="630"/>
        <v>28.109013984829442</v>
      </c>
      <c r="T734" s="565">
        <f t="shared" si="630"/>
        <v>28.671194264526026</v>
      </c>
      <c r="U734" s="565">
        <f t="shared" si="630"/>
        <v>29.244618149816546</v>
      </c>
      <c r="V734" s="565">
        <f t="shared" si="630"/>
        <v>29.829510512812881</v>
      </c>
      <c r="W734" s="565">
        <f t="shared" si="630"/>
        <v>30.426100723069144</v>
      </c>
      <c r="X734" s="565">
        <f t="shared" si="630"/>
        <v>31.034622737530515</v>
      </c>
      <c r="Y734" s="565">
        <f t="shared" si="630"/>
        <v>31.655315192281126</v>
      </c>
      <c r="Z734" s="565">
        <f t="shared" si="630"/>
        <v>32.288421496126759</v>
      </c>
      <c r="AA734" s="565"/>
      <c r="AB734" s="565"/>
      <c r="AC734" s="565"/>
      <c r="AD734" s="565"/>
      <c r="AE734" s="565"/>
      <c r="AF734" s="565"/>
      <c r="AG734" s="565"/>
      <c r="AH734" s="565"/>
      <c r="AI734" s="565"/>
      <c r="AJ734" s="565"/>
      <c r="AM734" s="876"/>
      <c r="AN734" s="876"/>
    </row>
    <row r="735" spans="1:40" s="299" customFormat="1" x14ac:dyDescent="0.25">
      <c r="A735" s="299" t="s">
        <v>697</v>
      </c>
      <c r="C735" s="299" t="s">
        <v>387</v>
      </c>
      <c r="E735" s="331"/>
      <c r="F735" s="331"/>
      <c r="H735" s="640" t="s">
        <v>203</v>
      </c>
      <c r="I735" s="641" t="str">
        <f t="shared" si="618"/>
        <v>tr. VND/tấn</v>
      </c>
      <c r="K735" s="642"/>
      <c r="L735" s="642">
        <f t="shared" ref="L735:AJ735" si="631">-IF($H$9="VND",L703/L679/$H$10/10^3,L703/L679/$H$10*10^3)</f>
        <v>1.8787096774193559</v>
      </c>
      <c r="M735" s="642">
        <f t="shared" si="631"/>
        <v>1.8787096774193583</v>
      </c>
      <c r="N735" s="642">
        <f t="shared" si="631"/>
        <v>1.9162838709677454</v>
      </c>
      <c r="O735" s="642">
        <f t="shared" si="631"/>
        <v>1.9546095483871007</v>
      </c>
      <c r="P735" s="642">
        <f t="shared" si="631"/>
        <v>1.9937017393548417</v>
      </c>
      <c r="Q735" s="642">
        <f t="shared" si="631"/>
        <v>2.0335757741419362</v>
      </c>
      <c r="R735" s="642">
        <f t="shared" si="631"/>
        <v>2.0742472896247759</v>
      </c>
      <c r="S735" s="642">
        <f t="shared" si="631"/>
        <v>2.1157322354172718</v>
      </c>
      <c r="T735" s="642">
        <f t="shared" si="631"/>
        <v>2.1580468801256183</v>
      </c>
      <c r="U735" s="642">
        <f t="shared" si="631"/>
        <v>2.2012078177281285</v>
      </c>
      <c r="V735" s="642">
        <f t="shared" si="631"/>
        <v>2.2452319740826931</v>
      </c>
      <c r="W735" s="642">
        <f t="shared" si="631"/>
        <v>2.2901366135643446</v>
      </c>
      <c r="X735" s="642">
        <f t="shared" si="631"/>
        <v>2.3359393458356301</v>
      </c>
      <c r="Y735" s="642">
        <f t="shared" si="631"/>
        <v>2.3826581327523475</v>
      </c>
      <c r="Z735" s="642">
        <f t="shared" si="631"/>
        <v>2.430311295407392</v>
      </c>
      <c r="AA735" s="642"/>
      <c r="AB735" s="642"/>
      <c r="AC735" s="642"/>
      <c r="AD735" s="642"/>
      <c r="AE735" s="642"/>
      <c r="AF735" s="642"/>
      <c r="AG735" s="642"/>
      <c r="AH735" s="642"/>
      <c r="AI735" s="642"/>
      <c r="AJ735" s="642"/>
      <c r="AM735" s="876"/>
      <c r="AN735" s="876"/>
    </row>
    <row r="736" spans="1:40" x14ac:dyDescent="0.25">
      <c r="A736" t="s">
        <v>697</v>
      </c>
      <c r="H736" s="558" t="s">
        <v>676</v>
      </c>
      <c r="I736" s="559" t="str">
        <f t="shared" si="618"/>
        <v>tr. VND/tấn</v>
      </c>
      <c r="K736" s="567">
        <f>SUM(K737:K738)</f>
        <v>0</v>
      </c>
      <c r="L736" s="567">
        <f t="shared" ref="L736:AJ736" si="632">SUM(L737:L738)</f>
        <v>0.20420258064516131</v>
      </c>
      <c r="M736" s="567">
        <f t="shared" si="632"/>
        <v>0.20420258064516134</v>
      </c>
      <c r="N736" s="567">
        <f t="shared" si="632"/>
        <v>0.21441270967741941</v>
      </c>
      <c r="O736" s="567">
        <f t="shared" si="632"/>
        <v>0.22513334516129035</v>
      </c>
      <c r="P736" s="567">
        <f t="shared" si="632"/>
        <v>0.23639001241935489</v>
      </c>
      <c r="Q736" s="567">
        <f t="shared" si="632"/>
        <v>0.24820951304032263</v>
      </c>
      <c r="R736" s="567">
        <f t="shared" si="632"/>
        <v>0.26061998869233877</v>
      </c>
      <c r="S736" s="567">
        <f t="shared" si="632"/>
        <v>0.27365098812695565</v>
      </c>
      <c r="T736" s="567">
        <f t="shared" si="632"/>
        <v>0.28733353753330354</v>
      </c>
      <c r="U736" s="567">
        <f t="shared" si="632"/>
        <v>0.30170021440996864</v>
      </c>
      <c r="V736" s="567">
        <f t="shared" si="632"/>
        <v>0.31678522513046709</v>
      </c>
      <c r="W736" s="567">
        <f t="shared" si="632"/>
        <v>0.33262448638699044</v>
      </c>
      <c r="X736" s="567">
        <f t="shared" si="632"/>
        <v>0.34925571070633998</v>
      </c>
      <c r="Y736" s="567">
        <f t="shared" si="632"/>
        <v>0.36671849624165698</v>
      </c>
      <c r="Z736" s="567">
        <f t="shared" si="632"/>
        <v>0.38505442105373988</v>
      </c>
      <c r="AA736" s="567"/>
      <c r="AB736" s="567"/>
      <c r="AC736" s="567"/>
      <c r="AD736" s="567"/>
      <c r="AE736" s="567"/>
      <c r="AF736" s="567"/>
      <c r="AG736" s="567"/>
      <c r="AH736" s="567"/>
      <c r="AI736" s="567"/>
      <c r="AJ736" s="567"/>
      <c r="AM736" s="15"/>
      <c r="AN736" s="15"/>
    </row>
    <row r="737" spans="1:40" s="299" customFormat="1" x14ac:dyDescent="0.25">
      <c r="A737" s="299" t="s">
        <v>697</v>
      </c>
      <c r="C737" s="299" t="s">
        <v>367</v>
      </c>
      <c r="E737" s="331"/>
      <c r="F737" s="331"/>
      <c r="H737" s="560" t="s">
        <v>673</v>
      </c>
      <c r="I737" s="561" t="str">
        <f t="shared" si="618"/>
        <v>tr. VND/tấn</v>
      </c>
      <c r="K737" s="565"/>
      <c r="L737" s="565">
        <f>-IF($H$9="VND",L705/L679/$H$10/10^3,L705/L679/$H$10*10^3)</f>
        <v>0.20420258064516131</v>
      </c>
      <c r="M737" s="565">
        <f t="shared" ref="M737:AJ737" si="633">-IF($H$9="VND",M705/M679/$H$10/10^3,M705/M679/$H$10*10^3)</f>
        <v>0.20420258064516134</v>
      </c>
      <c r="N737" s="565">
        <f t="shared" si="633"/>
        <v>0.21441270967741941</v>
      </c>
      <c r="O737" s="565">
        <f t="shared" si="633"/>
        <v>0.22513334516129035</v>
      </c>
      <c r="P737" s="565">
        <f t="shared" si="633"/>
        <v>0.23639001241935489</v>
      </c>
      <c r="Q737" s="565">
        <f t="shared" si="633"/>
        <v>0.24820951304032263</v>
      </c>
      <c r="R737" s="565">
        <f t="shared" si="633"/>
        <v>0.26061998869233877</v>
      </c>
      <c r="S737" s="565">
        <f t="shared" si="633"/>
        <v>0.27365098812695565</v>
      </c>
      <c r="T737" s="565">
        <f t="shared" si="633"/>
        <v>0.28733353753330354</v>
      </c>
      <c r="U737" s="565">
        <f t="shared" si="633"/>
        <v>0.30170021440996864</v>
      </c>
      <c r="V737" s="565">
        <f t="shared" si="633"/>
        <v>0.31678522513046709</v>
      </c>
      <c r="W737" s="565">
        <f t="shared" si="633"/>
        <v>0.33262448638699044</v>
      </c>
      <c r="X737" s="565">
        <f t="shared" si="633"/>
        <v>0.34925571070633998</v>
      </c>
      <c r="Y737" s="565">
        <f t="shared" si="633"/>
        <v>0.36671849624165698</v>
      </c>
      <c r="Z737" s="565">
        <f t="shared" si="633"/>
        <v>0.38505442105373988</v>
      </c>
      <c r="AA737" s="565"/>
      <c r="AB737" s="565"/>
      <c r="AC737" s="565"/>
      <c r="AD737" s="565"/>
      <c r="AE737" s="565"/>
      <c r="AF737" s="565"/>
      <c r="AG737" s="565"/>
      <c r="AH737" s="565"/>
      <c r="AI737" s="565"/>
      <c r="AJ737" s="565"/>
      <c r="AM737" s="876"/>
      <c r="AN737" s="876"/>
    </row>
    <row r="738" spans="1:40" s="299" customFormat="1" x14ac:dyDescent="0.25">
      <c r="A738" s="299" t="s">
        <v>697</v>
      </c>
      <c r="C738" s="299" t="s">
        <v>367</v>
      </c>
      <c r="E738" s="331"/>
      <c r="F738" s="331"/>
      <c r="H738" s="560" t="s">
        <v>674</v>
      </c>
      <c r="I738" s="561" t="str">
        <f t="shared" si="618"/>
        <v>tr. VND/tấn</v>
      </c>
      <c r="K738" s="565"/>
      <c r="L738" s="565">
        <f>-IF($H$9="VND",L706/L679/$H$10/10^3,L706/L679/$H$10*10^3)</f>
        <v>0</v>
      </c>
      <c r="M738" s="565">
        <f t="shared" ref="M738:AJ738" si="634">-IF($H$9="VND",M706/M679/$H$10/10^3,M706/M679/$H$10*10^3)</f>
        <v>0</v>
      </c>
      <c r="N738" s="565">
        <f t="shared" si="634"/>
        <v>0</v>
      </c>
      <c r="O738" s="565">
        <f t="shared" si="634"/>
        <v>0</v>
      </c>
      <c r="P738" s="565">
        <f t="shared" si="634"/>
        <v>0</v>
      </c>
      <c r="Q738" s="565">
        <f t="shared" si="634"/>
        <v>0</v>
      </c>
      <c r="R738" s="565">
        <f t="shared" si="634"/>
        <v>0</v>
      </c>
      <c r="S738" s="565">
        <f t="shared" si="634"/>
        <v>0</v>
      </c>
      <c r="T738" s="565">
        <f t="shared" si="634"/>
        <v>0</v>
      </c>
      <c r="U738" s="565">
        <f t="shared" si="634"/>
        <v>0</v>
      </c>
      <c r="V738" s="565">
        <f t="shared" si="634"/>
        <v>0</v>
      </c>
      <c r="W738" s="565">
        <f t="shared" si="634"/>
        <v>0</v>
      </c>
      <c r="X738" s="565">
        <f t="shared" si="634"/>
        <v>0</v>
      </c>
      <c r="Y738" s="565">
        <f t="shared" si="634"/>
        <v>0</v>
      </c>
      <c r="Z738" s="565">
        <f t="shared" si="634"/>
        <v>0</v>
      </c>
      <c r="AA738" s="565"/>
      <c r="AB738" s="565"/>
      <c r="AC738" s="565"/>
      <c r="AD738" s="565"/>
      <c r="AE738" s="565"/>
      <c r="AF738" s="565"/>
      <c r="AG738" s="565"/>
      <c r="AH738" s="565"/>
      <c r="AI738" s="565"/>
      <c r="AJ738" s="565"/>
      <c r="AM738" s="876"/>
      <c r="AN738" s="876"/>
    </row>
    <row r="739" spans="1:40" x14ac:dyDescent="0.25">
      <c r="A739" t="s">
        <v>697</v>
      </c>
      <c r="H739" s="558" t="s">
        <v>180</v>
      </c>
      <c r="I739" s="559" t="str">
        <f t="shared" si="618"/>
        <v>tr. VND/tấn</v>
      </c>
      <c r="K739" s="567">
        <f>SUM(K740:K742)</f>
        <v>0</v>
      </c>
      <c r="L739" s="567">
        <f>SUM(L740:L742)</f>
        <v>2.8219416287581907</v>
      </c>
      <c r="M739" s="567">
        <f t="shared" ref="M739:AJ739" si="635">SUM(M740:M742)</f>
        <v>2.660868871198673</v>
      </c>
      <c r="N739" s="567">
        <f t="shared" si="635"/>
        <v>2.6587810286858344</v>
      </c>
      <c r="O739" s="567">
        <f t="shared" si="635"/>
        <v>2.7834335906254735</v>
      </c>
      <c r="P739" s="567">
        <f t="shared" si="635"/>
        <v>2.9143187806620943</v>
      </c>
      <c r="Q739" s="567">
        <f t="shared" si="635"/>
        <v>3.0517482302005461</v>
      </c>
      <c r="R739" s="567">
        <f t="shared" si="635"/>
        <v>3.1960491522159202</v>
      </c>
      <c r="S739" s="567">
        <f t="shared" si="635"/>
        <v>3.3475651203320633</v>
      </c>
      <c r="T739" s="567">
        <f t="shared" si="635"/>
        <v>3.5066568868540129</v>
      </c>
      <c r="U739" s="567">
        <f t="shared" si="635"/>
        <v>3.6737032417020608</v>
      </c>
      <c r="V739" s="567">
        <f t="shared" si="635"/>
        <v>3.8491019142925103</v>
      </c>
      <c r="W739" s="567">
        <f t="shared" si="635"/>
        <v>4.0332705205124837</v>
      </c>
      <c r="X739" s="567">
        <f t="shared" si="635"/>
        <v>4.0648020591010132</v>
      </c>
      <c r="Y739" s="567">
        <f t="shared" si="635"/>
        <v>4.2678479474585318</v>
      </c>
      <c r="Z739" s="567">
        <f t="shared" si="635"/>
        <v>4.4810461302339286</v>
      </c>
      <c r="AA739" s="567"/>
      <c r="AB739" s="567"/>
      <c r="AC739" s="567"/>
      <c r="AD739" s="567"/>
      <c r="AE739" s="567"/>
      <c r="AF739" s="567"/>
      <c r="AG739" s="567"/>
      <c r="AH739" s="567"/>
      <c r="AI739" s="567"/>
      <c r="AJ739" s="567"/>
      <c r="AM739" s="15"/>
      <c r="AN739" s="15"/>
    </row>
    <row r="740" spans="1:40" s="299" customFormat="1" x14ac:dyDescent="0.25">
      <c r="A740" s="299" t="s">
        <v>697</v>
      </c>
      <c r="C740" s="299" t="s">
        <v>367</v>
      </c>
      <c r="H740" s="560" t="s">
        <v>73</v>
      </c>
      <c r="I740" s="561" t="str">
        <f t="shared" si="618"/>
        <v>tr. VND/tấn</v>
      </c>
      <c r="K740" s="565"/>
      <c r="L740" s="565">
        <f t="shared" ref="L740:AJ740" si="636">-IF($H$9="VND",L708/L679/$H$10/10^3,L708/L679/$H$10*10^3)</f>
        <v>1.8565188172043012</v>
      </c>
      <c r="M740" s="565">
        <f t="shared" si="636"/>
        <v>1.8565188172043008</v>
      </c>
      <c r="N740" s="565">
        <f t="shared" si="636"/>
        <v>1.949344758064516</v>
      </c>
      <c r="O740" s="565">
        <f t="shared" si="636"/>
        <v>2.046811995967742</v>
      </c>
      <c r="P740" s="565">
        <f t="shared" si="636"/>
        <v>2.1491525957661293</v>
      </c>
      <c r="Q740" s="565">
        <f t="shared" si="636"/>
        <v>2.2566102255544358</v>
      </c>
      <c r="R740" s="565">
        <f t="shared" si="636"/>
        <v>2.3694407368321579</v>
      </c>
      <c r="S740" s="565">
        <f t="shared" si="636"/>
        <v>2.4879127736737656</v>
      </c>
      <c r="T740" s="565">
        <f t="shared" si="636"/>
        <v>2.6123084123574536</v>
      </c>
      <c r="U740" s="565">
        <f t="shared" si="636"/>
        <v>2.7429238329753267</v>
      </c>
      <c r="V740" s="565">
        <f t="shared" si="636"/>
        <v>2.8800700246240925</v>
      </c>
      <c r="W740" s="565">
        <f t="shared" si="636"/>
        <v>3.0240735258552975</v>
      </c>
      <c r="X740" s="565">
        <f t="shared" si="636"/>
        <v>3.1752772021480626</v>
      </c>
      <c r="Y740" s="565">
        <f t="shared" si="636"/>
        <v>3.3340410622554648</v>
      </c>
      <c r="Z740" s="565">
        <f t="shared" si="636"/>
        <v>3.5007431153682393</v>
      </c>
      <c r="AA740" s="565"/>
      <c r="AB740" s="565"/>
      <c r="AC740" s="565"/>
      <c r="AD740" s="565"/>
      <c r="AE740" s="565"/>
      <c r="AF740" s="565"/>
      <c r="AG740" s="565"/>
      <c r="AH740" s="565"/>
      <c r="AI740" s="565"/>
      <c r="AJ740" s="565"/>
      <c r="AM740" s="876"/>
      <c r="AN740" s="876"/>
    </row>
    <row r="741" spans="1:40" s="299" customFormat="1" x14ac:dyDescent="0.25">
      <c r="A741" s="299" t="s">
        <v>697</v>
      </c>
      <c r="C741" s="299" t="s">
        <v>370</v>
      </c>
      <c r="H741" s="560" t="s">
        <v>192</v>
      </c>
      <c r="I741" s="561" t="str">
        <f t="shared" si="618"/>
        <v>tr. VND/tấn</v>
      </c>
      <c r="K741" s="565"/>
      <c r="L741" s="565">
        <f t="shared" ref="L741:AJ741" si="637">-IF($H$9="VND",L709/L679/$H$10/10^3,L709/L679/$H$10*10^3)</f>
        <v>0.31481481481481483</v>
      </c>
      <c r="M741" s="565">
        <f t="shared" si="637"/>
        <v>0.31481481481481483</v>
      </c>
      <c r="N741" s="565">
        <f t="shared" si="637"/>
        <v>0.3305555555555556</v>
      </c>
      <c r="O741" s="565">
        <f t="shared" si="637"/>
        <v>0.34708333333333335</v>
      </c>
      <c r="P741" s="565">
        <f t="shared" si="637"/>
        <v>0.36443750000000008</v>
      </c>
      <c r="Q741" s="565">
        <f t="shared" si="637"/>
        <v>0.38265937500000002</v>
      </c>
      <c r="R741" s="565">
        <f t="shared" si="637"/>
        <v>0.40179234375000006</v>
      </c>
      <c r="S741" s="565">
        <f t="shared" si="637"/>
        <v>0.42188196093749997</v>
      </c>
      <c r="T741" s="565">
        <f t="shared" si="637"/>
        <v>0.44297605898437514</v>
      </c>
      <c r="U741" s="565">
        <f t="shared" si="637"/>
        <v>0.46512486193359376</v>
      </c>
      <c r="V741" s="565">
        <f t="shared" si="637"/>
        <v>0.48838110503027343</v>
      </c>
      <c r="W741" s="565">
        <f t="shared" si="637"/>
        <v>0.51280016028178721</v>
      </c>
      <c r="X741" s="565">
        <f t="shared" si="637"/>
        <v>0.5384401682958766</v>
      </c>
      <c r="Y741" s="565">
        <f t="shared" si="637"/>
        <v>0.56536217671067035</v>
      </c>
      <c r="Z741" s="565">
        <f t="shared" si="637"/>
        <v>0.5936302855462039</v>
      </c>
      <c r="AA741" s="565"/>
      <c r="AB741" s="565"/>
      <c r="AC741" s="565"/>
      <c r="AD741" s="565"/>
      <c r="AE741" s="565"/>
      <c r="AF741" s="565"/>
      <c r="AG741" s="565"/>
      <c r="AH741" s="565"/>
      <c r="AI741" s="565"/>
      <c r="AJ741" s="565"/>
      <c r="AM741" s="876"/>
      <c r="AN741" s="876"/>
    </row>
    <row r="742" spans="1:40" s="299" customFormat="1" x14ac:dyDescent="0.25">
      <c r="A742" s="299" t="s">
        <v>697</v>
      </c>
      <c r="C742" s="299" t="s">
        <v>367</v>
      </c>
      <c r="H742" s="560" t="s">
        <v>175</v>
      </c>
      <c r="I742" s="561" t="str">
        <f t="shared" si="618"/>
        <v>tr. VND/tấn</v>
      </c>
      <c r="K742" s="565"/>
      <c r="L742" s="565">
        <f>-IF($H$9="VND",L710/L679/$H$10/10^3,L710/L679/$H$10*10^3)</f>
        <v>0.65060799673907488</v>
      </c>
      <c r="M742" s="565">
        <f t="shared" ref="M742:AJ742" si="638">-IF($H$9="VND",M710/M679/$H$10/10^3,M710/M679/$H$10*10^3)</f>
        <v>0.48953523917955771</v>
      </c>
      <c r="N742" s="565">
        <f t="shared" si="638"/>
        <v>0.37888071506576265</v>
      </c>
      <c r="O742" s="565">
        <f t="shared" si="638"/>
        <v>0.38953826132439784</v>
      </c>
      <c r="P742" s="565">
        <f t="shared" si="638"/>
        <v>0.40072868489596469</v>
      </c>
      <c r="Q742" s="565">
        <f t="shared" si="638"/>
        <v>0.41247862964610993</v>
      </c>
      <c r="R742" s="565">
        <f t="shared" si="638"/>
        <v>0.42481607163376234</v>
      </c>
      <c r="S742" s="565">
        <f t="shared" si="638"/>
        <v>0.43777038572079757</v>
      </c>
      <c r="T742" s="565">
        <f t="shared" si="638"/>
        <v>0.45137241551218432</v>
      </c>
      <c r="U742" s="565">
        <f t="shared" si="638"/>
        <v>0.4656545467931405</v>
      </c>
      <c r="V742" s="565">
        <f t="shared" si="638"/>
        <v>0.48065078463814442</v>
      </c>
      <c r="W742" s="565">
        <f t="shared" si="638"/>
        <v>0.49639683437539861</v>
      </c>
      <c r="X742" s="565">
        <f t="shared" si="638"/>
        <v>0.35108468865707365</v>
      </c>
      <c r="Y742" s="565">
        <f t="shared" si="638"/>
        <v>0.36844470849239641</v>
      </c>
      <c r="Z742" s="565">
        <f t="shared" si="638"/>
        <v>0.38667272931948538</v>
      </c>
      <c r="AA742" s="565"/>
      <c r="AB742" s="565"/>
      <c r="AC742" s="565"/>
      <c r="AD742" s="565"/>
      <c r="AE742" s="565"/>
      <c r="AF742" s="565"/>
      <c r="AG742" s="565"/>
      <c r="AH742" s="565"/>
      <c r="AI742" s="565"/>
      <c r="AJ742" s="565"/>
      <c r="AM742" s="876"/>
      <c r="AN742" s="876"/>
    </row>
    <row r="743" spans="1:40" x14ac:dyDescent="0.25">
      <c r="A743" t="s">
        <v>697</v>
      </c>
      <c r="H743" s="247"/>
      <c r="I743" s="275"/>
      <c r="K743" s="281"/>
      <c r="L743" s="282"/>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M743" s="15"/>
      <c r="AN743" s="15"/>
    </row>
    <row r="744" spans="1:40" s="16" customFormat="1" x14ac:dyDescent="0.25">
      <c r="A744" s="16" t="s">
        <v>697</v>
      </c>
      <c r="H744" s="276" t="s">
        <v>464</v>
      </c>
      <c r="I744" s="277" t="str">
        <f t="shared" si="618"/>
        <v>tr. VND/tấn</v>
      </c>
      <c r="K744" s="283">
        <f>K722+K732</f>
        <v>0</v>
      </c>
      <c r="L744" s="283">
        <f t="shared" ref="L744:AJ744" si="639">L722+L732</f>
        <v>43.958720173280462</v>
      </c>
      <c r="M744" s="283">
        <f t="shared" si="639"/>
        <v>39.770828476733016</v>
      </c>
      <c r="N744" s="283">
        <f t="shared" si="639"/>
        <v>37.440795172354989</v>
      </c>
      <c r="O744" s="283">
        <f t="shared" si="639"/>
        <v>38.276121687982737</v>
      </c>
      <c r="P744" s="283">
        <f t="shared" si="639"/>
        <v>39.13678923906928</v>
      </c>
      <c r="Q744" s="283">
        <f t="shared" si="639"/>
        <v>40.023736371581123</v>
      </c>
      <c r="R744" s="283">
        <f t="shared" si="639"/>
        <v>40.937941988666935</v>
      </c>
      <c r="S744" s="283">
        <f t="shared" si="639"/>
        <v>41.880427237114404</v>
      </c>
      <c r="T744" s="283">
        <f t="shared" si="639"/>
        <v>42.852257485501738</v>
      </c>
      <c r="U744" s="283">
        <f t="shared" si="639"/>
        <v>43.854544398576294</v>
      </c>
      <c r="V744" s="283">
        <f t="shared" si="639"/>
        <v>44.888448112617795</v>
      </c>
      <c r="W744" s="283">
        <f t="shared" si="639"/>
        <v>45.955179516780845</v>
      </c>
      <c r="X744" s="283">
        <f t="shared" si="639"/>
        <v>42.848019699156396</v>
      </c>
      <c r="Y744" s="283">
        <f t="shared" si="639"/>
        <v>43.984254242077441</v>
      </c>
      <c r="Z744" s="283">
        <f t="shared" si="639"/>
        <v>45.157278174894508</v>
      </c>
      <c r="AA744" s="283"/>
      <c r="AB744" s="283"/>
      <c r="AC744" s="283"/>
      <c r="AD744" s="283"/>
      <c r="AE744" s="283"/>
      <c r="AF744" s="283"/>
      <c r="AG744" s="283"/>
      <c r="AH744" s="283"/>
      <c r="AI744" s="283"/>
      <c r="AJ744" s="283"/>
      <c r="AM744" s="29"/>
      <c r="AN744" s="29"/>
    </row>
    <row r="745" spans="1:40" x14ac:dyDescent="0.25">
      <c r="A745" t="s">
        <v>697</v>
      </c>
      <c r="H745" s="247"/>
      <c r="I745" s="275"/>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M745" s="15"/>
      <c r="AN745" s="15"/>
    </row>
    <row r="746" spans="1:40" x14ac:dyDescent="0.25">
      <c r="A746" t="s">
        <v>697</v>
      </c>
      <c r="C746" t="s">
        <v>367</v>
      </c>
      <c r="H746" s="568" t="s">
        <v>166</v>
      </c>
      <c r="I746" s="569" t="str">
        <f t="shared" si="618"/>
        <v>tr. VND/tấn</v>
      </c>
      <c r="K746" s="570"/>
      <c r="L746" s="570">
        <f>-IF($H$9="VND",L714/L679/$H$10/10^3,L714/L679/$H$10*10^3)</f>
        <v>0.88888888888888906</v>
      </c>
      <c r="M746" s="570">
        <f t="shared" ref="M746:AJ746" si="640">-IF($H$9="VND",M714/M679/$H$10/10^3,M714/M679/$H$10*10^3)</f>
        <v>0.88888888888888895</v>
      </c>
      <c r="N746" s="570">
        <f t="shared" si="640"/>
        <v>0.93333333333333335</v>
      </c>
      <c r="O746" s="570">
        <f t="shared" si="640"/>
        <v>0.9800000000000002</v>
      </c>
      <c r="P746" s="570">
        <f t="shared" si="640"/>
        <v>1.0290000000000001</v>
      </c>
      <c r="Q746" s="570">
        <f t="shared" si="640"/>
        <v>1.0804500000000004</v>
      </c>
      <c r="R746" s="570">
        <f t="shared" si="640"/>
        <v>1.1344725000000002</v>
      </c>
      <c r="S746" s="570">
        <f t="shared" si="640"/>
        <v>1.1911961249999998</v>
      </c>
      <c r="T746" s="570">
        <f t="shared" si="640"/>
        <v>1.2507559312500003</v>
      </c>
      <c r="U746" s="570">
        <f t="shared" si="640"/>
        <v>1.3132937278125001</v>
      </c>
      <c r="V746" s="570">
        <f t="shared" si="640"/>
        <v>1.3789584142031253</v>
      </c>
      <c r="W746" s="570">
        <f t="shared" si="640"/>
        <v>1.4479063349132817</v>
      </c>
      <c r="X746" s="570">
        <f t="shared" si="640"/>
        <v>1.5203016516589456</v>
      </c>
      <c r="Y746" s="570">
        <f t="shared" si="640"/>
        <v>1.5963167342418931</v>
      </c>
      <c r="Z746" s="570">
        <f t="shared" si="640"/>
        <v>1.6761325709539878</v>
      </c>
      <c r="AA746" s="570"/>
      <c r="AB746" s="570"/>
      <c r="AC746" s="570"/>
      <c r="AD746" s="570"/>
      <c r="AE746" s="570"/>
      <c r="AF746" s="570"/>
      <c r="AG746" s="570"/>
      <c r="AH746" s="570"/>
      <c r="AI746" s="570"/>
      <c r="AJ746" s="570"/>
      <c r="AM746" s="15"/>
      <c r="AN746" s="15"/>
    </row>
    <row r="747" spans="1:40" x14ac:dyDescent="0.25">
      <c r="A747" t="s">
        <v>697</v>
      </c>
      <c r="C747" t="s">
        <v>367</v>
      </c>
      <c r="H747" s="558" t="s">
        <v>469</v>
      </c>
      <c r="I747" s="559" t="str">
        <f t="shared" si="618"/>
        <v>tr. VND/tấn</v>
      </c>
      <c r="K747" s="571"/>
      <c r="L747" s="571">
        <f t="shared" ref="L747:AJ747" si="641">-IF($H$9="VND",L715/L679/$H$10/10^3,L715/L679/$H$10*10^3)</f>
        <v>0</v>
      </c>
      <c r="M747" s="571">
        <f t="shared" si="641"/>
        <v>0</v>
      </c>
      <c r="N747" s="571">
        <f t="shared" si="641"/>
        <v>0</v>
      </c>
      <c r="O747" s="571">
        <f t="shared" si="641"/>
        <v>0</v>
      </c>
      <c r="P747" s="571">
        <f t="shared" si="641"/>
        <v>0</v>
      </c>
      <c r="Q747" s="571">
        <f t="shared" si="641"/>
        <v>0</v>
      </c>
      <c r="R747" s="571">
        <f t="shared" si="641"/>
        <v>0</v>
      </c>
      <c r="S747" s="571">
        <f t="shared" si="641"/>
        <v>0</v>
      </c>
      <c r="T747" s="571">
        <f t="shared" si="641"/>
        <v>0</v>
      </c>
      <c r="U747" s="571">
        <f t="shared" si="641"/>
        <v>0</v>
      </c>
      <c r="V747" s="571">
        <f t="shared" si="641"/>
        <v>0</v>
      </c>
      <c r="W747" s="571">
        <f t="shared" si="641"/>
        <v>0</v>
      </c>
      <c r="X747" s="571">
        <f t="shared" si="641"/>
        <v>0</v>
      </c>
      <c r="Y747" s="571">
        <f t="shared" si="641"/>
        <v>0</v>
      </c>
      <c r="Z747" s="571">
        <f t="shared" si="641"/>
        <v>0</v>
      </c>
      <c r="AA747" s="571"/>
      <c r="AB747" s="571"/>
      <c r="AC747" s="571"/>
      <c r="AD747" s="571"/>
      <c r="AE747" s="571"/>
      <c r="AF747" s="571"/>
      <c r="AG747" s="571"/>
      <c r="AH747" s="571"/>
      <c r="AI747" s="571"/>
      <c r="AJ747" s="571"/>
      <c r="AM747" s="15"/>
      <c r="AN747" s="15"/>
    </row>
    <row r="748" spans="1:40" x14ac:dyDescent="0.25">
      <c r="A748" t="s">
        <v>697</v>
      </c>
      <c r="C748" t="s">
        <v>367</v>
      </c>
      <c r="H748" s="558" t="s">
        <v>468</v>
      </c>
      <c r="I748" s="559" t="str">
        <f t="shared" si="618"/>
        <v>tr. VND/tấn</v>
      </c>
      <c r="K748" s="558"/>
      <c r="L748" s="571">
        <f t="shared" ref="L748:AJ748" si="642">-IF($H$9="VND",L716/L679/$H$10/10^3,L716/L679/$H$10*10^3)</f>
        <v>0</v>
      </c>
      <c r="M748" s="571">
        <f t="shared" si="642"/>
        <v>0</v>
      </c>
      <c r="N748" s="571">
        <f t="shared" si="642"/>
        <v>0</v>
      </c>
      <c r="O748" s="571">
        <f t="shared" si="642"/>
        <v>0</v>
      </c>
      <c r="P748" s="571">
        <f t="shared" si="642"/>
        <v>0</v>
      </c>
      <c r="Q748" s="571">
        <f t="shared" si="642"/>
        <v>0</v>
      </c>
      <c r="R748" s="571">
        <f t="shared" si="642"/>
        <v>0</v>
      </c>
      <c r="S748" s="571">
        <f t="shared" si="642"/>
        <v>0</v>
      </c>
      <c r="T748" s="571">
        <f t="shared" si="642"/>
        <v>0</v>
      </c>
      <c r="U748" s="571">
        <f t="shared" si="642"/>
        <v>0</v>
      </c>
      <c r="V748" s="571">
        <f t="shared" si="642"/>
        <v>0</v>
      </c>
      <c r="W748" s="571">
        <f t="shared" si="642"/>
        <v>0</v>
      </c>
      <c r="X748" s="571">
        <f t="shared" si="642"/>
        <v>0</v>
      </c>
      <c r="Y748" s="571">
        <f t="shared" si="642"/>
        <v>0</v>
      </c>
      <c r="Z748" s="571">
        <f t="shared" si="642"/>
        <v>0</v>
      </c>
      <c r="AA748" s="571"/>
      <c r="AB748" s="571"/>
      <c r="AC748" s="571"/>
      <c r="AD748" s="571"/>
      <c r="AE748" s="571"/>
      <c r="AF748" s="571"/>
      <c r="AG748" s="571"/>
      <c r="AH748" s="571"/>
      <c r="AI748" s="571"/>
      <c r="AJ748" s="571"/>
      <c r="AM748" s="15"/>
      <c r="AN748" s="15"/>
    </row>
    <row r="749" spans="1:40" x14ac:dyDescent="0.25">
      <c r="A749" t="s">
        <v>697</v>
      </c>
      <c r="C749" t="s">
        <v>367</v>
      </c>
      <c r="H749" s="558" t="s">
        <v>470</v>
      </c>
      <c r="I749" s="559" t="str">
        <f t="shared" si="618"/>
        <v>tr. VND/tấn</v>
      </c>
      <c r="K749" s="558"/>
      <c r="L749" s="571">
        <f t="shared" ref="L749:AJ749" si="643">-IF($H$9="VND",L717/L679/$H$10/10^3,L717/L679/$H$10*10^3)</f>
        <v>4.7582576395077938</v>
      </c>
      <c r="M749" s="571">
        <f t="shared" si="643"/>
        <v>3.2635032589377744</v>
      </c>
      <c r="N749" s="571">
        <f t="shared" si="643"/>
        <v>2.1831483850641651</v>
      </c>
      <c r="O749" s="571">
        <f t="shared" si="643"/>
        <v>2.0747532161384292</v>
      </c>
      <c r="P749" s="571">
        <f t="shared" si="643"/>
        <v>1.9587703853878913</v>
      </c>
      <c r="Q749" s="571">
        <f t="shared" si="643"/>
        <v>1.8346687564848161</v>
      </c>
      <c r="R749" s="571">
        <f t="shared" si="643"/>
        <v>1.7018800135585255</v>
      </c>
      <c r="S749" s="571">
        <f t="shared" si="643"/>
        <v>1.5597960586273947</v>
      </c>
      <c r="T749" s="571">
        <f t="shared" si="643"/>
        <v>1.4077662268510847</v>
      </c>
      <c r="U749" s="571">
        <f t="shared" si="643"/>
        <v>1.245094306850433</v>
      </c>
      <c r="V749" s="571">
        <f t="shared" si="643"/>
        <v>1.0710353524497356</v>
      </c>
      <c r="W749" s="571">
        <f t="shared" si="643"/>
        <v>0.88479227124098925</v>
      </c>
      <c r="X749" s="571">
        <f t="shared" si="643"/>
        <v>0.68551217434763101</v>
      </c>
      <c r="Y749" s="571">
        <f t="shared" si="643"/>
        <v>0.47228247067173734</v>
      </c>
      <c r="Z749" s="571">
        <f t="shared" si="643"/>
        <v>0.24412668773853119</v>
      </c>
      <c r="AA749" s="571"/>
      <c r="AB749" s="571"/>
      <c r="AC749" s="571"/>
      <c r="AD749" s="571"/>
      <c r="AE749" s="571"/>
      <c r="AF749" s="571"/>
      <c r="AG749" s="571"/>
      <c r="AH749" s="571"/>
      <c r="AI749" s="571"/>
      <c r="AJ749" s="571"/>
      <c r="AM749" s="15"/>
      <c r="AN749" s="15"/>
    </row>
    <row r="750" spans="1:40" x14ac:dyDescent="0.25">
      <c r="A750" t="s">
        <v>697</v>
      </c>
      <c r="H750" s="247"/>
      <c r="I750" s="275"/>
      <c r="K750" s="247"/>
      <c r="L750" s="247"/>
      <c r="M750" s="247"/>
      <c r="N750" s="247"/>
      <c r="O750" s="247"/>
      <c r="P750" s="247"/>
      <c r="Q750" s="247"/>
      <c r="R750" s="247"/>
      <c r="S750" s="247"/>
      <c r="T750" s="247"/>
      <c r="U750" s="247"/>
      <c r="V750" s="247"/>
      <c r="W750" s="247"/>
      <c r="X750" s="247"/>
      <c r="Y750" s="247"/>
      <c r="Z750" s="247"/>
      <c r="AA750" s="247"/>
      <c r="AB750" s="247"/>
      <c r="AC750" s="247"/>
      <c r="AD750" s="247"/>
      <c r="AE750" s="247"/>
      <c r="AF750" s="247"/>
      <c r="AG750" s="247"/>
      <c r="AH750" s="247"/>
      <c r="AI750" s="247"/>
      <c r="AJ750" s="247"/>
      <c r="AM750" s="15"/>
      <c r="AN750" s="15"/>
    </row>
    <row r="751" spans="1:40" s="16" customFormat="1" x14ac:dyDescent="0.25">
      <c r="A751" s="16" t="s">
        <v>697</v>
      </c>
      <c r="H751" s="276" t="s">
        <v>474</v>
      </c>
      <c r="I751" s="277" t="str">
        <f t="shared" si="618"/>
        <v>tr. VND/tấn</v>
      </c>
      <c r="K751" s="283">
        <f t="shared" ref="K751" si="644">K744+SUM(K746:K749)</f>
        <v>0</v>
      </c>
      <c r="L751" s="283">
        <f>L744+SUM(L746:L749)</f>
        <v>49.605866701677144</v>
      </c>
      <c r="M751" s="283">
        <f t="shared" ref="M751:AJ751" si="645">M744+SUM(M746:M749)</f>
        <v>43.923220624559676</v>
      </c>
      <c r="N751" s="283">
        <f t="shared" si="645"/>
        <v>40.55727689075249</v>
      </c>
      <c r="O751" s="283">
        <f t="shared" si="645"/>
        <v>41.330874904121167</v>
      </c>
      <c r="P751" s="283">
        <f t="shared" si="645"/>
        <v>42.12455962445717</v>
      </c>
      <c r="Q751" s="283">
        <f t="shared" si="645"/>
        <v>42.938855128065939</v>
      </c>
      <c r="R751" s="283">
        <f t="shared" si="645"/>
        <v>43.774294502225459</v>
      </c>
      <c r="S751" s="283">
        <f t="shared" si="645"/>
        <v>44.6314194207418</v>
      </c>
      <c r="T751" s="283">
        <f t="shared" si="645"/>
        <v>45.510779643602824</v>
      </c>
      <c r="U751" s="283">
        <f t="shared" si="645"/>
        <v>46.412932433239227</v>
      </c>
      <c r="V751" s="283">
        <f t="shared" si="645"/>
        <v>47.338441879270654</v>
      </c>
      <c r="W751" s="283">
        <f t="shared" si="645"/>
        <v>48.287878122935119</v>
      </c>
      <c r="X751" s="283">
        <f t="shared" si="645"/>
        <v>45.053833525162972</v>
      </c>
      <c r="Y751" s="283">
        <f t="shared" si="645"/>
        <v>46.052853446991072</v>
      </c>
      <c r="Z751" s="283">
        <f t="shared" si="645"/>
        <v>47.077537433587025</v>
      </c>
      <c r="AA751" s="283"/>
      <c r="AB751" s="283"/>
      <c r="AC751" s="283"/>
      <c r="AD751" s="283"/>
      <c r="AE751" s="283"/>
      <c r="AF751" s="283"/>
      <c r="AG751" s="283"/>
      <c r="AH751" s="283"/>
      <c r="AI751" s="283"/>
      <c r="AJ751" s="283"/>
      <c r="AM751" s="29"/>
      <c r="AN751" s="29"/>
    </row>
    <row r="752" spans="1:40" x14ac:dyDescent="0.25">
      <c r="A752" t="s">
        <v>697</v>
      </c>
    </row>
    <row r="753" spans="1:37" x14ac:dyDescent="0.25">
      <c r="A753" t="s">
        <v>697</v>
      </c>
      <c r="H753" s="568" t="s">
        <v>361</v>
      </c>
      <c r="I753" s="569" t="str">
        <f t="shared" si="618"/>
        <v>tr. VND/tấn</v>
      </c>
      <c r="K753" s="568"/>
      <c r="L753" s="589">
        <f>INDEX('Cover Page'!$H$12:$AJ$12,MATCH($A753,'Cover Page'!$H$5:$AJ$5,0))</f>
        <v>6.6666666666666666E-2</v>
      </c>
      <c r="M753" s="589">
        <f>INDEX('Cover Page'!$H$12:$AJ$12,MATCH($A753,'Cover Page'!$H$5:$AJ$5,0))</f>
        <v>6.6666666666666666E-2</v>
      </c>
      <c r="N753" s="589">
        <f>INDEX('Cover Page'!$H$12:$AJ$12,MATCH($A753,'Cover Page'!$H$5:$AJ$5,0))</f>
        <v>6.6666666666666666E-2</v>
      </c>
      <c r="O753" s="589">
        <f>INDEX('Cover Page'!$H$12:$AJ$12,MATCH($A753,'Cover Page'!$H$5:$AJ$5,0))</f>
        <v>6.6666666666666666E-2</v>
      </c>
      <c r="P753" s="589">
        <f>INDEX('Cover Page'!$H$12:$AJ$12,MATCH($A753,'Cover Page'!$H$5:$AJ$5,0))</f>
        <v>6.6666666666666666E-2</v>
      </c>
      <c r="Q753" s="589">
        <f>INDEX('Cover Page'!$H$12:$AJ$12,MATCH($A753,'Cover Page'!$H$5:$AJ$5,0))</f>
        <v>6.6666666666666666E-2</v>
      </c>
      <c r="R753" s="589">
        <f>INDEX('Cover Page'!$H$12:$AJ$12,MATCH($A753,'Cover Page'!$H$5:$AJ$5,0))</f>
        <v>6.6666666666666666E-2</v>
      </c>
      <c r="S753" s="589">
        <f>INDEX('Cover Page'!$H$12:$AJ$12,MATCH($A753,'Cover Page'!$H$5:$AJ$5,0))</f>
        <v>6.6666666666666666E-2</v>
      </c>
      <c r="T753" s="589">
        <f>INDEX('Cover Page'!$H$12:$AJ$12,MATCH($A753,'Cover Page'!$H$5:$AJ$5,0))</f>
        <v>6.6666666666666666E-2</v>
      </c>
      <c r="U753" s="589">
        <f>INDEX('Cover Page'!$H$12:$AJ$12,MATCH($A753,'Cover Page'!$H$5:$AJ$5,0))</f>
        <v>6.6666666666666666E-2</v>
      </c>
      <c r="V753" s="589">
        <f>INDEX('Cover Page'!$H$12:$AJ$12,MATCH($A753,'Cover Page'!$H$5:$AJ$5,0))</f>
        <v>6.6666666666666666E-2</v>
      </c>
      <c r="W753" s="589">
        <f>INDEX('Cover Page'!$H$12:$AJ$12,MATCH($A753,'Cover Page'!$H$5:$AJ$5,0))</f>
        <v>6.6666666666666666E-2</v>
      </c>
      <c r="X753" s="589">
        <f>INDEX('Cover Page'!$H$12:$AJ$12,MATCH($A753,'Cover Page'!$H$5:$AJ$5,0))</f>
        <v>6.6666666666666666E-2</v>
      </c>
      <c r="Y753" s="589">
        <f>INDEX('Cover Page'!$H$12:$AJ$12,MATCH($A753,'Cover Page'!$H$5:$AJ$5,0))</f>
        <v>6.6666666666666666E-2</v>
      </c>
      <c r="Z753" s="589">
        <f>INDEX('Cover Page'!$H$12:$AJ$12,MATCH($A753,'Cover Page'!$H$5:$AJ$5,0))</f>
        <v>6.6666666666666666E-2</v>
      </c>
      <c r="AA753" s="589"/>
      <c r="AB753" s="589"/>
      <c r="AC753" s="589"/>
      <c r="AD753" s="589"/>
      <c r="AE753" s="589"/>
      <c r="AF753" s="589"/>
      <c r="AG753" s="589"/>
      <c r="AH753" s="589"/>
      <c r="AI753" s="589"/>
      <c r="AJ753" s="589"/>
    </row>
    <row r="754" spans="1:37" s="1" customFormat="1" x14ac:dyDescent="0.25">
      <c r="A754" s="1" t="s">
        <v>697</v>
      </c>
      <c r="H754" s="585" t="s">
        <v>490</v>
      </c>
      <c r="I754" s="586" t="str">
        <f t="shared" si="618"/>
        <v>tr. VND/tấn</v>
      </c>
      <c r="K754" s="585"/>
      <c r="L754" s="590">
        <f t="shared" ref="L754:AJ754" si="646">L751*(1+L753)</f>
        <v>52.912924481788956</v>
      </c>
      <c r="M754" s="590">
        <f t="shared" si="646"/>
        <v>46.851435332863652</v>
      </c>
      <c r="N754" s="590">
        <f t="shared" si="646"/>
        <v>43.261095350135989</v>
      </c>
      <c r="O754" s="590">
        <f t="shared" si="646"/>
        <v>44.086266564395913</v>
      </c>
      <c r="P754" s="590">
        <f t="shared" si="646"/>
        <v>44.932863599420983</v>
      </c>
      <c r="Q754" s="590">
        <f t="shared" si="646"/>
        <v>45.801445469937001</v>
      </c>
      <c r="R754" s="590">
        <f t="shared" si="646"/>
        <v>46.692580802373826</v>
      </c>
      <c r="S754" s="590">
        <f t="shared" si="646"/>
        <v>47.606847382124585</v>
      </c>
      <c r="T754" s="590">
        <f t="shared" si="646"/>
        <v>48.544831619843009</v>
      </c>
      <c r="U754" s="590">
        <f t="shared" si="646"/>
        <v>49.507127928788506</v>
      </c>
      <c r="V754" s="590">
        <f t="shared" si="646"/>
        <v>50.494338004555367</v>
      </c>
      <c r="W754" s="590">
        <f t="shared" si="646"/>
        <v>51.507069997797458</v>
      </c>
      <c r="X754" s="590">
        <f t="shared" si="646"/>
        <v>48.057422426840503</v>
      </c>
      <c r="Y754" s="590">
        <f t="shared" si="646"/>
        <v>49.123043676790473</v>
      </c>
      <c r="Z754" s="590">
        <f t="shared" si="646"/>
        <v>50.216039929159493</v>
      </c>
      <c r="AA754" s="590"/>
      <c r="AB754" s="590"/>
      <c r="AC754" s="590"/>
      <c r="AD754" s="590"/>
      <c r="AE754" s="590"/>
      <c r="AF754" s="590"/>
      <c r="AG754" s="590"/>
      <c r="AH754" s="590"/>
      <c r="AI754" s="590"/>
      <c r="AJ754" s="590"/>
    </row>
    <row r="755" spans="1:37" x14ac:dyDescent="0.25">
      <c r="A755" t="s">
        <v>697</v>
      </c>
      <c r="H755" s="558" t="s">
        <v>292</v>
      </c>
      <c r="I755" s="559" t="str">
        <f t="shared" si="618"/>
        <v>tr. VND/tấn</v>
      </c>
      <c r="K755" s="558"/>
      <c r="L755" s="591">
        <f t="shared" ref="L755:AJ755" si="647">Tax_rate</f>
        <v>0.2</v>
      </c>
      <c r="M755" s="591">
        <f t="shared" si="647"/>
        <v>0.2</v>
      </c>
      <c r="N755" s="591">
        <f t="shared" si="647"/>
        <v>0.2</v>
      </c>
      <c r="O755" s="591">
        <f t="shared" si="647"/>
        <v>0.2</v>
      </c>
      <c r="P755" s="591">
        <f t="shared" si="647"/>
        <v>0.2</v>
      </c>
      <c r="Q755" s="591">
        <f t="shared" si="647"/>
        <v>0.2</v>
      </c>
      <c r="R755" s="591">
        <f t="shared" si="647"/>
        <v>0.2</v>
      </c>
      <c r="S755" s="591">
        <f t="shared" si="647"/>
        <v>0.2</v>
      </c>
      <c r="T755" s="591">
        <f t="shared" si="647"/>
        <v>0.2</v>
      </c>
      <c r="U755" s="591">
        <f t="shared" si="647"/>
        <v>0.2</v>
      </c>
      <c r="V755" s="591">
        <f t="shared" si="647"/>
        <v>0.2</v>
      </c>
      <c r="W755" s="591">
        <f t="shared" si="647"/>
        <v>0.2</v>
      </c>
      <c r="X755" s="591">
        <f t="shared" si="647"/>
        <v>0.2</v>
      </c>
      <c r="Y755" s="591">
        <f t="shared" si="647"/>
        <v>0.2</v>
      </c>
      <c r="Z755" s="591">
        <f t="shared" si="647"/>
        <v>0.2</v>
      </c>
      <c r="AA755" s="591"/>
      <c r="AB755" s="591"/>
      <c r="AC755" s="591"/>
      <c r="AD755" s="591"/>
      <c r="AE755" s="591"/>
      <c r="AF755" s="591"/>
      <c r="AG755" s="591"/>
      <c r="AH755" s="591"/>
      <c r="AI755" s="591"/>
      <c r="AJ755" s="591"/>
    </row>
    <row r="756" spans="1:37" s="1" customFormat="1" x14ac:dyDescent="0.25">
      <c r="A756" s="1" t="s">
        <v>697</v>
      </c>
      <c r="H756" s="585" t="s">
        <v>491</v>
      </c>
      <c r="I756" s="586" t="str">
        <f t="shared" si="618"/>
        <v>tr. VND/tấn</v>
      </c>
      <c r="K756" s="585"/>
      <c r="L756" s="590">
        <f>(L754-L751)*(1-L755)</f>
        <v>2.6456462240894498</v>
      </c>
      <c r="M756" s="590">
        <f t="shared" ref="M756:AJ756" si="648">(M754-M751)*(1-M755)</f>
        <v>2.3425717666431809</v>
      </c>
      <c r="N756" s="590">
        <f t="shared" si="648"/>
        <v>2.1630547675067988</v>
      </c>
      <c r="O756" s="590">
        <f t="shared" si="648"/>
        <v>2.2043133282197971</v>
      </c>
      <c r="P756" s="590">
        <f t="shared" si="648"/>
        <v>2.2466431799710507</v>
      </c>
      <c r="Q756" s="590">
        <f t="shared" si="648"/>
        <v>2.2900722734968499</v>
      </c>
      <c r="R756" s="590">
        <f t="shared" si="648"/>
        <v>2.3346290401186933</v>
      </c>
      <c r="S756" s="590">
        <f t="shared" si="648"/>
        <v>2.380342369106228</v>
      </c>
      <c r="T756" s="590">
        <f t="shared" si="648"/>
        <v>2.4272415809921486</v>
      </c>
      <c r="U756" s="590">
        <f t="shared" si="648"/>
        <v>2.4753563964394232</v>
      </c>
      <c r="V756" s="590">
        <f t="shared" si="648"/>
        <v>2.5247169002277703</v>
      </c>
      <c r="W756" s="590">
        <f t="shared" si="648"/>
        <v>2.5753534998898715</v>
      </c>
      <c r="X756" s="590">
        <f t="shared" si="648"/>
        <v>2.4028711213420255</v>
      </c>
      <c r="Y756" s="590">
        <f t="shared" si="648"/>
        <v>2.4561521838395208</v>
      </c>
      <c r="Z756" s="590">
        <f t="shared" si="648"/>
        <v>2.5108019964579742</v>
      </c>
      <c r="AA756" s="590"/>
      <c r="AB756" s="590"/>
      <c r="AC756" s="590"/>
      <c r="AD756" s="590"/>
      <c r="AE756" s="590"/>
      <c r="AF756" s="590"/>
      <c r="AG756" s="590"/>
      <c r="AH756" s="590"/>
      <c r="AI756" s="590"/>
      <c r="AJ756" s="590"/>
    </row>
    <row r="757" spans="1:37" s="146" customFormat="1" x14ac:dyDescent="0.25">
      <c r="A757" s="146" t="s">
        <v>697</v>
      </c>
      <c r="H757" s="587" t="s">
        <v>492</v>
      </c>
      <c r="I757" s="588"/>
      <c r="K757" s="587"/>
      <c r="L757" s="592">
        <f>IFERROR(L756/L754,0)</f>
        <v>5.0000000000000037E-2</v>
      </c>
      <c r="M757" s="592">
        <f>IFERROR(M756/M754,0)</f>
        <v>4.9999999999999961E-2</v>
      </c>
      <c r="N757" s="592">
        <f t="shared" ref="N757:AJ757" si="649">IFERROR(N756/N754,0)</f>
        <v>4.9999999999999989E-2</v>
      </c>
      <c r="O757" s="592">
        <f t="shared" si="649"/>
        <v>5.0000000000000031E-2</v>
      </c>
      <c r="P757" s="592">
        <f t="shared" si="649"/>
        <v>5.0000000000000031E-2</v>
      </c>
      <c r="Q757" s="592">
        <f t="shared" si="649"/>
        <v>4.9999999999999996E-2</v>
      </c>
      <c r="R757" s="592">
        <f t="shared" si="649"/>
        <v>5.0000000000000044E-2</v>
      </c>
      <c r="S757" s="592">
        <f t="shared" si="649"/>
        <v>4.9999999999999975E-2</v>
      </c>
      <c r="T757" s="592">
        <f t="shared" si="649"/>
        <v>4.9999999999999961E-2</v>
      </c>
      <c r="U757" s="592">
        <f t="shared" si="649"/>
        <v>4.9999999999999954E-2</v>
      </c>
      <c r="V757" s="592">
        <f t="shared" si="649"/>
        <v>5.0000000000000037E-2</v>
      </c>
      <c r="W757" s="592">
        <f t="shared" si="649"/>
        <v>4.9999999999999975E-2</v>
      </c>
      <c r="X757" s="592">
        <f t="shared" si="649"/>
        <v>5.000000000000001E-2</v>
      </c>
      <c r="Y757" s="592">
        <f t="shared" si="649"/>
        <v>4.999999999999994E-2</v>
      </c>
      <c r="Z757" s="592">
        <f t="shared" si="649"/>
        <v>4.9999999999999989E-2</v>
      </c>
      <c r="AA757" s="592"/>
      <c r="AB757" s="592"/>
      <c r="AC757" s="592"/>
      <c r="AD757" s="592"/>
      <c r="AE757" s="592"/>
      <c r="AF757" s="592"/>
      <c r="AG757" s="592"/>
      <c r="AH757" s="592"/>
      <c r="AI757" s="592"/>
      <c r="AJ757" s="592"/>
    </row>
    <row r="758" spans="1:37" x14ac:dyDescent="0.25">
      <c r="A758" t="s">
        <v>697</v>
      </c>
    </row>
    <row r="759" spans="1:37" s="24" customFormat="1" ht="17.25" x14ac:dyDescent="0.3">
      <c r="A759" s="24" t="s">
        <v>697</v>
      </c>
      <c r="H759" s="644" t="s">
        <v>476</v>
      </c>
      <c r="I759" s="644"/>
      <c r="K759" s="644"/>
      <c r="L759" s="644"/>
      <c r="M759" s="644"/>
      <c r="N759" s="644"/>
      <c r="O759" s="644"/>
      <c r="P759" s="644"/>
      <c r="Q759" s="644"/>
      <c r="R759" s="644"/>
      <c r="S759" s="644"/>
      <c r="T759" s="644"/>
      <c r="U759" s="644"/>
      <c r="V759" s="644"/>
      <c r="W759" s="644"/>
      <c r="X759" s="644"/>
      <c r="Y759" s="644"/>
      <c r="Z759" s="644"/>
      <c r="AA759" s="644"/>
      <c r="AB759" s="644"/>
      <c r="AC759" s="644"/>
      <c r="AD759" s="644"/>
      <c r="AE759" s="644"/>
      <c r="AF759" s="644"/>
      <c r="AG759" s="644"/>
      <c r="AH759" s="644"/>
      <c r="AI759" s="644"/>
      <c r="AJ759" s="644"/>
    </row>
    <row r="760" spans="1:37" s="1" customFormat="1" x14ac:dyDescent="0.25">
      <c r="A760" s="1" t="s">
        <v>697</v>
      </c>
      <c r="H760" s="287" t="s">
        <v>434</v>
      </c>
      <c r="I760" s="288" t="str">
        <f>IF($H$9="USD","USD/1.000 phôi","VND/phôi")</f>
        <v>VND/phôi</v>
      </c>
      <c r="K760" s="293">
        <f t="shared" ref="K760" si="650">SUM(K761:K762,K765:K768,)</f>
        <v>0</v>
      </c>
      <c r="L760" s="293">
        <f>SUM(L761:L762,L765:L768,)</f>
        <v>211.40799429686629</v>
      </c>
      <c r="M760" s="293">
        <f t="shared" ref="M760:AJ760" si="651">SUM(M761:M762,M765:M768,)</f>
        <v>151.00571021204738</v>
      </c>
      <c r="N760" s="293">
        <f t="shared" si="651"/>
        <v>107.88176344535992</v>
      </c>
      <c r="O760" s="293">
        <f t="shared" si="651"/>
        <v>110.16841805713301</v>
      </c>
      <c r="P760" s="293">
        <f t="shared" si="651"/>
        <v>112.5694053994948</v>
      </c>
      <c r="Q760" s="293">
        <f t="shared" si="651"/>
        <v>115.09044210897466</v>
      </c>
      <c r="R760" s="293">
        <f t="shared" si="651"/>
        <v>117.7375306539285</v>
      </c>
      <c r="S760" s="293">
        <f t="shared" si="651"/>
        <v>120.51697362613004</v>
      </c>
      <c r="T760" s="293">
        <f t="shared" si="651"/>
        <v>123.43538874694165</v>
      </c>
      <c r="U760" s="293">
        <f t="shared" si="651"/>
        <v>126.49972462379385</v>
      </c>
      <c r="V760" s="293">
        <f t="shared" si="651"/>
        <v>129.71727729448867</v>
      </c>
      <c r="W760" s="293">
        <f t="shared" si="651"/>
        <v>133.09570759871826</v>
      </c>
      <c r="X760" s="293">
        <f t="shared" si="651"/>
        <v>75.950997689743517</v>
      </c>
      <c r="Y760" s="293">
        <f t="shared" si="651"/>
        <v>79.675717100156589</v>
      </c>
      <c r="Z760" s="293">
        <f t="shared" si="651"/>
        <v>83.586672481090332</v>
      </c>
      <c r="AA760" s="293"/>
      <c r="AB760" s="293"/>
      <c r="AC760" s="293"/>
      <c r="AD760" s="293"/>
      <c r="AE760" s="293"/>
      <c r="AF760" s="293"/>
      <c r="AG760" s="293"/>
      <c r="AH760" s="293"/>
      <c r="AI760" s="293"/>
      <c r="AJ760" s="293"/>
    </row>
    <row r="761" spans="1:37" x14ac:dyDescent="0.25">
      <c r="A761" t="s">
        <v>697</v>
      </c>
      <c r="E761" t="s">
        <v>173</v>
      </c>
      <c r="H761" s="572" t="s">
        <v>190</v>
      </c>
      <c r="I761" s="573" t="str">
        <f t="shared" ref="I761:I768" si="652">IF($H$9="USD","USD/1.000 phôi","VND/phôi")</f>
        <v>VND/phôi</v>
      </c>
      <c r="K761" s="578"/>
      <c r="L761" s="579">
        <f t="shared" ref="L761:AJ761" si="653">-IF($H$9="USD",L691/L680/$H$10*10^3,L691/L680/$H$10)</f>
        <v>121.38412345683145</v>
      </c>
      <c r="M761" s="579">
        <f t="shared" si="653"/>
        <v>86.702945326308182</v>
      </c>
      <c r="N761" s="579">
        <f t="shared" si="653"/>
        <v>60.692061728415723</v>
      </c>
      <c r="O761" s="579">
        <f t="shared" si="653"/>
        <v>60.692061728415723</v>
      </c>
      <c r="P761" s="579">
        <f t="shared" si="653"/>
        <v>60.692061728415723</v>
      </c>
      <c r="Q761" s="579">
        <f t="shared" si="653"/>
        <v>60.692061728415723</v>
      </c>
      <c r="R761" s="579">
        <f t="shared" si="653"/>
        <v>60.692061728415723</v>
      </c>
      <c r="S761" s="579">
        <f t="shared" si="653"/>
        <v>60.692061728415723</v>
      </c>
      <c r="T761" s="579">
        <f t="shared" si="653"/>
        <v>60.692061728415723</v>
      </c>
      <c r="U761" s="579">
        <f t="shared" si="653"/>
        <v>60.692061728415723</v>
      </c>
      <c r="V761" s="579">
        <f t="shared" si="653"/>
        <v>60.692061728415723</v>
      </c>
      <c r="W761" s="579">
        <f t="shared" si="653"/>
        <v>60.692061728415723</v>
      </c>
      <c r="X761" s="579">
        <f t="shared" si="653"/>
        <v>0</v>
      </c>
      <c r="Y761" s="579">
        <f t="shared" si="653"/>
        <v>0</v>
      </c>
      <c r="Z761" s="579">
        <f t="shared" si="653"/>
        <v>0</v>
      </c>
      <c r="AA761" s="579"/>
      <c r="AB761" s="579"/>
      <c r="AC761" s="579"/>
      <c r="AD761" s="579"/>
      <c r="AE761" s="579"/>
      <c r="AF761" s="579"/>
      <c r="AG761" s="579"/>
      <c r="AH761" s="579"/>
      <c r="AI761" s="579"/>
      <c r="AJ761" s="579"/>
      <c r="AK761" t="s">
        <v>743</v>
      </c>
    </row>
    <row r="762" spans="1:37" x14ac:dyDescent="0.25">
      <c r="A762" t="s">
        <v>697</v>
      </c>
      <c r="H762" s="574" t="s">
        <v>429</v>
      </c>
      <c r="I762" s="575" t="str">
        <f t="shared" si="652"/>
        <v>VND/phôi</v>
      </c>
      <c r="K762" s="580">
        <f>SUM(K763:K764)</f>
        <v>0</v>
      </c>
      <c r="L762" s="580">
        <f t="shared" ref="L762:AJ762" si="654">SUM(L763:L764)</f>
        <v>29.115063862219181</v>
      </c>
      <c r="M762" s="580">
        <f t="shared" si="654"/>
        <v>20.79647418729942</v>
      </c>
      <c r="N762" s="580">
        <f t="shared" si="654"/>
        <v>15.285408527665071</v>
      </c>
      <c r="O762" s="580">
        <f t="shared" si="654"/>
        <v>16.049678954048325</v>
      </c>
      <c r="P762" s="580">
        <f t="shared" si="654"/>
        <v>16.852162901750745</v>
      </c>
      <c r="Q762" s="580">
        <f t="shared" si="654"/>
        <v>17.69477104683828</v>
      </c>
      <c r="R762" s="580">
        <f t="shared" si="654"/>
        <v>18.579509599180195</v>
      </c>
      <c r="S762" s="580">
        <f t="shared" si="654"/>
        <v>19.508485079139202</v>
      </c>
      <c r="T762" s="580">
        <f t="shared" si="654"/>
        <v>20.483909333096165</v>
      </c>
      <c r="U762" s="580">
        <f t="shared" si="654"/>
        <v>21.508104799750974</v>
      </c>
      <c r="V762" s="580">
        <f t="shared" si="654"/>
        <v>22.58351003973852</v>
      </c>
      <c r="W762" s="580">
        <f t="shared" si="654"/>
        <v>23.712685541725449</v>
      </c>
      <c r="X762" s="580">
        <f t="shared" si="654"/>
        <v>24.898319818811725</v>
      </c>
      <c r="Y762" s="580">
        <f t="shared" si="654"/>
        <v>26.143235809752301</v>
      </c>
      <c r="Z762" s="580">
        <f t="shared" si="654"/>
        <v>27.450397600239924</v>
      </c>
      <c r="AA762" s="580"/>
      <c r="AB762" s="580"/>
      <c r="AC762" s="580"/>
      <c r="AD762" s="580"/>
      <c r="AE762" s="580"/>
      <c r="AF762" s="580"/>
      <c r="AG762" s="580"/>
      <c r="AH762" s="580"/>
      <c r="AI762" s="580"/>
      <c r="AJ762" s="580"/>
    </row>
    <row r="763" spans="1:37" s="299" customFormat="1" x14ac:dyDescent="0.25">
      <c r="A763" s="299" t="s">
        <v>697</v>
      </c>
      <c r="E763" s="299" t="s">
        <v>171</v>
      </c>
      <c r="H763" s="576" t="s">
        <v>430</v>
      </c>
      <c r="I763" s="577" t="str">
        <f t="shared" si="652"/>
        <v>VND/phôi</v>
      </c>
      <c r="K763" s="581"/>
      <c r="L763" s="581">
        <f t="shared" ref="L763:AJ763" si="655">-IF($H$9="USD",L693/L680/$H$10*10^3,L693/L680/$H$10)</f>
        <v>4.7599559447769781</v>
      </c>
      <c r="M763" s="581">
        <f t="shared" si="655"/>
        <v>3.3999685319835566</v>
      </c>
      <c r="N763" s="581">
        <f t="shared" si="655"/>
        <v>2.4989768710079137</v>
      </c>
      <c r="O763" s="581">
        <f t="shared" si="655"/>
        <v>2.6239257145583097</v>
      </c>
      <c r="P763" s="581">
        <f t="shared" si="655"/>
        <v>2.7551220002862253</v>
      </c>
      <c r="Q763" s="581">
        <f t="shared" si="655"/>
        <v>2.8928781003005359</v>
      </c>
      <c r="R763" s="581">
        <f t="shared" si="655"/>
        <v>3.0375220053155632</v>
      </c>
      <c r="S763" s="581">
        <f t="shared" si="655"/>
        <v>3.1893981055813412</v>
      </c>
      <c r="T763" s="581">
        <f t="shared" si="655"/>
        <v>3.3488680108604085</v>
      </c>
      <c r="U763" s="581">
        <f t="shared" si="655"/>
        <v>3.5163114114034286</v>
      </c>
      <c r="V763" s="581">
        <f t="shared" si="655"/>
        <v>3.6921269819736002</v>
      </c>
      <c r="W763" s="581">
        <f t="shared" si="655"/>
        <v>3.8767333310722805</v>
      </c>
      <c r="X763" s="581">
        <f t="shared" si="655"/>
        <v>4.0705699976258947</v>
      </c>
      <c r="Y763" s="581">
        <f t="shared" si="655"/>
        <v>4.2740984975071887</v>
      </c>
      <c r="Z763" s="581">
        <f t="shared" si="655"/>
        <v>4.4878034223825489</v>
      </c>
      <c r="AA763" s="581"/>
      <c r="AB763" s="581"/>
      <c r="AC763" s="581"/>
      <c r="AD763" s="581"/>
      <c r="AE763" s="581"/>
      <c r="AF763" s="581"/>
      <c r="AG763" s="581"/>
      <c r="AH763" s="581"/>
      <c r="AI763" s="581"/>
      <c r="AJ763" s="581"/>
      <c r="AK763" s="299" t="s">
        <v>743</v>
      </c>
    </row>
    <row r="764" spans="1:37" s="299" customFormat="1" x14ac:dyDescent="0.25">
      <c r="A764" s="299" t="s">
        <v>697</v>
      </c>
      <c r="E764" s="299" t="s">
        <v>171</v>
      </c>
      <c r="H764" s="576" t="s">
        <v>431</v>
      </c>
      <c r="I764" s="577" t="str">
        <f t="shared" si="652"/>
        <v>VND/phôi</v>
      </c>
      <c r="K764" s="581"/>
      <c r="L764" s="581">
        <f t="shared" ref="L764:AJ764" si="656">-IF($H$9="USD",L694/L680/$H$10*10^3,L694/L680/$H$10)</f>
        <v>24.355107917442204</v>
      </c>
      <c r="M764" s="581">
        <f t="shared" si="656"/>
        <v>17.396505655315863</v>
      </c>
      <c r="N764" s="581">
        <f t="shared" si="656"/>
        <v>12.786431656657157</v>
      </c>
      <c r="O764" s="581">
        <f t="shared" si="656"/>
        <v>13.425753239490016</v>
      </c>
      <c r="P764" s="581">
        <f t="shared" si="656"/>
        <v>14.097040901464521</v>
      </c>
      <c r="Q764" s="581">
        <f t="shared" si="656"/>
        <v>14.801892946537743</v>
      </c>
      <c r="R764" s="581">
        <f t="shared" si="656"/>
        <v>15.541987593864631</v>
      </c>
      <c r="S764" s="581">
        <f t="shared" si="656"/>
        <v>16.319086973557862</v>
      </c>
      <c r="T764" s="581">
        <f t="shared" si="656"/>
        <v>17.135041322235757</v>
      </c>
      <c r="U764" s="581">
        <f t="shared" si="656"/>
        <v>17.991793388347546</v>
      </c>
      <c r="V764" s="581">
        <f t="shared" si="656"/>
        <v>18.891383057764919</v>
      </c>
      <c r="W764" s="581">
        <f t="shared" si="656"/>
        <v>19.835952210653168</v>
      </c>
      <c r="X764" s="581">
        <f t="shared" si="656"/>
        <v>20.827749821185829</v>
      </c>
      <c r="Y764" s="581">
        <f t="shared" si="656"/>
        <v>21.869137312245112</v>
      </c>
      <c r="Z764" s="581">
        <f t="shared" si="656"/>
        <v>22.962594177857376</v>
      </c>
      <c r="AA764" s="581"/>
      <c r="AB764" s="581"/>
      <c r="AC764" s="581"/>
      <c r="AD764" s="581"/>
      <c r="AE764" s="581"/>
      <c r="AF764" s="581"/>
      <c r="AG764" s="581"/>
      <c r="AH764" s="581"/>
      <c r="AI764" s="581"/>
      <c r="AJ764" s="581"/>
      <c r="AK764" s="299" t="s">
        <v>743</v>
      </c>
    </row>
    <row r="765" spans="1:37" x14ac:dyDescent="0.25">
      <c r="A765" t="s">
        <v>697</v>
      </c>
      <c r="E765" t="s">
        <v>172</v>
      </c>
      <c r="H765" s="574" t="s">
        <v>656</v>
      </c>
      <c r="I765" s="575" t="str">
        <f t="shared" si="652"/>
        <v>VND/phôi</v>
      </c>
      <c r="K765" s="580"/>
      <c r="L765" s="580">
        <f t="shared" ref="L765:AJ765" si="657">-IF($H$9="USD",L695/L680/$H$10*10^3,L695/L680/$H$10)</f>
        <v>11.623824040969422</v>
      </c>
      <c r="M765" s="580">
        <f t="shared" si="657"/>
        <v>8.3027314578353018</v>
      </c>
      <c r="N765" s="580">
        <f t="shared" si="657"/>
        <v>6.1025076215089467</v>
      </c>
      <c r="O765" s="580">
        <f t="shared" si="657"/>
        <v>6.4076330025843937</v>
      </c>
      <c r="P765" s="580">
        <f t="shared" si="657"/>
        <v>6.7280146527136147</v>
      </c>
      <c r="Q765" s="580">
        <f t="shared" si="657"/>
        <v>7.064415385349295</v>
      </c>
      <c r="R765" s="580">
        <f t="shared" si="657"/>
        <v>7.4176361546167602</v>
      </c>
      <c r="S765" s="580">
        <f t="shared" si="657"/>
        <v>7.7885179623475977</v>
      </c>
      <c r="T765" s="580">
        <f t="shared" si="657"/>
        <v>8.1779438604649783</v>
      </c>
      <c r="U765" s="580">
        <f t="shared" si="657"/>
        <v>8.5868410534882269</v>
      </c>
      <c r="V765" s="580">
        <f t="shared" si="657"/>
        <v>9.0161831061626376</v>
      </c>
      <c r="W765" s="580">
        <f t="shared" si="657"/>
        <v>9.4669922614707716</v>
      </c>
      <c r="X765" s="580">
        <f t="shared" si="657"/>
        <v>9.9403418745443091</v>
      </c>
      <c r="Y765" s="580">
        <f t="shared" si="657"/>
        <v>10.437358968271525</v>
      </c>
      <c r="Z765" s="580">
        <f t="shared" si="657"/>
        <v>10.959226916685102</v>
      </c>
      <c r="AA765" s="580"/>
      <c r="AB765" s="580"/>
      <c r="AC765" s="580"/>
      <c r="AD765" s="580"/>
      <c r="AE765" s="580"/>
      <c r="AF765" s="580"/>
      <c r="AG765" s="580"/>
      <c r="AH765" s="580"/>
      <c r="AI765" s="580"/>
      <c r="AJ765" s="580"/>
    </row>
    <row r="766" spans="1:37" x14ac:dyDescent="0.25">
      <c r="A766" t="s">
        <v>697</v>
      </c>
      <c r="E766" t="s">
        <v>172</v>
      </c>
      <c r="H766" s="574" t="s">
        <v>432</v>
      </c>
      <c r="I766" s="575" t="str">
        <f t="shared" si="652"/>
        <v>VND/phôi</v>
      </c>
      <c r="K766" s="580"/>
      <c r="L766" s="580">
        <f t="shared" ref="L766:AJ766" si="658">-IF($H$9="USD",L696/L680/$H$10*10^3,L696/L680/$H$10)</f>
        <v>43.698284444459318</v>
      </c>
      <c r="M766" s="580">
        <f t="shared" si="658"/>
        <v>31.213060317470944</v>
      </c>
      <c r="N766" s="580">
        <f t="shared" si="658"/>
        <v>22.941599333341141</v>
      </c>
      <c r="O766" s="580">
        <f t="shared" si="658"/>
        <v>24.088679300008199</v>
      </c>
      <c r="P766" s="580">
        <f t="shared" si="658"/>
        <v>25.293113265008611</v>
      </c>
      <c r="Q766" s="580">
        <f t="shared" si="658"/>
        <v>26.557768928259037</v>
      </c>
      <c r="R766" s="580">
        <f t="shared" si="658"/>
        <v>27.88565737467199</v>
      </c>
      <c r="S766" s="580">
        <f t="shared" si="658"/>
        <v>29.279940243405587</v>
      </c>
      <c r="T766" s="580">
        <f t="shared" si="658"/>
        <v>30.743937255575872</v>
      </c>
      <c r="U766" s="580">
        <f t="shared" si="658"/>
        <v>32.281134118354665</v>
      </c>
      <c r="V766" s="580">
        <f t="shared" si="658"/>
        <v>33.895190824272397</v>
      </c>
      <c r="W766" s="580">
        <f t="shared" si="658"/>
        <v>35.589950365486018</v>
      </c>
      <c r="X766" s="580">
        <f t="shared" si="658"/>
        <v>37.369447883760323</v>
      </c>
      <c r="Y766" s="580">
        <f t="shared" si="658"/>
        <v>39.237920277948334</v>
      </c>
      <c r="Z766" s="580">
        <f t="shared" si="658"/>
        <v>41.199816291845757</v>
      </c>
      <c r="AA766" s="580"/>
      <c r="AB766" s="580"/>
      <c r="AC766" s="580"/>
      <c r="AD766" s="580"/>
      <c r="AE766" s="580"/>
      <c r="AF766" s="580"/>
      <c r="AG766" s="580"/>
      <c r="AH766" s="580"/>
      <c r="AI766" s="580"/>
      <c r="AJ766" s="580"/>
    </row>
    <row r="767" spans="1:37" x14ac:dyDescent="0.25">
      <c r="A767" t="s">
        <v>697</v>
      </c>
      <c r="E767" t="s">
        <v>172</v>
      </c>
      <c r="H767" s="574" t="s">
        <v>433</v>
      </c>
      <c r="I767" s="575" t="str">
        <f t="shared" si="652"/>
        <v>VND/phôi</v>
      </c>
      <c r="K767" s="580"/>
      <c r="L767" s="580">
        <f t="shared" ref="L767:AJ767" si="659">-IF($H$9="USD",L697/L680/$H$10*10^3,L697/L680/$H$10)</f>
        <v>2.6734795294229672</v>
      </c>
      <c r="M767" s="580">
        <f t="shared" si="659"/>
        <v>1.9096282353021197</v>
      </c>
      <c r="N767" s="580">
        <f t="shared" si="659"/>
        <v>1.4035767529470577</v>
      </c>
      <c r="O767" s="580">
        <f t="shared" si="659"/>
        <v>1.4737555905944109</v>
      </c>
      <c r="P767" s="580">
        <f t="shared" si="659"/>
        <v>1.5474433701241312</v>
      </c>
      <c r="Q767" s="580">
        <f t="shared" si="659"/>
        <v>1.624815538630338</v>
      </c>
      <c r="R767" s="580">
        <f t="shared" si="659"/>
        <v>1.7060563155618549</v>
      </c>
      <c r="S767" s="580">
        <f t="shared" si="659"/>
        <v>1.7913591313399475</v>
      </c>
      <c r="T767" s="580">
        <f t="shared" si="659"/>
        <v>1.8809270879069451</v>
      </c>
      <c r="U767" s="580">
        <f t="shared" si="659"/>
        <v>1.9749734423022924</v>
      </c>
      <c r="V767" s="580">
        <f t="shared" si="659"/>
        <v>2.0737221144174067</v>
      </c>
      <c r="W767" s="580">
        <f t="shared" si="659"/>
        <v>2.1774082201382772</v>
      </c>
      <c r="X767" s="580">
        <f t="shared" si="659"/>
        <v>2.2862786311451915</v>
      </c>
      <c r="Y767" s="580">
        <f t="shared" si="659"/>
        <v>2.4005925627024505</v>
      </c>
      <c r="Z767" s="580">
        <f t="shared" si="659"/>
        <v>2.5206221908375732</v>
      </c>
      <c r="AA767" s="580"/>
      <c r="AB767" s="580"/>
      <c r="AC767" s="580"/>
      <c r="AD767" s="580"/>
      <c r="AE767" s="580"/>
      <c r="AF767" s="580"/>
      <c r="AG767" s="580"/>
      <c r="AH767" s="580"/>
      <c r="AI767" s="580"/>
      <c r="AJ767" s="580"/>
    </row>
    <row r="768" spans="1:37" x14ac:dyDescent="0.25">
      <c r="A768" t="s">
        <v>697</v>
      </c>
      <c r="E768" t="s">
        <v>172</v>
      </c>
      <c r="H768" s="574" t="s">
        <v>520</v>
      </c>
      <c r="I768" s="575" t="str">
        <f t="shared" si="652"/>
        <v>VND/phôi</v>
      </c>
      <c r="K768" s="580"/>
      <c r="L768" s="580">
        <f t="shared" ref="L768:AJ768" si="660">-IF($H$9="USD",L698/L680/$H$10*10^3,L698/L680/$H$10)</f>
        <v>2.9132189629639549</v>
      </c>
      <c r="M768" s="580">
        <f t="shared" si="660"/>
        <v>2.0808706878313963</v>
      </c>
      <c r="N768" s="580">
        <f t="shared" si="660"/>
        <v>1.4566094814819774</v>
      </c>
      <c r="O768" s="580">
        <f t="shared" si="660"/>
        <v>1.4566094814819774</v>
      </c>
      <c r="P768" s="580">
        <f t="shared" si="660"/>
        <v>1.4566094814819774</v>
      </c>
      <c r="Q768" s="580">
        <f t="shared" si="660"/>
        <v>1.4566094814819774</v>
      </c>
      <c r="R768" s="580">
        <f t="shared" si="660"/>
        <v>1.4566094814819774</v>
      </c>
      <c r="S768" s="580">
        <f t="shared" si="660"/>
        <v>1.4566094814819774</v>
      </c>
      <c r="T768" s="580">
        <f t="shared" si="660"/>
        <v>1.4566094814819774</v>
      </c>
      <c r="U768" s="580">
        <f t="shared" si="660"/>
        <v>1.4566094814819774</v>
      </c>
      <c r="V768" s="580">
        <f t="shared" si="660"/>
        <v>1.4566094814819774</v>
      </c>
      <c r="W768" s="580">
        <f t="shared" si="660"/>
        <v>1.4566094814819774</v>
      </c>
      <c r="X768" s="580">
        <f t="shared" si="660"/>
        <v>1.4566094814819774</v>
      </c>
      <c r="Y768" s="580">
        <f t="shared" si="660"/>
        <v>1.4566094814819774</v>
      </c>
      <c r="Z768" s="580">
        <f t="shared" si="660"/>
        <v>1.4566094814819774</v>
      </c>
      <c r="AA768" s="580"/>
      <c r="AB768" s="580"/>
      <c r="AC768" s="580"/>
      <c r="AD768" s="580"/>
      <c r="AE768" s="580"/>
      <c r="AF768" s="580"/>
      <c r="AG768" s="580"/>
      <c r="AH768" s="580"/>
      <c r="AI768" s="580"/>
      <c r="AJ768" s="580"/>
    </row>
    <row r="769" spans="1:36" x14ac:dyDescent="0.25">
      <c r="A769" t="s">
        <v>697</v>
      </c>
      <c r="H769" s="289"/>
      <c r="I769" s="290"/>
      <c r="K769" s="294"/>
      <c r="L769" s="294"/>
      <c r="M769" s="294"/>
      <c r="N769" s="294"/>
      <c r="O769" s="294"/>
      <c r="P769" s="294"/>
      <c r="Q769" s="294"/>
      <c r="R769" s="294"/>
      <c r="S769" s="294"/>
      <c r="T769" s="294"/>
      <c r="U769" s="294"/>
      <c r="V769" s="294"/>
      <c r="W769" s="294"/>
      <c r="X769" s="294"/>
      <c r="Y769" s="294"/>
      <c r="Z769" s="294"/>
      <c r="AA769" s="294"/>
      <c r="AB769" s="294"/>
      <c r="AC769" s="294"/>
      <c r="AD769" s="294"/>
      <c r="AE769" s="294"/>
      <c r="AF769" s="294"/>
      <c r="AG769" s="294"/>
      <c r="AH769" s="294"/>
      <c r="AI769" s="294"/>
      <c r="AJ769" s="294"/>
    </row>
    <row r="770" spans="1:36" s="1" customFormat="1" x14ac:dyDescent="0.25">
      <c r="A770" s="1" t="s">
        <v>697</v>
      </c>
      <c r="H770" s="287" t="s">
        <v>435</v>
      </c>
      <c r="I770" s="288" t="str">
        <f t="shared" ref="I770:I794" si="661">IF($H$9="USD","USD/1.000 phôi","VND/phôi")</f>
        <v>VND/phôi</v>
      </c>
      <c r="K770" s="295">
        <f>K771+K774+K777</f>
        <v>0</v>
      </c>
      <c r="L770" s="295">
        <f t="shared" ref="L770:AJ770" si="662">L771+L774+L777</f>
        <v>447.97280830234058</v>
      </c>
      <c r="M770" s="295">
        <f t="shared" si="662"/>
        <v>445.55671693894794</v>
      </c>
      <c r="N770" s="295">
        <f t="shared" si="662"/>
        <v>453.73016413996498</v>
      </c>
      <c r="O770" s="295">
        <f t="shared" si="662"/>
        <v>463.97340726260791</v>
      </c>
      <c r="P770" s="295">
        <f t="shared" si="662"/>
        <v>474.48243318654426</v>
      </c>
      <c r="Q770" s="295">
        <f t="shared" si="662"/>
        <v>485.26560346474207</v>
      </c>
      <c r="R770" s="295">
        <f t="shared" si="662"/>
        <v>496.33159917607549</v>
      </c>
      <c r="S770" s="295">
        <f t="shared" si="662"/>
        <v>507.68943493058595</v>
      </c>
      <c r="T770" s="295">
        <f t="shared" si="662"/>
        <v>519.34847353558439</v>
      </c>
      <c r="U770" s="295">
        <f t="shared" si="662"/>
        <v>531.31844135485039</v>
      </c>
      <c r="V770" s="295">
        <f t="shared" si="662"/>
        <v>543.60944439477828</v>
      </c>
      <c r="W770" s="295">
        <f t="shared" si="662"/>
        <v>556.2319851529943</v>
      </c>
      <c r="X770" s="295">
        <f t="shared" si="662"/>
        <v>566.76929779760246</v>
      </c>
      <c r="Y770" s="295">
        <f t="shared" si="662"/>
        <v>580.08809653100502</v>
      </c>
      <c r="Z770" s="295">
        <f t="shared" si="662"/>
        <v>593.77250014232709</v>
      </c>
      <c r="AA770" s="295"/>
      <c r="AB770" s="295"/>
      <c r="AC770" s="295"/>
      <c r="AD770" s="295"/>
      <c r="AE770" s="295"/>
      <c r="AF770" s="295"/>
      <c r="AG770" s="295"/>
      <c r="AH770" s="295"/>
      <c r="AI770" s="295"/>
      <c r="AJ770" s="295"/>
    </row>
    <row r="771" spans="1:36" x14ac:dyDescent="0.25">
      <c r="A771" t="s">
        <v>697</v>
      </c>
      <c r="H771" s="572" t="s">
        <v>454</v>
      </c>
      <c r="I771" s="573" t="str">
        <f t="shared" si="661"/>
        <v>VND/phôi</v>
      </c>
      <c r="K771" s="582">
        <f>SUM(K772:K773)</f>
        <v>0</v>
      </c>
      <c r="L771" s="582">
        <f t="shared" ref="L771:AJ771" si="663">SUM(L772:L773)</f>
        <v>402.58064516129031</v>
      </c>
      <c r="M771" s="582">
        <f t="shared" si="663"/>
        <v>402.58064516129042</v>
      </c>
      <c r="N771" s="582">
        <f t="shared" si="663"/>
        <v>410.63225806451618</v>
      </c>
      <c r="O771" s="582">
        <f t="shared" si="663"/>
        <v>418.84490322580649</v>
      </c>
      <c r="P771" s="582">
        <f t="shared" si="663"/>
        <v>427.22180129032256</v>
      </c>
      <c r="Q771" s="582">
        <f t="shared" si="663"/>
        <v>435.76623731612904</v>
      </c>
      <c r="R771" s="582">
        <f t="shared" si="663"/>
        <v>444.48156206245164</v>
      </c>
      <c r="S771" s="582">
        <f t="shared" si="663"/>
        <v>453.37119330370069</v>
      </c>
      <c r="T771" s="582">
        <f t="shared" si="663"/>
        <v>462.4386171697746</v>
      </c>
      <c r="U771" s="582">
        <f t="shared" si="663"/>
        <v>471.68738951317005</v>
      </c>
      <c r="V771" s="582">
        <f t="shared" si="663"/>
        <v>481.12113730343356</v>
      </c>
      <c r="W771" s="582">
        <f t="shared" si="663"/>
        <v>490.74356004950221</v>
      </c>
      <c r="X771" s="582">
        <f t="shared" si="663"/>
        <v>500.55843125049216</v>
      </c>
      <c r="Y771" s="582">
        <f t="shared" si="663"/>
        <v>510.56959987550215</v>
      </c>
      <c r="Z771" s="582">
        <f t="shared" si="663"/>
        <v>520.78099187301211</v>
      </c>
      <c r="AA771" s="582"/>
      <c r="AB771" s="582"/>
      <c r="AC771" s="582"/>
      <c r="AD771" s="582"/>
      <c r="AE771" s="582"/>
      <c r="AF771" s="582"/>
      <c r="AG771" s="582"/>
      <c r="AH771" s="582"/>
      <c r="AI771" s="582"/>
      <c r="AJ771" s="582"/>
    </row>
    <row r="772" spans="1:36" s="299" customFormat="1" x14ac:dyDescent="0.25">
      <c r="A772" s="299" t="s">
        <v>697</v>
      </c>
      <c r="E772" s="299" t="s">
        <v>536</v>
      </c>
      <c r="H772" s="576" t="s">
        <v>167</v>
      </c>
      <c r="I772" s="577" t="str">
        <f t="shared" si="661"/>
        <v>VND/phôi</v>
      </c>
      <c r="K772" s="581"/>
      <c r="L772" s="581">
        <f>-IF($H$9="USD",L702/L680/$H$10*10^3,L702/L680/$H$10)</f>
        <v>374.4</v>
      </c>
      <c r="M772" s="581">
        <f t="shared" ref="M772:AJ772" si="664">-IF($H$9="USD",M702/M680/$H$10*10^3,M702/M680/$H$10)</f>
        <v>374.40000000000003</v>
      </c>
      <c r="N772" s="581">
        <f t="shared" si="664"/>
        <v>381.88799999999998</v>
      </c>
      <c r="O772" s="581">
        <f t="shared" si="664"/>
        <v>389.52575999999999</v>
      </c>
      <c r="P772" s="581">
        <f t="shared" si="664"/>
        <v>397.31627519999995</v>
      </c>
      <c r="Q772" s="581">
        <f t="shared" si="664"/>
        <v>405.26260070400002</v>
      </c>
      <c r="R772" s="581">
        <f t="shared" si="664"/>
        <v>413.36785271808003</v>
      </c>
      <c r="S772" s="581">
        <f t="shared" si="664"/>
        <v>421.63520977244161</v>
      </c>
      <c r="T772" s="581">
        <f t="shared" si="664"/>
        <v>430.06791396789032</v>
      </c>
      <c r="U772" s="581">
        <f t="shared" si="664"/>
        <v>438.66927224724816</v>
      </c>
      <c r="V772" s="581">
        <f t="shared" si="664"/>
        <v>447.44265769219317</v>
      </c>
      <c r="W772" s="581">
        <f t="shared" si="664"/>
        <v>456.39151084603702</v>
      </c>
      <c r="X772" s="581">
        <f t="shared" si="664"/>
        <v>465.51934106295772</v>
      </c>
      <c r="Y772" s="581">
        <f t="shared" si="664"/>
        <v>474.82972788421694</v>
      </c>
      <c r="Z772" s="581">
        <f t="shared" si="664"/>
        <v>484.32632244190125</v>
      </c>
      <c r="AA772" s="581"/>
      <c r="AB772" s="581"/>
      <c r="AC772" s="581"/>
      <c r="AD772" s="581"/>
      <c r="AE772" s="581"/>
      <c r="AF772" s="581"/>
      <c r="AG772" s="581"/>
      <c r="AH772" s="581"/>
      <c r="AI772" s="581"/>
      <c r="AJ772" s="581"/>
    </row>
    <row r="773" spans="1:36" s="299" customFormat="1" x14ac:dyDescent="0.25">
      <c r="A773" s="299" t="s">
        <v>697</v>
      </c>
      <c r="E773" s="299" t="s">
        <v>537</v>
      </c>
      <c r="H773" s="645" t="s">
        <v>203</v>
      </c>
      <c r="I773" s="646" t="str">
        <f t="shared" si="661"/>
        <v>VND/phôi</v>
      </c>
      <c r="K773" s="647"/>
      <c r="L773" s="647">
        <f>-IF($H$9="USD",L703/L680/$H$10*10^3,L703/L680/$H$10)</f>
        <v>28.180645161290336</v>
      </c>
      <c r="M773" s="647">
        <f t="shared" ref="M773:AJ773" si="665">-IF($H$9="USD",M703/M680/$H$10*10^3,M703/M680/$H$10)</f>
        <v>28.180645161290371</v>
      </c>
      <c r="N773" s="647">
        <f t="shared" si="665"/>
        <v>28.744258064516178</v>
      </c>
      <c r="O773" s="647">
        <f t="shared" si="665"/>
        <v>29.319143225806506</v>
      </c>
      <c r="P773" s="647">
        <f t="shared" si="665"/>
        <v>29.905526090322624</v>
      </c>
      <c r="Q773" s="647">
        <f t="shared" si="665"/>
        <v>30.503636612129036</v>
      </c>
      <c r="R773" s="647">
        <f t="shared" si="665"/>
        <v>31.113709344371639</v>
      </c>
      <c r="S773" s="647">
        <f t="shared" si="665"/>
        <v>31.735983531259077</v>
      </c>
      <c r="T773" s="647">
        <f t="shared" si="665"/>
        <v>32.370703201884282</v>
      </c>
      <c r="U773" s="647">
        <f t="shared" si="665"/>
        <v>33.018117265921916</v>
      </c>
      <c r="V773" s="647">
        <f t="shared" si="665"/>
        <v>33.678479611240391</v>
      </c>
      <c r="W773" s="647">
        <f t="shared" si="665"/>
        <v>34.352049203465171</v>
      </c>
      <c r="X773" s="647">
        <f t="shared" si="665"/>
        <v>35.039090187534455</v>
      </c>
      <c r="Y773" s="647">
        <f t="shared" si="665"/>
        <v>35.739871991285206</v>
      </c>
      <c r="Z773" s="647">
        <f t="shared" si="665"/>
        <v>36.454669431110879</v>
      </c>
      <c r="AA773" s="647"/>
      <c r="AB773" s="647"/>
      <c r="AC773" s="647"/>
      <c r="AD773" s="647"/>
      <c r="AE773" s="647"/>
      <c r="AF773" s="647"/>
      <c r="AG773" s="647"/>
      <c r="AH773" s="647"/>
      <c r="AI773" s="647"/>
      <c r="AJ773" s="647"/>
    </row>
    <row r="774" spans="1:36" x14ac:dyDescent="0.25">
      <c r="A774" t="s">
        <v>697</v>
      </c>
      <c r="E774" t="s">
        <v>177</v>
      </c>
      <c r="H774" s="574" t="s">
        <v>676</v>
      </c>
      <c r="I774" s="575" t="str">
        <f t="shared" si="661"/>
        <v>VND/phôi</v>
      </c>
      <c r="K774" s="583">
        <f>SUM(K775:K776)</f>
        <v>0</v>
      </c>
      <c r="L774" s="583">
        <f t="shared" ref="L774:AJ774" si="666">SUM(L775:L776)</f>
        <v>3.0630387096774192</v>
      </c>
      <c r="M774" s="583">
        <f t="shared" si="666"/>
        <v>3.0630387096774196</v>
      </c>
      <c r="N774" s="583">
        <f t="shared" si="666"/>
        <v>3.2161906451612912</v>
      </c>
      <c r="O774" s="583">
        <f t="shared" si="666"/>
        <v>3.377000177419355</v>
      </c>
      <c r="P774" s="583">
        <f t="shared" si="666"/>
        <v>3.5458501862903229</v>
      </c>
      <c r="Q774" s="583">
        <f t="shared" si="666"/>
        <v>3.7231426956048392</v>
      </c>
      <c r="R774" s="583">
        <f t="shared" si="666"/>
        <v>3.9092998303850814</v>
      </c>
      <c r="S774" s="583">
        <f t="shared" si="666"/>
        <v>4.1047648219043342</v>
      </c>
      <c r="T774" s="583">
        <f t="shared" si="666"/>
        <v>4.3100030629995523</v>
      </c>
      <c r="U774" s="583">
        <f t="shared" si="666"/>
        <v>4.525503216149529</v>
      </c>
      <c r="V774" s="583">
        <f t="shared" si="666"/>
        <v>4.7517783769570059</v>
      </c>
      <c r="W774" s="583">
        <f t="shared" si="666"/>
        <v>4.9893672958048558</v>
      </c>
      <c r="X774" s="583">
        <f t="shared" si="666"/>
        <v>5.2388356605950994</v>
      </c>
      <c r="Y774" s="583">
        <f t="shared" si="666"/>
        <v>5.5007774436248544</v>
      </c>
      <c r="Z774" s="583">
        <f t="shared" si="666"/>
        <v>5.7758163158060976</v>
      </c>
      <c r="AA774" s="583"/>
      <c r="AB774" s="583"/>
      <c r="AC774" s="583"/>
      <c r="AD774" s="583"/>
      <c r="AE774" s="583"/>
      <c r="AF774" s="583"/>
      <c r="AG774" s="583"/>
      <c r="AH774" s="583"/>
      <c r="AI774" s="583"/>
      <c r="AJ774" s="583"/>
    </row>
    <row r="775" spans="1:36" s="299" customFormat="1" x14ac:dyDescent="0.25">
      <c r="A775" s="299" t="s">
        <v>697</v>
      </c>
      <c r="H775" s="576" t="s">
        <v>673</v>
      </c>
      <c r="I775" s="577" t="str">
        <f t="shared" si="661"/>
        <v>VND/phôi</v>
      </c>
      <c r="K775" s="581"/>
      <c r="L775" s="581">
        <f>-IF($H$9="USD",L705/L680/$H$10*10^3,L705/L680/$H$10)</f>
        <v>3.0630387096774192</v>
      </c>
      <c r="M775" s="581">
        <f t="shared" ref="M775:AJ775" si="667">-IF($H$9="USD",M705/M680/$H$10*10^3,M705/M680/$H$10)</f>
        <v>3.0630387096774196</v>
      </c>
      <c r="N775" s="581">
        <f t="shared" si="667"/>
        <v>3.2161906451612912</v>
      </c>
      <c r="O775" s="581">
        <f t="shared" si="667"/>
        <v>3.377000177419355</v>
      </c>
      <c r="P775" s="581">
        <f t="shared" si="667"/>
        <v>3.5458501862903229</v>
      </c>
      <c r="Q775" s="581">
        <f t="shared" si="667"/>
        <v>3.7231426956048392</v>
      </c>
      <c r="R775" s="581">
        <f t="shared" si="667"/>
        <v>3.9092998303850814</v>
      </c>
      <c r="S775" s="581">
        <f t="shared" si="667"/>
        <v>4.1047648219043342</v>
      </c>
      <c r="T775" s="581">
        <f t="shared" si="667"/>
        <v>4.3100030629995523</v>
      </c>
      <c r="U775" s="581">
        <f t="shared" si="667"/>
        <v>4.525503216149529</v>
      </c>
      <c r="V775" s="581">
        <f t="shared" si="667"/>
        <v>4.7517783769570059</v>
      </c>
      <c r="W775" s="581">
        <f t="shared" si="667"/>
        <v>4.9893672958048558</v>
      </c>
      <c r="X775" s="581">
        <f t="shared" si="667"/>
        <v>5.2388356605950994</v>
      </c>
      <c r="Y775" s="581">
        <f t="shared" si="667"/>
        <v>5.5007774436248544</v>
      </c>
      <c r="Z775" s="581">
        <f t="shared" si="667"/>
        <v>5.7758163158060976</v>
      </c>
      <c r="AA775" s="581"/>
      <c r="AB775" s="581"/>
      <c r="AC775" s="581"/>
      <c r="AD775" s="581"/>
      <c r="AE775" s="581"/>
      <c r="AF775" s="581"/>
      <c r="AG775" s="581"/>
      <c r="AH775" s="581"/>
      <c r="AI775" s="581"/>
      <c r="AJ775" s="581"/>
    </row>
    <row r="776" spans="1:36" s="299" customFormat="1" x14ac:dyDescent="0.25">
      <c r="A776" s="299" t="s">
        <v>697</v>
      </c>
      <c r="H776" s="576" t="s">
        <v>674</v>
      </c>
      <c r="I776" s="577" t="str">
        <f t="shared" si="661"/>
        <v>VND/phôi</v>
      </c>
      <c r="K776" s="581"/>
      <c r="L776" s="581">
        <f>-IF($H$9="USD",L706/L680/$H$10*10^3,L706/L680/$H$10)</f>
        <v>0</v>
      </c>
      <c r="M776" s="581">
        <f t="shared" ref="M776:AJ776" si="668">-IF($H$9="USD",M706/M680/$H$10*10^3,M706/M680/$H$10)</f>
        <v>0</v>
      </c>
      <c r="N776" s="581">
        <f t="shared" si="668"/>
        <v>0</v>
      </c>
      <c r="O776" s="581">
        <f t="shared" si="668"/>
        <v>0</v>
      </c>
      <c r="P776" s="581">
        <f t="shared" si="668"/>
        <v>0</v>
      </c>
      <c r="Q776" s="581">
        <f t="shared" si="668"/>
        <v>0</v>
      </c>
      <c r="R776" s="581">
        <f t="shared" si="668"/>
        <v>0</v>
      </c>
      <c r="S776" s="581">
        <f t="shared" si="668"/>
        <v>0</v>
      </c>
      <c r="T776" s="581">
        <f t="shared" si="668"/>
        <v>0</v>
      </c>
      <c r="U776" s="581">
        <f t="shared" si="668"/>
        <v>0</v>
      </c>
      <c r="V776" s="581">
        <f t="shared" si="668"/>
        <v>0</v>
      </c>
      <c r="W776" s="581">
        <f t="shared" si="668"/>
        <v>0</v>
      </c>
      <c r="X776" s="581">
        <f t="shared" si="668"/>
        <v>0</v>
      </c>
      <c r="Y776" s="581">
        <f t="shared" si="668"/>
        <v>0</v>
      </c>
      <c r="Z776" s="581">
        <f t="shared" si="668"/>
        <v>0</v>
      </c>
      <c r="AA776" s="581"/>
      <c r="AB776" s="581"/>
      <c r="AC776" s="581"/>
      <c r="AD776" s="581"/>
      <c r="AE776" s="581"/>
      <c r="AF776" s="581"/>
      <c r="AG776" s="581"/>
      <c r="AH776" s="581"/>
      <c r="AI776" s="581"/>
      <c r="AJ776" s="581"/>
    </row>
    <row r="777" spans="1:36" x14ac:dyDescent="0.25">
      <c r="A777" t="s">
        <v>697</v>
      </c>
      <c r="H777" s="574" t="s">
        <v>180</v>
      </c>
      <c r="I777" s="575" t="str">
        <f t="shared" si="661"/>
        <v>VND/phôi</v>
      </c>
      <c r="K777" s="583">
        <f>SUM(K778:K780)</f>
        <v>0</v>
      </c>
      <c r="L777" s="583">
        <f>SUM(L778:L780)</f>
        <v>42.329124431372861</v>
      </c>
      <c r="M777" s="583">
        <f t="shared" ref="M777:AJ777" si="669">SUM(M778:M780)</f>
        <v>39.913033067980095</v>
      </c>
      <c r="N777" s="583">
        <f t="shared" si="669"/>
        <v>39.881715430287514</v>
      </c>
      <c r="O777" s="583">
        <f t="shared" si="669"/>
        <v>41.75150385938209</v>
      </c>
      <c r="P777" s="583">
        <f t="shared" si="669"/>
        <v>43.714781709931408</v>
      </c>
      <c r="Q777" s="583">
        <f t="shared" si="669"/>
        <v>45.776223453008171</v>
      </c>
      <c r="R777" s="583">
        <f t="shared" si="669"/>
        <v>47.940737283238796</v>
      </c>
      <c r="S777" s="583">
        <f t="shared" si="669"/>
        <v>50.213476804980935</v>
      </c>
      <c r="T777" s="583">
        <f t="shared" si="669"/>
        <v>52.599853302810196</v>
      </c>
      <c r="U777" s="583">
        <f t="shared" si="669"/>
        <v>55.105548625530901</v>
      </c>
      <c r="V777" s="583">
        <f t="shared" si="669"/>
        <v>57.736528714387653</v>
      </c>
      <c r="W777" s="583">
        <f t="shared" si="669"/>
        <v>60.499057807687244</v>
      </c>
      <c r="X777" s="583">
        <f t="shared" si="669"/>
        <v>60.972030886515178</v>
      </c>
      <c r="Y777" s="583">
        <f t="shared" si="669"/>
        <v>64.01771921187796</v>
      </c>
      <c r="Z777" s="583">
        <f t="shared" si="669"/>
        <v>67.215691953508923</v>
      </c>
      <c r="AA777" s="583"/>
      <c r="AB777" s="583"/>
      <c r="AC777" s="583"/>
      <c r="AD777" s="583"/>
      <c r="AE777" s="583"/>
      <c r="AF777" s="583"/>
      <c r="AG777" s="583"/>
      <c r="AH777" s="583"/>
      <c r="AI777" s="583"/>
      <c r="AJ777" s="583"/>
    </row>
    <row r="778" spans="1:36" s="299" customFormat="1" x14ac:dyDescent="0.25">
      <c r="A778" s="299" t="s">
        <v>697</v>
      </c>
      <c r="E778" s="299" t="s">
        <v>174</v>
      </c>
      <c r="H778" s="576" t="s">
        <v>73</v>
      </c>
      <c r="I778" s="577" t="str">
        <f t="shared" si="661"/>
        <v>VND/phôi</v>
      </c>
      <c r="K778" s="581"/>
      <c r="L778" s="581">
        <f t="shared" ref="L778:AJ778" si="670">-IF($H$9="USD",L708/L680/$H$10*10^3,L708/L680/$H$10)</f>
        <v>27.847782258064516</v>
      </c>
      <c r="M778" s="581">
        <f t="shared" si="670"/>
        <v>27.847782258064512</v>
      </c>
      <c r="N778" s="581">
        <f t="shared" si="670"/>
        <v>29.24017137096774</v>
      </c>
      <c r="O778" s="581">
        <f t="shared" si="670"/>
        <v>30.702179939516128</v>
      </c>
      <c r="P778" s="581">
        <f t="shared" si="670"/>
        <v>32.237288936491936</v>
      </c>
      <c r="Q778" s="581">
        <f t="shared" si="670"/>
        <v>33.849153383316526</v>
      </c>
      <c r="R778" s="581">
        <f t="shared" si="670"/>
        <v>35.541611052482359</v>
      </c>
      <c r="S778" s="581">
        <f t="shared" si="670"/>
        <v>37.318691605106473</v>
      </c>
      <c r="T778" s="581">
        <f t="shared" si="670"/>
        <v>39.1846261853618</v>
      </c>
      <c r="U778" s="581">
        <f t="shared" si="670"/>
        <v>41.143857494629891</v>
      </c>
      <c r="V778" s="581">
        <f t="shared" si="670"/>
        <v>43.201050369361383</v>
      </c>
      <c r="W778" s="581">
        <f t="shared" si="670"/>
        <v>45.36110288782946</v>
      </c>
      <c r="X778" s="581">
        <f t="shared" si="670"/>
        <v>47.629158032220928</v>
      </c>
      <c r="Y778" s="581">
        <f t="shared" si="670"/>
        <v>50.010615933831971</v>
      </c>
      <c r="Z778" s="581">
        <f t="shared" si="670"/>
        <v>52.511146730523578</v>
      </c>
      <c r="AA778" s="581"/>
      <c r="AB778" s="581"/>
      <c r="AC778" s="581"/>
      <c r="AD778" s="581"/>
      <c r="AE778" s="581"/>
      <c r="AF778" s="581"/>
      <c r="AG778" s="581"/>
      <c r="AH778" s="581"/>
      <c r="AI778" s="581"/>
      <c r="AJ778" s="581"/>
    </row>
    <row r="779" spans="1:36" s="299" customFormat="1" x14ac:dyDescent="0.25">
      <c r="A779" s="299" t="s">
        <v>697</v>
      </c>
      <c r="E779" s="299" t="s">
        <v>306</v>
      </c>
      <c r="H779" s="576" t="s">
        <v>192</v>
      </c>
      <c r="I779" s="577" t="str">
        <f t="shared" si="661"/>
        <v>VND/phôi</v>
      </c>
      <c r="K779" s="581"/>
      <c r="L779" s="581">
        <f t="shared" ref="L779:AJ779" si="671">-IF($H$9="USD",L709/L680/$H$10*10^3,L709/L680/$H$10)</f>
        <v>4.7222222222222214</v>
      </c>
      <c r="M779" s="581">
        <f t="shared" si="671"/>
        <v>4.7222222222222214</v>
      </c>
      <c r="N779" s="581">
        <f t="shared" si="671"/>
        <v>4.958333333333333</v>
      </c>
      <c r="O779" s="581">
        <f t="shared" si="671"/>
        <v>5.2062499999999998</v>
      </c>
      <c r="P779" s="581">
        <f t="shared" si="671"/>
        <v>5.4665624999999993</v>
      </c>
      <c r="Q779" s="581">
        <f t="shared" si="671"/>
        <v>5.7398906249999992</v>
      </c>
      <c r="R779" s="581">
        <f t="shared" si="671"/>
        <v>6.0268851562500005</v>
      </c>
      <c r="S779" s="581">
        <f t="shared" si="671"/>
        <v>6.3282294140624984</v>
      </c>
      <c r="T779" s="581">
        <f t="shared" si="671"/>
        <v>6.6446408847656251</v>
      </c>
      <c r="U779" s="581">
        <f t="shared" si="671"/>
        <v>6.976872929003906</v>
      </c>
      <c r="V779" s="581">
        <f t="shared" si="671"/>
        <v>7.3257165754541012</v>
      </c>
      <c r="W779" s="581">
        <f t="shared" si="671"/>
        <v>7.6920024042268071</v>
      </c>
      <c r="X779" s="581">
        <f t="shared" si="671"/>
        <v>8.0766025244381474</v>
      </c>
      <c r="Y779" s="581">
        <f t="shared" si="671"/>
        <v>8.4804326506600525</v>
      </c>
      <c r="Z779" s="581">
        <f t="shared" si="671"/>
        <v>8.9044542831930595</v>
      </c>
      <c r="AA779" s="581"/>
      <c r="AB779" s="581"/>
      <c r="AC779" s="581"/>
      <c r="AD779" s="581"/>
      <c r="AE779" s="581"/>
      <c r="AF779" s="581"/>
      <c r="AG779" s="581"/>
      <c r="AH779" s="581"/>
      <c r="AI779" s="581"/>
      <c r="AJ779" s="581"/>
    </row>
    <row r="780" spans="1:36" s="299" customFormat="1" x14ac:dyDescent="0.25">
      <c r="A780" s="299" t="s">
        <v>697</v>
      </c>
      <c r="E780" s="299" t="s">
        <v>172</v>
      </c>
      <c r="H780" s="576" t="s">
        <v>175</v>
      </c>
      <c r="I780" s="577" t="str">
        <f t="shared" si="661"/>
        <v>VND/phôi</v>
      </c>
      <c r="K780" s="581"/>
      <c r="L780" s="581">
        <f t="shared" ref="L780:AJ780" si="672">-IF($H$9="USD",L710/L680/$H$10*10^3,L710/L680/$H$10)</f>
        <v>9.7591199510861202</v>
      </c>
      <c r="M780" s="581">
        <f t="shared" si="672"/>
        <v>7.3430285876933645</v>
      </c>
      <c r="N780" s="581">
        <f t="shared" si="672"/>
        <v>5.6832107259864406</v>
      </c>
      <c r="O780" s="581">
        <f t="shared" si="672"/>
        <v>5.8430739198659678</v>
      </c>
      <c r="P780" s="581">
        <f t="shared" si="672"/>
        <v>6.0109302734394703</v>
      </c>
      <c r="Q780" s="581">
        <f t="shared" si="672"/>
        <v>6.1871794446916475</v>
      </c>
      <c r="R780" s="581">
        <f t="shared" si="672"/>
        <v>6.3722410745064346</v>
      </c>
      <c r="S780" s="581">
        <f t="shared" si="672"/>
        <v>6.5665557858119614</v>
      </c>
      <c r="T780" s="581">
        <f t="shared" si="672"/>
        <v>6.7705862326827644</v>
      </c>
      <c r="U780" s="581">
        <f t="shared" si="672"/>
        <v>6.9848182018971068</v>
      </c>
      <c r="V780" s="581">
        <f t="shared" si="672"/>
        <v>7.2097617695721654</v>
      </c>
      <c r="W780" s="581">
        <f t="shared" si="672"/>
        <v>7.4459525156309789</v>
      </c>
      <c r="X780" s="581">
        <f t="shared" si="672"/>
        <v>5.2662703298561038</v>
      </c>
      <c r="Y780" s="581">
        <f t="shared" si="672"/>
        <v>5.5266706273859452</v>
      </c>
      <c r="Z780" s="581">
        <f t="shared" si="672"/>
        <v>5.8000909397922804</v>
      </c>
      <c r="AA780" s="581"/>
      <c r="AB780" s="581"/>
      <c r="AC780" s="581"/>
      <c r="AD780" s="581"/>
      <c r="AE780" s="581"/>
      <c r="AF780" s="581"/>
      <c r="AG780" s="581"/>
      <c r="AH780" s="581"/>
      <c r="AI780" s="581"/>
      <c r="AJ780" s="581"/>
    </row>
    <row r="781" spans="1:36" x14ac:dyDescent="0.25">
      <c r="A781" t="s">
        <v>697</v>
      </c>
      <c r="H781" s="289"/>
      <c r="I781" s="290"/>
      <c r="K781" s="296"/>
      <c r="L781" s="297"/>
      <c r="M781" s="296"/>
      <c r="N781" s="296"/>
      <c r="O781" s="296"/>
      <c r="P781" s="296"/>
      <c r="Q781" s="296"/>
      <c r="R781" s="296"/>
      <c r="S781" s="296"/>
      <c r="T781" s="296"/>
      <c r="U781" s="296"/>
      <c r="V781" s="296"/>
      <c r="W781" s="296"/>
      <c r="X781" s="296"/>
      <c r="Y781" s="296"/>
      <c r="Z781" s="296"/>
      <c r="AA781" s="296"/>
      <c r="AB781" s="296"/>
      <c r="AC781" s="296"/>
      <c r="AD781" s="296"/>
      <c r="AE781" s="296"/>
      <c r="AF781" s="296"/>
      <c r="AG781" s="296"/>
      <c r="AH781" s="296"/>
      <c r="AI781" s="296"/>
      <c r="AJ781" s="296"/>
    </row>
    <row r="782" spans="1:36" s="16" customFormat="1" x14ac:dyDescent="0.25">
      <c r="A782" s="16" t="s">
        <v>697</v>
      </c>
      <c r="H782" s="291" t="s">
        <v>464</v>
      </c>
      <c r="I782" s="292" t="str">
        <f t="shared" si="661"/>
        <v>VND/phôi</v>
      </c>
      <c r="K782" s="298">
        <f>K760+K770</f>
        <v>0</v>
      </c>
      <c r="L782" s="298">
        <f t="shared" ref="L782:AJ782" si="673">L760+L770</f>
        <v>659.38080259920685</v>
      </c>
      <c r="M782" s="298">
        <f t="shared" si="673"/>
        <v>596.56242715099529</v>
      </c>
      <c r="N782" s="298">
        <f t="shared" si="673"/>
        <v>561.61192758532491</v>
      </c>
      <c r="O782" s="298">
        <f t="shared" si="673"/>
        <v>574.14182531974097</v>
      </c>
      <c r="P782" s="298">
        <f t="shared" si="673"/>
        <v>587.05183858603903</v>
      </c>
      <c r="Q782" s="298">
        <f t="shared" si="673"/>
        <v>600.35604557371676</v>
      </c>
      <c r="R782" s="298">
        <f t="shared" si="673"/>
        <v>614.06912983000393</v>
      </c>
      <c r="S782" s="298">
        <f t="shared" si="673"/>
        <v>628.20640855671604</v>
      </c>
      <c r="T782" s="298">
        <f t="shared" si="673"/>
        <v>642.783862282526</v>
      </c>
      <c r="U782" s="298">
        <f t="shared" si="673"/>
        <v>657.81816597864429</v>
      </c>
      <c r="V782" s="298">
        <f t="shared" si="673"/>
        <v>673.32672168926695</v>
      </c>
      <c r="W782" s="298">
        <f t="shared" si="673"/>
        <v>689.32769275171256</v>
      </c>
      <c r="X782" s="298">
        <f t="shared" si="673"/>
        <v>642.72029548734599</v>
      </c>
      <c r="Y782" s="298">
        <f t="shared" si="673"/>
        <v>659.76381363116161</v>
      </c>
      <c r="Z782" s="298">
        <f t="shared" si="673"/>
        <v>677.35917262341741</v>
      </c>
      <c r="AA782" s="298"/>
      <c r="AB782" s="298"/>
      <c r="AC782" s="298"/>
      <c r="AD782" s="298"/>
      <c r="AE782" s="298"/>
      <c r="AF782" s="298"/>
      <c r="AG782" s="298"/>
      <c r="AH782" s="298"/>
      <c r="AI782" s="298"/>
      <c r="AJ782" s="298"/>
    </row>
    <row r="783" spans="1:36" x14ac:dyDescent="0.25">
      <c r="A783" t="s">
        <v>697</v>
      </c>
      <c r="H783" s="289"/>
      <c r="I783" s="290"/>
      <c r="K783" s="296"/>
      <c r="L783" s="296"/>
      <c r="M783" s="296"/>
      <c r="N783" s="296"/>
      <c r="O783" s="296"/>
      <c r="P783" s="296"/>
      <c r="Q783" s="296"/>
      <c r="R783" s="296"/>
      <c r="S783" s="296"/>
      <c r="T783" s="296"/>
      <c r="U783" s="296"/>
      <c r="V783" s="296"/>
      <c r="W783" s="296"/>
      <c r="X783" s="296"/>
      <c r="Y783" s="296"/>
      <c r="Z783" s="296"/>
      <c r="AA783" s="296"/>
      <c r="AB783" s="296"/>
      <c r="AC783" s="296"/>
      <c r="AD783" s="296"/>
      <c r="AE783" s="296"/>
      <c r="AF783" s="296"/>
      <c r="AG783" s="296"/>
      <c r="AH783" s="296"/>
      <c r="AI783" s="296"/>
      <c r="AJ783" s="296"/>
    </row>
    <row r="784" spans="1:36" x14ac:dyDescent="0.25">
      <c r="A784" t="s">
        <v>697</v>
      </c>
      <c r="E784" t="s">
        <v>172</v>
      </c>
      <c r="H784" s="593" t="s">
        <v>166</v>
      </c>
      <c r="I784" s="594" t="str">
        <f t="shared" si="661"/>
        <v>VND/phôi</v>
      </c>
      <c r="K784" s="604"/>
      <c r="L784" s="604">
        <f>-IF($H$9="USD",L714/L680/$H$10*10^3,L714/L680/$H$10)</f>
        <v>13.333333333333334</v>
      </c>
      <c r="M784" s="604">
        <f t="shared" ref="M784:AJ784" si="674">-IF($H$9="USD",M714/M680/$H$10*10^3,M714/M680/$H$10)</f>
        <v>13.333333333333332</v>
      </c>
      <c r="N784" s="604">
        <f t="shared" si="674"/>
        <v>13.999999999999998</v>
      </c>
      <c r="O784" s="604">
        <f t="shared" si="674"/>
        <v>14.700000000000001</v>
      </c>
      <c r="P784" s="604">
        <f t="shared" si="674"/>
        <v>15.435</v>
      </c>
      <c r="Q784" s="604">
        <f t="shared" si="674"/>
        <v>16.20675</v>
      </c>
      <c r="R784" s="604">
        <f t="shared" si="674"/>
        <v>17.017087500000002</v>
      </c>
      <c r="S784" s="604">
        <f t="shared" si="674"/>
        <v>17.867941875</v>
      </c>
      <c r="T784" s="604">
        <f t="shared" si="674"/>
        <v>18.761338968750003</v>
      </c>
      <c r="U784" s="604">
        <f t="shared" si="674"/>
        <v>19.699405917187502</v>
      </c>
      <c r="V784" s="604">
        <f t="shared" si="674"/>
        <v>20.684376213046878</v>
      </c>
      <c r="W784" s="604">
        <f t="shared" si="674"/>
        <v>21.718595023699219</v>
      </c>
      <c r="X784" s="604">
        <f t="shared" si="674"/>
        <v>22.804524774884179</v>
      </c>
      <c r="Y784" s="604">
        <f t="shared" si="674"/>
        <v>23.944751013628391</v>
      </c>
      <c r="Z784" s="604">
        <f t="shared" si="674"/>
        <v>25.141988564309816</v>
      </c>
      <c r="AA784" s="604"/>
      <c r="AB784" s="604"/>
      <c r="AC784" s="604"/>
      <c r="AD784" s="604"/>
      <c r="AE784" s="604"/>
      <c r="AF784" s="604"/>
      <c r="AG784" s="604"/>
      <c r="AH784" s="604"/>
      <c r="AI784" s="604"/>
      <c r="AJ784" s="604"/>
    </row>
    <row r="785" spans="1:36" x14ac:dyDescent="0.25">
      <c r="A785" t="s">
        <v>697</v>
      </c>
      <c r="E785" t="s">
        <v>171</v>
      </c>
      <c r="H785" s="574" t="s">
        <v>469</v>
      </c>
      <c r="I785" s="575" t="str">
        <f t="shared" si="661"/>
        <v>VND/phôi</v>
      </c>
      <c r="K785" s="584"/>
      <c r="L785" s="584">
        <f t="shared" ref="L785:AJ785" si="675">-IF($H$9="USD",L715/L680/$H$10*10^3,L715/L680/$H$10)</f>
        <v>0</v>
      </c>
      <c r="M785" s="584">
        <f t="shared" si="675"/>
        <v>0</v>
      </c>
      <c r="N785" s="584">
        <f t="shared" si="675"/>
        <v>0</v>
      </c>
      <c r="O785" s="584">
        <f t="shared" si="675"/>
        <v>0</v>
      </c>
      <c r="P785" s="584">
        <f t="shared" si="675"/>
        <v>0</v>
      </c>
      <c r="Q785" s="584">
        <f t="shared" si="675"/>
        <v>0</v>
      </c>
      <c r="R785" s="584">
        <f t="shared" si="675"/>
        <v>0</v>
      </c>
      <c r="S785" s="584">
        <f t="shared" si="675"/>
        <v>0</v>
      </c>
      <c r="T785" s="584">
        <f t="shared" si="675"/>
        <v>0</v>
      </c>
      <c r="U785" s="584">
        <f t="shared" si="675"/>
        <v>0</v>
      </c>
      <c r="V785" s="584">
        <f t="shared" si="675"/>
        <v>0</v>
      </c>
      <c r="W785" s="584">
        <f t="shared" si="675"/>
        <v>0</v>
      </c>
      <c r="X785" s="584">
        <f t="shared" si="675"/>
        <v>0</v>
      </c>
      <c r="Y785" s="584">
        <f t="shared" si="675"/>
        <v>0</v>
      </c>
      <c r="Z785" s="584">
        <f t="shared" si="675"/>
        <v>0</v>
      </c>
      <c r="AA785" s="584"/>
      <c r="AB785" s="584"/>
      <c r="AC785" s="584"/>
      <c r="AD785" s="584"/>
      <c r="AE785" s="584"/>
      <c r="AF785" s="584"/>
      <c r="AG785" s="584"/>
      <c r="AH785" s="584"/>
      <c r="AI785" s="584"/>
      <c r="AJ785" s="584"/>
    </row>
    <row r="786" spans="1:36" x14ac:dyDescent="0.25">
      <c r="A786" t="s">
        <v>697</v>
      </c>
      <c r="E786" t="s">
        <v>182</v>
      </c>
      <c r="H786" s="574" t="s">
        <v>468</v>
      </c>
      <c r="I786" s="575" t="str">
        <f t="shared" si="661"/>
        <v>VND/phôi</v>
      </c>
      <c r="K786" s="574"/>
      <c r="L786" s="584">
        <f t="shared" ref="L786:AJ786" si="676">-IF($H$9="USD",L716/L680/$H$10*10^3,L716/L680/$H$10)</f>
        <v>0</v>
      </c>
      <c r="M786" s="584">
        <f t="shared" si="676"/>
        <v>0</v>
      </c>
      <c r="N786" s="584">
        <f t="shared" si="676"/>
        <v>0</v>
      </c>
      <c r="O786" s="584">
        <f t="shared" si="676"/>
        <v>0</v>
      </c>
      <c r="P786" s="584">
        <f t="shared" si="676"/>
        <v>0</v>
      </c>
      <c r="Q786" s="584">
        <f t="shared" si="676"/>
        <v>0</v>
      </c>
      <c r="R786" s="584">
        <f t="shared" si="676"/>
        <v>0</v>
      </c>
      <c r="S786" s="584">
        <f t="shared" si="676"/>
        <v>0</v>
      </c>
      <c r="T786" s="584">
        <f t="shared" si="676"/>
        <v>0</v>
      </c>
      <c r="U786" s="584">
        <f t="shared" si="676"/>
        <v>0</v>
      </c>
      <c r="V786" s="584">
        <f t="shared" si="676"/>
        <v>0</v>
      </c>
      <c r="W786" s="584">
        <f t="shared" si="676"/>
        <v>0</v>
      </c>
      <c r="X786" s="584">
        <f t="shared" si="676"/>
        <v>0</v>
      </c>
      <c r="Y786" s="584">
        <f t="shared" si="676"/>
        <v>0</v>
      </c>
      <c r="Z786" s="584">
        <f t="shared" si="676"/>
        <v>0</v>
      </c>
      <c r="AA786" s="584"/>
      <c r="AB786" s="584"/>
      <c r="AC786" s="584"/>
      <c r="AD786" s="584"/>
      <c r="AE786" s="584"/>
      <c r="AF786" s="584"/>
      <c r="AG786" s="584"/>
      <c r="AH786" s="584"/>
      <c r="AI786" s="584"/>
      <c r="AJ786" s="584"/>
    </row>
    <row r="787" spans="1:36" x14ac:dyDescent="0.25">
      <c r="A787" t="s">
        <v>697</v>
      </c>
      <c r="E787" t="s">
        <v>182</v>
      </c>
      <c r="H787" s="574" t="s">
        <v>470</v>
      </c>
      <c r="I787" s="575" t="str">
        <f t="shared" si="661"/>
        <v>VND/phôi</v>
      </c>
      <c r="K787" s="574"/>
      <c r="L787" s="584">
        <f>-IF($H$9="USD",L717/L680/$H$10*10^3,L717/L680/$H$10)</f>
        <v>71.373864592616897</v>
      </c>
      <c r="M787" s="584">
        <f t="shared" ref="M787:AJ787" si="677">-IF($H$9="USD",M717/M680/$H$10*10^3,M717/M680/$H$10)</f>
        <v>48.952548884066616</v>
      </c>
      <c r="N787" s="584">
        <f t="shared" si="677"/>
        <v>32.74722577596247</v>
      </c>
      <c r="O787" s="584">
        <f t="shared" si="677"/>
        <v>31.121298242076431</v>
      </c>
      <c r="P787" s="584">
        <f t="shared" si="677"/>
        <v>29.381555780818363</v>
      </c>
      <c r="Q787" s="584">
        <f t="shared" si="677"/>
        <v>27.520031347272241</v>
      </c>
      <c r="R787" s="584">
        <f t="shared" si="677"/>
        <v>25.528200203377882</v>
      </c>
      <c r="S787" s="584">
        <f t="shared" si="677"/>
        <v>23.396940879410916</v>
      </c>
      <c r="T787" s="584">
        <f t="shared" si="677"/>
        <v>21.116493402766267</v>
      </c>
      <c r="U787" s="584">
        <f t="shared" si="677"/>
        <v>18.676414602756491</v>
      </c>
      <c r="V787" s="584">
        <f t="shared" si="677"/>
        <v>16.065530286746032</v>
      </c>
      <c r="W787" s="584">
        <f t="shared" si="677"/>
        <v>13.271884068614838</v>
      </c>
      <c r="X787" s="584">
        <f t="shared" si="677"/>
        <v>10.282682615214464</v>
      </c>
      <c r="Y787" s="584">
        <f t="shared" si="677"/>
        <v>7.0842370600760587</v>
      </c>
      <c r="Z787" s="584">
        <f t="shared" si="677"/>
        <v>3.6619003160779675</v>
      </c>
      <c r="AA787" s="584"/>
      <c r="AB787" s="584"/>
      <c r="AC787" s="584"/>
      <c r="AD787" s="584"/>
      <c r="AE787" s="584"/>
      <c r="AF787" s="584"/>
      <c r="AG787" s="584"/>
      <c r="AH787" s="584"/>
      <c r="AI787" s="584"/>
      <c r="AJ787" s="584"/>
    </row>
    <row r="788" spans="1:36" x14ac:dyDescent="0.25">
      <c r="A788" t="s">
        <v>697</v>
      </c>
      <c r="H788" s="289"/>
      <c r="I788" s="290"/>
      <c r="K788" s="289"/>
      <c r="L788" s="289"/>
      <c r="M788" s="289"/>
      <c r="N788" s="289"/>
      <c r="O788" s="289"/>
      <c r="P788" s="289"/>
      <c r="Q788" s="289"/>
      <c r="R788" s="289"/>
      <c r="S788" s="289"/>
      <c r="T788" s="289"/>
      <c r="U788" s="289"/>
      <c r="V788" s="289"/>
      <c r="W788" s="289"/>
      <c r="X788" s="289"/>
      <c r="Y788" s="289"/>
      <c r="Z788" s="289"/>
      <c r="AA788" s="289"/>
      <c r="AB788" s="289"/>
      <c r="AC788" s="289"/>
      <c r="AD788" s="289"/>
      <c r="AE788" s="289"/>
      <c r="AF788" s="289"/>
      <c r="AG788" s="289"/>
      <c r="AH788" s="289"/>
      <c r="AI788" s="289"/>
      <c r="AJ788" s="289"/>
    </row>
    <row r="789" spans="1:36" s="16" customFormat="1" x14ac:dyDescent="0.25">
      <c r="A789" s="16" t="s">
        <v>697</v>
      </c>
      <c r="H789" s="291" t="s">
        <v>487</v>
      </c>
      <c r="I789" s="292" t="str">
        <f t="shared" si="661"/>
        <v>VND/phôi</v>
      </c>
      <c r="K789" s="298">
        <f>K782+SUM(K784:K787)</f>
        <v>0</v>
      </c>
      <c r="L789" s="298">
        <f t="shared" ref="L789:AJ789" si="678">L782+SUM(L784:L787)</f>
        <v>744.0880005251571</v>
      </c>
      <c r="M789" s="298">
        <f t="shared" si="678"/>
        <v>658.84830936839523</v>
      </c>
      <c r="N789" s="298">
        <f t="shared" si="678"/>
        <v>608.35915336128733</v>
      </c>
      <c r="O789" s="298">
        <f t="shared" si="678"/>
        <v>619.96312356181738</v>
      </c>
      <c r="P789" s="298">
        <f t="shared" si="678"/>
        <v>631.86839436685739</v>
      </c>
      <c r="Q789" s="298">
        <f t="shared" si="678"/>
        <v>644.08282692098896</v>
      </c>
      <c r="R789" s="298">
        <f t="shared" si="678"/>
        <v>656.61441753338181</v>
      </c>
      <c r="S789" s="298">
        <f t="shared" si="678"/>
        <v>669.47129131112695</v>
      </c>
      <c r="T789" s="298">
        <f t="shared" si="678"/>
        <v>682.66169465404232</v>
      </c>
      <c r="U789" s="298">
        <f t="shared" si="678"/>
        <v>696.19398649858829</v>
      </c>
      <c r="V789" s="298">
        <f t="shared" si="678"/>
        <v>710.07662818905987</v>
      </c>
      <c r="W789" s="298">
        <f t="shared" si="678"/>
        <v>724.31817184402666</v>
      </c>
      <c r="X789" s="298">
        <f t="shared" si="678"/>
        <v>675.80750287744468</v>
      </c>
      <c r="Y789" s="298">
        <f t="shared" si="678"/>
        <v>690.79280170486606</v>
      </c>
      <c r="Z789" s="298">
        <f t="shared" si="678"/>
        <v>706.16306150380524</v>
      </c>
      <c r="AA789" s="298"/>
      <c r="AB789" s="298"/>
      <c r="AC789" s="298"/>
      <c r="AD789" s="298"/>
      <c r="AE789" s="298"/>
      <c r="AF789" s="298"/>
      <c r="AG789" s="298"/>
      <c r="AH789" s="298"/>
      <c r="AI789" s="298"/>
      <c r="AJ789" s="298"/>
    </row>
    <row r="790" spans="1:36" x14ac:dyDescent="0.25">
      <c r="A790" t="s">
        <v>697</v>
      </c>
    </row>
    <row r="791" spans="1:36" x14ac:dyDescent="0.25">
      <c r="A791" t="s">
        <v>697</v>
      </c>
      <c r="H791" s="593" t="s">
        <v>361</v>
      </c>
      <c r="I791" s="594" t="str">
        <f t="shared" si="661"/>
        <v>VND/phôi</v>
      </c>
      <c r="K791" s="593"/>
      <c r="L791" s="599">
        <f>INDEX('Cover Page'!$H$12:$AJ$12,MATCH($A791,'Cover Page'!$H$5:$AJ$5,0))</f>
        <v>6.6666666666666666E-2</v>
      </c>
      <c r="M791" s="599">
        <f>INDEX('Cover Page'!$H$12:$AJ$12,MATCH($A791,'Cover Page'!$H$5:$AJ$5,0))</f>
        <v>6.6666666666666666E-2</v>
      </c>
      <c r="N791" s="599">
        <f>INDEX('Cover Page'!$H$12:$AJ$12,MATCH($A791,'Cover Page'!$H$5:$AJ$5,0))</f>
        <v>6.6666666666666666E-2</v>
      </c>
      <c r="O791" s="599">
        <f>INDEX('Cover Page'!$H$12:$AJ$12,MATCH($A791,'Cover Page'!$H$5:$AJ$5,0))</f>
        <v>6.6666666666666666E-2</v>
      </c>
      <c r="P791" s="599">
        <f>INDEX('Cover Page'!$H$12:$AJ$12,MATCH($A791,'Cover Page'!$H$5:$AJ$5,0))</f>
        <v>6.6666666666666666E-2</v>
      </c>
      <c r="Q791" s="599">
        <f>INDEX('Cover Page'!$H$12:$AJ$12,MATCH($A791,'Cover Page'!$H$5:$AJ$5,0))</f>
        <v>6.6666666666666666E-2</v>
      </c>
      <c r="R791" s="599">
        <f>INDEX('Cover Page'!$H$12:$AJ$12,MATCH($A791,'Cover Page'!$H$5:$AJ$5,0))</f>
        <v>6.6666666666666666E-2</v>
      </c>
      <c r="S791" s="599">
        <f>INDEX('Cover Page'!$H$12:$AJ$12,MATCH($A791,'Cover Page'!$H$5:$AJ$5,0))</f>
        <v>6.6666666666666666E-2</v>
      </c>
      <c r="T791" s="599">
        <f>INDEX('Cover Page'!$H$12:$AJ$12,MATCH($A791,'Cover Page'!$H$5:$AJ$5,0))</f>
        <v>6.6666666666666666E-2</v>
      </c>
      <c r="U791" s="599">
        <f>INDEX('Cover Page'!$H$12:$AJ$12,MATCH($A791,'Cover Page'!$H$5:$AJ$5,0))</f>
        <v>6.6666666666666666E-2</v>
      </c>
      <c r="V791" s="599">
        <f>INDEX('Cover Page'!$H$12:$AJ$12,MATCH($A791,'Cover Page'!$H$5:$AJ$5,0))</f>
        <v>6.6666666666666666E-2</v>
      </c>
      <c r="W791" s="599">
        <f>INDEX('Cover Page'!$H$12:$AJ$12,MATCH($A791,'Cover Page'!$H$5:$AJ$5,0))</f>
        <v>6.6666666666666666E-2</v>
      </c>
      <c r="X791" s="599">
        <f>INDEX('Cover Page'!$H$12:$AJ$12,MATCH($A791,'Cover Page'!$H$5:$AJ$5,0))</f>
        <v>6.6666666666666666E-2</v>
      </c>
      <c r="Y791" s="599">
        <f>INDEX('Cover Page'!$H$12:$AJ$12,MATCH($A791,'Cover Page'!$H$5:$AJ$5,0))</f>
        <v>6.6666666666666666E-2</v>
      </c>
      <c r="Z791" s="599">
        <f>INDEX('Cover Page'!$H$12:$AJ$12,MATCH($A791,'Cover Page'!$H$5:$AJ$5,0))</f>
        <v>6.6666666666666666E-2</v>
      </c>
      <c r="AA791" s="599"/>
      <c r="AB791" s="599"/>
      <c r="AC791" s="599"/>
      <c r="AD791" s="599"/>
      <c r="AE791" s="599"/>
      <c r="AF791" s="599"/>
      <c r="AG791" s="599"/>
      <c r="AH791" s="599"/>
      <c r="AI791" s="599"/>
      <c r="AJ791" s="599"/>
    </row>
    <row r="792" spans="1:36" s="1" customFormat="1" x14ac:dyDescent="0.25">
      <c r="A792" s="1" t="s">
        <v>697</v>
      </c>
      <c r="H792" s="595" t="s">
        <v>490</v>
      </c>
      <c r="I792" s="596" t="str">
        <f t="shared" si="661"/>
        <v>VND/phôi</v>
      </c>
      <c r="K792" s="595"/>
      <c r="L792" s="600">
        <f>L789*(1+L791)</f>
        <v>793.69386722683419</v>
      </c>
      <c r="M792" s="600">
        <f t="shared" ref="M792:AJ792" si="679">M789*(1+M791)</f>
        <v>702.77152999295492</v>
      </c>
      <c r="N792" s="600">
        <f t="shared" si="679"/>
        <v>648.91643025203985</v>
      </c>
      <c r="O792" s="600">
        <f t="shared" si="679"/>
        <v>661.29399846593856</v>
      </c>
      <c r="P792" s="600">
        <f t="shared" si="679"/>
        <v>673.99295399131449</v>
      </c>
      <c r="Q792" s="600">
        <f t="shared" si="679"/>
        <v>687.0216820490549</v>
      </c>
      <c r="R792" s="600">
        <f t="shared" si="679"/>
        <v>700.38871203560723</v>
      </c>
      <c r="S792" s="600">
        <f t="shared" si="679"/>
        <v>714.10271073186868</v>
      </c>
      <c r="T792" s="600">
        <f t="shared" si="679"/>
        <v>728.17247429764518</v>
      </c>
      <c r="U792" s="600">
        <f t="shared" si="679"/>
        <v>742.60691893182752</v>
      </c>
      <c r="V792" s="600">
        <f t="shared" si="679"/>
        <v>757.41507006833058</v>
      </c>
      <c r="W792" s="600">
        <f t="shared" si="679"/>
        <v>772.60604996696179</v>
      </c>
      <c r="X792" s="600">
        <f t="shared" si="679"/>
        <v>720.86133640260766</v>
      </c>
      <c r="Y792" s="600">
        <f t="shared" si="679"/>
        <v>736.84565515185716</v>
      </c>
      <c r="Z792" s="600">
        <f t="shared" si="679"/>
        <v>753.24059893739229</v>
      </c>
      <c r="AA792" s="600"/>
      <c r="AB792" s="600"/>
      <c r="AC792" s="600"/>
      <c r="AD792" s="600"/>
      <c r="AE792" s="600"/>
      <c r="AF792" s="600"/>
      <c r="AG792" s="600"/>
      <c r="AH792" s="600"/>
      <c r="AI792" s="600"/>
      <c r="AJ792" s="600"/>
    </row>
    <row r="793" spans="1:36" x14ac:dyDescent="0.25">
      <c r="A793" t="s">
        <v>697</v>
      </c>
      <c r="H793" s="574" t="s">
        <v>292</v>
      </c>
      <c r="I793" s="575" t="str">
        <f t="shared" si="661"/>
        <v>VND/phôi</v>
      </c>
      <c r="K793" s="574"/>
      <c r="L793" s="601">
        <f t="shared" ref="L793:AJ793" si="680">Tax_rate</f>
        <v>0.2</v>
      </c>
      <c r="M793" s="601">
        <f t="shared" si="680"/>
        <v>0.2</v>
      </c>
      <c r="N793" s="601">
        <f t="shared" si="680"/>
        <v>0.2</v>
      </c>
      <c r="O793" s="601">
        <f t="shared" si="680"/>
        <v>0.2</v>
      </c>
      <c r="P793" s="601">
        <f t="shared" si="680"/>
        <v>0.2</v>
      </c>
      <c r="Q793" s="601">
        <f t="shared" si="680"/>
        <v>0.2</v>
      </c>
      <c r="R793" s="601">
        <f t="shared" si="680"/>
        <v>0.2</v>
      </c>
      <c r="S793" s="601">
        <f t="shared" si="680"/>
        <v>0.2</v>
      </c>
      <c r="T793" s="601">
        <f t="shared" si="680"/>
        <v>0.2</v>
      </c>
      <c r="U793" s="601">
        <f t="shared" si="680"/>
        <v>0.2</v>
      </c>
      <c r="V793" s="601">
        <f t="shared" si="680"/>
        <v>0.2</v>
      </c>
      <c r="W793" s="601">
        <f t="shared" si="680"/>
        <v>0.2</v>
      </c>
      <c r="X793" s="601">
        <f t="shared" si="680"/>
        <v>0.2</v>
      </c>
      <c r="Y793" s="601">
        <f t="shared" si="680"/>
        <v>0.2</v>
      </c>
      <c r="Z793" s="601">
        <f t="shared" si="680"/>
        <v>0.2</v>
      </c>
      <c r="AA793" s="601"/>
      <c r="AB793" s="601"/>
      <c r="AC793" s="601"/>
      <c r="AD793" s="601"/>
      <c r="AE793" s="601"/>
      <c r="AF793" s="601"/>
      <c r="AG793" s="601"/>
      <c r="AH793" s="601"/>
      <c r="AI793" s="601"/>
      <c r="AJ793" s="601"/>
    </row>
    <row r="794" spans="1:36" s="1" customFormat="1" x14ac:dyDescent="0.25">
      <c r="A794" s="1" t="s">
        <v>697</v>
      </c>
      <c r="H794" s="595" t="s">
        <v>491</v>
      </c>
      <c r="I794" s="596" t="str">
        <f t="shared" si="661"/>
        <v>VND/phôi</v>
      </c>
      <c r="K794" s="595"/>
      <c r="L794" s="600">
        <f>(L792-L789)*(1-L793)</f>
        <v>39.684693361341672</v>
      </c>
      <c r="M794" s="600">
        <f t="shared" ref="M794:AJ794" si="681">(M792-M789)*(1-M793)</f>
        <v>35.138576499647755</v>
      </c>
      <c r="N794" s="600">
        <f t="shared" si="681"/>
        <v>32.445821512602016</v>
      </c>
      <c r="O794" s="600">
        <f t="shared" si="681"/>
        <v>33.064699923296942</v>
      </c>
      <c r="P794" s="600">
        <f t="shared" si="681"/>
        <v>33.699647699565688</v>
      </c>
      <c r="Q794" s="600">
        <f t="shared" si="681"/>
        <v>34.351084102452752</v>
      </c>
      <c r="R794" s="600">
        <f t="shared" si="681"/>
        <v>35.019435601780337</v>
      </c>
      <c r="S794" s="600">
        <f t="shared" si="681"/>
        <v>35.705135536593389</v>
      </c>
      <c r="T794" s="600">
        <f t="shared" si="681"/>
        <v>36.408623714882289</v>
      </c>
      <c r="U794" s="600">
        <f t="shared" si="681"/>
        <v>37.13034594659139</v>
      </c>
      <c r="V794" s="600">
        <f t="shared" si="681"/>
        <v>37.870753503416566</v>
      </c>
      <c r="W794" s="600">
        <f t="shared" si="681"/>
        <v>38.630302498348101</v>
      </c>
      <c r="X794" s="600">
        <f t="shared" si="681"/>
        <v>36.043066820130392</v>
      </c>
      <c r="Y794" s="600">
        <f t="shared" si="681"/>
        <v>36.842282757592876</v>
      </c>
      <c r="Z794" s="600">
        <f t="shared" si="681"/>
        <v>37.662029946869644</v>
      </c>
      <c r="AA794" s="600"/>
      <c r="AB794" s="600"/>
      <c r="AC794" s="600"/>
      <c r="AD794" s="600"/>
      <c r="AE794" s="600"/>
      <c r="AF794" s="600"/>
      <c r="AG794" s="600"/>
      <c r="AH794" s="600"/>
      <c r="AI794" s="600"/>
      <c r="AJ794" s="600"/>
    </row>
    <row r="795" spans="1:36" s="146" customFormat="1" x14ac:dyDescent="0.25">
      <c r="A795" s="146" t="s">
        <v>697</v>
      </c>
      <c r="H795" s="597" t="s">
        <v>492</v>
      </c>
      <c r="I795" s="598"/>
      <c r="K795" s="597"/>
      <c r="L795" s="602">
        <f>IFERROR(L794/L792,0)</f>
        <v>4.9999999999999954E-2</v>
      </c>
      <c r="M795" s="602">
        <f>IFERROR(M794/M792,0)</f>
        <v>5.000000000000001E-2</v>
      </c>
      <c r="N795" s="602">
        <f t="shared" ref="N795:AJ795" si="682">IFERROR(N794/N792,0)</f>
        <v>5.0000000000000037E-2</v>
      </c>
      <c r="O795" s="602">
        <f t="shared" si="682"/>
        <v>5.0000000000000024E-2</v>
      </c>
      <c r="P795" s="602">
        <f t="shared" si="682"/>
        <v>4.9999999999999947E-2</v>
      </c>
      <c r="Q795" s="602">
        <f t="shared" si="682"/>
        <v>5.000000000000001E-2</v>
      </c>
      <c r="R795" s="602">
        <f t="shared" si="682"/>
        <v>4.9999999999999968E-2</v>
      </c>
      <c r="S795" s="602">
        <f t="shared" si="682"/>
        <v>4.9999999999999933E-2</v>
      </c>
      <c r="T795" s="602">
        <f t="shared" si="682"/>
        <v>5.0000000000000044E-2</v>
      </c>
      <c r="U795" s="602">
        <f t="shared" si="682"/>
        <v>5.0000000000000017E-2</v>
      </c>
      <c r="V795" s="602">
        <f t="shared" si="682"/>
        <v>5.0000000000000051E-2</v>
      </c>
      <c r="W795" s="602">
        <f t="shared" si="682"/>
        <v>5.0000000000000017E-2</v>
      </c>
      <c r="X795" s="602">
        <f t="shared" si="682"/>
        <v>5.000000000000001E-2</v>
      </c>
      <c r="Y795" s="602">
        <f t="shared" si="682"/>
        <v>5.0000000000000024E-2</v>
      </c>
      <c r="Z795" s="602">
        <f t="shared" si="682"/>
        <v>5.0000000000000037E-2</v>
      </c>
      <c r="AA795" s="602"/>
      <c r="AB795" s="602"/>
      <c r="AC795" s="602"/>
      <c r="AD795" s="602"/>
      <c r="AE795" s="602"/>
      <c r="AF795" s="602"/>
      <c r="AG795" s="602"/>
      <c r="AH795" s="602"/>
      <c r="AI795" s="602"/>
      <c r="AJ795" s="602"/>
    </row>
    <row r="796" spans="1:36" x14ac:dyDescent="0.25">
      <c r="A796" t="s">
        <v>697</v>
      </c>
      <c r="L796" s="64"/>
    </row>
    <row r="797" spans="1:36" x14ac:dyDescent="0.25">
      <c r="A797" t="s">
        <v>697</v>
      </c>
      <c r="H797" s="1" t="s">
        <v>493</v>
      </c>
    </row>
    <row r="798" spans="1:36" x14ac:dyDescent="0.25">
      <c r="A798" t="s">
        <v>697</v>
      </c>
      <c r="H798" t="s">
        <v>493</v>
      </c>
      <c r="I798" s="65" t="s">
        <v>475</v>
      </c>
      <c r="K798" s="15"/>
      <c r="L798" s="15">
        <f t="shared" ref="L798:AJ798" si="683">L799*PHOI_KG*10^3/10^6</f>
        <v>40.666666666666671</v>
      </c>
      <c r="M798" s="15">
        <f t="shared" si="683"/>
        <v>41.480000000000004</v>
      </c>
      <c r="N798" s="15">
        <f t="shared" si="683"/>
        <v>42.30960000000001</v>
      </c>
      <c r="O798" s="15">
        <f t="shared" si="683"/>
        <v>43.155791999999998</v>
      </c>
      <c r="P798" s="15">
        <f t="shared" si="683"/>
        <v>44.018907840000004</v>
      </c>
      <c r="Q798" s="15">
        <f t="shared" si="683"/>
        <v>44.899285996800003</v>
      </c>
      <c r="R798" s="15">
        <f t="shared" si="683"/>
        <v>45.797271716736006</v>
      </c>
      <c r="S798" s="15">
        <f t="shared" si="683"/>
        <v>46.713217151070715</v>
      </c>
      <c r="T798" s="15">
        <f t="shared" si="683"/>
        <v>47.647481494092133</v>
      </c>
      <c r="U798" s="15">
        <f t="shared" si="683"/>
        <v>48.600431123973976</v>
      </c>
      <c r="V798" s="15">
        <f t="shared" si="683"/>
        <v>49.572439746453455</v>
      </c>
      <c r="W798" s="15">
        <f t="shared" si="683"/>
        <v>50.563888541382518</v>
      </c>
      <c r="X798" s="15">
        <f t="shared" si="683"/>
        <v>51.575166312210172</v>
      </c>
      <c r="Y798" s="15">
        <f t="shared" si="683"/>
        <v>52.606669638454385</v>
      </c>
      <c r="Z798" s="15">
        <f t="shared" si="683"/>
        <v>53.658803031223471</v>
      </c>
      <c r="AA798" s="15"/>
      <c r="AB798" s="15"/>
      <c r="AC798" s="15"/>
      <c r="AD798" s="15"/>
      <c r="AE798" s="15"/>
      <c r="AF798" s="15"/>
      <c r="AG798" s="15"/>
      <c r="AH798" s="15"/>
      <c r="AI798" s="15"/>
      <c r="AJ798" s="15"/>
    </row>
    <row r="799" spans="1:36" x14ac:dyDescent="0.25">
      <c r="A799" t="s">
        <v>697</v>
      </c>
      <c r="F799" t="s">
        <v>570</v>
      </c>
      <c r="H799" t="s">
        <v>493</v>
      </c>
      <c r="I799" s="65" t="s">
        <v>368</v>
      </c>
      <c r="K799" s="27"/>
      <c r="L799" s="27">
        <f>INDEX('Cover Page'!$H$14:$AJ$14,MATCH($A799,'Cover Page'!$H$5:$AJ$5,0))*POWER(1+INDEX('Cover Page'!$H$17:$AJ$17,MATCH($A799,'Cover Page'!$H$5:$AJ$5,0)),L$12+1)</f>
        <v>610</v>
      </c>
      <c r="M799" s="27">
        <f>INDEX('Cover Page'!$H$14:$AJ$14,MATCH($A799,'Cover Page'!$H$5:$AJ$5,0))*POWER(1+INDEX('Cover Page'!$H$17:$AJ$17,MATCH($A799,'Cover Page'!$H$5:$AJ$5,0)),M$12+1)</f>
        <v>622.20000000000005</v>
      </c>
      <c r="N799" s="27">
        <f>INDEX('Cover Page'!$H$14:$AJ$14,MATCH($A799,'Cover Page'!$H$5:$AJ$5,0))*POWER(1+INDEX('Cover Page'!$H$17:$AJ$17,MATCH($A799,'Cover Page'!$H$5:$AJ$5,0)),N$12+1)</f>
        <v>634.64400000000001</v>
      </c>
      <c r="O799" s="27">
        <f>INDEX('Cover Page'!$H$14:$AJ$14,MATCH($A799,'Cover Page'!$H$5:$AJ$5,0))*POWER(1+INDEX('Cover Page'!$H$17:$AJ$17,MATCH($A799,'Cover Page'!$H$5:$AJ$5,0)),O$12+1)</f>
        <v>647.33687999999995</v>
      </c>
      <c r="P799" s="27">
        <f>INDEX('Cover Page'!$H$14:$AJ$14,MATCH($A799,'Cover Page'!$H$5:$AJ$5,0))*POWER(1+INDEX('Cover Page'!$H$17:$AJ$17,MATCH($A799,'Cover Page'!$H$5:$AJ$5,0)),P$12+1)</f>
        <v>660.28361759999996</v>
      </c>
      <c r="Q799" s="27">
        <f>INDEX('Cover Page'!$H$14:$AJ$14,MATCH($A799,'Cover Page'!$H$5:$AJ$5,0))*POWER(1+INDEX('Cover Page'!$H$17:$AJ$17,MATCH($A799,'Cover Page'!$H$5:$AJ$5,0)),Q$12+1)</f>
        <v>673.48928995200004</v>
      </c>
      <c r="R799" s="27">
        <f>INDEX('Cover Page'!$H$14:$AJ$14,MATCH($A799,'Cover Page'!$H$5:$AJ$5,0))*POWER(1+INDEX('Cover Page'!$H$17:$AJ$17,MATCH($A799,'Cover Page'!$H$5:$AJ$5,0)),R$12+1)</f>
        <v>686.95907575104002</v>
      </c>
      <c r="S799" s="27">
        <f>INDEX('Cover Page'!$H$14:$AJ$14,MATCH($A799,'Cover Page'!$H$5:$AJ$5,0))*POWER(1+INDEX('Cover Page'!$H$17:$AJ$17,MATCH($A799,'Cover Page'!$H$5:$AJ$5,0)),S$12+1)</f>
        <v>700.69825726606064</v>
      </c>
      <c r="T799" s="27">
        <f>INDEX('Cover Page'!$H$14:$AJ$14,MATCH($A799,'Cover Page'!$H$5:$AJ$5,0))*POWER(1+INDEX('Cover Page'!$H$17:$AJ$17,MATCH($A799,'Cover Page'!$H$5:$AJ$5,0)),T$12+1)</f>
        <v>714.71222241138196</v>
      </c>
      <c r="U799" s="27">
        <f>INDEX('Cover Page'!$H$14:$AJ$14,MATCH($A799,'Cover Page'!$H$5:$AJ$5,0))*POWER(1+INDEX('Cover Page'!$H$17:$AJ$17,MATCH($A799,'Cover Page'!$H$5:$AJ$5,0)),U$12+1)</f>
        <v>729.00646685960965</v>
      </c>
      <c r="V799" s="27">
        <f>INDEX('Cover Page'!$H$14:$AJ$14,MATCH($A799,'Cover Page'!$H$5:$AJ$5,0))*POWER(1+INDEX('Cover Page'!$H$17:$AJ$17,MATCH($A799,'Cover Page'!$H$5:$AJ$5,0)),V$12+1)</f>
        <v>743.58659619680179</v>
      </c>
      <c r="W799" s="27">
        <f>INDEX('Cover Page'!$H$14:$AJ$14,MATCH($A799,'Cover Page'!$H$5:$AJ$5,0))*POWER(1+INDEX('Cover Page'!$H$17:$AJ$17,MATCH($A799,'Cover Page'!$H$5:$AJ$5,0)),W$12+1)</f>
        <v>758.45832812073775</v>
      </c>
      <c r="X799" s="27">
        <f>INDEX('Cover Page'!$H$14:$AJ$14,MATCH($A799,'Cover Page'!$H$5:$AJ$5,0))*POWER(1+INDEX('Cover Page'!$H$17:$AJ$17,MATCH($A799,'Cover Page'!$H$5:$AJ$5,0)),X$12+1)</f>
        <v>773.62749468315258</v>
      </c>
      <c r="Y799" s="27">
        <f>INDEX('Cover Page'!$H$14:$AJ$14,MATCH($A799,'Cover Page'!$H$5:$AJ$5,0))*POWER(1+INDEX('Cover Page'!$H$17:$AJ$17,MATCH($A799,'Cover Page'!$H$5:$AJ$5,0)),Y$12+1)</f>
        <v>789.10004457681566</v>
      </c>
      <c r="Z799" s="27">
        <f>INDEX('Cover Page'!$H$14:$AJ$14,MATCH($A799,'Cover Page'!$H$5:$AJ$5,0))*POWER(1+INDEX('Cover Page'!$H$17:$AJ$17,MATCH($A799,'Cover Page'!$H$5:$AJ$5,0)),Z$12+1)</f>
        <v>804.88204546835198</v>
      </c>
      <c r="AA799" s="27"/>
      <c r="AB799" s="27"/>
      <c r="AC799" s="27"/>
      <c r="AD799" s="27"/>
      <c r="AE799" s="27"/>
      <c r="AF799" s="27"/>
      <c r="AG799" s="27"/>
      <c r="AH799" s="27"/>
      <c r="AI799" s="27"/>
      <c r="AJ799" s="27"/>
    </row>
    <row r="800" spans="1:36" x14ac:dyDescent="0.25">
      <c r="A800" t="s">
        <v>697</v>
      </c>
      <c r="H800" t="s">
        <v>493</v>
      </c>
      <c r="I800" s="65" t="s">
        <v>369</v>
      </c>
      <c r="K800" s="15"/>
      <c r="L800" s="15">
        <f t="shared" ref="L800:AJ800" si="684">L798/EXR*10^6</f>
        <v>1564.1025641025642</v>
      </c>
      <c r="M800" s="15">
        <f t="shared" si="684"/>
        <v>1595.3846153846155</v>
      </c>
      <c r="N800" s="15">
        <f t="shared" si="684"/>
        <v>1627.292307692308</v>
      </c>
      <c r="O800" s="15">
        <f t="shared" si="684"/>
        <v>1659.8381538461538</v>
      </c>
      <c r="P800" s="15">
        <f t="shared" si="684"/>
        <v>1693.0349169230772</v>
      </c>
      <c r="Q800" s="15">
        <f t="shared" si="684"/>
        <v>1726.8956152615385</v>
      </c>
      <c r="R800" s="15">
        <f t="shared" si="684"/>
        <v>1761.4335275667695</v>
      </c>
      <c r="S800" s="15">
        <f t="shared" si="684"/>
        <v>1796.6621981181045</v>
      </c>
      <c r="T800" s="15">
        <f t="shared" si="684"/>
        <v>1832.5954420804667</v>
      </c>
      <c r="U800" s="15">
        <f t="shared" si="684"/>
        <v>1869.2473509220761</v>
      </c>
      <c r="V800" s="15">
        <f t="shared" si="684"/>
        <v>1906.6322979405174</v>
      </c>
      <c r="W800" s="15">
        <f t="shared" si="684"/>
        <v>1944.7649438993278</v>
      </c>
      <c r="X800" s="15">
        <f t="shared" si="684"/>
        <v>1983.6602427773144</v>
      </c>
      <c r="Y800" s="15">
        <f t="shared" si="684"/>
        <v>2023.333447632861</v>
      </c>
      <c r="Z800" s="15">
        <f t="shared" si="684"/>
        <v>2063.800116585518</v>
      </c>
      <c r="AA800" s="15"/>
      <c r="AB800" s="15"/>
      <c r="AC800" s="15"/>
      <c r="AD800" s="15"/>
      <c r="AE800" s="15"/>
      <c r="AF800" s="15"/>
      <c r="AG800" s="15"/>
      <c r="AH800" s="15"/>
      <c r="AI800" s="15"/>
      <c r="AJ800" s="15"/>
    </row>
    <row r="801" spans="1:36" x14ac:dyDescent="0.25">
      <c r="A801" t="s">
        <v>697</v>
      </c>
      <c r="H801" t="s">
        <v>493</v>
      </c>
      <c r="I801" s="65" t="s">
        <v>494</v>
      </c>
      <c r="K801" s="15"/>
      <c r="L801" s="15">
        <f t="shared" ref="L801:AJ801" si="685">L799*1000/EXR</f>
        <v>23.46153846153846</v>
      </c>
      <c r="M801" s="15">
        <f t="shared" si="685"/>
        <v>23.930769230769229</v>
      </c>
      <c r="N801" s="15">
        <f t="shared" si="685"/>
        <v>24.409384615384614</v>
      </c>
      <c r="O801" s="15">
        <f t="shared" si="685"/>
        <v>24.897572307692307</v>
      </c>
      <c r="P801" s="15">
        <f t="shared" si="685"/>
        <v>25.395523753846152</v>
      </c>
      <c r="Q801" s="15">
        <f t="shared" si="685"/>
        <v>25.903434228923079</v>
      </c>
      <c r="R801" s="15">
        <f t="shared" si="685"/>
        <v>26.421502913501538</v>
      </c>
      <c r="S801" s="15">
        <f t="shared" si="685"/>
        <v>26.949932971771563</v>
      </c>
      <c r="T801" s="15">
        <f t="shared" si="685"/>
        <v>27.488931631207002</v>
      </c>
      <c r="U801" s="15">
        <f t="shared" si="685"/>
        <v>28.038710263831138</v>
      </c>
      <c r="V801" s="15">
        <f t="shared" si="685"/>
        <v>28.599484469107761</v>
      </c>
      <c r="W801" s="15">
        <f t="shared" si="685"/>
        <v>29.171474158489914</v>
      </c>
      <c r="X801" s="15">
        <f t="shared" si="685"/>
        <v>29.754903641659713</v>
      </c>
      <c r="Y801" s="15">
        <f t="shared" si="685"/>
        <v>30.350001714492912</v>
      </c>
      <c r="Z801" s="15">
        <f t="shared" si="685"/>
        <v>30.957001748782766</v>
      </c>
      <c r="AA801" s="15"/>
      <c r="AB801" s="15"/>
      <c r="AC801" s="15"/>
      <c r="AD801" s="15"/>
      <c r="AE801" s="15"/>
      <c r="AF801" s="15"/>
      <c r="AG801" s="15"/>
      <c r="AH801" s="15"/>
      <c r="AI801" s="15"/>
      <c r="AJ801" s="15"/>
    </row>
    <row r="802" spans="1:36" x14ac:dyDescent="0.25">
      <c r="A802" t="s">
        <v>697</v>
      </c>
    </row>
    <row r="803" spans="1:36" s="16" customFormat="1" x14ac:dyDescent="0.25">
      <c r="A803" s="16" t="s">
        <v>697</v>
      </c>
      <c r="D803" s="16" t="s">
        <v>722</v>
      </c>
      <c r="H803" s="270" t="s">
        <v>497</v>
      </c>
      <c r="I803" s="271" t="str">
        <f>IF($H$9="USD","USD","tr. VND")</f>
        <v>tr. VND</v>
      </c>
      <c r="K803" s="270"/>
      <c r="L803" s="272">
        <f t="shared" ref="L803:AJ803" si="686">IF($H$9="USD",L800*L679/10^3,L798*L679/10^3)</f>
        <v>125948.22451200002</v>
      </c>
      <c r="M803" s="272">
        <f t="shared" si="686"/>
        <v>179854.06460313601</v>
      </c>
      <c r="N803" s="272">
        <f t="shared" si="686"/>
        <v>262073.06556456964</v>
      </c>
      <c r="O803" s="272">
        <f t="shared" si="686"/>
        <v>267314.52687586093</v>
      </c>
      <c r="P803" s="272">
        <f t="shared" si="686"/>
        <v>272660.81741337822</v>
      </c>
      <c r="Q803" s="272">
        <f t="shared" si="686"/>
        <v>278114.03376164578</v>
      </c>
      <c r="R803" s="272">
        <f t="shared" si="686"/>
        <v>283676.31443687872</v>
      </c>
      <c r="S803" s="272">
        <f t="shared" si="686"/>
        <v>289349.8407256162</v>
      </c>
      <c r="T803" s="272">
        <f t="shared" si="686"/>
        <v>295136.83754012862</v>
      </c>
      <c r="U803" s="272">
        <f t="shared" si="686"/>
        <v>301039.57429093117</v>
      </c>
      <c r="V803" s="272">
        <f t="shared" si="686"/>
        <v>307060.36577674979</v>
      </c>
      <c r="W803" s="272">
        <f t="shared" si="686"/>
        <v>313201.57309228473</v>
      </c>
      <c r="X803" s="272">
        <f t="shared" si="686"/>
        <v>319465.60455413046</v>
      </c>
      <c r="Y803" s="272">
        <f t="shared" si="686"/>
        <v>325854.91664521315</v>
      </c>
      <c r="Z803" s="272">
        <f t="shared" si="686"/>
        <v>332372.01497811737</v>
      </c>
      <c r="AA803" s="272"/>
      <c r="AB803" s="272"/>
      <c r="AC803" s="272"/>
      <c r="AD803" s="272"/>
      <c r="AE803" s="272"/>
      <c r="AF803" s="272"/>
      <c r="AG803" s="272"/>
      <c r="AH803" s="272"/>
      <c r="AI803" s="272"/>
      <c r="AJ803" s="272"/>
    </row>
    <row r="804" spans="1:36" x14ac:dyDescent="0.25">
      <c r="A804" t="s">
        <v>697</v>
      </c>
    </row>
    <row r="805" spans="1:36" s="1" customFormat="1" x14ac:dyDescent="0.25">
      <c r="A805" s="1" t="s">
        <v>697</v>
      </c>
      <c r="H805" s="266" t="s">
        <v>495</v>
      </c>
      <c r="I805" s="267" t="str">
        <f>IF($H$9="USD","USD","tr. VND")</f>
        <v>tr. VND</v>
      </c>
      <c r="K805" s="266"/>
      <c r="L805" s="269">
        <f>L803+L719</f>
        <v>-27685.484581160097</v>
      </c>
      <c r="M805" s="269">
        <f t="shared" ref="M805:AJ805" si="687">M803+M719</f>
        <v>-10593.615237446269</v>
      </c>
      <c r="N805" s="269">
        <f t="shared" si="687"/>
        <v>10854.195953167451</v>
      </c>
      <c r="O805" s="269">
        <f t="shared" si="687"/>
        <v>11303.855808567227</v>
      </c>
      <c r="P805" s="269">
        <f t="shared" si="687"/>
        <v>11733.924312545685</v>
      </c>
      <c r="Q805" s="269">
        <f t="shared" si="687"/>
        <v>12143.25182929053</v>
      </c>
      <c r="R805" s="269">
        <f t="shared" si="687"/>
        <v>12530.674839139392</v>
      </c>
      <c r="S805" s="269">
        <f t="shared" si="687"/>
        <v>12895.019406296953</v>
      </c>
      <c r="T805" s="269">
        <f t="shared" si="687"/>
        <v>13235.105133473815</v>
      </c>
      <c r="U805" s="269">
        <f t="shared" si="687"/>
        <v>13549.749650181911</v>
      </c>
      <c r="V805" s="269">
        <f t="shared" si="687"/>
        <v>13837.773685341119</v>
      </c>
      <c r="W805" s="269">
        <f t="shared" si="687"/>
        <v>14098.006779062212</v>
      </c>
      <c r="X805" s="269">
        <f t="shared" si="687"/>
        <v>40394.276359696058</v>
      </c>
      <c r="Y805" s="269">
        <f t="shared" si="687"/>
        <v>40595.484250465757</v>
      </c>
      <c r="Z805" s="269">
        <f t="shared" si="687"/>
        <v>40765.510675289377</v>
      </c>
      <c r="AA805" s="269"/>
      <c r="AB805" s="269"/>
      <c r="AC805" s="269"/>
      <c r="AD805" s="269"/>
      <c r="AE805" s="269"/>
      <c r="AF805" s="269"/>
      <c r="AG805" s="269"/>
      <c r="AH805" s="269"/>
      <c r="AI805" s="269"/>
      <c r="AJ805" s="269"/>
    </row>
    <row r="806" spans="1:36" s="146" customFormat="1" x14ac:dyDescent="0.25">
      <c r="A806" s="146" t="s">
        <v>697</v>
      </c>
      <c r="H806" s="146" t="s">
        <v>496</v>
      </c>
      <c r="I806" s="144"/>
      <c r="L806" s="147">
        <f>IFERROR(L805/L803,0)</f>
        <v>-0.21981639430353619</v>
      </c>
      <c r="M806" s="147">
        <f t="shared" ref="M806:AJ806" si="688">IFERROR(M805/M803,0)</f>
        <v>-5.8901172241072358E-2</v>
      </c>
      <c r="N806" s="147">
        <f t="shared" si="688"/>
        <v>4.1416678702883306E-2</v>
      </c>
      <c r="O806" s="147">
        <f t="shared" si="688"/>
        <v>4.2286724708443031E-2</v>
      </c>
      <c r="P806" s="147">
        <f t="shared" si="688"/>
        <v>4.3034875431903388E-2</v>
      </c>
      <c r="Q806" s="147">
        <f t="shared" si="688"/>
        <v>4.3662851762805162E-2</v>
      </c>
      <c r="R806" s="147">
        <f t="shared" si="688"/>
        <v>4.41724395073795E-2</v>
      </c>
      <c r="S806" s="147">
        <f t="shared" si="688"/>
        <v>4.4565496818520817E-2</v>
      </c>
      <c r="T806" s="147">
        <f t="shared" si="688"/>
        <v>4.4843962020411257E-2</v>
      </c>
      <c r="U806" s="147">
        <f t="shared" si="688"/>
        <v>4.5009861849881372E-2</v>
      </c>
      <c r="V806" s="147">
        <f t="shared" si="688"/>
        <v>4.506532013774113E-2</v>
      </c>
      <c r="W806" s="147">
        <f t="shared" si="688"/>
        <v>4.5012566954471332E-2</v>
      </c>
      <c r="X806" s="147">
        <f t="shared" si="688"/>
        <v>0.12644327208894135</v>
      </c>
      <c r="Y806" s="147">
        <f t="shared" si="688"/>
        <v>0.12458146916551094</v>
      </c>
      <c r="Z806" s="147">
        <f t="shared" si="688"/>
        <v>0.12265024983518329</v>
      </c>
      <c r="AA806" s="147"/>
      <c r="AB806" s="147"/>
      <c r="AC806" s="147"/>
      <c r="AD806" s="147"/>
      <c r="AE806" s="147"/>
      <c r="AF806" s="147"/>
      <c r="AG806" s="147"/>
      <c r="AH806" s="147"/>
      <c r="AI806" s="147"/>
      <c r="AJ806" s="147"/>
    </row>
    <row r="807" spans="1:36" x14ac:dyDescent="0.25">
      <c r="A807" t="s">
        <v>697</v>
      </c>
    </row>
    <row r="808" spans="1:36" s="16" customFormat="1" x14ac:dyDescent="0.25">
      <c r="A808" s="16" t="s">
        <v>697</v>
      </c>
      <c r="D808" s="16" t="s">
        <v>488</v>
      </c>
      <c r="H808" s="270" t="s">
        <v>488</v>
      </c>
      <c r="I808" s="271" t="str">
        <f>IF($H$9="USD","USD","tr. VND")</f>
        <v>tr. VND</v>
      </c>
      <c r="K808" s="270"/>
      <c r="L808" s="272">
        <f t="shared" ref="L808:AJ808" si="689">L805*(1-Tax_rate)</f>
        <v>-22148.387664928079</v>
      </c>
      <c r="M808" s="272">
        <f t="shared" si="689"/>
        <v>-8474.8921899570159</v>
      </c>
      <c r="N808" s="272">
        <f t="shared" si="689"/>
        <v>8683.356762533962</v>
      </c>
      <c r="O808" s="272">
        <f t="shared" si="689"/>
        <v>9043.084646853782</v>
      </c>
      <c r="P808" s="272">
        <f t="shared" si="689"/>
        <v>9387.1394500365477</v>
      </c>
      <c r="Q808" s="272">
        <f t="shared" si="689"/>
        <v>9714.6014634324238</v>
      </c>
      <c r="R808" s="272">
        <f t="shared" si="689"/>
        <v>10024.539871311514</v>
      </c>
      <c r="S808" s="272">
        <f t="shared" si="689"/>
        <v>10316.015525037563</v>
      </c>
      <c r="T808" s="272">
        <f t="shared" si="689"/>
        <v>10588.084106779053</v>
      </c>
      <c r="U808" s="272">
        <f t="shared" si="689"/>
        <v>10839.799720145529</v>
      </c>
      <c r="V808" s="272">
        <f t="shared" si="689"/>
        <v>11070.218948272895</v>
      </c>
      <c r="W808" s="272">
        <f t="shared" si="689"/>
        <v>11278.405423249771</v>
      </c>
      <c r="X808" s="272">
        <f t="shared" si="689"/>
        <v>32315.421087756848</v>
      </c>
      <c r="Y808" s="272">
        <f t="shared" si="689"/>
        <v>32476.387400372609</v>
      </c>
      <c r="Z808" s="272">
        <f t="shared" si="689"/>
        <v>32612.408540231503</v>
      </c>
      <c r="AA808" s="272"/>
      <c r="AB808" s="272"/>
      <c r="AC808" s="272"/>
      <c r="AD808" s="272"/>
      <c r="AE808" s="272"/>
      <c r="AF808" s="272"/>
      <c r="AG808" s="272"/>
      <c r="AH808" s="272"/>
      <c r="AI808" s="272"/>
      <c r="AJ808" s="272"/>
    </row>
    <row r="809" spans="1:36" s="146" customFormat="1" x14ac:dyDescent="0.25">
      <c r="A809" s="146" t="s">
        <v>697</v>
      </c>
      <c r="H809" s="146" t="s">
        <v>489</v>
      </c>
      <c r="I809" s="144"/>
      <c r="L809" s="147">
        <f>IFERROR(L808/L803,0)</f>
        <v>-0.17585311544282897</v>
      </c>
      <c r="M809" s="147">
        <f t="shared" ref="M809:AJ809" si="690">IFERROR(M808/M803,0)</f>
        <v>-4.7120937792857892E-2</v>
      </c>
      <c r="N809" s="147">
        <f t="shared" si="690"/>
        <v>3.3133342962306647E-2</v>
      </c>
      <c r="O809" s="147">
        <f t="shared" si="690"/>
        <v>3.3829379766754424E-2</v>
      </c>
      <c r="P809" s="147">
        <f t="shared" si="690"/>
        <v>3.4427900345522705E-2</v>
      </c>
      <c r="Q809" s="147">
        <f t="shared" si="690"/>
        <v>3.4930281410244131E-2</v>
      </c>
      <c r="R809" s="147">
        <f t="shared" si="690"/>
        <v>3.5337951605903604E-2</v>
      </c>
      <c r="S809" s="147">
        <f t="shared" si="690"/>
        <v>3.5652397454816652E-2</v>
      </c>
      <c r="T809" s="147">
        <f t="shared" si="690"/>
        <v>3.5875169616329007E-2</v>
      </c>
      <c r="U809" s="147">
        <f t="shared" si="690"/>
        <v>3.6007889479905096E-2</v>
      </c>
      <c r="V809" s="147">
        <f t="shared" si="690"/>
        <v>3.6052256110192901E-2</v>
      </c>
      <c r="W809" s="147">
        <f t="shared" si="690"/>
        <v>3.6010053563577067E-2</v>
      </c>
      <c r="X809" s="147">
        <f t="shared" si="690"/>
        <v>0.10115461767115308</v>
      </c>
      <c r="Y809" s="147">
        <f t="shared" si="690"/>
        <v>9.9665175332408762E-2</v>
      </c>
      <c r="Z809" s="147">
        <f t="shared" si="690"/>
        <v>9.8120199868146629E-2</v>
      </c>
      <c r="AA809" s="147"/>
      <c r="AB809" s="147"/>
      <c r="AC809" s="147"/>
      <c r="AD809" s="147"/>
      <c r="AE809" s="147"/>
      <c r="AF809" s="147"/>
      <c r="AG809" s="147"/>
      <c r="AH809" s="147"/>
      <c r="AI809" s="147"/>
      <c r="AJ809" s="147"/>
    </row>
    <row r="810" spans="1:36" x14ac:dyDescent="0.25">
      <c r="A810" t="s">
        <v>697</v>
      </c>
    </row>
    <row r="811" spans="1:36" s="16" customFormat="1" x14ac:dyDescent="0.25">
      <c r="A811" s="16" t="s">
        <v>697</v>
      </c>
      <c r="H811" s="270" t="s">
        <v>477</v>
      </c>
      <c r="I811" s="271" t="str">
        <f>IF($H$9="USD","USD","tr. VND")</f>
        <v>tr. VND</v>
      </c>
      <c r="K811" s="272">
        <f>SUM(K813:K816)</f>
        <v>-300749.80000000005</v>
      </c>
      <c r="L811" s="272">
        <f t="shared" ref="L811:AJ811" si="691">SUM(L813:L816)</f>
        <v>0</v>
      </c>
      <c r="M811" s="272">
        <f t="shared" si="691"/>
        <v>0</v>
      </c>
      <c r="N811" s="272">
        <f t="shared" si="691"/>
        <v>0</v>
      </c>
      <c r="O811" s="272">
        <f t="shared" si="691"/>
        <v>0</v>
      </c>
      <c r="P811" s="272">
        <f t="shared" si="691"/>
        <v>0</v>
      </c>
      <c r="Q811" s="272">
        <f t="shared" si="691"/>
        <v>0</v>
      </c>
      <c r="R811" s="272">
        <f t="shared" si="691"/>
        <v>0</v>
      </c>
      <c r="S811" s="272">
        <f t="shared" si="691"/>
        <v>0</v>
      </c>
      <c r="T811" s="272">
        <f t="shared" si="691"/>
        <v>0</v>
      </c>
      <c r="U811" s="272">
        <f t="shared" si="691"/>
        <v>0</v>
      </c>
      <c r="V811" s="272">
        <f t="shared" si="691"/>
        <v>0</v>
      </c>
      <c r="W811" s="272">
        <f t="shared" si="691"/>
        <v>0</v>
      </c>
      <c r="X811" s="272">
        <f t="shared" si="691"/>
        <v>0</v>
      </c>
      <c r="Y811" s="272">
        <f t="shared" si="691"/>
        <v>0</v>
      </c>
      <c r="Z811" s="272">
        <f t="shared" si="691"/>
        <v>0</v>
      </c>
      <c r="AA811" s="272"/>
      <c r="AB811" s="272"/>
      <c r="AC811" s="272"/>
      <c r="AD811" s="272"/>
      <c r="AE811" s="272"/>
      <c r="AF811" s="272"/>
      <c r="AG811" s="272"/>
      <c r="AH811" s="272"/>
      <c r="AI811" s="272"/>
      <c r="AJ811" s="272"/>
    </row>
    <row r="812" spans="1:36" x14ac:dyDescent="0.25">
      <c r="A812" t="s">
        <v>697</v>
      </c>
    </row>
    <row r="813" spans="1:36" x14ac:dyDescent="0.25">
      <c r="A813" t="s">
        <v>697</v>
      </c>
      <c r="B813" t="s">
        <v>480</v>
      </c>
      <c r="H813" s="459" t="s">
        <v>30</v>
      </c>
      <c r="I813" s="493" t="str">
        <f t="shared" ref="I813:I816" si="692">IF($H$9="USD","USD","tr. VND")</f>
        <v>tr. VND</v>
      </c>
      <c r="K813" s="461" cm="1">
        <f t="array" ref="K813">-SUMPRODUCT('W1'!$H$10:$BC$60*('W1'!$A$10:$A$60=$B813)*('W1'!$H$7:$BC$7="Giá trị đầu tư")*('W1'!$H$6:$BC$6=$A813))*$H$10</f>
        <v>-246389.00000000003</v>
      </c>
      <c r="L813" s="461"/>
      <c r="M813" s="461"/>
      <c r="N813" s="461"/>
      <c r="O813" s="461"/>
      <c r="P813" s="461"/>
      <c r="Q813" s="461"/>
      <c r="R813" s="461"/>
      <c r="S813" s="461"/>
      <c r="T813" s="461"/>
      <c r="U813" s="461"/>
      <c r="V813" s="461"/>
      <c r="W813" s="461"/>
      <c r="X813" s="461"/>
      <c r="Y813" s="461"/>
      <c r="Z813" s="461"/>
      <c r="AA813" s="461"/>
      <c r="AB813" s="461"/>
      <c r="AC813" s="461"/>
      <c r="AD813" s="461"/>
      <c r="AE813" s="461"/>
      <c r="AF813" s="461"/>
      <c r="AG813" s="461"/>
      <c r="AH813" s="461"/>
      <c r="AI813" s="461"/>
      <c r="AJ813" s="461"/>
    </row>
    <row r="814" spans="1:36" x14ac:dyDescent="0.25">
      <c r="A814" t="s">
        <v>697</v>
      </c>
      <c r="B814" t="s">
        <v>481</v>
      </c>
      <c r="H814" s="454" t="s">
        <v>32</v>
      </c>
      <c r="I814" s="496" t="str">
        <f t="shared" si="692"/>
        <v>tr. VND</v>
      </c>
      <c r="K814" s="457" cm="1">
        <f t="array" ref="K814">-SUMPRODUCT('W1'!$H$10:$BC$60*('W1'!$A$10:$A$60=$B814)*('W1'!$H$7:$BC$7="Giá trị đầu tư")*('W1'!$H$6:$BC$6=$A814))*$H$10</f>
        <v>-38110.799999999996</v>
      </c>
      <c r="L814" s="457"/>
      <c r="M814" s="457"/>
      <c r="N814" s="457"/>
      <c r="O814" s="457"/>
      <c r="P814" s="457"/>
      <c r="Q814" s="457"/>
      <c r="R814" s="457"/>
      <c r="S814" s="457"/>
      <c r="T814" s="457"/>
      <c r="U814" s="457"/>
      <c r="V814" s="457"/>
      <c r="W814" s="457"/>
      <c r="X814" s="457"/>
      <c r="Y814" s="457"/>
      <c r="Z814" s="457"/>
      <c r="AA814" s="457"/>
      <c r="AB814" s="457"/>
      <c r="AC814" s="457"/>
      <c r="AD814" s="457"/>
      <c r="AE814" s="457"/>
      <c r="AF814" s="457"/>
      <c r="AG814" s="457"/>
      <c r="AH814" s="457"/>
      <c r="AI814" s="457"/>
      <c r="AJ814" s="457"/>
    </row>
    <row r="815" spans="1:36" x14ac:dyDescent="0.25">
      <c r="A815" t="s">
        <v>697</v>
      </c>
      <c r="B815" t="s">
        <v>482</v>
      </c>
      <c r="H815" s="454" t="s">
        <v>478</v>
      </c>
      <c r="I815" s="496" t="str">
        <f t="shared" si="692"/>
        <v>tr. VND</v>
      </c>
      <c r="K815" s="457" cm="1">
        <f t="array" ref="K815">-SUMPRODUCT('W1'!$H$10:$BC$60*('W1'!$A$10:$A$60=$B815)*('W1'!$H$7:$BC$7="Giá trị đầu tư")*('W1'!$H$6:$BC$6=$A815))*$H$10</f>
        <v>0</v>
      </c>
      <c r="L815" s="457"/>
      <c r="M815" s="457"/>
      <c r="N815" s="457"/>
      <c r="O815" s="457"/>
      <c r="P815" s="457"/>
      <c r="Q815" s="457"/>
      <c r="R815" s="457"/>
      <c r="S815" s="457"/>
      <c r="T815" s="457"/>
      <c r="U815" s="457"/>
      <c r="V815" s="457"/>
      <c r="W815" s="457"/>
      <c r="X815" s="457"/>
      <c r="Y815" s="457"/>
      <c r="Z815" s="457"/>
      <c r="AA815" s="457"/>
      <c r="AB815" s="457"/>
      <c r="AC815" s="457"/>
      <c r="AD815" s="457"/>
      <c r="AE815" s="457"/>
      <c r="AF815" s="457"/>
      <c r="AG815" s="457"/>
      <c r="AH815" s="457"/>
      <c r="AI815" s="457"/>
      <c r="AJ815" s="457"/>
    </row>
    <row r="816" spans="1:36" x14ac:dyDescent="0.25">
      <c r="A816" t="s">
        <v>697</v>
      </c>
      <c r="B816" t="s">
        <v>483</v>
      </c>
      <c r="H816" s="454" t="s">
        <v>479</v>
      </c>
      <c r="I816" s="496" t="str">
        <f t="shared" si="692"/>
        <v>tr. VND</v>
      </c>
      <c r="K816" s="457" cm="1">
        <f t="array" ref="K816">-SUMPRODUCT('W1'!$H$10:$BC$60*('W1'!$A$10:$A$60=$B816)*('W1'!$H$7:$BC$7="Giá trị đầu tư")*('W1'!$H$6:$BC$6=$A816))*$H$10</f>
        <v>-16250</v>
      </c>
      <c r="L816" s="457"/>
      <c r="M816" s="457"/>
      <c r="N816" s="457"/>
      <c r="O816" s="457"/>
      <c r="P816" s="457"/>
      <c r="Q816" s="457"/>
      <c r="R816" s="457"/>
      <c r="S816" s="457"/>
      <c r="T816" s="457"/>
      <c r="U816" s="457"/>
      <c r="V816" s="457"/>
      <c r="W816" s="457"/>
      <c r="X816" s="457"/>
      <c r="Y816" s="457"/>
      <c r="Z816" s="457"/>
      <c r="AA816" s="457"/>
      <c r="AB816" s="457"/>
      <c r="AC816" s="457"/>
      <c r="AD816" s="457"/>
      <c r="AE816" s="457"/>
      <c r="AF816" s="457"/>
      <c r="AG816" s="457"/>
      <c r="AH816" s="457"/>
      <c r="AI816" s="457"/>
      <c r="AJ816" s="457"/>
    </row>
    <row r="817" spans="1:36" x14ac:dyDescent="0.25">
      <c r="A817" t="s">
        <v>697</v>
      </c>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row>
    <row r="818" spans="1:36" s="16" customFormat="1" x14ac:dyDescent="0.25">
      <c r="A818" s="16" t="s">
        <v>697</v>
      </c>
      <c r="H818" s="270" t="s">
        <v>498</v>
      </c>
      <c r="I818" s="271" t="str">
        <f>IF($H$9="USD","USD","tr. VND")</f>
        <v>tr. VND</v>
      </c>
      <c r="K818" s="272">
        <f>K811</f>
        <v>-300749.80000000005</v>
      </c>
      <c r="L818" s="272">
        <f t="shared" ref="L818:AJ818" si="693">L803+L719-(L691+L717)</f>
        <v>12113.73895217324</v>
      </c>
      <c r="M818" s="272">
        <f t="shared" si="693"/>
        <v>28619.165250311831</v>
      </c>
      <c r="N818" s="272">
        <f t="shared" si="693"/>
        <v>49439.482382160044</v>
      </c>
      <c r="O818" s="272">
        <f t="shared" si="693"/>
        <v>49217.723594680734</v>
      </c>
      <c r="P818" s="272">
        <f t="shared" si="693"/>
        <v>48929.374150778567</v>
      </c>
      <c r="Q818" s="272">
        <f t="shared" si="693"/>
        <v>48569.99446329115</v>
      </c>
      <c r="R818" s="272">
        <f t="shared" si="693"/>
        <v>48134.900764611484</v>
      </c>
      <c r="S818" s="272">
        <f t="shared" si="693"/>
        <v>47619.152453643524</v>
      </c>
      <c r="T818" s="272">
        <f t="shared" si="693"/>
        <v>47017.538801226074</v>
      </c>
      <c r="U818" s="272">
        <f t="shared" si="693"/>
        <v>46324.564981768264</v>
      </c>
      <c r="V818" s="272">
        <f t="shared" si="693"/>
        <v>45534.437397229944</v>
      </c>
      <c r="W818" s="272">
        <f t="shared" si="693"/>
        <v>44641.048257874689</v>
      </c>
      <c r="X818" s="272">
        <f t="shared" si="693"/>
        <v>44640.458715783505</v>
      </c>
      <c r="Y818" s="272">
        <f t="shared" si="693"/>
        <v>43520.884511904085</v>
      </c>
      <c r="Z818" s="272">
        <f t="shared" si="693"/>
        <v>42277.674095453156</v>
      </c>
      <c r="AA818" s="272"/>
      <c r="AB818" s="272"/>
      <c r="AC818" s="272"/>
      <c r="AD818" s="272"/>
      <c r="AE818" s="272"/>
      <c r="AF818" s="272"/>
      <c r="AG818" s="272"/>
      <c r="AH818" s="272"/>
      <c r="AI818" s="272"/>
      <c r="AJ818" s="272"/>
    </row>
    <row r="819" spans="1:36" x14ac:dyDescent="0.25">
      <c r="A819" t="s">
        <v>697</v>
      </c>
      <c r="H819" t="s">
        <v>292</v>
      </c>
      <c r="I819" s="65" t="str">
        <f t="shared" ref="I819:I826" si="694">IF($H$9="USD","USD","tr. VND")</f>
        <v>tr. VND</v>
      </c>
      <c r="L819" s="15">
        <f>-(L818+L691)*Tax_rate</f>
        <v>2589.748876232019</v>
      </c>
      <c r="M819" s="15">
        <f t="shared" ref="M819:AJ819" si="695">-(M818+M691)*Tax_rate</f>
        <v>-711.33638339569961</v>
      </c>
      <c r="N819" s="15">
        <f t="shared" si="695"/>
        <v>-4875.3998097653421</v>
      </c>
      <c r="O819" s="15">
        <f t="shared" si="695"/>
        <v>-4831.0480522694806</v>
      </c>
      <c r="P819" s="15">
        <f t="shared" si="695"/>
        <v>-4773.3781634890465</v>
      </c>
      <c r="Q819" s="15">
        <f t="shared" si="695"/>
        <v>-4701.5022259915631</v>
      </c>
      <c r="R819" s="15">
        <f t="shared" si="695"/>
        <v>-4614.4834862556299</v>
      </c>
      <c r="S819" s="15">
        <f t="shared" si="695"/>
        <v>-4511.3338240620387</v>
      </c>
      <c r="T819" s="15">
        <f t="shared" si="695"/>
        <v>-4391.0110935785478</v>
      </c>
      <c r="U819" s="15">
        <f t="shared" si="695"/>
        <v>-4252.4163296869865</v>
      </c>
      <c r="V819" s="15">
        <f t="shared" si="695"/>
        <v>-4094.390812779322</v>
      </c>
      <c r="W819" s="15">
        <f t="shared" si="695"/>
        <v>-3915.7129849082712</v>
      </c>
      <c r="X819" s="15">
        <f t="shared" si="695"/>
        <v>-8928.0917431567013</v>
      </c>
      <c r="Y819" s="15">
        <f t="shared" si="695"/>
        <v>-8704.1769023808174</v>
      </c>
      <c r="Z819" s="15">
        <f t="shared" si="695"/>
        <v>-8455.5348190906316</v>
      </c>
      <c r="AA819" s="15"/>
      <c r="AB819" s="15"/>
      <c r="AC819" s="15"/>
      <c r="AD819" s="15"/>
      <c r="AE819" s="15"/>
      <c r="AF819" s="15"/>
      <c r="AG819" s="15"/>
      <c r="AH819" s="15"/>
      <c r="AI819" s="15"/>
      <c r="AJ819" s="15"/>
    </row>
    <row r="820" spans="1:36" s="16" customFormat="1" x14ac:dyDescent="0.25">
      <c r="A820" s="16" t="s">
        <v>697</v>
      </c>
      <c r="H820" s="270" t="s">
        <v>499</v>
      </c>
      <c r="I820" s="271" t="str">
        <f t="shared" si="694"/>
        <v>tr. VND</v>
      </c>
      <c r="K820" s="272">
        <f>K818+K819</f>
        <v>-300749.80000000005</v>
      </c>
      <c r="L820" s="272">
        <f t="shared" ref="L820:AJ820" si="696">L818+L819</f>
        <v>14703.487828405259</v>
      </c>
      <c r="M820" s="272">
        <f t="shared" si="696"/>
        <v>27907.82886691613</v>
      </c>
      <c r="N820" s="272">
        <f t="shared" si="696"/>
        <v>44564.082572394705</v>
      </c>
      <c r="O820" s="272">
        <f t="shared" si="696"/>
        <v>44386.675542411256</v>
      </c>
      <c r="P820" s="272">
        <f t="shared" si="696"/>
        <v>44155.99598728952</v>
      </c>
      <c r="Q820" s="272">
        <f t="shared" si="696"/>
        <v>43868.492237299586</v>
      </c>
      <c r="R820" s="272">
        <f t="shared" si="696"/>
        <v>43520.417278355853</v>
      </c>
      <c r="S820" s="272">
        <f t="shared" si="696"/>
        <v>43107.818629581488</v>
      </c>
      <c r="T820" s="272">
        <f t="shared" si="696"/>
        <v>42626.527707647525</v>
      </c>
      <c r="U820" s="272">
        <f t="shared" si="696"/>
        <v>42072.148652081276</v>
      </c>
      <c r="V820" s="272">
        <f t="shared" si="696"/>
        <v>41440.046584450625</v>
      </c>
      <c r="W820" s="272">
        <f t="shared" si="696"/>
        <v>40725.335272966418</v>
      </c>
      <c r="X820" s="272">
        <f t="shared" si="696"/>
        <v>35712.366972626805</v>
      </c>
      <c r="Y820" s="272">
        <f t="shared" si="696"/>
        <v>34816.70760952327</v>
      </c>
      <c r="Z820" s="272">
        <f t="shared" si="696"/>
        <v>33822.139276362526</v>
      </c>
      <c r="AA820" s="272"/>
      <c r="AB820" s="272"/>
      <c r="AC820" s="272"/>
      <c r="AD820" s="272"/>
      <c r="AE820" s="272"/>
      <c r="AF820" s="272"/>
      <c r="AG820" s="272"/>
      <c r="AH820" s="272"/>
      <c r="AI820" s="272"/>
      <c r="AJ820" s="272"/>
    </row>
    <row r="821" spans="1:36" x14ac:dyDescent="0.25">
      <c r="A821" t="s">
        <v>697</v>
      </c>
      <c r="H821" t="s">
        <v>500</v>
      </c>
      <c r="K821" s="95">
        <f>INDEX('Cover Page'!$H$23:$AJ$23,MATCH($A821,'Cover Page'!$H$5:$AJ$5,0))</f>
        <v>7.2660000000000016E-2</v>
      </c>
    </row>
    <row r="822" spans="1:36" s="16" customFormat="1" x14ac:dyDescent="0.25">
      <c r="A822" s="16" t="s">
        <v>697</v>
      </c>
      <c r="D822" s="16" t="s">
        <v>515</v>
      </c>
      <c r="H822" s="270" t="s">
        <v>501</v>
      </c>
      <c r="I822" s="271" t="str">
        <f t="shared" si="694"/>
        <v>tr. VND</v>
      </c>
      <c r="K822" s="272">
        <f>K820/POWER(1+$K821,K$14)</f>
        <v>-300749.80000000005</v>
      </c>
      <c r="L822" s="272">
        <f t="shared" ref="L822:AJ822" si="697">L820/POWER(1+$K821,L$14)</f>
        <v>13707.500818903716</v>
      </c>
      <c r="M822" s="272">
        <f t="shared" si="697"/>
        <v>24255.033535768918</v>
      </c>
      <c r="N822" s="272">
        <f t="shared" si="697"/>
        <v>36107.607476648642</v>
      </c>
      <c r="O822" s="272">
        <f t="shared" si="697"/>
        <v>33527.739622920068</v>
      </c>
      <c r="P822" s="272">
        <f t="shared" si="697"/>
        <v>31094.190561435604</v>
      </c>
      <c r="Q822" s="272">
        <f t="shared" si="697"/>
        <v>28799.184669511666</v>
      </c>
      <c r="R822" s="272">
        <f t="shared" si="697"/>
        <v>26635.352554744324</v>
      </c>
      <c r="S822" s="272">
        <f t="shared" si="697"/>
        <v>24595.709782344897</v>
      </c>
      <c r="T822" s="272">
        <f t="shared" si="697"/>
        <v>22673.636729906739</v>
      </c>
      <c r="U822" s="272">
        <f t="shared" si="697"/>
        <v>20862.859508771886</v>
      </c>
      <c r="V822" s="272">
        <f t="shared" si="697"/>
        <v>19157.43189452359</v>
      </c>
      <c r="W822" s="272">
        <f t="shared" si="697"/>
        <v>17551.718212292049</v>
      </c>
      <c r="X822" s="272">
        <f t="shared" si="697"/>
        <v>14348.665762306991</v>
      </c>
      <c r="Y822" s="272">
        <f t="shared" si="697"/>
        <v>13041.228308457545</v>
      </c>
      <c r="Z822" s="272">
        <f t="shared" si="697"/>
        <v>11810.540832393744</v>
      </c>
      <c r="AA822" s="272"/>
      <c r="AB822" s="272"/>
      <c r="AC822" s="272"/>
      <c r="AD822" s="272"/>
      <c r="AE822" s="272"/>
      <c r="AF822" s="272"/>
      <c r="AG822" s="272"/>
      <c r="AH822" s="272"/>
      <c r="AI822" s="272"/>
      <c r="AJ822" s="272"/>
    </row>
    <row r="823" spans="1:36" x14ac:dyDescent="0.25">
      <c r="A823" t="s">
        <v>697</v>
      </c>
      <c r="H823" t="s">
        <v>503</v>
      </c>
      <c r="I823" s="65" t="str">
        <f t="shared" si="694"/>
        <v>tr. VND</v>
      </c>
      <c r="K823" s="15">
        <f>SUM($K822:K822)</f>
        <v>-300749.80000000005</v>
      </c>
      <c r="L823" s="15">
        <f>SUM($K822:L822)</f>
        <v>-287042.29918109631</v>
      </c>
      <c r="M823" s="15">
        <f>SUM($K822:M822)</f>
        <v>-262787.2656453274</v>
      </c>
      <c r="N823" s="15">
        <f>SUM($K822:N822)</f>
        <v>-226679.65816867875</v>
      </c>
      <c r="O823" s="15">
        <f>SUM($K822:O822)</f>
        <v>-193151.9185457587</v>
      </c>
      <c r="P823" s="15">
        <f>SUM($K822:P822)</f>
        <v>-162057.72798432311</v>
      </c>
      <c r="Q823" s="15">
        <f>SUM($K822:Q822)</f>
        <v>-133258.54331481145</v>
      </c>
      <c r="R823" s="15">
        <f>SUM($K822:R822)</f>
        <v>-106623.19076006713</v>
      </c>
      <c r="S823" s="15">
        <f>SUM($K822:S822)</f>
        <v>-82027.480977722225</v>
      </c>
      <c r="T823" s="15">
        <f>SUM($K822:T822)</f>
        <v>-59353.84424781549</v>
      </c>
      <c r="U823" s="15">
        <f>SUM($K822:U822)</f>
        <v>-38490.984739043604</v>
      </c>
      <c r="V823" s="15">
        <f>SUM($K822:V822)</f>
        <v>-19333.552844520014</v>
      </c>
      <c r="W823" s="15">
        <f>SUM($K822:W822)</f>
        <v>-1781.8346322279649</v>
      </c>
      <c r="X823" s="15">
        <f>SUM($K822:X822)</f>
        <v>12566.831130079026</v>
      </c>
      <c r="Y823" s="15">
        <f>SUM($K822:Y822)</f>
        <v>25608.059438536569</v>
      </c>
      <c r="Z823" s="15">
        <f>SUM($K822:Z822)</f>
        <v>37418.600270930314</v>
      </c>
      <c r="AA823" s="15"/>
      <c r="AB823" s="15"/>
      <c r="AC823" s="15"/>
      <c r="AD823" s="15"/>
      <c r="AE823" s="15"/>
      <c r="AF823" s="15"/>
      <c r="AG823" s="15"/>
      <c r="AH823" s="15"/>
      <c r="AI823" s="15"/>
      <c r="AJ823" s="15"/>
    </row>
    <row r="824" spans="1:36" x14ac:dyDescent="0.25">
      <c r="A824" t="s">
        <v>697</v>
      </c>
    </row>
    <row r="825" spans="1:36" ht="15.75" thickBot="1" x14ac:dyDescent="0.3">
      <c r="A825" t="s">
        <v>697</v>
      </c>
    </row>
    <row r="826" spans="1:36" x14ac:dyDescent="0.25">
      <c r="A826" t="s">
        <v>697</v>
      </c>
      <c r="D826" t="s">
        <v>544</v>
      </c>
      <c r="H826" s="96" t="s">
        <v>401</v>
      </c>
      <c r="I826" s="310" t="str">
        <f t="shared" si="694"/>
        <v>tr. VND</v>
      </c>
      <c r="J826" s="311"/>
      <c r="K826" s="97">
        <f>SUM(K822:AJ822)</f>
        <v>37418.600270930314</v>
      </c>
      <c r="L826" s="263"/>
      <c r="M826" s="70"/>
      <c r="N826" s="70"/>
    </row>
    <row r="827" spans="1:36" x14ac:dyDescent="0.25">
      <c r="A827" t="s">
        <v>697</v>
      </c>
      <c r="D827" t="s">
        <v>516</v>
      </c>
      <c r="H827" s="212" t="s">
        <v>402</v>
      </c>
      <c r="I827" s="255"/>
      <c r="J827" s="48"/>
      <c r="K827" s="314">
        <f>IFERROR(IRR(K820:AJ820),0)</f>
        <v>9.0883731569794568E-2</v>
      </c>
    </row>
    <row r="828" spans="1:36" ht="15.75" thickBot="1" x14ac:dyDescent="0.3">
      <c r="A828" t="s">
        <v>697</v>
      </c>
      <c r="D828" t="s">
        <v>517</v>
      </c>
      <c r="H828" s="98" t="s">
        <v>403</v>
      </c>
      <c r="I828" s="312" t="s">
        <v>290</v>
      </c>
      <c r="J828" s="313"/>
      <c r="K828" s="315" cm="1">
        <f t="array" ref="K828">ROUNDUP(IF(K826&lt;0,0,INDEX(K$14:AJ$14,,MATCH(_xlfn.MINIFS(K823:AJ823,K823:AJ823,"&gt;"&amp;0),K823:AJ823))-1-INDEX(K823:AJ823,,MATCH(_xlfn.MINIFS(K823:AJ823,K823:AJ823,"&gt;"&amp;0),K823:AJ823)-1)/INDEX(K822:AJ822,,MATCH(_xlfn.MINIFS(K823:AJ823,K823:AJ823,"&gt;"&amp;0),K823:AJ823))),1)</f>
        <v>12.2</v>
      </c>
    </row>
    <row r="829" spans="1:36" x14ac:dyDescent="0.25">
      <c r="A829" t="s">
        <v>697</v>
      </c>
      <c r="H829" s="316" t="str">
        <f>INT(K828)&amp;" năm"&amp;IF(MOD(K828,1)*12=0,," "&amp;TEXT(MOD(K828,1)*12,"00")&amp;" tháng")</f>
        <v>12 năm 02 tháng</v>
      </c>
    </row>
    <row r="830" spans="1:36" x14ac:dyDescent="0.25">
      <c r="A830" t="s">
        <v>697</v>
      </c>
    </row>
    <row r="831" spans="1:36" x14ac:dyDescent="0.25">
      <c r="A831" t="s">
        <v>697</v>
      </c>
    </row>
    <row r="832" spans="1:36" s="304" customFormat="1" x14ac:dyDescent="0.25">
      <c r="I832" s="305"/>
    </row>
    <row r="833" spans="1:36" s="631" customFormat="1" ht="19.5" x14ac:dyDescent="0.3">
      <c r="A833" s="631" t="s">
        <v>695</v>
      </c>
      <c r="H833" s="632" t="s">
        <v>695</v>
      </c>
      <c r="K833" s="633"/>
      <c r="L833" s="633"/>
      <c r="M833" s="633"/>
      <c r="N833" s="633"/>
      <c r="O833" s="633"/>
      <c r="P833" s="633"/>
      <c r="Q833" s="633"/>
      <c r="R833" s="633"/>
      <c r="S833" s="633"/>
      <c r="T833" s="633"/>
      <c r="U833" s="633"/>
      <c r="V833" s="633"/>
      <c r="W833" s="633"/>
      <c r="X833" s="633"/>
      <c r="Y833" s="633"/>
      <c r="Z833" s="633"/>
      <c r="AA833" s="633"/>
      <c r="AB833" s="633"/>
      <c r="AC833" s="633"/>
      <c r="AD833" s="633"/>
      <c r="AE833" s="633"/>
      <c r="AF833" s="633"/>
      <c r="AG833" s="633"/>
      <c r="AH833" s="633"/>
      <c r="AI833" s="633"/>
      <c r="AJ833" s="633"/>
    </row>
    <row r="834" spans="1:36" x14ac:dyDescent="0.25">
      <c r="A834" t="s">
        <v>695</v>
      </c>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row>
    <row r="835" spans="1:36" s="24" customFormat="1" ht="17.25" x14ac:dyDescent="0.3">
      <c r="A835" s="24" t="s">
        <v>695</v>
      </c>
      <c r="H835" s="24" t="s">
        <v>669</v>
      </c>
      <c r="K835" s="634"/>
      <c r="L835" s="634"/>
      <c r="M835" s="634"/>
      <c r="N835" s="634"/>
      <c r="O835" s="634"/>
      <c r="P835" s="634"/>
      <c r="Q835" s="634"/>
      <c r="R835" s="634"/>
      <c r="S835" s="634"/>
      <c r="T835" s="634"/>
      <c r="U835" s="634"/>
      <c r="V835" s="634"/>
      <c r="W835" s="634"/>
      <c r="X835" s="634"/>
      <c r="Y835" s="634"/>
      <c r="Z835" s="634"/>
      <c r="AA835" s="634"/>
      <c r="AB835" s="634"/>
      <c r="AC835" s="634"/>
      <c r="AD835" s="634"/>
      <c r="AE835" s="634"/>
      <c r="AF835" s="634"/>
      <c r="AG835" s="634"/>
      <c r="AH835" s="634"/>
      <c r="AI835" s="634"/>
      <c r="AJ835" s="634"/>
    </row>
    <row r="836" spans="1:36" x14ac:dyDescent="0.25">
      <c r="A836" t="s">
        <v>695</v>
      </c>
      <c r="H836" s="459" t="s">
        <v>427</v>
      </c>
      <c r="I836" s="493" t="s">
        <v>436</v>
      </c>
      <c r="K836" s="548"/>
      <c r="L836" s="548">
        <f t="shared" ref="L836:AA837" si="698">Capacity*24*365</f>
        <v>7568640</v>
      </c>
      <c r="M836" s="548">
        <f t="shared" si="698"/>
        <v>7568640</v>
      </c>
      <c r="N836" s="548">
        <f t="shared" si="698"/>
        <v>7568640</v>
      </c>
      <c r="O836" s="548">
        <f t="shared" si="698"/>
        <v>7568640</v>
      </c>
      <c r="P836" s="548">
        <f t="shared" si="698"/>
        <v>7568640</v>
      </c>
      <c r="Q836" s="548">
        <f t="shared" si="698"/>
        <v>7568640</v>
      </c>
      <c r="R836" s="548">
        <f t="shared" si="698"/>
        <v>7568640</v>
      </c>
      <c r="S836" s="548">
        <f t="shared" si="698"/>
        <v>7568640</v>
      </c>
      <c r="T836" s="548">
        <f t="shared" si="698"/>
        <v>7568640</v>
      </c>
      <c r="U836" s="548">
        <f t="shared" si="698"/>
        <v>7568640</v>
      </c>
      <c r="V836" s="548">
        <f t="shared" si="698"/>
        <v>7568640</v>
      </c>
      <c r="W836" s="548">
        <f t="shared" si="698"/>
        <v>7568640</v>
      </c>
      <c r="X836" s="548">
        <f t="shared" si="698"/>
        <v>7568640</v>
      </c>
      <c r="Y836" s="548">
        <f t="shared" si="698"/>
        <v>7568640</v>
      </c>
      <c r="Z836" s="548">
        <f t="shared" si="698"/>
        <v>7568640</v>
      </c>
      <c r="AA836" s="548"/>
      <c r="AB836" s="548"/>
      <c r="AC836" s="548"/>
      <c r="AD836" s="548"/>
      <c r="AE836" s="548"/>
      <c r="AF836" s="548"/>
      <c r="AG836" s="548"/>
      <c r="AH836" s="548"/>
      <c r="AI836" s="548"/>
      <c r="AJ836" s="548"/>
    </row>
    <row r="837" spans="1:36" x14ac:dyDescent="0.25">
      <c r="A837" t="s">
        <v>695</v>
      </c>
      <c r="H837" s="454" t="s">
        <v>427</v>
      </c>
      <c r="I837" s="496" t="s">
        <v>320</v>
      </c>
      <c r="K837" s="549"/>
      <c r="L837" s="549">
        <f t="shared" si="698"/>
        <v>7568640</v>
      </c>
      <c r="M837" s="549">
        <f t="shared" si="698"/>
        <v>7568640</v>
      </c>
      <c r="N837" s="549">
        <f t="shared" si="698"/>
        <v>7568640</v>
      </c>
      <c r="O837" s="549">
        <f t="shared" si="698"/>
        <v>7568640</v>
      </c>
      <c r="P837" s="549">
        <f t="shared" si="698"/>
        <v>7568640</v>
      </c>
      <c r="Q837" s="549">
        <f t="shared" si="698"/>
        <v>7568640</v>
      </c>
      <c r="R837" s="549">
        <f t="shared" si="698"/>
        <v>7568640</v>
      </c>
      <c r="S837" s="549">
        <f t="shared" si="698"/>
        <v>7568640</v>
      </c>
      <c r="T837" s="549">
        <f t="shared" si="698"/>
        <v>7568640</v>
      </c>
      <c r="U837" s="549">
        <f t="shared" si="698"/>
        <v>7568640</v>
      </c>
      <c r="V837" s="549">
        <f t="shared" si="698"/>
        <v>7568640</v>
      </c>
      <c r="W837" s="549">
        <f t="shared" si="698"/>
        <v>7568640</v>
      </c>
      <c r="X837" s="549">
        <f t="shared" si="698"/>
        <v>7568640</v>
      </c>
      <c r="Y837" s="549">
        <f t="shared" si="698"/>
        <v>7568640</v>
      </c>
      <c r="Z837" s="549">
        <f t="shared" si="698"/>
        <v>7568640</v>
      </c>
      <c r="AA837" s="549"/>
      <c r="AB837" s="549"/>
      <c r="AC837" s="549"/>
      <c r="AD837" s="549"/>
      <c r="AE837" s="549"/>
      <c r="AF837" s="549"/>
      <c r="AG837" s="549"/>
      <c r="AH837" s="549"/>
      <c r="AI837" s="549"/>
      <c r="AJ837" s="549"/>
    </row>
    <row r="838" spans="1:36" s="250" customFormat="1" x14ac:dyDescent="0.25">
      <c r="A838" s="250" t="s">
        <v>695</v>
      </c>
      <c r="H838" s="536" t="s">
        <v>460</v>
      </c>
      <c r="I838" s="547"/>
      <c r="K838" s="550"/>
      <c r="L838" s="551">
        <v>0.88</v>
      </c>
      <c r="M838" s="551">
        <v>0.88</v>
      </c>
      <c r="N838" s="551">
        <v>0.88</v>
      </c>
      <c r="O838" s="551">
        <v>0.88</v>
      </c>
      <c r="P838" s="551">
        <v>0.88</v>
      </c>
      <c r="Q838" s="551">
        <v>0.88</v>
      </c>
      <c r="R838" s="551">
        <v>0.88</v>
      </c>
      <c r="S838" s="551">
        <v>0.88</v>
      </c>
      <c r="T838" s="551">
        <v>0.88</v>
      </c>
      <c r="U838" s="551">
        <v>0.88</v>
      </c>
      <c r="V838" s="551">
        <v>0.88</v>
      </c>
      <c r="W838" s="551">
        <v>0.88</v>
      </c>
      <c r="X838" s="551">
        <v>0.88</v>
      </c>
      <c r="Y838" s="551">
        <v>0.88</v>
      </c>
      <c r="Z838" s="551">
        <v>0.88</v>
      </c>
      <c r="AA838" s="551"/>
      <c r="AB838" s="551"/>
      <c r="AC838" s="551"/>
      <c r="AD838" s="551"/>
      <c r="AE838" s="551"/>
      <c r="AF838" s="551"/>
      <c r="AG838" s="551"/>
      <c r="AH838" s="551"/>
      <c r="AI838" s="551"/>
      <c r="AJ838" s="551"/>
    </row>
    <row r="839" spans="1:36" s="250" customFormat="1" x14ac:dyDescent="0.25">
      <c r="A839" s="250" t="s">
        <v>695</v>
      </c>
      <c r="H839" s="536" t="s">
        <v>461</v>
      </c>
      <c r="I839" s="547"/>
      <c r="K839" s="550"/>
      <c r="L839" s="551">
        <v>0.5</v>
      </c>
      <c r="M839" s="551">
        <v>0.7</v>
      </c>
      <c r="N839" s="551">
        <v>1</v>
      </c>
      <c r="O839" s="551">
        <v>1</v>
      </c>
      <c r="P839" s="551">
        <v>1</v>
      </c>
      <c r="Q839" s="551">
        <v>1</v>
      </c>
      <c r="R839" s="551">
        <v>1</v>
      </c>
      <c r="S839" s="551">
        <v>1</v>
      </c>
      <c r="T839" s="551">
        <v>1</v>
      </c>
      <c r="U839" s="551">
        <v>1</v>
      </c>
      <c r="V839" s="551">
        <v>1</v>
      </c>
      <c r="W839" s="551">
        <v>1</v>
      </c>
      <c r="X839" s="551">
        <v>1</v>
      </c>
      <c r="Y839" s="551">
        <v>1</v>
      </c>
      <c r="Z839" s="551">
        <v>1</v>
      </c>
      <c r="AA839" s="551"/>
      <c r="AB839" s="551"/>
      <c r="AC839" s="551"/>
      <c r="AD839" s="551"/>
      <c r="AE839" s="551"/>
      <c r="AF839" s="551"/>
      <c r="AG839" s="551"/>
      <c r="AH839" s="551"/>
      <c r="AI839" s="551"/>
      <c r="AJ839" s="551"/>
    </row>
    <row r="840" spans="1:36" x14ac:dyDescent="0.25">
      <c r="A840" t="s">
        <v>695</v>
      </c>
      <c r="B840" t="s">
        <v>437</v>
      </c>
      <c r="H840" s="454" t="s">
        <v>70</v>
      </c>
      <c r="I840" s="496"/>
      <c r="K840" s="549"/>
      <c r="L840" s="552" cm="1">
        <f t="array" ref="L840">SUMPRODUCT('W2'!$M$12:$V$112*('W2'!$M$7:$V$7=$A840)*('W2'!$A$12:$A$112=$B840))</f>
        <v>7.0000000000000007E-2</v>
      </c>
      <c r="M840" s="552">
        <f>L840</f>
        <v>7.0000000000000007E-2</v>
      </c>
      <c r="N840" s="552">
        <f t="shared" ref="N840" si="699">M840</f>
        <v>7.0000000000000007E-2</v>
      </c>
      <c r="O840" s="552">
        <f t="shared" ref="O840" si="700">N840</f>
        <v>7.0000000000000007E-2</v>
      </c>
      <c r="P840" s="552">
        <f t="shared" ref="P840" si="701">O840</f>
        <v>7.0000000000000007E-2</v>
      </c>
      <c r="Q840" s="552">
        <f t="shared" ref="Q840" si="702">P840</f>
        <v>7.0000000000000007E-2</v>
      </c>
      <c r="R840" s="552">
        <f t="shared" ref="R840" si="703">Q840</f>
        <v>7.0000000000000007E-2</v>
      </c>
      <c r="S840" s="552">
        <f t="shared" ref="S840" si="704">R840</f>
        <v>7.0000000000000007E-2</v>
      </c>
      <c r="T840" s="552">
        <f t="shared" ref="T840" si="705">S840</f>
        <v>7.0000000000000007E-2</v>
      </c>
      <c r="U840" s="552">
        <f t="shared" ref="U840" si="706">T840</f>
        <v>7.0000000000000007E-2</v>
      </c>
      <c r="V840" s="552">
        <f t="shared" ref="V840" si="707">U840</f>
        <v>7.0000000000000007E-2</v>
      </c>
      <c r="W840" s="552">
        <f t="shared" ref="W840" si="708">V840</f>
        <v>7.0000000000000007E-2</v>
      </c>
      <c r="X840" s="552">
        <f t="shared" ref="X840" si="709">W840</f>
        <v>7.0000000000000007E-2</v>
      </c>
      <c r="Y840" s="552">
        <f t="shared" ref="Y840" si="710">X840</f>
        <v>7.0000000000000007E-2</v>
      </c>
      <c r="Z840" s="552">
        <f t="shared" ref="Z840" si="711">Y840</f>
        <v>7.0000000000000007E-2</v>
      </c>
      <c r="AA840" s="552"/>
      <c r="AB840" s="552"/>
      <c r="AC840" s="552"/>
      <c r="AD840" s="552"/>
      <c r="AE840" s="552"/>
      <c r="AF840" s="552"/>
      <c r="AG840" s="552"/>
      <c r="AH840" s="552"/>
      <c r="AI840" s="552"/>
      <c r="AJ840" s="552"/>
    </row>
    <row r="841" spans="1:36" x14ac:dyDescent="0.25">
      <c r="A841" t="s">
        <v>695</v>
      </c>
      <c r="H841" s="454" t="s">
        <v>59</v>
      </c>
      <c r="I841" s="496"/>
      <c r="K841" s="549"/>
      <c r="L841" s="549">
        <f>365*L838*L839</f>
        <v>160.6</v>
      </c>
      <c r="M841" s="549">
        <f t="shared" ref="M841:AJ841" si="712">365*M838*M839</f>
        <v>224.83999999999997</v>
      </c>
      <c r="N841" s="549">
        <f t="shared" si="712"/>
        <v>321.2</v>
      </c>
      <c r="O841" s="549">
        <f t="shared" si="712"/>
        <v>321.2</v>
      </c>
      <c r="P841" s="549">
        <f t="shared" si="712"/>
        <v>321.2</v>
      </c>
      <c r="Q841" s="549">
        <f t="shared" si="712"/>
        <v>321.2</v>
      </c>
      <c r="R841" s="549">
        <f t="shared" si="712"/>
        <v>321.2</v>
      </c>
      <c r="S841" s="549">
        <f t="shared" si="712"/>
        <v>321.2</v>
      </c>
      <c r="T841" s="549">
        <f t="shared" si="712"/>
        <v>321.2</v>
      </c>
      <c r="U841" s="549">
        <f t="shared" si="712"/>
        <v>321.2</v>
      </c>
      <c r="V841" s="549">
        <f t="shared" si="712"/>
        <v>321.2</v>
      </c>
      <c r="W841" s="549">
        <f t="shared" si="712"/>
        <v>321.2</v>
      </c>
      <c r="X841" s="549">
        <f t="shared" si="712"/>
        <v>321.2</v>
      </c>
      <c r="Y841" s="549">
        <f t="shared" si="712"/>
        <v>321.2</v>
      </c>
      <c r="Z841" s="549">
        <f t="shared" si="712"/>
        <v>321.2</v>
      </c>
      <c r="AA841" s="549"/>
      <c r="AB841" s="549"/>
      <c r="AC841" s="549"/>
      <c r="AD841" s="549"/>
      <c r="AE841" s="549"/>
      <c r="AF841" s="549"/>
      <c r="AG841" s="549"/>
      <c r="AH841" s="549"/>
      <c r="AI841" s="549"/>
      <c r="AJ841" s="549"/>
    </row>
    <row r="842" spans="1:36" x14ac:dyDescent="0.25">
      <c r="A842" t="s">
        <v>695</v>
      </c>
      <c r="C842" t="s">
        <v>574</v>
      </c>
      <c r="H842" s="454" t="s">
        <v>202</v>
      </c>
      <c r="I842" s="496" t="s">
        <v>436</v>
      </c>
      <c r="K842" s="549"/>
      <c r="L842" s="549">
        <f>L836*L838*(1-L840)*L839</f>
        <v>3097087.4879999999</v>
      </c>
      <c r="M842" s="549">
        <f t="shared" ref="M842:AJ842" si="713">M836*M838*(1-M840)*M839</f>
        <v>4335922.4831999997</v>
      </c>
      <c r="N842" s="549">
        <f t="shared" si="713"/>
        <v>6194174.9759999998</v>
      </c>
      <c r="O842" s="549">
        <f t="shared" si="713"/>
        <v>6194174.9759999998</v>
      </c>
      <c r="P842" s="549">
        <f t="shared" si="713"/>
        <v>6194174.9759999998</v>
      </c>
      <c r="Q842" s="549">
        <f t="shared" si="713"/>
        <v>6194174.9759999998</v>
      </c>
      <c r="R842" s="549">
        <f t="shared" si="713"/>
        <v>6194174.9759999998</v>
      </c>
      <c r="S842" s="549">
        <f t="shared" si="713"/>
        <v>6194174.9759999998</v>
      </c>
      <c r="T842" s="549">
        <f t="shared" si="713"/>
        <v>6194174.9759999998</v>
      </c>
      <c r="U842" s="549">
        <f t="shared" si="713"/>
        <v>6194174.9759999998</v>
      </c>
      <c r="V842" s="549">
        <f t="shared" si="713"/>
        <v>6194174.9759999998</v>
      </c>
      <c r="W842" s="549">
        <f t="shared" si="713"/>
        <v>6194174.9759999998</v>
      </c>
      <c r="X842" s="549">
        <f t="shared" si="713"/>
        <v>6194174.9759999998</v>
      </c>
      <c r="Y842" s="549">
        <f t="shared" si="713"/>
        <v>6194174.9759999998</v>
      </c>
      <c r="Z842" s="549">
        <f t="shared" si="713"/>
        <v>6194174.9759999998</v>
      </c>
      <c r="AA842" s="549"/>
      <c r="AB842" s="549"/>
      <c r="AC842" s="549"/>
      <c r="AD842" s="549"/>
      <c r="AE842" s="549"/>
      <c r="AF842" s="549"/>
      <c r="AG842" s="549"/>
      <c r="AH842" s="549"/>
      <c r="AI842" s="549"/>
      <c r="AJ842" s="549"/>
    </row>
    <row r="843" spans="1:36" x14ac:dyDescent="0.25">
      <c r="A843" t="s">
        <v>695</v>
      </c>
      <c r="C843" t="s">
        <v>575</v>
      </c>
      <c r="H843" s="454" t="s">
        <v>202</v>
      </c>
      <c r="I843" s="496" t="s">
        <v>320</v>
      </c>
      <c r="K843" s="549"/>
      <c r="L843" s="549">
        <f t="shared" ref="L843:AJ843" si="714">L842*PHOI_KG</f>
        <v>206472499.20000002</v>
      </c>
      <c r="M843" s="549">
        <f t="shared" si="714"/>
        <v>289061498.88</v>
      </c>
      <c r="N843" s="549">
        <f t="shared" si="714"/>
        <v>412944998.40000004</v>
      </c>
      <c r="O843" s="549">
        <f t="shared" si="714"/>
        <v>412944998.40000004</v>
      </c>
      <c r="P843" s="549">
        <f t="shared" si="714"/>
        <v>412944998.40000004</v>
      </c>
      <c r="Q843" s="549">
        <f t="shared" si="714"/>
        <v>412944998.40000004</v>
      </c>
      <c r="R843" s="549">
        <f t="shared" si="714"/>
        <v>412944998.40000004</v>
      </c>
      <c r="S843" s="549">
        <f t="shared" si="714"/>
        <v>412944998.40000004</v>
      </c>
      <c r="T843" s="549">
        <f t="shared" si="714"/>
        <v>412944998.40000004</v>
      </c>
      <c r="U843" s="549">
        <f t="shared" si="714"/>
        <v>412944998.40000004</v>
      </c>
      <c r="V843" s="549">
        <f t="shared" si="714"/>
        <v>412944998.40000004</v>
      </c>
      <c r="W843" s="549">
        <f t="shared" si="714"/>
        <v>412944998.40000004</v>
      </c>
      <c r="X843" s="549">
        <f t="shared" si="714"/>
        <v>412944998.40000004</v>
      </c>
      <c r="Y843" s="549">
        <f t="shared" si="714"/>
        <v>412944998.40000004</v>
      </c>
      <c r="Z843" s="549">
        <f t="shared" si="714"/>
        <v>412944998.40000004</v>
      </c>
      <c r="AA843" s="549"/>
      <c r="AB843" s="549"/>
      <c r="AC843" s="549"/>
      <c r="AD843" s="549"/>
      <c r="AE843" s="549"/>
      <c r="AF843" s="549"/>
      <c r="AG843" s="549"/>
      <c r="AH843" s="549"/>
      <c r="AI843" s="549"/>
      <c r="AJ843" s="549"/>
    </row>
    <row r="844" spans="1:36" x14ac:dyDescent="0.25">
      <c r="A844" t="s">
        <v>695</v>
      </c>
      <c r="K844" s="243"/>
      <c r="L844" s="243"/>
      <c r="M844" s="243"/>
      <c r="N844" s="243"/>
      <c r="O844" s="243"/>
      <c r="P844" s="243"/>
      <c r="Q844" s="243"/>
      <c r="R844" s="243"/>
      <c r="S844" s="243"/>
      <c r="T844" s="243"/>
      <c r="U844" s="243"/>
      <c r="V844" s="243"/>
      <c r="W844" s="243"/>
      <c r="X844" s="243"/>
      <c r="Y844" s="243"/>
      <c r="Z844" s="243"/>
      <c r="AA844" s="243"/>
      <c r="AB844" s="243"/>
      <c r="AC844" s="243"/>
      <c r="AD844" s="243"/>
      <c r="AE844" s="243"/>
      <c r="AF844" s="243"/>
      <c r="AG844" s="243"/>
      <c r="AH844" s="243"/>
      <c r="AI844" s="243"/>
      <c r="AJ844" s="243"/>
    </row>
    <row r="845" spans="1:36" s="24" customFormat="1" ht="17.25" x14ac:dyDescent="0.3">
      <c r="A845" s="24" t="s">
        <v>695</v>
      </c>
      <c r="H845" s="24" t="s">
        <v>670</v>
      </c>
      <c r="K845" s="635"/>
      <c r="L845" s="635"/>
      <c r="M845" s="635"/>
      <c r="N845" s="635"/>
      <c r="O845" s="635"/>
      <c r="P845" s="635"/>
      <c r="Q845" s="635"/>
      <c r="R845" s="635"/>
      <c r="S845" s="635"/>
      <c r="T845" s="635"/>
      <c r="U845" s="635"/>
      <c r="V845" s="635"/>
      <c r="W845" s="635"/>
      <c r="X845" s="635"/>
      <c r="Y845" s="635"/>
      <c r="Z845" s="635"/>
      <c r="AA845" s="635"/>
      <c r="AB845" s="635"/>
      <c r="AC845" s="635"/>
      <c r="AD845" s="635"/>
      <c r="AE845" s="635"/>
      <c r="AF845" s="635"/>
      <c r="AG845" s="635"/>
      <c r="AH845" s="635"/>
      <c r="AI845" s="635"/>
      <c r="AJ845" s="635"/>
    </row>
    <row r="846" spans="1:36" s="250" customFormat="1" x14ac:dyDescent="0.25">
      <c r="A846" s="250" t="s">
        <v>695</v>
      </c>
      <c r="B846" s="250" t="s">
        <v>665</v>
      </c>
      <c r="H846" s="625" t="s">
        <v>663</v>
      </c>
      <c r="I846" s="626" t="s">
        <v>71</v>
      </c>
      <c r="K846" s="627"/>
      <c r="L846" s="630" cm="1">
        <f t="array" ref="L846">SUMPRODUCT('W2'!$M$12:$V$112*('W2'!$M$7:$V$7=$A846)*('W2'!$A$12:$A$112=$B846))</f>
        <v>2.0000000000000001E-4</v>
      </c>
      <c r="M846" s="629">
        <f>L846</f>
        <v>2.0000000000000001E-4</v>
      </c>
      <c r="N846" s="629">
        <f t="shared" ref="N846:N847" si="715">M846</f>
        <v>2.0000000000000001E-4</v>
      </c>
      <c r="O846" s="629">
        <f t="shared" ref="O846:O847" si="716">N846</f>
        <v>2.0000000000000001E-4</v>
      </c>
      <c r="P846" s="629">
        <f t="shared" ref="P846:P847" si="717">O846</f>
        <v>2.0000000000000001E-4</v>
      </c>
      <c r="Q846" s="629">
        <f t="shared" ref="Q846:Q847" si="718">P846</f>
        <v>2.0000000000000001E-4</v>
      </c>
      <c r="R846" s="629">
        <f t="shared" ref="R846:R847" si="719">Q846</f>
        <v>2.0000000000000001E-4</v>
      </c>
      <c r="S846" s="629">
        <f t="shared" ref="S846:S847" si="720">R846</f>
        <v>2.0000000000000001E-4</v>
      </c>
      <c r="T846" s="629">
        <f t="shared" ref="T846:T847" si="721">S846</f>
        <v>2.0000000000000001E-4</v>
      </c>
      <c r="U846" s="629">
        <f t="shared" ref="U846:U847" si="722">T846</f>
        <v>2.0000000000000001E-4</v>
      </c>
      <c r="V846" s="629">
        <f t="shared" ref="V846:V847" si="723">U846</f>
        <v>2.0000000000000001E-4</v>
      </c>
      <c r="W846" s="629">
        <f t="shared" ref="W846:W847" si="724">V846</f>
        <v>2.0000000000000001E-4</v>
      </c>
      <c r="X846" s="629">
        <f t="shared" ref="X846:X847" si="725">W846</f>
        <v>2.0000000000000001E-4</v>
      </c>
      <c r="Y846" s="629">
        <f t="shared" ref="Y846:Y847" si="726">X846</f>
        <v>2.0000000000000001E-4</v>
      </c>
      <c r="Z846" s="629">
        <f t="shared" ref="Z846:Z847" si="727">Y846</f>
        <v>2.0000000000000001E-4</v>
      </c>
      <c r="AA846" s="629"/>
      <c r="AB846" s="629"/>
      <c r="AC846" s="629"/>
      <c r="AD846" s="629"/>
      <c r="AE846" s="629"/>
      <c r="AF846" s="629"/>
      <c r="AG846" s="629"/>
      <c r="AH846" s="629"/>
      <c r="AI846" s="629"/>
      <c r="AJ846" s="629"/>
    </row>
    <row r="847" spans="1:36" s="250" customFormat="1" x14ac:dyDescent="0.25">
      <c r="A847" s="250" t="s">
        <v>695</v>
      </c>
      <c r="B847" s="250" t="s">
        <v>666</v>
      </c>
      <c r="H847" s="536" t="s">
        <v>664</v>
      </c>
      <c r="I847" s="547" t="s">
        <v>71</v>
      </c>
      <c r="K847" s="628"/>
      <c r="L847" s="630" cm="1">
        <f t="array" ref="L847">SUMPRODUCT('W2'!$M$12:$V$112*('W2'!$M$7:$V$7=$A847)*('W2'!$A$12:$A$112=$B847))</f>
        <v>0</v>
      </c>
      <c r="M847" s="629">
        <f>L847</f>
        <v>0</v>
      </c>
      <c r="N847" s="629">
        <f t="shared" si="715"/>
        <v>0</v>
      </c>
      <c r="O847" s="629">
        <f t="shared" si="716"/>
        <v>0</v>
      </c>
      <c r="P847" s="629">
        <f t="shared" si="717"/>
        <v>0</v>
      </c>
      <c r="Q847" s="629">
        <f t="shared" si="718"/>
        <v>0</v>
      </c>
      <c r="R847" s="629">
        <f t="shared" si="719"/>
        <v>0</v>
      </c>
      <c r="S847" s="629">
        <f t="shared" si="720"/>
        <v>0</v>
      </c>
      <c r="T847" s="629">
        <f t="shared" si="721"/>
        <v>0</v>
      </c>
      <c r="U847" s="629">
        <f t="shared" si="722"/>
        <v>0</v>
      </c>
      <c r="V847" s="629">
        <f t="shared" si="723"/>
        <v>0</v>
      </c>
      <c r="W847" s="629">
        <f t="shared" si="724"/>
        <v>0</v>
      </c>
      <c r="X847" s="629">
        <f t="shared" si="725"/>
        <v>0</v>
      </c>
      <c r="Y847" s="629">
        <f t="shared" si="726"/>
        <v>0</v>
      </c>
      <c r="Z847" s="629">
        <f t="shared" si="727"/>
        <v>0</v>
      </c>
      <c r="AA847" s="629"/>
      <c r="AB847" s="629"/>
      <c r="AC847" s="629"/>
      <c r="AD847" s="629"/>
      <c r="AE847" s="629"/>
      <c r="AF847" s="629"/>
      <c r="AG847" s="629"/>
      <c r="AH847" s="629"/>
      <c r="AI847" s="629"/>
      <c r="AJ847" s="629"/>
    </row>
    <row r="848" spans="1:36" x14ac:dyDescent="0.25">
      <c r="A848" t="s">
        <v>695</v>
      </c>
      <c r="H848" s="454" t="s">
        <v>671</v>
      </c>
      <c r="I848" s="496" t="s">
        <v>436</v>
      </c>
      <c r="K848" s="549"/>
      <c r="L848" s="549">
        <f>L846*L842/(1-L840)</f>
        <v>666.04032000000007</v>
      </c>
      <c r="M848" s="549">
        <f>M846*M842/(1-M840)</f>
        <v>932.45644800000014</v>
      </c>
      <c r="N848" s="549">
        <f t="shared" ref="N848:AJ848" si="728">N846*N842/(1-N840)</f>
        <v>1332.0806400000001</v>
      </c>
      <c r="O848" s="549">
        <f t="shared" si="728"/>
        <v>1332.0806400000001</v>
      </c>
      <c r="P848" s="549">
        <f t="shared" si="728"/>
        <v>1332.0806400000001</v>
      </c>
      <c r="Q848" s="549">
        <f t="shared" si="728"/>
        <v>1332.0806400000001</v>
      </c>
      <c r="R848" s="549">
        <f t="shared" si="728"/>
        <v>1332.0806400000001</v>
      </c>
      <c r="S848" s="549">
        <f t="shared" si="728"/>
        <v>1332.0806400000001</v>
      </c>
      <c r="T848" s="549">
        <f t="shared" si="728"/>
        <v>1332.0806400000001</v>
      </c>
      <c r="U848" s="549">
        <f t="shared" si="728"/>
        <v>1332.0806400000001</v>
      </c>
      <c r="V848" s="549">
        <f t="shared" si="728"/>
        <v>1332.0806400000001</v>
      </c>
      <c r="W848" s="549">
        <f t="shared" si="728"/>
        <v>1332.0806400000001</v>
      </c>
      <c r="X848" s="549">
        <f t="shared" si="728"/>
        <v>1332.0806400000001</v>
      </c>
      <c r="Y848" s="549">
        <f t="shared" si="728"/>
        <v>1332.0806400000001</v>
      </c>
      <c r="Z848" s="549">
        <f t="shared" si="728"/>
        <v>1332.0806400000001</v>
      </c>
      <c r="AA848" s="549"/>
      <c r="AB848" s="549"/>
      <c r="AC848" s="549"/>
      <c r="AD848" s="549"/>
      <c r="AE848" s="549"/>
      <c r="AF848" s="549"/>
      <c r="AG848" s="549"/>
      <c r="AH848" s="549"/>
      <c r="AI848" s="549"/>
      <c r="AJ848" s="549"/>
    </row>
    <row r="849" spans="1:36" x14ac:dyDescent="0.25">
      <c r="A849" t="s">
        <v>695</v>
      </c>
      <c r="H849" s="454" t="s">
        <v>675</v>
      </c>
      <c r="I849" s="496" t="s">
        <v>436</v>
      </c>
      <c r="K849" s="549"/>
      <c r="L849" s="549">
        <f>L847*L842/(1-L840)</f>
        <v>0</v>
      </c>
      <c r="M849" s="549">
        <f t="shared" ref="M849:AJ849" si="729">M847*M842/(1-M840)</f>
        <v>0</v>
      </c>
      <c r="N849" s="549">
        <f t="shared" si="729"/>
        <v>0</v>
      </c>
      <c r="O849" s="549">
        <f t="shared" si="729"/>
        <v>0</v>
      </c>
      <c r="P849" s="549">
        <f t="shared" si="729"/>
        <v>0</v>
      </c>
      <c r="Q849" s="549">
        <f t="shared" si="729"/>
        <v>0</v>
      </c>
      <c r="R849" s="549">
        <f t="shared" si="729"/>
        <v>0</v>
      </c>
      <c r="S849" s="549">
        <f t="shared" si="729"/>
        <v>0</v>
      </c>
      <c r="T849" s="549">
        <f t="shared" si="729"/>
        <v>0</v>
      </c>
      <c r="U849" s="549">
        <f t="shared" si="729"/>
        <v>0</v>
      </c>
      <c r="V849" s="549">
        <f t="shared" si="729"/>
        <v>0</v>
      </c>
      <c r="W849" s="549">
        <f t="shared" si="729"/>
        <v>0</v>
      </c>
      <c r="X849" s="549">
        <f t="shared" si="729"/>
        <v>0</v>
      </c>
      <c r="Y849" s="549">
        <f t="shared" si="729"/>
        <v>0</v>
      </c>
      <c r="Z849" s="549">
        <f t="shared" si="729"/>
        <v>0</v>
      </c>
      <c r="AA849" s="549"/>
      <c r="AB849" s="549"/>
      <c r="AC849" s="549"/>
      <c r="AD849" s="549"/>
      <c r="AE849" s="549"/>
      <c r="AF849" s="549"/>
      <c r="AG849" s="549"/>
      <c r="AH849" s="549"/>
      <c r="AI849" s="549"/>
      <c r="AJ849" s="549"/>
    </row>
    <row r="850" spans="1:36" x14ac:dyDescent="0.25">
      <c r="A850" t="s">
        <v>695</v>
      </c>
      <c r="K850" s="243"/>
      <c r="L850" s="243"/>
      <c r="M850" s="243"/>
      <c r="N850" s="243"/>
      <c r="O850" s="243"/>
      <c r="P850" s="243"/>
      <c r="Q850" s="243"/>
      <c r="R850" s="243"/>
      <c r="S850" s="243"/>
      <c r="T850" s="243"/>
      <c r="U850" s="243"/>
      <c r="V850" s="243"/>
      <c r="W850" s="243"/>
      <c r="X850" s="243"/>
      <c r="Y850" s="243"/>
      <c r="Z850" s="243"/>
      <c r="AA850" s="243"/>
      <c r="AB850" s="243"/>
      <c r="AC850" s="243"/>
      <c r="AD850" s="243"/>
      <c r="AE850" s="243"/>
      <c r="AF850" s="243"/>
      <c r="AG850" s="243"/>
      <c r="AH850" s="243"/>
      <c r="AI850" s="243"/>
      <c r="AJ850" s="243"/>
    </row>
    <row r="851" spans="1:36" x14ac:dyDescent="0.25">
      <c r="A851" t="s">
        <v>695</v>
      </c>
      <c r="K851" s="243"/>
      <c r="L851" s="243"/>
      <c r="M851" s="243"/>
      <c r="N851" s="243"/>
      <c r="O851" s="243"/>
      <c r="P851" s="243"/>
      <c r="Q851" s="243"/>
      <c r="R851" s="243"/>
      <c r="S851" s="243"/>
      <c r="T851" s="243"/>
      <c r="U851" s="243"/>
      <c r="V851" s="243"/>
      <c r="W851" s="243"/>
      <c r="X851" s="243"/>
      <c r="Y851" s="243"/>
      <c r="Z851" s="243"/>
      <c r="AA851" s="243"/>
      <c r="AB851" s="243"/>
      <c r="AC851" s="243"/>
      <c r="AD851" s="243"/>
      <c r="AE851" s="243"/>
      <c r="AF851" s="243"/>
      <c r="AG851" s="243"/>
      <c r="AH851" s="243"/>
      <c r="AI851" s="243"/>
      <c r="AJ851" s="243"/>
    </row>
    <row r="852" spans="1:36" x14ac:dyDescent="0.25">
      <c r="A852" t="s">
        <v>695</v>
      </c>
      <c r="K852" s="243"/>
      <c r="L852" s="243"/>
      <c r="M852" s="243"/>
      <c r="N852" s="243"/>
      <c r="O852" s="243"/>
      <c r="P852" s="243"/>
      <c r="Q852" s="243"/>
      <c r="R852" s="243"/>
      <c r="S852" s="243"/>
      <c r="T852" s="243"/>
      <c r="U852" s="243"/>
      <c r="V852" s="243"/>
      <c r="W852" s="243"/>
      <c r="X852" s="243"/>
      <c r="Y852" s="243"/>
      <c r="Z852" s="243"/>
      <c r="AA852" s="243"/>
      <c r="AB852" s="243"/>
      <c r="AC852" s="243"/>
      <c r="AD852" s="243"/>
      <c r="AE852" s="243"/>
      <c r="AF852" s="243"/>
      <c r="AG852" s="243"/>
      <c r="AH852" s="243"/>
      <c r="AI852" s="243"/>
      <c r="AJ852" s="243"/>
    </row>
    <row r="853" spans="1:36" s="1" customFormat="1" x14ac:dyDescent="0.25">
      <c r="A853" s="1" t="s">
        <v>695</v>
      </c>
      <c r="H853" s="266" t="s">
        <v>434</v>
      </c>
      <c r="I853" s="267" t="str">
        <f t="shared" ref="I853:I861" si="730">IF($H$9="USD","USD","tr. VND")</f>
        <v>tr. VND</v>
      </c>
      <c r="K853" s="268">
        <f t="shared" ref="K853" si="731">SUM(K854:K855,K858:K861,)</f>
        <v>0</v>
      </c>
      <c r="L853" s="268">
        <f>SUM(L854:L855,L858:L861,)</f>
        <v>-49949.936933333338</v>
      </c>
      <c r="M853" s="268">
        <f t="shared" ref="M853:AJ853" si="732">SUM(M854:M855,M858:M861,)</f>
        <v>-49949.936933333338</v>
      </c>
      <c r="N853" s="268">
        <f t="shared" si="732"/>
        <v>-50849.234633333333</v>
      </c>
      <c r="O853" s="268">
        <f t="shared" si="732"/>
        <v>-51793.497218333338</v>
      </c>
      <c r="P853" s="268">
        <f t="shared" si="732"/>
        <v>-52784.97293258334</v>
      </c>
      <c r="Q853" s="268">
        <f t="shared" si="732"/>
        <v>-53826.022432545833</v>
      </c>
      <c r="R853" s="268">
        <f t="shared" si="732"/>
        <v>-54919.124407506461</v>
      </c>
      <c r="S853" s="268">
        <f t="shared" si="732"/>
        <v>-56066.881481215125</v>
      </c>
      <c r="T853" s="268">
        <f t="shared" si="732"/>
        <v>-57272.026408609207</v>
      </c>
      <c r="U853" s="268">
        <f t="shared" si="732"/>
        <v>-58537.428582373002</v>
      </c>
      <c r="V853" s="268">
        <f t="shared" si="732"/>
        <v>-59866.100864824984</v>
      </c>
      <c r="W853" s="268">
        <f t="shared" si="732"/>
        <v>-61261.20676139956</v>
      </c>
      <c r="X853" s="268">
        <f t="shared" si="732"/>
        <v>-37663.584619469548</v>
      </c>
      <c r="Y853" s="268">
        <f t="shared" si="732"/>
        <v>-39201.688870443017</v>
      </c>
      <c r="Z853" s="268">
        <f t="shared" si="732"/>
        <v>-40816.698333965178</v>
      </c>
      <c r="AA853" s="268"/>
      <c r="AB853" s="268"/>
      <c r="AC853" s="268"/>
      <c r="AD853" s="268"/>
      <c r="AE853" s="268"/>
      <c r="AF853" s="268"/>
      <c r="AG853" s="268"/>
      <c r="AH853" s="268"/>
      <c r="AI853" s="268"/>
      <c r="AJ853" s="268"/>
    </row>
    <row r="854" spans="1:36" x14ac:dyDescent="0.25">
      <c r="A854" t="s">
        <v>695</v>
      </c>
      <c r="B854" t="s">
        <v>173</v>
      </c>
      <c r="H854" s="459" t="s">
        <v>190</v>
      </c>
      <c r="I854" s="493" t="str">
        <f t="shared" si="730"/>
        <v>tr. VND</v>
      </c>
      <c r="K854" s="492"/>
      <c r="L854" s="548" cm="1">
        <f t="array" ref="L854">-SUMPRODUCT('W1'!$BI$10:$NE$60*('W1'!$BI$7:$NE$7=$A854)*('W1'!$BI$8:$NE$8=L$14)*('W1'!$A$10:$A$60=$B854))*$H$10</f>
        <v>-31062.483333333334</v>
      </c>
      <c r="M854" s="548" cm="1">
        <f t="array" ref="M854">-SUMPRODUCT('W1'!$BI$10:$NE$60*('W1'!$BI$7:$NE$7=$A854)*('W1'!$BI$8:$NE$8=M$14)*('W1'!$A$10:$A$60=$B854))*$H$10</f>
        <v>-31062.483333333334</v>
      </c>
      <c r="N854" s="548" cm="1">
        <f t="array" ref="N854">-SUMPRODUCT('W1'!$BI$10:$NE$60*('W1'!$BI$7:$NE$7=$A854)*('W1'!$BI$8:$NE$8=N$14)*('W1'!$A$10:$A$60=$B854))*$H$10</f>
        <v>-31062.483333333334</v>
      </c>
      <c r="O854" s="548" cm="1">
        <f t="array" ref="O854">-SUMPRODUCT('W1'!$BI$10:$NE$60*('W1'!$BI$7:$NE$7=$A854)*('W1'!$BI$8:$NE$8=O$14)*('W1'!$A$10:$A$60=$B854))*$H$10</f>
        <v>-31062.483333333334</v>
      </c>
      <c r="P854" s="548" cm="1">
        <f t="array" ref="P854">-SUMPRODUCT('W1'!$BI$10:$NE$60*('W1'!$BI$7:$NE$7=$A854)*('W1'!$BI$8:$NE$8=P$14)*('W1'!$A$10:$A$60=$B854))*$H$10</f>
        <v>-31062.483333333334</v>
      </c>
      <c r="Q854" s="548" cm="1">
        <f t="array" ref="Q854">-SUMPRODUCT('W1'!$BI$10:$NE$60*('W1'!$BI$7:$NE$7=$A854)*('W1'!$BI$8:$NE$8=Q$14)*('W1'!$A$10:$A$60=$B854))*$H$10</f>
        <v>-31062.483333333334</v>
      </c>
      <c r="R854" s="548" cm="1">
        <f t="array" ref="R854">-SUMPRODUCT('W1'!$BI$10:$NE$60*('W1'!$BI$7:$NE$7=$A854)*('W1'!$BI$8:$NE$8=R$14)*('W1'!$A$10:$A$60=$B854))*$H$10</f>
        <v>-31062.483333333334</v>
      </c>
      <c r="S854" s="548" cm="1">
        <f t="array" ref="S854">-SUMPRODUCT('W1'!$BI$10:$NE$60*('W1'!$BI$7:$NE$7=$A854)*('W1'!$BI$8:$NE$8=S$14)*('W1'!$A$10:$A$60=$B854))*$H$10</f>
        <v>-31062.483333333334</v>
      </c>
      <c r="T854" s="548" cm="1">
        <f t="array" ref="T854">-SUMPRODUCT('W1'!$BI$10:$NE$60*('W1'!$BI$7:$NE$7=$A854)*('W1'!$BI$8:$NE$8=T$14)*('W1'!$A$10:$A$60=$B854))*$H$10</f>
        <v>-31062.483333333334</v>
      </c>
      <c r="U854" s="548" cm="1">
        <f t="array" ref="U854">-SUMPRODUCT('W1'!$BI$10:$NE$60*('W1'!$BI$7:$NE$7=$A854)*('W1'!$BI$8:$NE$8=U$14)*('W1'!$A$10:$A$60=$B854))*$H$10</f>
        <v>-31062.483333333334</v>
      </c>
      <c r="V854" s="548" cm="1">
        <f t="array" ref="V854">-SUMPRODUCT('W1'!$BI$10:$NE$60*('W1'!$BI$7:$NE$7=$A854)*('W1'!$BI$8:$NE$8=V$14)*('W1'!$A$10:$A$60=$B854))*$H$10</f>
        <v>-31062.483333333334</v>
      </c>
      <c r="W854" s="548" cm="1">
        <f t="array" ref="W854">-SUMPRODUCT('W1'!$BI$10:$NE$60*('W1'!$BI$7:$NE$7=$A854)*('W1'!$BI$8:$NE$8=W$14)*('W1'!$A$10:$A$60=$B854))*$H$10</f>
        <v>-31062.483333333334</v>
      </c>
      <c r="X854" s="548" cm="1">
        <f t="array" ref="X854">-SUMPRODUCT('W1'!$BI$10:$NE$60*('W1'!$BI$7:$NE$7=$A854)*('W1'!$BI$8:$NE$8=X$14)*('W1'!$A$10:$A$60=$B854))*$H$10</f>
        <v>-6000</v>
      </c>
      <c r="Y854" s="548" cm="1">
        <f t="array" ref="Y854">-SUMPRODUCT('W1'!$BI$10:$NE$60*('W1'!$BI$7:$NE$7=$A854)*('W1'!$BI$8:$NE$8=Y$14)*('W1'!$A$10:$A$60=$B854))*$H$10</f>
        <v>-6000</v>
      </c>
      <c r="Z854" s="548" cm="1">
        <f t="array" ref="Z854">-SUMPRODUCT('W1'!$BI$10:$NE$60*('W1'!$BI$7:$NE$7=$A854)*('W1'!$BI$8:$NE$8=Z$14)*('W1'!$A$10:$A$60=$B854))*$H$10</f>
        <v>-6000</v>
      </c>
      <c r="AA854" s="548"/>
      <c r="AB854" s="548"/>
      <c r="AC854" s="548"/>
      <c r="AD854" s="548"/>
      <c r="AE854" s="548"/>
      <c r="AF854" s="548"/>
      <c r="AG854" s="548"/>
      <c r="AH854" s="548"/>
      <c r="AI854" s="548"/>
      <c r="AJ854" s="548"/>
    </row>
    <row r="855" spans="1:36" x14ac:dyDescent="0.25">
      <c r="A855" t="s">
        <v>695</v>
      </c>
      <c r="H855" s="454" t="s">
        <v>429</v>
      </c>
      <c r="I855" s="496" t="str">
        <f t="shared" si="730"/>
        <v>tr. VND</v>
      </c>
      <c r="K855" s="549">
        <f>SUM(K856:K857)</f>
        <v>0</v>
      </c>
      <c r="L855" s="549">
        <f t="shared" ref="L855:AJ855" si="733">SUM(L856:L857)</f>
        <v>-6011.46</v>
      </c>
      <c r="M855" s="549">
        <f t="shared" si="733"/>
        <v>-6011.46</v>
      </c>
      <c r="N855" s="549">
        <f t="shared" si="733"/>
        <v>-6312.0329999999994</v>
      </c>
      <c r="O855" s="549">
        <f t="shared" si="733"/>
        <v>-6627.63465</v>
      </c>
      <c r="P855" s="549">
        <f t="shared" si="733"/>
        <v>-6959.0163825000009</v>
      </c>
      <c r="Q855" s="549">
        <f t="shared" si="733"/>
        <v>-7306.9672016249997</v>
      </c>
      <c r="R855" s="549">
        <f t="shared" si="733"/>
        <v>-7672.3155617062503</v>
      </c>
      <c r="S855" s="549">
        <f t="shared" si="733"/>
        <v>-8055.931339791563</v>
      </c>
      <c r="T855" s="549">
        <f t="shared" si="733"/>
        <v>-8458.7279067811414</v>
      </c>
      <c r="U855" s="549">
        <f t="shared" si="733"/>
        <v>-8881.664302120198</v>
      </c>
      <c r="V855" s="549">
        <f t="shared" si="733"/>
        <v>-9325.7475172262075</v>
      </c>
      <c r="W855" s="549">
        <f t="shared" si="733"/>
        <v>-9792.0348930875189</v>
      </c>
      <c r="X855" s="549">
        <f t="shared" si="733"/>
        <v>-10281.636637741896</v>
      </c>
      <c r="Y855" s="549">
        <f t="shared" si="733"/>
        <v>-10795.718469628988</v>
      </c>
      <c r="Z855" s="549">
        <f t="shared" si="733"/>
        <v>-11335.504393110441</v>
      </c>
      <c r="AA855" s="549"/>
      <c r="AB855" s="549"/>
      <c r="AC855" s="549"/>
      <c r="AD855" s="549"/>
      <c r="AE855" s="549"/>
      <c r="AF855" s="549"/>
      <c r="AG855" s="549"/>
      <c r="AH855" s="549"/>
      <c r="AI855" s="549"/>
      <c r="AJ855" s="549"/>
    </row>
    <row r="856" spans="1:36" s="299" customFormat="1" x14ac:dyDescent="0.25">
      <c r="A856" s="299" t="s">
        <v>695</v>
      </c>
      <c r="B856" s="299" t="s">
        <v>449</v>
      </c>
      <c r="H856" s="553" t="s">
        <v>430</v>
      </c>
      <c r="I856" s="554" t="str">
        <f t="shared" si="730"/>
        <v>tr. VND</v>
      </c>
      <c r="K856" s="555"/>
      <c r="L856" s="555" cm="1">
        <f t="array" ref="L856">-SUMPRODUCT('W2'!$M$12:$V$112*('W2'!$M$7:$V$7=$A856)*('W2'!$A$12:$A$112=$B856))*$H$10*POWER(1+Inflation,L$11+1)</f>
        <v>-982.8</v>
      </c>
      <c r="M856" s="555" cm="1">
        <f t="array" ref="M856">-SUMPRODUCT('W2'!$M$12:$V$112*('W2'!$M$7:$V$7=$A856)*('W2'!$A$12:$A$112=$B856))*$H$10*POWER(1+Inflation,M$11+1)</f>
        <v>-982.8</v>
      </c>
      <c r="N856" s="555" cm="1">
        <f t="array" ref="N856">-SUMPRODUCT('W2'!$M$12:$V$112*('W2'!$M$7:$V$7=$A856)*('W2'!$A$12:$A$112=$B856))*$H$10*POWER(1+Inflation,N$11+1)</f>
        <v>-1031.94</v>
      </c>
      <c r="O856" s="555" cm="1">
        <f t="array" ref="O856">-SUMPRODUCT('W2'!$M$12:$V$112*('W2'!$M$7:$V$7=$A856)*('W2'!$A$12:$A$112=$B856))*$H$10*POWER(1+Inflation,O$11+1)</f>
        <v>-1083.537</v>
      </c>
      <c r="P856" s="555" cm="1">
        <f t="array" ref="P856">-SUMPRODUCT('W2'!$M$12:$V$112*('W2'!$M$7:$V$7=$A856)*('W2'!$A$12:$A$112=$B856))*$H$10*POWER(1+Inflation,P$11+1)</f>
        <v>-1137.7138500000001</v>
      </c>
      <c r="Q856" s="555" cm="1">
        <f t="array" ref="Q856">-SUMPRODUCT('W2'!$M$12:$V$112*('W2'!$M$7:$V$7=$A856)*('W2'!$A$12:$A$112=$B856))*$H$10*POWER(1+Inflation,Q$11+1)</f>
        <v>-1194.5995424999999</v>
      </c>
      <c r="R856" s="555" cm="1">
        <f t="array" ref="R856">-SUMPRODUCT('W2'!$M$12:$V$112*('W2'!$M$7:$V$7=$A856)*('W2'!$A$12:$A$112=$B856))*$H$10*POWER(1+Inflation,R$11+1)</f>
        <v>-1254.3295196250001</v>
      </c>
      <c r="S856" s="555" cm="1">
        <f t="array" ref="S856">-SUMPRODUCT('W2'!$M$12:$V$112*('W2'!$M$7:$V$7=$A856)*('W2'!$A$12:$A$112=$B856))*$H$10*POWER(1+Inflation,S$11+1)</f>
        <v>-1317.04599560625</v>
      </c>
      <c r="T856" s="555" cm="1">
        <f t="array" ref="T856">-SUMPRODUCT('W2'!$M$12:$V$112*('W2'!$M$7:$V$7=$A856)*('W2'!$A$12:$A$112=$B856))*$H$10*POWER(1+Inflation,T$11+1)</f>
        <v>-1382.8982953865627</v>
      </c>
      <c r="U856" s="555" cm="1">
        <f t="array" ref="U856">-SUMPRODUCT('W2'!$M$12:$V$112*('W2'!$M$7:$V$7=$A856)*('W2'!$A$12:$A$112=$B856))*$H$10*POWER(1+Inflation,U$11+1)</f>
        <v>-1452.0432101558906</v>
      </c>
      <c r="V856" s="555" cm="1">
        <f t="array" ref="V856">-SUMPRODUCT('W2'!$M$12:$V$112*('W2'!$M$7:$V$7=$A856)*('W2'!$A$12:$A$112=$B856))*$H$10*POWER(1+Inflation,V$11+1)</f>
        <v>-1524.6453706636853</v>
      </c>
      <c r="W856" s="555" cm="1">
        <f t="array" ref="W856">-SUMPRODUCT('W2'!$M$12:$V$112*('W2'!$M$7:$V$7=$A856)*('W2'!$A$12:$A$112=$B856))*$H$10*POWER(1+Inflation,W$11+1)</f>
        <v>-1600.8776391968695</v>
      </c>
      <c r="X856" s="555" cm="1">
        <f t="array" ref="X856">-SUMPRODUCT('W2'!$M$12:$V$112*('W2'!$M$7:$V$7=$A856)*('W2'!$A$12:$A$112=$B856))*$H$10*POWER(1+Inflation,X$11+1)</f>
        <v>-1680.9215211567132</v>
      </c>
      <c r="Y856" s="555" cm="1">
        <f t="array" ref="Y856">-SUMPRODUCT('W2'!$M$12:$V$112*('W2'!$M$7:$V$7=$A856)*('W2'!$A$12:$A$112=$B856))*$H$10*POWER(1+Inflation,Y$11+1)</f>
        <v>-1764.9675972145485</v>
      </c>
      <c r="Z856" s="555" cm="1">
        <f t="array" ref="Z856">-SUMPRODUCT('W2'!$M$12:$V$112*('W2'!$M$7:$V$7=$A856)*('W2'!$A$12:$A$112=$B856))*$H$10*POWER(1+Inflation,Z$11+1)</f>
        <v>-1853.2159770752762</v>
      </c>
      <c r="AA856" s="555"/>
      <c r="AB856" s="555"/>
      <c r="AC856" s="555"/>
      <c r="AD856" s="555"/>
      <c r="AE856" s="555"/>
      <c r="AF856" s="555"/>
      <c r="AG856" s="555"/>
      <c r="AH856" s="555"/>
      <c r="AI856" s="555"/>
      <c r="AJ856" s="555"/>
    </row>
    <row r="857" spans="1:36" s="299" customFormat="1" x14ac:dyDescent="0.25">
      <c r="A857" s="299" t="s">
        <v>695</v>
      </c>
      <c r="B857" s="299" t="s">
        <v>450</v>
      </c>
      <c r="H857" s="553" t="s">
        <v>431</v>
      </c>
      <c r="I857" s="554" t="str">
        <f t="shared" si="730"/>
        <v>tr. VND</v>
      </c>
      <c r="K857" s="555"/>
      <c r="L857" s="555" cm="1">
        <f t="array" ref="L857">-SUMPRODUCT('W2'!$M$12:$V$112*('W2'!$M$7:$V$7=$A857)*('W2'!$A$12:$A$112=$B857))*$H$10*POWER(1+Inflation,L$11+1)</f>
        <v>-5028.66</v>
      </c>
      <c r="M857" s="555" cm="1">
        <f t="array" ref="M857">-SUMPRODUCT('W2'!$M$12:$V$112*('W2'!$M$7:$V$7=$A857)*('W2'!$A$12:$A$112=$B857))*$H$10*POWER(1+Inflation,M$11+1)</f>
        <v>-5028.66</v>
      </c>
      <c r="N857" s="555" cm="1">
        <f t="array" ref="N857">-SUMPRODUCT('W2'!$M$12:$V$112*('W2'!$M$7:$V$7=$A857)*('W2'!$A$12:$A$112=$B857))*$H$10*POWER(1+Inflation,N$11+1)</f>
        <v>-5280.0929999999998</v>
      </c>
      <c r="O857" s="555" cm="1">
        <f t="array" ref="O857">-SUMPRODUCT('W2'!$M$12:$V$112*('W2'!$M$7:$V$7=$A857)*('W2'!$A$12:$A$112=$B857))*$H$10*POWER(1+Inflation,O$11+1)</f>
        <v>-5544.0976499999997</v>
      </c>
      <c r="P857" s="555" cm="1">
        <f t="array" ref="P857">-SUMPRODUCT('W2'!$M$12:$V$112*('W2'!$M$7:$V$7=$A857)*('W2'!$A$12:$A$112=$B857))*$H$10*POWER(1+Inflation,P$11+1)</f>
        <v>-5821.3025325000008</v>
      </c>
      <c r="Q857" s="555" cm="1">
        <f t="array" ref="Q857">-SUMPRODUCT('W2'!$M$12:$V$112*('W2'!$M$7:$V$7=$A857)*('W2'!$A$12:$A$112=$B857))*$H$10*POWER(1+Inflation,Q$11+1)</f>
        <v>-6112.3676591249996</v>
      </c>
      <c r="R857" s="555" cm="1">
        <f t="array" ref="R857">-SUMPRODUCT('W2'!$M$12:$V$112*('W2'!$M$7:$V$7=$A857)*('W2'!$A$12:$A$112=$B857))*$H$10*POWER(1+Inflation,R$11+1)</f>
        <v>-6417.9860420812502</v>
      </c>
      <c r="S857" s="555" cm="1">
        <f t="array" ref="S857">-SUMPRODUCT('W2'!$M$12:$V$112*('W2'!$M$7:$V$7=$A857)*('W2'!$A$12:$A$112=$B857))*$H$10*POWER(1+Inflation,S$11+1)</f>
        <v>-6738.8853441853125</v>
      </c>
      <c r="T857" s="555" cm="1">
        <f t="array" ref="T857">-SUMPRODUCT('W2'!$M$12:$V$112*('W2'!$M$7:$V$7=$A857)*('W2'!$A$12:$A$112=$B857))*$H$10*POWER(1+Inflation,T$11+1)</f>
        <v>-7075.8296113945789</v>
      </c>
      <c r="U857" s="555" cm="1">
        <f t="array" ref="U857">-SUMPRODUCT('W2'!$M$12:$V$112*('W2'!$M$7:$V$7=$A857)*('W2'!$A$12:$A$112=$B857))*$H$10*POWER(1+Inflation,U$11+1)</f>
        <v>-7429.6210919643072</v>
      </c>
      <c r="V857" s="555" cm="1">
        <f t="array" ref="V857">-SUMPRODUCT('W2'!$M$12:$V$112*('W2'!$M$7:$V$7=$A857)*('W2'!$A$12:$A$112=$B857))*$H$10*POWER(1+Inflation,V$11+1)</f>
        <v>-7801.1021465625226</v>
      </c>
      <c r="W857" s="555" cm="1">
        <f t="array" ref="W857">-SUMPRODUCT('W2'!$M$12:$V$112*('W2'!$M$7:$V$7=$A857)*('W2'!$A$12:$A$112=$B857))*$H$10*POWER(1+Inflation,W$11+1)</f>
        <v>-8191.1572538906494</v>
      </c>
      <c r="X857" s="555" cm="1">
        <f t="array" ref="X857">-SUMPRODUCT('W2'!$M$12:$V$112*('W2'!$M$7:$V$7=$A857)*('W2'!$A$12:$A$112=$B857))*$H$10*POWER(1+Inflation,X$11+1)</f>
        <v>-8600.7151165851828</v>
      </c>
      <c r="Y857" s="555" cm="1">
        <f t="array" ref="Y857">-SUMPRODUCT('W2'!$M$12:$V$112*('W2'!$M$7:$V$7=$A857)*('W2'!$A$12:$A$112=$B857))*$H$10*POWER(1+Inflation,Y$11+1)</f>
        <v>-9030.7508724144391</v>
      </c>
      <c r="Z857" s="555" cm="1">
        <f t="array" ref="Z857">-SUMPRODUCT('W2'!$M$12:$V$112*('W2'!$M$7:$V$7=$A857)*('W2'!$A$12:$A$112=$B857))*$H$10*POWER(1+Inflation,Z$11+1)</f>
        <v>-9482.2884160351641</v>
      </c>
      <c r="AA857" s="555"/>
      <c r="AB857" s="555"/>
      <c r="AC857" s="555"/>
      <c r="AD857" s="555"/>
      <c r="AE857" s="555"/>
      <c r="AF857" s="555"/>
      <c r="AG857" s="555"/>
      <c r="AH857" s="555"/>
      <c r="AI857" s="555"/>
      <c r="AJ857" s="555"/>
    </row>
    <row r="858" spans="1:36" x14ac:dyDescent="0.25">
      <c r="A858" t="s">
        <v>695</v>
      </c>
      <c r="B858" t="s">
        <v>451</v>
      </c>
      <c r="H858" s="454" t="s">
        <v>656</v>
      </c>
      <c r="I858" s="496" t="str">
        <f t="shared" si="730"/>
        <v>tr. VND</v>
      </c>
      <c r="K858" s="549"/>
      <c r="L858" s="549" cm="1">
        <f t="array" ref="L858">-SUMPRODUCT('W2'!$M$12:$V$112*('W2'!$M$7:$V$7=$A858)*('W2'!$A$12:$A$112=$B858))*$H$10*POWER(1+Inflation,L$11+1)</f>
        <v>-2400</v>
      </c>
      <c r="M858" s="549" cm="1">
        <f t="array" ref="M858">-SUMPRODUCT('W2'!$M$12:$V$112*('W2'!$M$7:$V$7=$A858)*('W2'!$A$12:$A$112=$B858))*$H$10*POWER(1+Inflation,M$11+1)</f>
        <v>-2400</v>
      </c>
      <c r="N858" s="549" cm="1">
        <f t="array" ref="N858">-SUMPRODUCT('W2'!$M$12:$V$112*('W2'!$M$7:$V$7=$A858)*('W2'!$A$12:$A$112=$B858))*$H$10*POWER(1+Inflation,N$11+1)</f>
        <v>-2520</v>
      </c>
      <c r="O858" s="549" cm="1">
        <f t="array" ref="O858">-SUMPRODUCT('W2'!$M$12:$V$112*('W2'!$M$7:$V$7=$A858)*('W2'!$A$12:$A$112=$B858))*$H$10*POWER(1+Inflation,O$11+1)</f>
        <v>-2646</v>
      </c>
      <c r="P858" s="549" cm="1">
        <f t="array" ref="P858">-SUMPRODUCT('W2'!$M$12:$V$112*('W2'!$M$7:$V$7=$A858)*('W2'!$A$12:$A$112=$B858))*$H$10*POWER(1+Inflation,P$11+1)</f>
        <v>-2778.3</v>
      </c>
      <c r="Q858" s="549" cm="1">
        <f t="array" ref="Q858">-SUMPRODUCT('W2'!$M$12:$V$112*('W2'!$M$7:$V$7=$A858)*('W2'!$A$12:$A$112=$B858))*$H$10*POWER(1+Inflation,Q$11+1)</f>
        <v>-2917.2150000000001</v>
      </c>
      <c r="R858" s="549" cm="1">
        <f t="array" ref="R858">-SUMPRODUCT('W2'!$M$12:$V$112*('W2'!$M$7:$V$7=$A858)*('W2'!$A$12:$A$112=$B858))*$H$10*POWER(1+Inflation,R$11+1)</f>
        <v>-3063.0757500000004</v>
      </c>
      <c r="S858" s="549" cm="1">
        <f t="array" ref="S858">-SUMPRODUCT('W2'!$M$12:$V$112*('W2'!$M$7:$V$7=$A858)*('W2'!$A$12:$A$112=$B858))*$H$10*POWER(1+Inflation,S$11+1)</f>
        <v>-3216.2295374999999</v>
      </c>
      <c r="T858" s="549" cm="1">
        <f t="array" ref="T858">-SUMPRODUCT('W2'!$M$12:$V$112*('W2'!$M$7:$V$7=$A858)*('W2'!$A$12:$A$112=$B858))*$H$10*POWER(1+Inflation,T$11+1)</f>
        <v>-3377.0410143750005</v>
      </c>
      <c r="U858" s="549" cm="1">
        <f t="array" ref="U858">-SUMPRODUCT('W2'!$M$12:$V$112*('W2'!$M$7:$V$7=$A858)*('W2'!$A$12:$A$112=$B858))*$H$10*POWER(1+Inflation,U$11+1)</f>
        <v>-3545.89306509375</v>
      </c>
      <c r="V858" s="549" cm="1">
        <f t="array" ref="V858">-SUMPRODUCT('W2'!$M$12:$V$112*('W2'!$M$7:$V$7=$A858)*('W2'!$A$12:$A$112=$B858))*$H$10*POWER(1+Inflation,V$11+1)</f>
        <v>-3723.187718348438</v>
      </c>
      <c r="W858" s="549" cm="1">
        <f t="array" ref="W858">-SUMPRODUCT('W2'!$M$12:$V$112*('W2'!$M$7:$V$7=$A858)*('W2'!$A$12:$A$112=$B858))*$H$10*POWER(1+Inflation,W$11+1)</f>
        <v>-3909.3471042658598</v>
      </c>
      <c r="X858" s="549" cm="1">
        <f t="array" ref="X858">-SUMPRODUCT('W2'!$M$12:$V$112*('W2'!$M$7:$V$7=$A858)*('W2'!$A$12:$A$112=$B858))*$H$10*POWER(1+Inflation,X$11+1)</f>
        <v>-4104.8144594791529</v>
      </c>
      <c r="Y858" s="549" cm="1">
        <f t="array" ref="Y858">-SUMPRODUCT('W2'!$M$12:$V$112*('W2'!$M$7:$V$7=$A858)*('W2'!$A$12:$A$112=$B858))*$H$10*POWER(1+Inflation,Y$11+1)</f>
        <v>-4310.0551824531103</v>
      </c>
      <c r="Z858" s="549" cm="1">
        <f t="array" ref="Z858">-SUMPRODUCT('W2'!$M$12:$V$112*('W2'!$M$7:$V$7=$A858)*('W2'!$A$12:$A$112=$B858))*$H$10*POWER(1+Inflation,Z$11+1)</f>
        <v>-4525.5579415757666</v>
      </c>
      <c r="AA858" s="549"/>
      <c r="AB858" s="549"/>
      <c r="AC858" s="549"/>
      <c r="AD858" s="549"/>
      <c r="AE858" s="549"/>
      <c r="AF858" s="549"/>
      <c r="AG858" s="549"/>
      <c r="AH858" s="549"/>
      <c r="AI858" s="549"/>
      <c r="AJ858" s="549"/>
    </row>
    <row r="859" spans="1:36" x14ac:dyDescent="0.25">
      <c r="A859" t="s">
        <v>695</v>
      </c>
      <c r="B859" t="s">
        <v>452</v>
      </c>
      <c r="H859" s="454" t="s">
        <v>432</v>
      </c>
      <c r="I859" s="496" t="str">
        <f t="shared" si="730"/>
        <v>tr. VND</v>
      </c>
      <c r="K859" s="549"/>
      <c r="L859" s="549" cm="1">
        <f t="array" ref="L859">-SUMPRODUCT('W2'!$M$12:$V$112*('W2'!$M$7:$V$7=$A859)*('W2'!$A$12:$A$112=$B859))*$H$10*POWER(1+Inflation,L$11+1)</f>
        <v>-9022.4939999999988</v>
      </c>
      <c r="M859" s="549" cm="1">
        <f t="array" ref="M859">-SUMPRODUCT('W2'!$M$12:$V$112*('W2'!$M$7:$V$7=$A859)*('W2'!$A$12:$A$112=$B859))*$H$10*POWER(1+Inflation,M$11+1)</f>
        <v>-9022.4939999999988</v>
      </c>
      <c r="N859" s="549" cm="1">
        <f t="array" ref="N859">-SUMPRODUCT('W2'!$M$12:$V$112*('W2'!$M$7:$V$7=$A859)*('W2'!$A$12:$A$112=$B859))*$H$10*POWER(1+Inflation,N$11+1)</f>
        <v>-9473.6186999999991</v>
      </c>
      <c r="O859" s="549" cm="1">
        <f t="array" ref="O859">-SUMPRODUCT('W2'!$M$12:$V$112*('W2'!$M$7:$V$7=$A859)*('W2'!$A$12:$A$112=$B859))*$H$10*POWER(1+Inflation,O$11+1)</f>
        <v>-9947.2996349999994</v>
      </c>
      <c r="P859" s="549" cm="1">
        <f t="array" ref="P859">-SUMPRODUCT('W2'!$M$12:$V$112*('W2'!$M$7:$V$7=$A859)*('W2'!$A$12:$A$112=$B859))*$H$10*POWER(1+Inflation,P$11+1)</f>
        <v>-10444.66461675</v>
      </c>
      <c r="Q859" s="549" cm="1">
        <f t="array" ref="Q859">-SUMPRODUCT('W2'!$M$12:$V$112*('W2'!$M$7:$V$7=$A859)*('W2'!$A$12:$A$112=$B859))*$H$10*POWER(1+Inflation,Q$11+1)</f>
        <v>-10966.897847587499</v>
      </c>
      <c r="R859" s="549" cm="1">
        <f t="array" ref="R859">-SUMPRODUCT('W2'!$M$12:$V$112*('W2'!$M$7:$V$7=$A859)*('W2'!$A$12:$A$112=$B859))*$H$10*POWER(1+Inflation,R$11+1)</f>
        <v>-11515.242739966874</v>
      </c>
      <c r="S859" s="549" cm="1">
        <f t="array" ref="S859">-SUMPRODUCT('W2'!$M$12:$V$112*('W2'!$M$7:$V$7=$A859)*('W2'!$A$12:$A$112=$B859))*$H$10*POWER(1+Inflation,S$11+1)</f>
        <v>-12091.004876965217</v>
      </c>
      <c r="T859" s="549" cm="1">
        <f t="array" ref="T859">-SUMPRODUCT('W2'!$M$12:$V$112*('W2'!$M$7:$V$7=$A859)*('W2'!$A$12:$A$112=$B859))*$H$10*POWER(1+Inflation,T$11+1)</f>
        <v>-12695.55512081348</v>
      </c>
      <c r="U859" s="549" cm="1">
        <f t="array" ref="U859">-SUMPRODUCT('W2'!$M$12:$V$112*('W2'!$M$7:$V$7=$A859)*('W2'!$A$12:$A$112=$B859))*$H$10*POWER(1+Inflation,U$11+1)</f>
        <v>-13330.332876854152</v>
      </c>
      <c r="V859" s="549" cm="1">
        <f t="array" ref="V859">-SUMPRODUCT('W2'!$M$12:$V$112*('W2'!$M$7:$V$7=$A859)*('W2'!$A$12:$A$112=$B859))*$H$10*POWER(1+Inflation,V$11+1)</f>
        <v>-13996.84952069686</v>
      </c>
      <c r="W859" s="549" cm="1">
        <f t="array" ref="W859">-SUMPRODUCT('W2'!$M$12:$V$112*('W2'!$M$7:$V$7=$A859)*('W2'!$A$12:$A$112=$B859))*$H$10*POWER(1+Inflation,W$11+1)</f>
        <v>-14696.691996731704</v>
      </c>
      <c r="X859" s="549" cm="1">
        <f t="array" ref="X859">-SUMPRODUCT('W2'!$M$12:$V$112*('W2'!$M$7:$V$7=$A859)*('W2'!$A$12:$A$112=$B859))*$H$10*POWER(1+Inflation,X$11+1)</f>
        <v>-15431.52659656829</v>
      </c>
      <c r="Y859" s="549" cm="1">
        <f t="array" ref="Y859">-SUMPRODUCT('W2'!$M$12:$V$112*('W2'!$M$7:$V$7=$A859)*('W2'!$A$12:$A$112=$B859))*$H$10*POWER(1+Inflation,Y$11+1)</f>
        <v>-16203.102926396703</v>
      </c>
      <c r="Z859" s="549" cm="1">
        <f t="array" ref="Z859">-SUMPRODUCT('W2'!$M$12:$V$112*('W2'!$M$7:$V$7=$A859)*('W2'!$A$12:$A$112=$B859))*$H$10*POWER(1+Inflation,Z$11+1)</f>
        <v>-17013.25807271654</v>
      </c>
      <c r="AA859" s="549"/>
      <c r="AB859" s="549"/>
      <c r="AC859" s="549"/>
      <c r="AD859" s="549"/>
      <c r="AE859" s="549"/>
      <c r="AF859" s="549"/>
      <c r="AG859" s="549"/>
      <c r="AH859" s="549"/>
      <c r="AI859" s="549"/>
      <c r="AJ859" s="549"/>
    </row>
    <row r="860" spans="1:36" x14ac:dyDescent="0.25">
      <c r="A860" t="s">
        <v>695</v>
      </c>
      <c r="B860" t="s">
        <v>453</v>
      </c>
      <c r="H860" s="454" t="s">
        <v>433</v>
      </c>
      <c r="I860" s="496" t="str">
        <f t="shared" si="730"/>
        <v>tr. VND</v>
      </c>
      <c r="K860" s="549"/>
      <c r="L860" s="549" cm="1">
        <f t="array" ref="L860">-SUMPRODUCT('W2'!$M$12:$V$112*('W2'!$M$7:$V$7=$A860)*('W2'!$A$12:$A$112=$B860))*$H$10*POWER(1+Inflation,L$11+1)</f>
        <v>-552</v>
      </c>
      <c r="M860" s="549" cm="1">
        <f t="array" ref="M860">-SUMPRODUCT('W2'!$M$12:$V$112*('W2'!$M$7:$V$7=$A860)*('W2'!$A$12:$A$112=$B860))*$H$10*POWER(1+Inflation,M$11+1)</f>
        <v>-552</v>
      </c>
      <c r="N860" s="549" cm="1">
        <f t="array" ref="N860">-SUMPRODUCT('W2'!$M$12:$V$112*('W2'!$M$7:$V$7=$A860)*('W2'!$A$12:$A$112=$B860))*$H$10*POWER(1+Inflation,N$11+1)</f>
        <v>-579.6</v>
      </c>
      <c r="O860" s="549" cm="1">
        <f t="array" ref="O860">-SUMPRODUCT('W2'!$M$12:$V$112*('W2'!$M$7:$V$7=$A860)*('W2'!$A$12:$A$112=$B860))*$H$10*POWER(1+Inflation,O$11+1)</f>
        <v>-608.58000000000004</v>
      </c>
      <c r="P860" s="549" cm="1">
        <f t="array" ref="P860">-SUMPRODUCT('W2'!$M$12:$V$112*('W2'!$M$7:$V$7=$A860)*('W2'!$A$12:$A$112=$B860))*$H$10*POWER(1+Inflation,P$11+1)</f>
        <v>-639.00900000000001</v>
      </c>
      <c r="Q860" s="549" cm="1">
        <f t="array" ref="Q860">-SUMPRODUCT('W2'!$M$12:$V$112*('W2'!$M$7:$V$7=$A860)*('W2'!$A$12:$A$112=$B860))*$H$10*POWER(1+Inflation,Q$11+1)</f>
        <v>-670.95945000000006</v>
      </c>
      <c r="R860" s="549" cm="1">
        <f t="array" ref="R860">-SUMPRODUCT('W2'!$M$12:$V$112*('W2'!$M$7:$V$7=$A860)*('W2'!$A$12:$A$112=$B860))*$H$10*POWER(1+Inflation,R$11+1)</f>
        <v>-704.50742250000008</v>
      </c>
      <c r="S860" s="549" cm="1">
        <f t="array" ref="S860">-SUMPRODUCT('W2'!$M$12:$V$112*('W2'!$M$7:$V$7=$A860)*('W2'!$A$12:$A$112=$B860))*$H$10*POWER(1+Inflation,S$11+1)</f>
        <v>-739.732793625</v>
      </c>
      <c r="T860" s="549" cm="1">
        <f t="array" ref="T860">-SUMPRODUCT('W2'!$M$12:$V$112*('W2'!$M$7:$V$7=$A860)*('W2'!$A$12:$A$112=$B860))*$H$10*POWER(1+Inflation,T$11+1)</f>
        <v>-776.71943330625015</v>
      </c>
      <c r="U860" s="549" cm="1">
        <f t="array" ref="U860">-SUMPRODUCT('W2'!$M$12:$V$112*('W2'!$M$7:$V$7=$A860)*('W2'!$A$12:$A$112=$B860))*$H$10*POWER(1+Inflation,U$11+1)</f>
        <v>-815.55540497156255</v>
      </c>
      <c r="V860" s="549" cm="1">
        <f t="array" ref="V860">-SUMPRODUCT('W2'!$M$12:$V$112*('W2'!$M$7:$V$7=$A860)*('W2'!$A$12:$A$112=$B860))*$H$10*POWER(1+Inflation,V$11+1)</f>
        <v>-856.33317522014067</v>
      </c>
      <c r="W860" s="549" cm="1">
        <f t="array" ref="W860">-SUMPRODUCT('W2'!$M$12:$V$112*('W2'!$M$7:$V$7=$A860)*('W2'!$A$12:$A$112=$B860))*$H$10*POWER(1+Inflation,W$11+1)</f>
        <v>-899.14983398114771</v>
      </c>
      <c r="X860" s="549" cm="1">
        <f t="array" ref="X860">-SUMPRODUCT('W2'!$M$12:$V$112*('W2'!$M$7:$V$7=$A860)*('W2'!$A$12:$A$112=$B860))*$H$10*POWER(1+Inflation,X$11+1)</f>
        <v>-944.10732568020524</v>
      </c>
      <c r="Y860" s="549" cm="1">
        <f t="array" ref="Y860">-SUMPRODUCT('W2'!$M$12:$V$112*('W2'!$M$7:$V$7=$A860)*('W2'!$A$12:$A$112=$B860))*$H$10*POWER(1+Inflation,Y$11+1)</f>
        <v>-991.31269196421533</v>
      </c>
      <c r="Z860" s="549" cm="1">
        <f t="array" ref="Z860">-SUMPRODUCT('W2'!$M$12:$V$112*('W2'!$M$7:$V$7=$A860)*('W2'!$A$12:$A$112=$B860))*$H$10*POWER(1+Inflation,Z$11+1)</f>
        <v>-1040.8783265624263</v>
      </c>
      <c r="AA860" s="549"/>
      <c r="AB860" s="549"/>
      <c r="AC860" s="549"/>
      <c r="AD860" s="549"/>
      <c r="AE860" s="549"/>
      <c r="AF860" s="549"/>
      <c r="AG860" s="549"/>
      <c r="AH860" s="549"/>
      <c r="AI860" s="549"/>
      <c r="AJ860" s="549"/>
    </row>
    <row r="861" spans="1:36" x14ac:dyDescent="0.25">
      <c r="A861" t="s">
        <v>695</v>
      </c>
      <c r="B861" t="s">
        <v>521</v>
      </c>
      <c r="H861" s="454" t="s">
        <v>520</v>
      </c>
      <c r="I861" s="496" t="str">
        <f t="shared" si="730"/>
        <v>tr. VND</v>
      </c>
      <c r="K861" s="549"/>
      <c r="L861" s="549" cm="1">
        <f t="array" ref="L861">-SUMPRODUCT('W2'!$M$12:$V$112*('W2'!$M$7:$V$7=$A861)*('W2'!$A$12:$A$112=$B861))*$H$10</f>
        <v>-901.49959999999999</v>
      </c>
      <c r="M861" s="549" cm="1">
        <f t="array" ref="M861">-SUMPRODUCT('W2'!$M$12:$V$112*('W2'!$M$7:$V$7=$A861)*('W2'!$A$12:$A$112=$B861))*$H$10</f>
        <v>-901.49959999999999</v>
      </c>
      <c r="N861" s="549" cm="1">
        <f t="array" ref="N861">-SUMPRODUCT('W2'!$M$12:$V$112*('W2'!$M$7:$V$7=$A861)*('W2'!$A$12:$A$112=$B861))*$H$10</f>
        <v>-901.49959999999999</v>
      </c>
      <c r="O861" s="549" cm="1">
        <f t="array" ref="O861">-SUMPRODUCT('W2'!$M$12:$V$112*('W2'!$M$7:$V$7=$A861)*('W2'!$A$12:$A$112=$B861))*$H$10</f>
        <v>-901.49959999999999</v>
      </c>
      <c r="P861" s="549" cm="1">
        <f t="array" ref="P861">-SUMPRODUCT('W2'!$M$12:$V$112*('W2'!$M$7:$V$7=$A861)*('W2'!$A$12:$A$112=$B861))*$H$10</f>
        <v>-901.49959999999999</v>
      </c>
      <c r="Q861" s="549" cm="1">
        <f t="array" ref="Q861">-SUMPRODUCT('W2'!$M$12:$V$112*('W2'!$M$7:$V$7=$A861)*('W2'!$A$12:$A$112=$B861))*$H$10</f>
        <v>-901.49959999999999</v>
      </c>
      <c r="R861" s="549" cm="1">
        <f t="array" ref="R861">-SUMPRODUCT('W2'!$M$12:$V$112*('W2'!$M$7:$V$7=$A861)*('W2'!$A$12:$A$112=$B861))*$H$10</f>
        <v>-901.49959999999999</v>
      </c>
      <c r="S861" s="549" cm="1">
        <f t="array" ref="S861">-SUMPRODUCT('W2'!$M$12:$V$112*('W2'!$M$7:$V$7=$A861)*('W2'!$A$12:$A$112=$B861))*$H$10</f>
        <v>-901.49959999999999</v>
      </c>
      <c r="T861" s="549" cm="1">
        <f t="array" ref="T861">-SUMPRODUCT('W2'!$M$12:$V$112*('W2'!$M$7:$V$7=$A861)*('W2'!$A$12:$A$112=$B861))*$H$10</f>
        <v>-901.49959999999999</v>
      </c>
      <c r="U861" s="549" cm="1">
        <f t="array" ref="U861">-SUMPRODUCT('W2'!$M$12:$V$112*('W2'!$M$7:$V$7=$A861)*('W2'!$A$12:$A$112=$B861))*$H$10</f>
        <v>-901.49959999999999</v>
      </c>
      <c r="V861" s="549" cm="1">
        <f t="array" ref="V861">-SUMPRODUCT('W2'!$M$12:$V$112*('W2'!$M$7:$V$7=$A861)*('W2'!$A$12:$A$112=$B861))*$H$10</f>
        <v>-901.49959999999999</v>
      </c>
      <c r="W861" s="549" cm="1">
        <f t="array" ref="W861">-SUMPRODUCT('W2'!$M$12:$V$112*('W2'!$M$7:$V$7=$A861)*('W2'!$A$12:$A$112=$B861))*$H$10</f>
        <v>-901.49959999999999</v>
      </c>
      <c r="X861" s="549" cm="1">
        <f t="array" ref="X861">-SUMPRODUCT('W2'!$M$12:$V$112*('W2'!$M$7:$V$7=$A861)*('W2'!$A$12:$A$112=$B861))*$H$10</f>
        <v>-901.49959999999999</v>
      </c>
      <c r="Y861" s="549" cm="1">
        <f t="array" ref="Y861">-SUMPRODUCT('W2'!$M$12:$V$112*('W2'!$M$7:$V$7=$A861)*('W2'!$A$12:$A$112=$B861))*$H$10</f>
        <v>-901.49959999999999</v>
      </c>
      <c r="Z861" s="549" cm="1">
        <f t="array" ref="Z861">-SUMPRODUCT('W2'!$M$12:$V$112*('W2'!$M$7:$V$7=$A861)*('W2'!$A$12:$A$112=$B861))*$H$10</f>
        <v>-901.49959999999999</v>
      </c>
      <c r="AA861" s="549"/>
      <c r="AB861" s="549"/>
      <c r="AC861" s="549"/>
      <c r="AD861" s="549"/>
      <c r="AE861" s="549"/>
      <c r="AF861" s="549"/>
      <c r="AG861" s="549"/>
      <c r="AH861" s="549"/>
      <c r="AI861" s="549"/>
      <c r="AJ861" s="549"/>
    </row>
    <row r="862" spans="1:36" x14ac:dyDescent="0.25">
      <c r="A862" t="s">
        <v>695</v>
      </c>
      <c r="K862" s="243"/>
      <c r="L862" s="243"/>
      <c r="M862" s="243"/>
      <c r="N862" s="243"/>
      <c r="O862" s="243"/>
      <c r="P862" s="243"/>
      <c r="Q862" s="243"/>
      <c r="R862" s="243"/>
      <c r="S862" s="243"/>
      <c r="T862" s="243"/>
      <c r="U862" s="243"/>
      <c r="V862" s="243"/>
      <c r="W862" s="243"/>
      <c r="X862" s="243"/>
      <c r="Y862" s="243"/>
      <c r="Z862" s="243"/>
      <c r="AA862" s="243"/>
      <c r="AB862" s="243"/>
      <c r="AC862" s="243"/>
      <c r="AD862" s="243"/>
      <c r="AE862" s="243"/>
      <c r="AF862" s="243"/>
      <c r="AG862" s="243"/>
      <c r="AH862" s="243"/>
      <c r="AI862" s="243"/>
      <c r="AJ862" s="243"/>
    </row>
    <row r="863" spans="1:36" s="1" customFormat="1" x14ac:dyDescent="0.25">
      <c r="A863" s="1" t="s">
        <v>695</v>
      </c>
      <c r="H863" s="266" t="s">
        <v>435</v>
      </c>
      <c r="I863" s="267" t="str">
        <f t="shared" ref="I863:I866" si="734">IF($H$9="USD","USD","tr. VND")</f>
        <v>tr. VND</v>
      </c>
      <c r="K863" s="269">
        <f>K864+K867+K870</f>
        <v>0</v>
      </c>
      <c r="L863" s="269">
        <f t="shared" ref="L863:AJ863" si="735">L864+L867+L870</f>
        <v>-92746.065303826777</v>
      </c>
      <c r="M863" s="269">
        <f t="shared" si="735"/>
        <v>-129045.29243442416</v>
      </c>
      <c r="N863" s="269">
        <f t="shared" si="735"/>
        <v>-187617.60190480959</v>
      </c>
      <c r="O863" s="269">
        <f t="shared" si="735"/>
        <v>-191847.4979197002</v>
      </c>
      <c r="P863" s="269">
        <f t="shared" si="735"/>
        <v>-196187.14761304564</v>
      </c>
      <c r="Q863" s="269">
        <f t="shared" si="735"/>
        <v>-200640.00384632294</v>
      </c>
      <c r="R863" s="269">
        <f t="shared" si="735"/>
        <v>-205209.65142763397</v>
      </c>
      <c r="S863" s="269">
        <f t="shared" si="735"/>
        <v>-209899.81289510772</v>
      </c>
      <c r="T863" s="269">
        <f t="shared" si="735"/>
        <v>-214714.35457319432</v>
      </c>
      <c r="U863" s="269">
        <f t="shared" si="735"/>
        <v>-219657.29291516927</v>
      </c>
      <c r="V863" s="269">
        <f t="shared" si="735"/>
        <v>-224732.80114582658</v>
      </c>
      <c r="W863" s="269">
        <f t="shared" si="735"/>
        <v>-229945.21621903207</v>
      </c>
      <c r="X863" s="269">
        <f t="shared" si="735"/>
        <v>-234296.54677220009</v>
      </c>
      <c r="Y863" s="269">
        <f t="shared" si="735"/>
        <v>-239796.47809385488</v>
      </c>
      <c r="Z863" s="269">
        <f t="shared" si="735"/>
        <v>-245447.38412123729</v>
      </c>
      <c r="AA863" s="269"/>
      <c r="AB863" s="269"/>
      <c r="AC863" s="269"/>
      <c r="AD863" s="269"/>
      <c r="AE863" s="269"/>
      <c r="AF863" s="269"/>
      <c r="AG863" s="269"/>
      <c r="AH863" s="269"/>
      <c r="AI863" s="269"/>
      <c r="AJ863" s="269"/>
    </row>
    <row r="864" spans="1:36" x14ac:dyDescent="0.25">
      <c r="A864" t="s">
        <v>695</v>
      </c>
      <c r="H864" s="636" t="s">
        <v>454</v>
      </c>
      <c r="I864" s="637" t="str">
        <f t="shared" si="734"/>
        <v>tr. VND</v>
      </c>
      <c r="K864" s="638">
        <f>SUM(K865:K866)</f>
        <v>0</v>
      </c>
      <c r="L864" s="638">
        <f t="shared" ref="L864:AJ864" si="736">SUM(L865:L866)</f>
        <v>-83121.831936000002</v>
      </c>
      <c r="M864" s="638">
        <f t="shared" si="736"/>
        <v>-116370.56471040001</v>
      </c>
      <c r="N864" s="638">
        <f t="shared" si="736"/>
        <v>-169568.53714944003</v>
      </c>
      <c r="O864" s="638">
        <f t="shared" si="736"/>
        <v>-172959.90789242883</v>
      </c>
      <c r="P864" s="638">
        <f t="shared" si="736"/>
        <v>-176419.10605027739</v>
      </c>
      <c r="Q864" s="638">
        <f t="shared" si="736"/>
        <v>-179947.48817128292</v>
      </c>
      <c r="R864" s="638">
        <f t="shared" si="736"/>
        <v>-183546.43793470861</v>
      </c>
      <c r="S864" s="638">
        <f t="shared" si="736"/>
        <v>-187217.36669340279</v>
      </c>
      <c r="T864" s="638">
        <f t="shared" si="736"/>
        <v>-190961.71402727079</v>
      </c>
      <c r="U864" s="638">
        <f t="shared" si="736"/>
        <v>-194780.9483078162</v>
      </c>
      <c r="V864" s="638">
        <f t="shared" si="736"/>
        <v>-198676.56727397256</v>
      </c>
      <c r="W864" s="638">
        <f t="shared" si="736"/>
        <v>-202650.09861945201</v>
      </c>
      <c r="X864" s="638">
        <f t="shared" si="736"/>
        <v>-206703.10059184101</v>
      </c>
      <c r="Y864" s="638">
        <f t="shared" si="736"/>
        <v>-210837.16260367786</v>
      </c>
      <c r="Z864" s="638">
        <f t="shared" si="736"/>
        <v>-215053.90585575142</v>
      </c>
      <c r="AA864" s="638"/>
      <c r="AB864" s="638"/>
      <c r="AC864" s="638"/>
      <c r="AD864" s="638"/>
      <c r="AE864" s="638"/>
      <c r="AF864" s="638"/>
      <c r="AG864" s="638"/>
      <c r="AH864" s="638"/>
      <c r="AI864" s="638"/>
      <c r="AJ864" s="638"/>
    </row>
    <row r="865" spans="1:36" s="299" customFormat="1" x14ac:dyDescent="0.25">
      <c r="A865" s="299" t="s">
        <v>695</v>
      </c>
      <c r="B865" s="299" t="s">
        <v>459</v>
      </c>
      <c r="H865" s="553" t="s">
        <v>167</v>
      </c>
      <c r="I865" s="554" t="str">
        <f t="shared" si="734"/>
        <v>tr. VND</v>
      </c>
      <c r="K865" s="555"/>
      <c r="L865" s="555" cm="1">
        <f t="array" ref="L865">-SUMPRODUCT('W2'!$M$12:$V$112*('W2'!$M$7:$V$7=$A865)*('W2'!$A$12:$A$112=$B865))*L842*$H$10*POWER(1+INDEX('Cover Page'!$H$8:$AJ$8,MATCH($A865,'Cover Page'!$H$5:$AJ$5,0)),1+L$13)</f>
        <v>-77303.303700479999</v>
      </c>
      <c r="M865" s="555" cm="1">
        <f t="array" ref="M865">-SUMPRODUCT('W2'!$M$12:$V$112*('W2'!$M$7:$V$7=$A865)*('W2'!$A$12:$A$112=$B865))*M842*$H$10*POWER(1+INDEX('Cover Page'!$H$8:$AJ$8,MATCH($A865,'Cover Page'!$H$5:$AJ$5,0)),1+M$13)</f>
        <v>-108224.625180672</v>
      </c>
      <c r="N865" s="555" cm="1">
        <f t="array" ref="N865">-SUMPRODUCT('W2'!$M$12:$V$112*('W2'!$M$7:$V$7=$A865)*('W2'!$A$12:$A$112=$B865))*N842*$H$10*POWER(1+INDEX('Cover Page'!$H$8:$AJ$8,MATCH($A865,'Cover Page'!$H$5:$AJ$5,0)),1+N$13)</f>
        <v>-157698.73954897921</v>
      </c>
      <c r="O865" s="555" cm="1">
        <f t="array" ref="O865">-SUMPRODUCT('W2'!$M$12:$V$112*('W2'!$M$7:$V$7=$A865)*('W2'!$A$12:$A$112=$B865))*O842*$H$10*POWER(1+INDEX('Cover Page'!$H$8:$AJ$8,MATCH($A865,'Cover Page'!$H$5:$AJ$5,0)),1+O$13)</f>
        <v>-160852.71433995879</v>
      </c>
      <c r="P865" s="555" cm="1">
        <f t="array" ref="P865">-SUMPRODUCT('W2'!$M$12:$V$112*('W2'!$M$7:$V$7=$A865)*('W2'!$A$12:$A$112=$B865))*P842*$H$10*POWER(1+INDEX('Cover Page'!$H$8:$AJ$8,MATCH($A865,'Cover Page'!$H$5:$AJ$5,0)),1+P$13)</f>
        <v>-164069.76862675796</v>
      </c>
      <c r="Q865" s="555" cm="1">
        <f t="array" ref="Q865">-SUMPRODUCT('W2'!$M$12:$V$112*('W2'!$M$7:$V$7=$A865)*('W2'!$A$12:$A$112=$B865))*Q842*$H$10*POWER(1+INDEX('Cover Page'!$H$8:$AJ$8,MATCH($A865,'Cover Page'!$H$5:$AJ$5,0)),1+Q$13)</f>
        <v>-167351.16399929312</v>
      </c>
      <c r="R865" s="555" cm="1">
        <f t="array" ref="R865">-SUMPRODUCT('W2'!$M$12:$V$112*('W2'!$M$7:$V$7=$A865)*('W2'!$A$12:$A$112=$B865))*R842*$H$10*POWER(1+INDEX('Cover Page'!$H$8:$AJ$8,MATCH($A865,'Cover Page'!$H$5:$AJ$5,0)),1+R$13)</f>
        <v>-170698.18727927899</v>
      </c>
      <c r="S865" s="555" cm="1">
        <f t="array" ref="S865">-SUMPRODUCT('W2'!$M$12:$V$112*('W2'!$M$7:$V$7=$A865)*('W2'!$A$12:$A$112=$B865))*S842*$H$10*POWER(1+INDEX('Cover Page'!$H$8:$AJ$8,MATCH($A865,'Cover Page'!$H$5:$AJ$5,0)),1+S$13)</f>
        <v>-174112.15102486458</v>
      </c>
      <c r="T865" s="555" cm="1">
        <f t="array" ref="T865">-SUMPRODUCT('W2'!$M$12:$V$112*('W2'!$M$7:$V$7=$A865)*('W2'!$A$12:$A$112=$B865))*T842*$H$10*POWER(1+INDEX('Cover Page'!$H$8:$AJ$8,MATCH($A865,'Cover Page'!$H$5:$AJ$5,0)),1+T$13)</f>
        <v>-177594.39404536181</v>
      </c>
      <c r="U865" s="555" cm="1">
        <f t="array" ref="U865">-SUMPRODUCT('W2'!$M$12:$V$112*('W2'!$M$7:$V$7=$A865)*('W2'!$A$12:$A$112=$B865))*U842*$H$10*POWER(1+INDEX('Cover Page'!$H$8:$AJ$8,MATCH($A865,'Cover Page'!$H$5:$AJ$5,0)),1+U$13)</f>
        <v>-181146.28192626906</v>
      </c>
      <c r="V865" s="555" cm="1">
        <f t="array" ref="V865">-SUMPRODUCT('W2'!$M$12:$V$112*('W2'!$M$7:$V$7=$A865)*('W2'!$A$12:$A$112=$B865))*V842*$H$10*POWER(1+INDEX('Cover Page'!$H$8:$AJ$8,MATCH($A865,'Cover Page'!$H$5:$AJ$5,0)),1+V$13)</f>
        <v>-184769.20756479446</v>
      </c>
      <c r="W865" s="555" cm="1">
        <f t="array" ref="W865">-SUMPRODUCT('W2'!$M$12:$V$112*('W2'!$M$7:$V$7=$A865)*('W2'!$A$12:$A$112=$B865))*W842*$H$10*POWER(1+INDEX('Cover Page'!$H$8:$AJ$8,MATCH($A865,'Cover Page'!$H$5:$AJ$5,0)),1+W$13)</f>
        <v>-188464.59171609036</v>
      </c>
      <c r="X865" s="555" cm="1">
        <f t="array" ref="X865">-SUMPRODUCT('W2'!$M$12:$V$112*('W2'!$M$7:$V$7=$A865)*('W2'!$A$12:$A$112=$B865))*X842*$H$10*POWER(1+INDEX('Cover Page'!$H$8:$AJ$8,MATCH($A865,'Cover Page'!$H$5:$AJ$5,0)),1+X$13)</f>
        <v>-192233.88355041214</v>
      </c>
      <c r="Y865" s="555" cm="1">
        <f t="array" ref="Y865">-SUMPRODUCT('W2'!$M$12:$V$112*('W2'!$M$7:$V$7=$A865)*('W2'!$A$12:$A$112=$B865))*Y842*$H$10*POWER(1+INDEX('Cover Page'!$H$8:$AJ$8,MATCH($A865,'Cover Page'!$H$5:$AJ$5,0)),1+Y$13)</f>
        <v>-196078.56122142039</v>
      </c>
      <c r="Z865" s="555" cm="1">
        <f t="array" ref="Z865">-SUMPRODUCT('W2'!$M$12:$V$112*('W2'!$M$7:$V$7=$A865)*('W2'!$A$12:$A$112=$B865))*Z842*$H$10*POWER(1+INDEX('Cover Page'!$H$8:$AJ$8,MATCH($A865,'Cover Page'!$H$5:$AJ$5,0)),1+Z$13)</f>
        <v>-200000.13244584881</v>
      </c>
      <c r="AA865" s="555"/>
      <c r="AB865" s="555"/>
      <c r="AC865" s="555"/>
      <c r="AD865" s="555"/>
      <c r="AE865" s="555"/>
      <c r="AF865" s="555"/>
      <c r="AG865" s="555"/>
      <c r="AH865" s="555"/>
      <c r="AI865" s="555"/>
      <c r="AJ865" s="555"/>
    </row>
    <row r="866" spans="1:36" s="299" customFormat="1" x14ac:dyDescent="0.25">
      <c r="A866" s="299" t="s">
        <v>695</v>
      </c>
      <c r="H866" s="553" t="s">
        <v>203</v>
      </c>
      <c r="I866" s="554" t="str">
        <f t="shared" si="734"/>
        <v>tr. VND</v>
      </c>
      <c r="K866" s="639"/>
      <c r="L866" s="639">
        <f>L865/(1-L840)-L865</f>
        <v>-5818.5282355200034</v>
      </c>
      <c r="M866" s="639">
        <f t="shared" ref="M866:AJ866" si="737">M865/(1-M840)-M865</f>
        <v>-8145.9395297280134</v>
      </c>
      <c r="N866" s="639">
        <f t="shared" si="737"/>
        <v>-11869.797600460821</v>
      </c>
      <c r="O866" s="639">
        <f t="shared" si="737"/>
        <v>-12107.193552470038</v>
      </c>
      <c r="P866" s="639">
        <f t="shared" si="737"/>
        <v>-12349.337423519435</v>
      </c>
      <c r="Q866" s="639">
        <f t="shared" si="737"/>
        <v>-12596.324171989807</v>
      </c>
      <c r="R866" s="639">
        <f t="shared" si="737"/>
        <v>-12848.250655429612</v>
      </c>
      <c r="S866" s="639">
        <f t="shared" si="737"/>
        <v>-13105.215668538207</v>
      </c>
      <c r="T866" s="639">
        <f t="shared" si="737"/>
        <v>-13367.319981908979</v>
      </c>
      <c r="U866" s="639">
        <f t="shared" si="737"/>
        <v>-13634.66638154714</v>
      </c>
      <c r="V866" s="639">
        <f t="shared" si="737"/>
        <v>-13907.359709178098</v>
      </c>
      <c r="W866" s="639">
        <f t="shared" si="737"/>
        <v>-14185.506903361646</v>
      </c>
      <c r="X866" s="639">
        <f t="shared" si="737"/>
        <v>-14469.21704142887</v>
      </c>
      <c r="Y866" s="639">
        <f t="shared" si="737"/>
        <v>-14758.601382257475</v>
      </c>
      <c r="Z866" s="639">
        <f t="shared" si="737"/>
        <v>-15053.773409902613</v>
      </c>
      <c r="AA866" s="639"/>
      <c r="AB866" s="639"/>
      <c r="AC866" s="639"/>
      <c r="AD866" s="639"/>
      <c r="AE866" s="639"/>
      <c r="AF866" s="639"/>
      <c r="AG866" s="639"/>
      <c r="AH866" s="639"/>
      <c r="AI866" s="639"/>
      <c r="AJ866" s="639"/>
    </row>
    <row r="867" spans="1:36" x14ac:dyDescent="0.25">
      <c r="A867" t="s">
        <v>695</v>
      </c>
      <c r="H867" s="454" t="s">
        <v>676</v>
      </c>
      <c r="I867" s="496" t="s">
        <v>672</v>
      </c>
      <c r="K867" s="616">
        <f t="shared" ref="K867:AJ867" si="738">SUM(K868:K869)</f>
        <v>0</v>
      </c>
      <c r="L867" s="616">
        <f t="shared" si="738"/>
        <v>-632.43325753344004</v>
      </c>
      <c r="M867" s="616">
        <f t="shared" si="738"/>
        <v>-885.40656054681608</v>
      </c>
      <c r="N867" s="616">
        <f t="shared" si="738"/>
        <v>-1328.1098408202242</v>
      </c>
      <c r="O867" s="616">
        <f t="shared" si="738"/>
        <v>-1394.5153328612353</v>
      </c>
      <c r="P867" s="616">
        <f t="shared" si="738"/>
        <v>-1464.2410995042972</v>
      </c>
      <c r="Q867" s="616">
        <f t="shared" si="738"/>
        <v>-1537.453154479512</v>
      </c>
      <c r="R867" s="616">
        <f t="shared" si="738"/>
        <v>-1614.3258122034877</v>
      </c>
      <c r="S867" s="616">
        <f t="shared" si="738"/>
        <v>-1695.0421028136618</v>
      </c>
      <c r="T867" s="616">
        <f t="shared" si="738"/>
        <v>-1779.7942079543452</v>
      </c>
      <c r="U867" s="616">
        <f t="shared" si="738"/>
        <v>-1868.7839183520623</v>
      </c>
      <c r="V867" s="616">
        <f t="shared" si="738"/>
        <v>-1962.2231142696655</v>
      </c>
      <c r="W867" s="616">
        <f t="shared" si="738"/>
        <v>-2060.3342699831487</v>
      </c>
      <c r="X867" s="616">
        <f t="shared" si="738"/>
        <v>-2163.3509834823062</v>
      </c>
      <c r="Y867" s="616">
        <f t="shared" si="738"/>
        <v>-2271.5185326564215</v>
      </c>
      <c r="Z867" s="616">
        <f t="shared" si="738"/>
        <v>-2385.0944592892429</v>
      </c>
      <c r="AA867" s="616"/>
      <c r="AB867" s="616"/>
      <c r="AC867" s="616"/>
      <c r="AD867" s="616"/>
      <c r="AE867" s="616"/>
      <c r="AF867" s="616"/>
      <c r="AG867" s="616"/>
      <c r="AH867" s="616"/>
      <c r="AI867" s="616"/>
      <c r="AJ867" s="616"/>
    </row>
    <row r="868" spans="1:36" s="299" customFormat="1" x14ac:dyDescent="0.25">
      <c r="A868" s="299" t="s">
        <v>695</v>
      </c>
      <c r="B868" s="299" t="s">
        <v>667</v>
      </c>
      <c r="H868" s="553" t="s">
        <v>673</v>
      </c>
      <c r="I868" s="554" t="s">
        <v>672</v>
      </c>
      <c r="K868" s="555"/>
      <c r="L868" s="555" cm="1">
        <f t="array" ref="L868">-SUMPRODUCT('W2'!$M$12:$V$112*('W2'!$M$7:$V$7=$A868)*('W2'!$A$12:$A$112=$B868))*L848*$H$10*POWER(1+Inflation,L$11+1)</f>
        <v>-632.43325753344004</v>
      </c>
      <c r="M868" s="555" cm="1">
        <f t="array" ref="M868">-SUMPRODUCT('W2'!$M$12:$V$112*('W2'!$M$7:$V$7=$A868)*('W2'!$A$12:$A$112=$B868))*M848*$H$10*POWER(1+Inflation,M$11+1)</f>
        <v>-885.40656054681608</v>
      </c>
      <c r="N868" s="555" cm="1">
        <f t="array" ref="N868">-SUMPRODUCT('W2'!$M$12:$V$112*('W2'!$M$7:$V$7=$A868)*('W2'!$A$12:$A$112=$B868))*N848*$H$10*POWER(1+Inflation,N$11+1)</f>
        <v>-1328.1098408202242</v>
      </c>
      <c r="O868" s="555" cm="1">
        <f t="array" ref="O868">-SUMPRODUCT('W2'!$M$12:$V$112*('W2'!$M$7:$V$7=$A868)*('W2'!$A$12:$A$112=$B868))*O848*$H$10*POWER(1+Inflation,O$11+1)</f>
        <v>-1394.5153328612353</v>
      </c>
      <c r="P868" s="555" cm="1">
        <f t="array" ref="P868">-SUMPRODUCT('W2'!$M$12:$V$112*('W2'!$M$7:$V$7=$A868)*('W2'!$A$12:$A$112=$B868))*P848*$H$10*POWER(1+Inflation,P$11+1)</f>
        <v>-1464.2410995042972</v>
      </c>
      <c r="Q868" s="555" cm="1">
        <f t="array" ref="Q868">-SUMPRODUCT('W2'!$M$12:$V$112*('W2'!$M$7:$V$7=$A868)*('W2'!$A$12:$A$112=$B868))*Q848*$H$10*POWER(1+Inflation,Q$11+1)</f>
        <v>-1537.453154479512</v>
      </c>
      <c r="R868" s="555" cm="1">
        <f t="array" ref="R868">-SUMPRODUCT('W2'!$M$12:$V$112*('W2'!$M$7:$V$7=$A868)*('W2'!$A$12:$A$112=$B868))*R848*$H$10*POWER(1+Inflation,R$11+1)</f>
        <v>-1614.3258122034877</v>
      </c>
      <c r="S868" s="555" cm="1">
        <f t="array" ref="S868">-SUMPRODUCT('W2'!$M$12:$V$112*('W2'!$M$7:$V$7=$A868)*('W2'!$A$12:$A$112=$B868))*S848*$H$10*POWER(1+Inflation,S$11+1)</f>
        <v>-1695.0421028136618</v>
      </c>
      <c r="T868" s="555" cm="1">
        <f t="array" ref="T868">-SUMPRODUCT('W2'!$M$12:$V$112*('W2'!$M$7:$V$7=$A868)*('W2'!$A$12:$A$112=$B868))*T848*$H$10*POWER(1+Inflation,T$11+1)</f>
        <v>-1779.7942079543452</v>
      </c>
      <c r="U868" s="555" cm="1">
        <f t="array" ref="U868">-SUMPRODUCT('W2'!$M$12:$V$112*('W2'!$M$7:$V$7=$A868)*('W2'!$A$12:$A$112=$B868))*U848*$H$10*POWER(1+Inflation,U$11+1)</f>
        <v>-1868.7839183520623</v>
      </c>
      <c r="V868" s="555" cm="1">
        <f t="array" ref="V868">-SUMPRODUCT('W2'!$M$12:$V$112*('W2'!$M$7:$V$7=$A868)*('W2'!$A$12:$A$112=$B868))*V848*$H$10*POWER(1+Inflation,V$11+1)</f>
        <v>-1962.2231142696655</v>
      </c>
      <c r="W868" s="555" cm="1">
        <f t="array" ref="W868">-SUMPRODUCT('W2'!$M$12:$V$112*('W2'!$M$7:$V$7=$A868)*('W2'!$A$12:$A$112=$B868))*W848*$H$10*POWER(1+Inflation,W$11+1)</f>
        <v>-2060.3342699831487</v>
      </c>
      <c r="X868" s="555" cm="1">
        <f t="array" ref="X868">-SUMPRODUCT('W2'!$M$12:$V$112*('W2'!$M$7:$V$7=$A868)*('W2'!$A$12:$A$112=$B868))*X848*$H$10*POWER(1+Inflation,X$11+1)</f>
        <v>-2163.3509834823062</v>
      </c>
      <c r="Y868" s="555" cm="1">
        <f t="array" ref="Y868">-SUMPRODUCT('W2'!$M$12:$V$112*('W2'!$M$7:$V$7=$A868)*('W2'!$A$12:$A$112=$B868))*Y848*$H$10*POWER(1+Inflation,Y$11+1)</f>
        <v>-2271.5185326564215</v>
      </c>
      <c r="Z868" s="555" cm="1">
        <f t="array" ref="Z868">-SUMPRODUCT('W2'!$M$12:$V$112*('W2'!$M$7:$V$7=$A868)*('W2'!$A$12:$A$112=$B868))*Z848*$H$10*POWER(1+Inflation,Z$11+1)</f>
        <v>-2385.0944592892429</v>
      </c>
      <c r="AA868" s="555"/>
      <c r="AB868" s="555"/>
      <c r="AC868" s="555"/>
      <c r="AD868" s="555"/>
      <c r="AE868" s="555"/>
      <c r="AF868" s="555"/>
      <c r="AG868" s="555"/>
      <c r="AH868" s="555"/>
      <c r="AI868" s="555"/>
      <c r="AJ868" s="555"/>
    </row>
    <row r="869" spans="1:36" s="299" customFormat="1" x14ac:dyDescent="0.25">
      <c r="A869" s="299" t="s">
        <v>695</v>
      </c>
      <c r="B869" s="299" t="s">
        <v>668</v>
      </c>
      <c r="H869" s="553" t="s">
        <v>674</v>
      </c>
      <c r="I869" s="554" t="s">
        <v>672</v>
      </c>
      <c r="K869" s="555"/>
      <c r="L869" s="555" cm="1">
        <f t="array" ref="L869">-SUMPRODUCT('W2'!$M$12:$V$112*('W2'!$M$7:$V$7=$A869)*('W2'!$A$12:$A$112=$B869))*L849*$H$10*POWER(1+Inflation,L$11+1)</f>
        <v>0</v>
      </c>
      <c r="M869" s="555" cm="1">
        <f t="array" ref="M869">-SUMPRODUCT('W2'!$M$12:$V$112*('W2'!$M$7:$V$7=$A869)*('W2'!$A$12:$A$112=$B869))*M849*$H$10*POWER(1+Inflation,M$11+1)</f>
        <v>0</v>
      </c>
      <c r="N869" s="555" cm="1">
        <f t="array" ref="N869">-SUMPRODUCT('W2'!$M$12:$V$112*('W2'!$M$7:$V$7=$A869)*('W2'!$A$12:$A$112=$B869))*N849*$H$10*POWER(1+Inflation,N$11+1)</f>
        <v>0</v>
      </c>
      <c r="O869" s="555" cm="1">
        <f t="array" ref="O869">-SUMPRODUCT('W2'!$M$12:$V$112*('W2'!$M$7:$V$7=$A869)*('W2'!$A$12:$A$112=$B869))*O849*$H$10*POWER(1+Inflation,O$11+1)</f>
        <v>0</v>
      </c>
      <c r="P869" s="555" cm="1">
        <f t="array" ref="P869">-SUMPRODUCT('W2'!$M$12:$V$112*('W2'!$M$7:$V$7=$A869)*('W2'!$A$12:$A$112=$B869))*P849*$H$10*POWER(1+Inflation,P$11+1)</f>
        <v>0</v>
      </c>
      <c r="Q869" s="555" cm="1">
        <f t="array" ref="Q869">-SUMPRODUCT('W2'!$M$12:$V$112*('W2'!$M$7:$V$7=$A869)*('W2'!$A$12:$A$112=$B869))*Q849*$H$10*POWER(1+Inflation,Q$11+1)</f>
        <v>0</v>
      </c>
      <c r="R869" s="555" cm="1">
        <f t="array" ref="R869">-SUMPRODUCT('W2'!$M$12:$V$112*('W2'!$M$7:$V$7=$A869)*('W2'!$A$12:$A$112=$B869))*R849*$H$10*POWER(1+Inflation,R$11+1)</f>
        <v>0</v>
      </c>
      <c r="S869" s="555" cm="1">
        <f t="array" ref="S869">-SUMPRODUCT('W2'!$M$12:$V$112*('W2'!$M$7:$V$7=$A869)*('W2'!$A$12:$A$112=$B869))*S849*$H$10*POWER(1+Inflation,S$11+1)</f>
        <v>0</v>
      </c>
      <c r="T869" s="555" cm="1">
        <f t="array" ref="T869">-SUMPRODUCT('W2'!$M$12:$V$112*('W2'!$M$7:$V$7=$A869)*('W2'!$A$12:$A$112=$B869))*T849*$H$10*POWER(1+Inflation,T$11+1)</f>
        <v>0</v>
      </c>
      <c r="U869" s="555" cm="1">
        <f t="array" ref="U869">-SUMPRODUCT('W2'!$M$12:$V$112*('W2'!$M$7:$V$7=$A869)*('W2'!$A$12:$A$112=$B869))*U849*$H$10*POWER(1+Inflation,U$11+1)</f>
        <v>0</v>
      </c>
      <c r="V869" s="555" cm="1">
        <f t="array" ref="V869">-SUMPRODUCT('W2'!$M$12:$V$112*('W2'!$M$7:$V$7=$A869)*('W2'!$A$12:$A$112=$B869))*V849*$H$10*POWER(1+Inflation,V$11+1)</f>
        <v>0</v>
      </c>
      <c r="W869" s="555" cm="1">
        <f t="array" ref="W869">-SUMPRODUCT('W2'!$M$12:$V$112*('W2'!$M$7:$V$7=$A869)*('W2'!$A$12:$A$112=$B869))*W849*$H$10*POWER(1+Inflation,W$11+1)</f>
        <v>0</v>
      </c>
      <c r="X869" s="555" cm="1">
        <f t="array" ref="X869">-SUMPRODUCT('W2'!$M$12:$V$112*('W2'!$M$7:$V$7=$A869)*('W2'!$A$12:$A$112=$B869))*X849*$H$10*POWER(1+Inflation,X$11+1)</f>
        <v>0</v>
      </c>
      <c r="Y869" s="555" cm="1">
        <f t="array" ref="Y869">-SUMPRODUCT('W2'!$M$12:$V$112*('W2'!$M$7:$V$7=$A869)*('W2'!$A$12:$A$112=$B869))*Y849*$H$10*POWER(1+Inflation,Y$11+1)</f>
        <v>0</v>
      </c>
      <c r="Z869" s="555" cm="1">
        <f t="array" ref="Z869">-SUMPRODUCT('W2'!$M$12:$V$112*('W2'!$M$7:$V$7=$A869)*('W2'!$A$12:$A$112=$B869))*Z849*$H$10*POWER(1+Inflation,Z$11+1)</f>
        <v>0</v>
      </c>
      <c r="AA869" s="555"/>
      <c r="AB869" s="555"/>
      <c r="AC869" s="555"/>
      <c r="AD869" s="555"/>
      <c r="AE869" s="555"/>
      <c r="AF869" s="555"/>
      <c r="AG869" s="555"/>
      <c r="AH869" s="555"/>
      <c r="AI869" s="555"/>
      <c r="AJ869" s="555"/>
    </row>
    <row r="870" spans="1:36" x14ac:dyDescent="0.25">
      <c r="A870" t="s">
        <v>695</v>
      </c>
      <c r="H870" s="454" t="s">
        <v>180</v>
      </c>
      <c r="I870" s="496" t="str">
        <f t="shared" ref="I870:I873" si="739">IF($H$9="USD","USD","tr. VND")</f>
        <v>tr. VND</v>
      </c>
      <c r="K870" s="616">
        <f>SUM(K871:K873)</f>
        <v>0</v>
      </c>
      <c r="L870" s="616">
        <f>SUM(L871:L873)</f>
        <v>-8991.800110293334</v>
      </c>
      <c r="M870" s="616">
        <f t="shared" ref="M870:AJ870" si="740">SUM(M871:M873)</f>
        <v>-11789.321163477332</v>
      </c>
      <c r="N870" s="616">
        <f t="shared" si="740"/>
        <v>-16720.954914549333</v>
      </c>
      <c r="O870" s="616">
        <f t="shared" si="740"/>
        <v>-17493.074694410134</v>
      </c>
      <c r="P870" s="616">
        <f t="shared" si="740"/>
        <v>-18303.800463263975</v>
      </c>
      <c r="Q870" s="616">
        <f t="shared" si="740"/>
        <v>-19155.062520560507</v>
      </c>
      <c r="R870" s="616">
        <f t="shared" si="740"/>
        <v>-20048.887680721866</v>
      </c>
      <c r="S870" s="616">
        <f t="shared" si="740"/>
        <v>-20987.404098891289</v>
      </c>
      <c r="T870" s="616">
        <f t="shared" si="740"/>
        <v>-21972.846337969193</v>
      </c>
      <c r="U870" s="616">
        <f t="shared" si="740"/>
        <v>-23007.560689000984</v>
      </c>
      <c r="V870" s="616">
        <f t="shared" si="740"/>
        <v>-24094.010757584365</v>
      </c>
      <c r="W870" s="616">
        <f t="shared" si="740"/>
        <v>-25234.783329596918</v>
      </c>
      <c r="X870" s="616">
        <f t="shared" si="740"/>
        <v>-25430.095196876766</v>
      </c>
      <c r="Y870" s="616">
        <f t="shared" si="740"/>
        <v>-26687.796957520601</v>
      </c>
      <c r="Z870" s="616">
        <f t="shared" si="740"/>
        <v>-28008.383806196634</v>
      </c>
      <c r="AA870" s="616"/>
      <c r="AB870" s="616"/>
      <c r="AC870" s="616"/>
      <c r="AD870" s="616"/>
      <c r="AE870" s="616"/>
      <c r="AF870" s="616"/>
      <c r="AG870" s="616"/>
      <c r="AH870" s="616"/>
      <c r="AI870" s="616"/>
      <c r="AJ870" s="616"/>
    </row>
    <row r="871" spans="1:36" s="299" customFormat="1" x14ac:dyDescent="0.25">
      <c r="A871" s="299" t="s">
        <v>695</v>
      </c>
      <c r="B871" s="299" t="s">
        <v>174</v>
      </c>
      <c r="H871" s="553" t="s">
        <v>73</v>
      </c>
      <c r="I871" s="554" t="str">
        <f t="shared" si="739"/>
        <v>tr. VND</v>
      </c>
      <c r="K871" s="555"/>
      <c r="L871" s="555" cm="1">
        <f t="array" ref="L871">-SUMPRODUCT('W2'!$M$12:$V$112*('W2'!$M$7:$V$7=$A871)*('W2'!$A$12:$A$112=$B871))*L841*24*$H$10*POWER(1+Inflation,L$11+1)</f>
        <v>-5749.8011999999999</v>
      </c>
      <c r="M871" s="555" cm="1">
        <f t="array" ref="M871">-SUMPRODUCT('W2'!$M$12:$V$112*('W2'!$M$7:$V$7=$A871)*('W2'!$A$12:$A$112=$B871))*M841*24*$H$10*POWER(1+Inflation,M$11+1)</f>
        <v>-8049.7216799999978</v>
      </c>
      <c r="N871" s="555" cm="1">
        <f t="array" ref="N871">-SUMPRODUCT('W2'!$M$12:$V$112*('W2'!$M$7:$V$7=$A871)*('W2'!$A$12:$A$112=$B871))*N841*24*$H$10*POWER(1+Inflation,N$11+1)</f>
        <v>-12074.58252</v>
      </c>
      <c r="O871" s="555" cm="1">
        <f t="array" ref="O871">-SUMPRODUCT('W2'!$M$12:$V$112*('W2'!$M$7:$V$7=$A871)*('W2'!$A$12:$A$112=$B871))*O841*24*$H$10*POWER(1+Inflation,O$11+1)</f>
        <v>-12678.311646</v>
      </c>
      <c r="P871" s="555" cm="1">
        <f t="array" ref="P871">-SUMPRODUCT('W2'!$M$12:$V$112*('W2'!$M$7:$V$7=$A871)*('W2'!$A$12:$A$112=$B871))*P841*24*$H$10*POWER(1+Inflation,P$11+1)</f>
        <v>-13312.227228300002</v>
      </c>
      <c r="Q871" s="555" cm="1">
        <f t="array" ref="Q871">-SUMPRODUCT('W2'!$M$12:$V$112*('W2'!$M$7:$V$7=$A871)*('W2'!$A$12:$A$112=$B871))*Q841*24*$H$10*POWER(1+Inflation,Q$11+1)</f>
        <v>-13977.838589715</v>
      </c>
      <c r="R871" s="555" cm="1">
        <f t="array" ref="R871">-SUMPRODUCT('W2'!$M$12:$V$112*('W2'!$M$7:$V$7=$A871)*('W2'!$A$12:$A$112=$B871))*R841*24*$H$10*POWER(1+Inflation,R$11+1)</f>
        <v>-14676.730519200752</v>
      </c>
      <c r="S871" s="555" cm="1">
        <f t="array" ref="S871">-SUMPRODUCT('W2'!$M$12:$V$112*('W2'!$M$7:$V$7=$A871)*('W2'!$A$12:$A$112=$B871))*S841*24*$H$10*POWER(1+Inflation,S$11+1)</f>
        <v>-15410.567045160788</v>
      </c>
      <c r="T871" s="555" cm="1">
        <f t="array" ref="T871">-SUMPRODUCT('W2'!$M$12:$V$112*('W2'!$M$7:$V$7=$A871)*('W2'!$A$12:$A$112=$B871))*T841*24*$H$10*POWER(1+Inflation,T$11+1)</f>
        <v>-16181.095397418829</v>
      </c>
      <c r="U871" s="555" cm="1">
        <f t="array" ref="U871">-SUMPRODUCT('W2'!$M$12:$V$112*('W2'!$M$7:$V$7=$A871)*('W2'!$A$12:$A$112=$B871))*U841*24*$H$10*POWER(1+Inflation,U$11+1)</f>
        <v>-16990.150167289768</v>
      </c>
      <c r="V871" s="555" cm="1">
        <f t="array" ref="V871">-SUMPRODUCT('W2'!$M$12:$V$112*('W2'!$M$7:$V$7=$A871)*('W2'!$A$12:$A$112=$B871))*V841*24*$H$10*POWER(1+Inflation,V$11+1)</f>
        <v>-17839.657675654256</v>
      </c>
      <c r="W871" s="555" cm="1">
        <f t="array" ref="W871">-SUMPRODUCT('W2'!$M$12:$V$112*('W2'!$M$7:$V$7=$A871)*('W2'!$A$12:$A$112=$B871))*W841*24*$H$10*POWER(1+Inflation,W$11+1)</f>
        <v>-18731.640559436972</v>
      </c>
      <c r="X871" s="555" cm="1">
        <f t="array" ref="X871">-SUMPRODUCT('W2'!$M$12:$V$112*('W2'!$M$7:$V$7=$A871)*('W2'!$A$12:$A$112=$B871))*X841*24*$H$10*POWER(1+Inflation,X$11+1)</f>
        <v>-19668.222587408822</v>
      </c>
      <c r="Y871" s="555" cm="1">
        <f t="array" ref="Y871">-SUMPRODUCT('W2'!$M$12:$V$112*('W2'!$M$7:$V$7=$A871)*('W2'!$A$12:$A$112=$B871))*Y841*24*$H$10*POWER(1+Inflation,Y$11+1)</f>
        <v>-20651.633716779259</v>
      </c>
      <c r="Z871" s="555" cm="1">
        <f t="array" ref="Z871">-SUMPRODUCT('W2'!$M$12:$V$112*('W2'!$M$7:$V$7=$A871)*('W2'!$A$12:$A$112=$B871))*Z841*24*$H$10*POWER(1+Inflation,Z$11+1)</f>
        <v>-21684.215402618225</v>
      </c>
      <c r="AA871" s="555"/>
      <c r="AB871" s="555"/>
      <c r="AC871" s="555"/>
      <c r="AD871" s="555"/>
      <c r="AE871" s="555"/>
      <c r="AF871" s="555"/>
      <c r="AG871" s="555"/>
      <c r="AH871" s="555"/>
      <c r="AI871" s="555"/>
      <c r="AJ871" s="555"/>
    </row>
    <row r="872" spans="1:36" s="299" customFormat="1" x14ac:dyDescent="0.25">
      <c r="A872" s="299" t="s">
        <v>695</v>
      </c>
      <c r="B872" s="299" t="s">
        <v>462</v>
      </c>
      <c r="H872" s="553" t="s">
        <v>192</v>
      </c>
      <c r="I872" s="554" t="str">
        <f t="shared" si="739"/>
        <v>tr. VND</v>
      </c>
      <c r="K872" s="555"/>
      <c r="L872" s="555" cm="1">
        <f t="array" ref="L872">-SUMPRODUCT('W2'!$M$12:$V$112*('W2'!$M$7:$V$7=$A872)*('W2'!$A$12:$A$112=$B872))*L842*$H$10*POWER(1+Inflation,L$11+1)</f>
        <v>-975.00902399999995</v>
      </c>
      <c r="M872" s="555" cm="1">
        <f t="array" ref="M872">-SUMPRODUCT('W2'!$M$12:$V$112*('W2'!$M$7:$V$7=$A872)*('W2'!$A$12:$A$112=$B872))*M842*$H$10*POWER(1+Inflation,M$11+1)</f>
        <v>-1365.0126335999998</v>
      </c>
      <c r="N872" s="555" cm="1">
        <f t="array" ref="N872">-SUMPRODUCT('W2'!$M$12:$V$112*('W2'!$M$7:$V$7=$A872)*('W2'!$A$12:$A$112=$B872))*N842*$H$10*POWER(1+Inflation,N$11+1)</f>
        <v>-2047.5189504</v>
      </c>
      <c r="O872" s="555" cm="1">
        <f t="array" ref="O872">-SUMPRODUCT('W2'!$M$12:$V$112*('W2'!$M$7:$V$7=$A872)*('W2'!$A$12:$A$112=$B872))*O842*$H$10*POWER(1+Inflation,O$11+1)</f>
        <v>-2149.8948979199999</v>
      </c>
      <c r="P872" s="555" cm="1">
        <f t="array" ref="P872">-SUMPRODUCT('W2'!$M$12:$V$112*('W2'!$M$7:$V$7=$A872)*('W2'!$A$12:$A$112=$B872))*P842*$H$10*POWER(1+Inflation,P$11+1)</f>
        <v>-2257.3896428160001</v>
      </c>
      <c r="Q872" s="555" cm="1">
        <f t="array" ref="Q872">-SUMPRODUCT('W2'!$M$12:$V$112*('W2'!$M$7:$V$7=$A872)*('W2'!$A$12:$A$112=$B872))*Q842*$H$10*POWER(1+Inflation,Q$11+1)</f>
        <v>-2370.2591249568</v>
      </c>
      <c r="R872" s="555" cm="1">
        <f t="array" ref="R872">-SUMPRODUCT('W2'!$M$12:$V$112*('W2'!$M$7:$V$7=$A872)*('W2'!$A$12:$A$112=$B872))*R842*$H$10*POWER(1+Inflation,R$11+1)</f>
        <v>-2488.77208120464</v>
      </c>
      <c r="S872" s="555" cm="1">
        <f t="array" ref="S872">-SUMPRODUCT('W2'!$M$12:$V$112*('W2'!$M$7:$V$7=$A872)*('W2'!$A$12:$A$112=$B872))*S842*$H$10*POWER(1+Inflation,S$11+1)</f>
        <v>-2613.2106852648717</v>
      </c>
      <c r="T872" s="555" cm="1">
        <f t="array" ref="T872">-SUMPRODUCT('W2'!$M$12:$V$112*('W2'!$M$7:$V$7=$A872)*('W2'!$A$12:$A$112=$B872))*T842*$H$10*POWER(1+Inflation,T$11+1)</f>
        <v>-2743.8712195281159</v>
      </c>
      <c r="U872" s="555" cm="1">
        <f t="array" ref="U872">-SUMPRODUCT('W2'!$M$12:$V$112*('W2'!$M$7:$V$7=$A872)*('W2'!$A$12:$A$112=$B872))*U842*$H$10*POWER(1+Inflation,U$11+1)</f>
        <v>-2881.0647805045214</v>
      </c>
      <c r="V872" s="555" cm="1">
        <f t="array" ref="V872">-SUMPRODUCT('W2'!$M$12:$V$112*('W2'!$M$7:$V$7=$A872)*('W2'!$A$12:$A$112=$B872))*V842*$H$10*POWER(1+Inflation,V$11+1)</f>
        <v>-3025.1180195297475</v>
      </c>
      <c r="W872" s="555" cm="1">
        <f t="array" ref="W872">-SUMPRODUCT('W2'!$M$12:$V$112*('W2'!$M$7:$V$7=$A872)*('W2'!$A$12:$A$112=$B872))*W842*$H$10*POWER(1+Inflation,W$11+1)</f>
        <v>-3176.3739205062352</v>
      </c>
      <c r="X872" s="555" cm="1">
        <f t="array" ref="X872">-SUMPRODUCT('W2'!$M$12:$V$112*('W2'!$M$7:$V$7=$A872)*('W2'!$A$12:$A$112=$B872))*X842*$H$10*POWER(1+Inflation,X$11+1)</f>
        <v>-3335.1926165315472</v>
      </c>
      <c r="Y872" s="555" cm="1">
        <f t="array" ref="Y872">-SUMPRODUCT('W2'!$M$12:$V$112*('W2'!$M$7:$V$7=$A872)*('W2'!$A$12:$A$112=$B872))*Y842*$H$10*POWER(1+Inflation,Y$11+1)</f>
        <v>-3501.9522473581237</v>
      </c>
      <c r="Z872" s="555" cm="1">
        <f t="array" ref="Z872">-SUMPRODUCT('W2'!$M$12:$V$112*('W2'!$M$7:$V$7=$A872)*('W2'!$A$12:$A$112=$B872))*Z842*$H$10*POWER(1+Inflation,Z$11+1)</f>
        <v>-3677.0498597260307</v>
      </c>
      <c r="AA872" s="555"/>
      <c r="AB872" s="555"/>
      <c r="AC872" s="555"/>
      <c r="AD872" s="555"/>
      <c r="AE872" s="555"/>
      <c r="AF872" s="555"/>
      <c r="AG872" s="555"/>
      <c r="AH872" s="555"/>
      <c r="AI872" s="555"/>
      <c r="AJ872" s="555"/>
    </row>
    <row r="873" spans="1:36" s="299" customFormat="1" x14ac:dyDescent="0.25">
      <c r="A873" s="299" t="s">
        <v>695</v>
      </c>
      <c r="B873" s="299" t="s">
        <v>140</v>
      </c>
      <c r="H873" s="553" t="s">
        <v>175</v>
      </c>
      <c r="I873" s="554" t="str">
        <f t="shared" si="739"/>
        <v>tr. VND</v>
      </c>
      <c r="K873" s="555"/>
      <c r="L873" s="555" cm="1">
        <f t="array" ref="L873">SUMPRODUCT('W2'!$M$12:$V$112*('W2'!$M$7:$V$7=$A873)*('W2'!$A$12:$A$112=$B873))*(SUM(L853,L871:L872))</f>
        <v>-2266.9898862933337</v>
      </c>
      <c r="M873" s="555" cm="1">
        <f t="array" ref="M873">SUMPRODUCT('W2'!$M$12:$V$112*('W2'!$M$7:$V$7=$A873)*('W2'!$A$12:$A$112=$B873))*(SUM(M853,M871:M872))</f>
        <v>-2374.5868498773334</v>
      </c>
      <c r="N873" s="555" cm="1">
        <f t="array" ref="N873">SUMPRODUCT('W2'!$M$12:$V$112*('W2'!$M$7:$V$7=$A873)*('W2'!$A$12:$A$112=$B873))*(SUM(N853,N871:N872))</f>
        <v>-2598.8534441493334</v>
      </c>
      <c r="O873" s="555" cm="1">
        <f t="array" ref="O873">SUMPRODUCT('W2'!$M$12:$V$112*('W2'!$M$7:$V$7=$A873)*('W2'!$A$12:$A$112=$B873))*(SUM(O853,O871:O872))</f>
        <v>-2664.8681504901338</v>
      </c>
      <c r="P873" s="555" cm="1">
        <f t="array" ref="P873">SUMPRODUCT('W2'!$M$12:$V$112*('W2'!$M$7:$V$7=$A873)*('W2'!$A$12:$A$112=$B873))*(SUM(P853,P871:P872))</f>
        <v>-2734.1835921479733</v>
      </c>
      <c r="Q873" s="555" cm="1">
        <f t="array" ref="Q873">SUMPRODUCT('W2'!$M$12:$V$112*('W2'!$M$7:$V$7=$A873)*('W2'!$A$12:$A$112=$B873))*(SUM(Q853,Q871:Q872))</f>
        <v>-2806.9648058887055</v>
      </c>
      <c r="R873" s="555" cm="1">
        <f t="array" ref="R873">SUMPRODUCT('W2'!$M$12:$V$112*('W2'!$M$7:$V$7=$A873)*('W2'!$A$12:$A$112=$B873))*(SUM(R853,R871:R872))</f>
        <v>-2883.3850803164742</v>
      </c>
      <c r="S873" s="555" cm="1">
        <f t="array" ref="S873">SUMPRODUCT('W2'!$M$12:$V$112*('W2'!$M$7:$V$7=$A873)*('W2'!$A$12:$A$112=$B873))*(SUM(S853,S871:S872))</f>
        <v>-2963.6263684656315</v>
      </c>
      <c r="T873" s="555" cm="1">
        <f t="array" ref="T873">SUMPRODUCT('W2'!$M$12:$V$112*('W2'!$M$7:$V$7=$A873)*('W2'!$A$12:$A$112=$B873))*(SUM(T853,T871:T872))</f>
        <v>-3047.879721022246</v>
      </c>
      <c r="U873" s="555" cm="1">
        <f t="array" ref="U873">SUMPRODUCT('W2'!$M$12:$V$112*('W2'!$M$7:$V$7=$A873)*('W2'!$A$12:$A$112=$B873))*(SUM(U853,U871:U872))</f>
        <v>-3136.3457412066919</v>
      </c>
      <c r="V873" s="555" cm="1">
        <f t="array" ref="V873">SUMPRODUCT('W2'!$M$12:$V$112*('W2'!$M$7:$V$7=$A873)*('W2'!$A$12:$A$112=$B873))*(SUM(V853,V871:V872))</f>
        <v>-3229.2350624003593</v>
      </c>
      <c r="W873" s="555" cm="1">
        <f t="array" ref="W873">SUMPRODUCT('W2'!$M$12:$V$112*('W2'!$M$7:$V$7=$A873)*('W2'!$A$12:$A$112=$B873))*(SUM(W853,W871:W872))</f>
        <v>-3326.7688496537107</v>
      </c>
      <c r="X873" s="555" cm="1">
        <f t="array" ref="X873">SUMPRODUCT('W2'!$M$12:$V$112*('W2'!$M$7:$V$7=$A873)*('W2'!$A$12:$A$112=$B873))*(SUM(X853,X871:X872))</f>
        <v>-2426.6799929363965</v>
      </c>
      <c r="Y873" s="555" cm="1">
        <f t="array" ref="Y873">SUMPRODUCT('W2'!$M$12:$V$112*('W2'!$M$7:$V$7=$A873)*('W2'!$A$12:$A$112=$B873))*(SUM(Y853,Y871:Y872))</f>
        <v>-2534.2109933832162</v>
      </c>
      <c r="Z873" s="555" cm="1">
        <f t="array" ref="Z873">SUMPRODUCT('W2'!$M$12:$V$112*('W2'!$M$7:$V$7=$A873)*('W2'!$A$12:$A$112=$B873))*(SUM(Z853,Z871:Z872))</f>
        <v>-2647.1185438523776</v>
      </c>
      <c r="AA873" s="555"/>
      <c r="AB873" s="555"/>
      <c r="AC873" s="555"/>
      <c r="AD873" s="555"/>
      <c r="AE873" s="555"/>
      <c r="AF873" s="555"/>
      <c r="AG873" s="555"/>
      <c r="AH873" s="555"/>
      <c r="AI873" s="555"/>
      <c r="AJ873" s="555"/>
    </row>
    <row r="874" spans="1:36" x14ac:dyDescent="0.25">
      <c r="A874" t="s">
        <v>695</v>
      </c>
      <c r="K874" s="15"/>
      <c r="L874" s="263"/>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row>
    <row r="875" spans="1:36" s="300" customFormat="1" x14ac:dyDescent="0.25">
      <c r="A875" s="300" t="s">
        <v>695</v>
      </c>
      <c r="H875" s="301" t="s">
        <v>464</v>
      </c>
      <c r="I875" s="302" t="str">
        <f>IF($H$9="USD","USD","tr. VND")</f>
        <v>tr. VND</v>
      </c>
      <c r="K875" s="303">
        <f>K853+K863</f>
        <v>0</v>
      </c>
      <c r="L875" s="303">
        <f t="shared" ref="L875:AJ875" si="741">L853+L863</f>
        <v>-142696.00223716011</v>
      </c>
      <c r="M875" s="303">
        <f t="shared" si="741"/>
        <v>-178995.22936775751</v>
      </c>
      <c r="N875" s="303">
        <f t="shared" si="741"/>
        <v>-238466.83653814293</v>
      </c>
      <c r="O875" s="303">
        <f t="shared" si="741"/>
        <v>-243640.99513803353</v>
      </c>
      <c r="P875" s="303">
        <f t="shared" si="741"/>
        <v>-248972.12054562898</v>
      </c>
      <c r="Q875" s="303">
        <f t="shared" si="741"/>
        <v>-254466.02627886878</v>
      </c>
      <c r="R875" s="303">
        <f t="shared" si="741"/>
        <v>-260128.77583514043</v>
      </c>
      <c r="S875" s="303">
        <f t="shared" si="741"/>
        <v>-265966.69437632285</v>
      </c>
      <c r="T875" s="303">
        <f t="shared" si="741"/>
        <v>-271986.38098180352</v>
      </c>
      <c r="U875" s="303">
        <f t="shared" si="741"/>
        <v>-278194.72149754228</v>
      </c>
      <c r="V875" s="303">
        <f t="shared" si="741"/>
        <v>-284598.90201065154</v>
      </c>
      <c r="W875" s="303">
        <f t="shared" si="741"/>
        <v>-291206.42298043164</v>
      </c>
      <c r="X875" s="303">
        <f t="shared" si="741"/>
        <v>-271960.13139166962</v>
      </c>
      <c r="Y875" s="303">
        <f t="shared" si="741"/>
        <v>-278998.16696429788</v>
      </c>
      <c r="Z875" s="303">
        <f t="shared" si="741"/>
        <v>-286264.08245520247</v>
      </c>
      <c r="AA875" s="303"/>
      <c r="AB875" s="303"/>
      <c r="AC875" s="303"/>
      <c r="AD875" s="303"/>
      <c r="AE875" s="303"/>
      <c r="AF875" s="303"/>
      <c r="AG875" s="303"/>
      <c r="AH875" s="303"/>
      <c r="AI875" s="303"/>
      <c r="AJ875" s="303"/>
    </row>
    <row r="876" spans="1:36" x14ac:dyDescent="0.25">
      <c r="A876" t="s">
        <v>695</v>
      </c>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row>
    <row r="877" spans="1:36" x14ac:dyDescent="0.25">
      <c r="A877" t="s">
        <v>695</v>
      </c>
      <c r="B877" t="s">
        <v>622</v>
      </c>
      <c r="H877" s="459" t="s">
        <v>166</v>
      </c>
      <c r="I877" s="493" t="str">
        <f>IF($H$9="USD","USD","tr. VND")</f>
        <v>tr. VND</v>
      </c>
      <c r="K877" s="461"/>
      <c r="L877" s="461" cm="1">
        <f t="array" ref="L877">-SUMPRODUCT('W2'!$M$12:$V$112*('W2'!$M$7:$V$7=$A877)*('W2'!$A$12:$A$112=$B877))*L842*$H$10*POWER(1+Inflation,L$11+1)</f>
        <v>-2752.9666560000001</v>
      </c>
      <c r="M877" s="461" cm="1">
        <f t="array" ref="M877">-SUMPRODUCT('W2'!$M$12:$V$112*('W2'!$M$7:$V$7=$A877)*('W2'!$A$12:$A$112=$B877))*M842*$H$10*POWER(1+Inflation,M$11+1)</f>
        <v>-3854.1533183999995</v>
      </c>
      <c r="N877" s="461" cm="1">
        <f t="array" ref="N877">-SUMPRODUCT('W2'!$M$12:$V$112*('W2'!$M$7:$V$7=$A877)*('W2'!$A$12:$A$112=$B877))*N842*$H$10*POWER(1+Inflation,N$11+1)</f>
        <v>-5781.2299776</v>
      </c>
      <c r="O877" s="461" cm="1">
        <f t="array" ref="O877">-SUMPRODUCT('W2'!$M$12:$V$112*('W2'!$M$7:$V$7=$A877)*('W2'!$A$12:$A$112=$B877))*O842*$H$10*POWER(1+Inflation,O$11+1)</f>
        <v>-6070.2914764800007</v>
      </c>
      <c r="P877" s="461" cm="1">
        <f t="array" ref="P877">-SUMPRODUCT('W2'!$M$12:$V$112*('W2'!$M$7:$V$7=$A877)*('W2'!$A$12:$A$112=$B877))*P842*$H$10*POWER(1+Inflation,P$11+1)</f>
        <v>-6373.8060503040006</v>
      </c>
      <c r="Q877" s="461" cm="1">
        <f t="array" ref="Q877">-SUMPRODUCT('W2'!$M$12:$V$112*('W2'!$M$7:$V$7=$A877)*('W2'!$A$12:$A$112=$B877))*Q842*$H$10*POWER(1+Inflation,Q$11+1)</f>
        <v>-6692.4963528192002</v>
      </c>
      <c r="R877" s="461" cm="1">
        <f t="array" ref="R877">-SUMPRODUCT('W2'!$M$12:$V$112*('W2'!$M$7:$V$7=$A877)*('W2'!$A$12:$A$112=$B877))*R842*$H$10*POWER(1+Inflation,R$11+1)</f>
        <v>-7027.121170460161</v>
      </c>
      <c r="S877" s="461" cm="1">
        <f t="array" ref="S877">-SUMPRODUCT('W2'!$M$12:$V$112*('W2'!$M$7:$V$7=$A877)*('W2'!$A$12:$A$112=$B877))*S842*$H$10*POWER(1+Inflation,S$11+1)</f>
        <v>-7378.4772289831681</v>
      </c>
      <c r="T877" s="461" cm="1">
        <f t="array" ref="T877">-SUMPRODUCT('W2'!$M$12:$V$112*('W2'!$M$7:$V$7=$A877)*('W2'!$A$12:$A$112=$B877))*T842*$H$10*POWER(1+Inflation,T$11+1)</f>
        <v>-7747.4010904323277</v>
      </c>
      <c r="U877" s="461" cm="1">
        <f t="array" ref="U877">-SUMPRODUCT('W2'!$M$12:$V$112*('W2'!$M$7:$V$7=$A877)*('W2'!$A$12:$A$112=$B877))*U842*$H$10*POWER(1+Inflation,U$11+1)</f>
        <v>-8134.7711449539429</v>
      </c>
      <c r="V877" s="461" cm="1">
        <f t="array" ref="V877">-SUMPRODUCT('W2'!$M$12:$V$112*('W2'!$M$7:$V$7=$A877)*('W2'!$A$12:$A$112=$B877))*V842*$H$10*POWER(1+Inflation,V$11+1)</f>
        <v>-8541.5097022016416</v>
      </c>
      <c r="W877" s="461" cm="1">
        <f t="array" ref="W877">-SUMPRODUCT('W2'!$M$12:$V$112*('W2'!$M$7:$V$7=$A877)*('W2'!$A$12:$A$112=$B877))*W842*$H$10*POWER(1+Inflation,W$11+1)</f>
        <v>-8968.5851873117226</v>
      </c>
      <c r="X877" s="461" cm="1">
        <f t="array" ref="X877">-SUMPRODUCT('W2'!$M$12:$V$112*('W2'!$M$7:$V$7=$A877)*('W2'!$A$12:$A$112=$B877))*X842*$H$10*POWER(1+Inflation,X$11+1)</f>
        <v>-9417.014446677309</v>
      </c>
      <c r="Y877" s="461" cm="1">
        <f t="array" ref="Y877">-SUMPRODUCT('W2'!$M$12:$V$112*('W2'!$M$7:$V$7=$A877)*('W2'!$A$12:$A$112=$B877))*Y842*$H$10*POWER(1+Inflation,Y$11+1)</f>
        <v>-9887.8651690111747</v>
      </c>
      <c r="Z877" s="461" cm="1">
        <f t="array" ref="Z877">-SUMPRODUCT('W2'!$M$12:$V$112*('W2'!$M$7:$V$7=$A877)*('W2'!$A$12:$A$112=$B877))*Z842*$H$10*POWER(1+Inflation,Z$11+1)</f>
        <v>-10382.258427461735</v>
      </c>
      <c r="AA877" s="461"/>
      <c r="AB877" s="461"/>
      <c r="AC877" s="461"/>
      <c r="AD877" s="461"/>
      <c r="AE877" s="461"/>
      <c r="AF877" s="461"/>
      <c r="AG877" s="461"/>
      <c r="AH877" s="461"/>
      <c r="AI877" s="461"/>
      <c r="AJ877" s="461"/>
    </row>
    <row r="878" spans="1:36" x14ac:dyDescent="0.25">
      <c r="A878" t="s">
        <v>695</v>
      </c>
      <c r="B878" t="s">
        <v>527</v>
      </c>
      <c r="H878" s="454" t="s">
        <v>469</v>
      </c>
      <c r="I878" s="496" t="str">
        <f>IF($H$9="USD","USD","tr. VND")</f>
        <v>tr. VND</v>
      </c>
      <c r="K878" s="457"/>
      <c r="L878" s="457" cm="1">
        <f t="array" ref="L878">-SUMPRODUCT('W2'!$M$12:$V$112*('W2'!$M$7:$V$7=$A878)*('W2'!$A$12:$A$112=$B878))*L842*$H$10*POWER(1+Inflation,L$11+1)</f>
        <v>0</v>
      </c>
      <c r="M878" s="457" cm="1">
        <f t="array" ref="M878">-SUMPRODUCT('W2'!$M$12:$V$112*('W2'!$M$7:$V$7=$A878)*('W2'!$A$12:$A$112=$B878))*M842*$H$10*POWER(1+Inflation,M$11+1)</f>
        <v>0</v>
      </c>
      <c r="N878" s="457" cm="1">
        <f t="array" ref="N878">-SUMPRODUCT('W2'!$M$12:$V$112*('W2'!$M$7:$V$7=$A878)*('W2'!$A$12:$A$112=$B878))*N842*$H$10*POWER(1+Inflation,N$11+1)</f>
        <v>0</v>
      </c>
      <c r="O878" s="457" cm="1">
        <f t="array" ref="O878">-SUMPRODUCT('W2'!$M$12:$V$112*('W2'!$M$7:$V$7=$A878)*('W2'!$A$12:$A$112=$B878))*O842*$H$10*POWER(1+Inflation,O$11+1)</f>
        <v>0</v>
      </c>
      <c r="P878" s="457" cm="1">
        <f t="array" ref="P878">-SUMPRODUCT('W2'!$M$12:$V$112*('W2'!$M$7:$V$7=$A878)*('W2'!$A$12:$A$112=$B878))*P842*$H$10*POWER(1+Inflation,P$11+1)</f>
        <v>0</v>
      </c>
      <c r="Q878" s="457" cm="1">
        <f t="array" ref="Q878">-SUMPRODUCT('W2'!$M$12:$V$112*('W2'!$M$7:$V$7=$A878)*('W2'!$A$12:$A$112=$B878))*Q842*$H$10*POWER(1+Inflation,Q$11+1)</f>
        <v>0</v>
      </c>
      <c r="R878" s="457" cm="1">
        <f t="array" ref="R878">-SUMPRODUCT('W2'!$M$12:$V$112*('W2'!$M$7:$V$7=$A878)*('W2'!$A$12:$A$112=$B878))*R842*$H$10*POWER(1+Inflation,R$11+1)</f>
        <v>0</v>
      </c>
      <c r="S878" s="457" cm="1">
        <f t="array" ref="S878">-SUMPRODUCT('W2'!$M$12:$V$112*('W2'!$M$7:$V$7=$A878)*('W2'!$A$12:$A$112=$B878))*S842*$H$10*POWER(1+Inflation,S$11+1)</f>
        <v>0</v>
      </c>
      <c r="T878" s="457" cm="1">
        <f t="array" ref="T878">-SUMPRODUCT('W2'!$M$12:$V$112*('W2'!$M$7:$V$7=$A878)*('W2'!$A$12:$A$112=$B878))*T842*$H$10*POWER(1+Inflation,T$11+1)</f>
        <v>0</v>
      </c>
      <c r="U878" s="457" cm="1">
        <f t="array" ref="U878">-SUMPRODUCT('W2'!$M$12:$V$112*('W2'!$M$7:$V$7=$A878)*('W2'!$A$12:$A$112=$B878))*U842*$H$10*POWER(1+Inflation,U$11+1)</f>
        <v>0</v>
      </c>
      <c r="V878" s="457" cm="1">
        <f t="array" ref="V878">-SUMPRODUCT('W2'!$M$12:$V$112*('W2'!$M$7:$V$7=$A878)*('W2'!$A$12:$A$112=$B878))*V842*$H$10*POWER(1+Inflation,V$11+1)</f>
        <v>0</v>
      </c>
      <c r="W878" s="457" cm="1">
        <f t="array" ref="W878">-SUMPRODUCT('W2'!$M$12:$V$112*('W2'!$M$7:$V$7=$A878)*('W2'!$A$12:$A$112=$B878))*W842*$H$10*POWER(1+Inflation,W$11+1)</f>
        <v>0</v>
      </c>
      <c r="X878" s="457" cm="1">
        <f t="array" ref="X878">-SUMPRODUCT('W2'!$M$12:$V$112*('W2'!$M$7:$V$7=$A878)*('W2'!$A$12:$A$112=$B878))*X842*$H$10*POWER(1+Inflation,X$11+1)</f>
        <v>0</v>
      </c>
      <c r="Y878" s="457" cm="1">
        <f t="array" ref="Y878">-SUMPRODUCT('W2'!$M$12:$V$112*('W2'!$M$7:$V$7=$A878)*('W2'!$A$12:$A$112=$B878))*Y842*$H$10*POWER(1+Inflation,Y$11+1)</f>
        <v>0</v>
      </c>
      <c r="Z878" s="457" cm="1">
        <f t="array" ref="Z878">-SUMPRODUCT('W2'!$M$12:$V$112*('W2'!$M$7:$V$7=$A878)*('W2'!$A$12:$A$112=$B878))*Z842*$H$10*POWER(1+Inflation,Z$11+1)</f>
        <v>0</v>
      </c>
      <c r="AA878" s="457"/>
      <c r="AB878" s="457"/>
      <c r="AC878" s="457"/>
      <c r="AD878" s="457"/>
      <c r="AE878" s="457"/>
      <c r="AF878" s="457"/>
      <c r="AG878" s="457"/>
      <c r="AH878" s="457"/>
      <c r="AI878" s="457"/>
      <c r="AJ878" s="457"/>
    </row>
    <row r="879" spans="1:36" x14ac:dyDescent="0.25">
      <c r="A879" t="s">
        <v>695</v>
      </c>
      <c r="B879" t="s">
        <v>522</v>
      </c>
      <c r="H879" s="454" t="s">
        <v>468</v>
      </c>
      <c r="I879" s="496" t="str">
        <f>IF($H$9="USD","USD","tr. VND")</f>
        <v>tr. VND</v>
      </c>
      <c r="K879" s="454"/>
      <c r="L879" s="457" cm="1">
        <f t="array" ref="L879">-SUMPRODUCT('W2'!$M$12:$V$112*('W2'!$M$7:$V$7=$A879)*('W2'!$A$12:$A$112=$B879))*L842*$H$10*POWER(1+Inflation,L$11+1)</f>
        <v>0</v>
      </c>
      <c r="M879" s="457" cm="1">
        <f t="array" ref="M879">-SUMPRODUCT('W2'!$M$12:$V$112*('W2'!$M$7:$V$7=$A879)*('W2'!$A$12:$A$112=$B879))*M842*$H$10*POWER(1+Inflation,M$11+1)</f>
        <v>0</v>
      </c>
      <c r="N879" s="457" cm="1">
        <f t="array" ref="N879">-SUMPRODUCT('W2'!$M$12:$V$112*('W2'!$M$7:$V$7=$A879)*('W2'!$A$12:$A$112=$B879))*N842*$H$10*POWER(1+Inflation,N$11+1)</f>
        <v>0</v>
      </c>
      <c r="O879" s="457" cm="1">
        <f t="array" ref="O879">-SUMPRODUCT('W2'!$M$12:$V$112*('W2'!$M$7:$V$7=$A879)*('W2'!$A$12:$A$112=$B879))*O842*$H$10*POWER(1+Inflation,O$11+1)</f>
        <v>0</v>
      </c>
      <c r="P879" s="457" cm="1">
        <f t="array" ref="P879">-SUMPRODUCT('W2'!$M$12:$V$112*('W2'!$M$7:$V$7=$A879)*('W2'!$A$12:$A$112=$B879))*P842*$H$10*POWER(1+Inflation,P$11+1)</f>
        <v>0</v>
      </c>
      <c r="Q879" s="457" cm="1">
        <f t="array" ref="Q879">-SUMPRODUCT('W2'!$M$12:$V$112*('W2'!$M$7:$V$7=$A879)*('W2'!$A$12:$A$112=$B879))*Q842*$H$10*POWER(1+Inflation,Q$11+1)</f>
        <v>0</v>
      </c>
      <c r="R879" s="457" cm="1">
        <f t="array" ref="R879">-SUMPRODUCT('W2'!$M$12:$V$112*('W2'!$M$7:$V$7=$A879)*('W2'!$A$12:$A$112=$B879))*R842*$H$10*POWER(1+Inflation,R$11+1)</f>
        <v>0</v>
      </c>
      <c r="S879" s="457" cm="1">
        <f t="array" ref="S879">-SUMPRODUCT('W2'!$M$12:$V$112*('W2'!$M$7:$V$7=$A879)*('W2'!$A$12:$A$112=$B879))*S842*$H$10*POWER(1+Inflation,S$11+1)</f>
        <v>0</v>
      </c>
      <c r="T879" s="457" cm="1">
        <f t="array" ref="T879">-SUMPRODUCT('W2'!$M$12:$V$112*('W2'!$M$7:$V$7=$A879)*('W2'!$A$12:$A$112=$B879))*T842*$H$10*POWER(1+Inflation,T$11+1)</f>
        <v>0</v>
      </c>
      <c r="U879" s="457" cm="1">
        <f t="array" ref="U879">-SUMPRODUCT('W2'!$M$12:$V$112*('W2'!$M$7:$V$7=$A879)*('W2'!$A$12:$A$112=$B879))*U842*$H$10*POWER(1+Inflation,U$11+1)</f>
        <v>0</v>
      </c>
      <c r="V879" s="457" cm="1">
        <f t="array" ref="V879">-SUMPRODUCT('W2'!$M$12:$V$112*('W2'!$M$7:$V$7=$A879)*('W2'!$A$12:$A$112=$B879))*V842*$H$10*POWER(1+Inflation,V$11+1)</f>
        <v>0</v>
      </c>
      <c r="W879" s="457" cm="1">
        <f t="array" ref="W879">-SUMPRODUCT('W2'!$M$12:$V$112*('W2'!$M$7:$V$7=$A879)*('W2'!$A$12:$A$112=$B879))*W842*$H$10*POWER(1+Inflation,W$11+1)</f>
        <v>0</v>
      </c>
      <c r="X879" s="457" cm="1">
        <f t="array" ref="X879">-SUMPRODUCT('W2'!$M$12:$V$112*('W2'!$M$7:$V$7=$A879)*('W2'!$A$12:$A$112=$B879))*X842*$H$10*POWER(1+Inflation,X$11+1)</f>
        <v>0</v>
      </c>
      <c r="Y879" s="457" cm="1">
        <f t="array" ref="Y879">-SUMPRODUCT('W2'!$M$12:$V$112*('W2'!$M$7:$V$7=$A879)*('W2'!$A$12:$A$112=$B879))*Y842*$H$10*POWER(1+Inflation,Y$11+1)</f>
        <v>0</v>
      </c>
      <c r="Z879" s="457" cm="1">
        <f t="array" ref="Z879">-SUMPRODUCT('W2'!$M$12:$V$112*('W2'!$M$7:$V$7=$A879)*('W2'!$A$12:$A$112=$B879))*Z842*$H$10*POWER(1+Inflation,Z$11+1)</f>
        <v>0</v>
      </c>
      <c r="AA879" s="457"/>
      <c r="AB879" s="457"/>
      <c r="AC879" s="457"/>
      <c r="AD879" s="457"/>
      <c r="AE879" s="457"/>
      <c r="AF879" s="457"/>
      <c r="AG879" s="457"/>
      <c r="AH879" s="457"/>
      <c r="AI879" s="457"/>
      <c r="AJ879" s="457"/>
    </row>
    <row r="880" spans="1:36" x14ac:dyDescent="0.25">
      <c r="A880" t="s">
        <v>695</v>
      </c>
      <c r="H880" s="454" t="s">
        <v>470</v>
      </c>
      <c r="I880" s="496" t="str">
        <f>IF($H$9="USD","USD","tr. VND")</f>
        <v>tr. VND</v>
      </c>
      <c r="K880" s="454"/>
      <c r="L880" s="457" cm="1">
        <f t="array" ref="L880">-SUMPRODUCT('Lãi vay'!$E$5:$AI$54*('Lãi vay'!$A$5:$A$54=$A880)*('Lãi vay'!$B$5:$B$54="Lãi vay")*('Lãi vay'!$E$3:$AI$3=L$14))*$H$10</f>
        <v>-22086.740200000004</v>
      </c>
      <c r="M880" s="457" cm="1">
        <f t="array" ref="M880">-SUMPRODUCT('Lãi vay'!$E$5:$AI$54*('Lãi vay'!$A$5:$A$54=$A880)*('Lãi vay'!$B$5:$B$54="Lãi vay")*('Lãi vay'!$E$3:$AI$3=M$14))*$H$10</f>
        <v>-21207.806662872372</v>
      </c>
      <c r="N880" s="457" cm="1">
        <f t="array" ref="N880">-SUMPRODUCT('Lãi vay'!$E$5:$AI$54*('Lãi vay'!$A$5:$A$54=$A880)*('Lãi vay'!$B$5:$B$54="Lãi vay")*('Lãi vay'!$E$3:$AI$3=N$14))*$H$10</f>
        <v>-20267.347778145802</v>
      </c>
      <c r="O880" s="457" cm="1">
        <f t="array" ref="O880">-SUMPRODUCT('Lãi vay'!$E$5:$AI$54*('Lãi vay'!$A$5:$A$54=$A880)*('Lãi vay'!$B$5:$B$54="Lãi vay")*('Lãi vay'!$E$3:$AI$3=O$14))*$H$10</f>
        <v>-19261.056771488373</v>
      </c>
      <c r="P880" s="457" cm="1">
        <f t="array" ref="P880">-SUMPRODUCT('Lãi vay'!$E$5:$AI$54*('Lãi vay'!$A$5:$A$54=$A880)*('Lãi vay'!$B$5:$B$54="Lãi vay")*('Lãi vay'!$E$3:$AI$3=P$14))*$H$10</f>
        <v>-18184.325394364925</v>
      </c>
      <c r="Q880" s="457" cm="1">
        <f t="array" ref="Q880">-SUMPRODUCT('Lãi vay'!$E$5:$AI$54*('Lãi vay'!$A$5:$A$54=$A880)*('Lãi vay'!$B$5:$B$54="Lãi vay")*('Lãi vay'!$E$3:$AI$3=Q$14))*$H$10</f>
        <v>-17032.222820842835</v>
      </c>
      <c r="R880" s="457" cm="1">
        <f t="array" ref="R880">-SUMPRODUCT('Lãi vay'!$E$5:$AI$54*('Lãi vay'!$A$5:$A$54=$A880)*('Lãi vay'!$B$5:$B$54="Lãi vay")*('Lãi vay'!$E$3:$AI$3=R$14))*$H$10</f>
        <v>-15799.473067174198</v>
      </c>
      <c r="S880" s="457" cm="1">
        <f t="array" ref="S880">-SUMPRODUCT('Lãi vay'!$E$5:$AI$54*('Lãi vay'!$A$5:$A$54=$A880)*('Lãi vay'!$B$5:$B$54="Lãi vay")*('Lãi vay'!$E$3:$AI$3=S$14))*$H$10</f>
        <v>-14480.430830748757</v>
      </c>
      <c r="T880" s="457" cm="1">
        <f t="array" ref="T880">-SUMPRODUCT('Lãi vay'!$E$5:$AI$54*('Lãi vay'!$A$5:$A$54=$A880)*('Lãi vay'!$B$5:$B$54="Lãi vay")*('Lãi vay'!$E$3:$AI$3=T$14))*$H$10</f>
        <v>-13069.055637773536</v>
      </c>
      <c r="U880" s="457" cm="1">
        <f t="array" ref="U880">-SUMPRODUCT('Lãi vay'!$E$5:$AI$54*('Lãi vay'!$A$5:$A$54=$A880)*('Lãi vay'!$B$5:$B$54="Lãi vay")*('Lãi vay'!$E$3:$AI$3=U$14))*$H$10</f>
        <v>-11558.884181290048</v>
      </c>
      <c r="V880" s="457" cm="1">
        <f t="array" ref="V880">-SUMPRODUCT('Lãi vay'!$E$5:$AI$54*('Lãi vay'!$A$5:$A$54=$A880)*('Lãi vay'!$B$5:$B$54="Lãi vay")*('Lãi vay'!$E$3:$AI$3=V$14))*$H$10</f>
        <v>-9943.0007228527174</v>
      </c>
      <c r="W880" s="457" cm="1">
        <f t="array" ref="W880">-SUMPRODUCT('Lãi vay'!$E$5:$AI$54*('Lãi vay'!$A$5:$A$54=$A880)*('Lãi vay'!$B$5:$B$54="Lãi vay")*('Lãi vay'!$E$3:$AI$3=W$14))*$H$10</f>
        <v>-8214.0054223247735</v>
      </c>
      <c r="X880" s="457" cm="1">
        <f t="array" ref="X880">-SUMPRODUCT('Lãi vay'!$E$5:$AI$54*('Lãi vay'!$A$5:$A$54=$A880)*('Lãi vay'!$B$5:$B$54="Lãi vay")*('Lãi vay'!$E$3:$AI$3=X$14))*$H$10</f>
        <v>-6363.9804507598728</v>
      </c>
      <c r="Y880" s="457" cm="1">
        <f t="array" ref="Y880">-SUMPRODUCT('Lãi vay'!$E$5:$AI$54*('Lãi vay'!$A$5:$A$54=$A880)*('Lãi vay'!$B$5:$B$54="Lãi vay")*('Lãi vay'!$E$3:$AI$3=Y$14))*$H$10</f>
        <v>-4384.4537311854301</v>
      </c>
      <c r="Z880" s="457" cm="1">
        <f t="array" ref="Z880">-SUMPRODUCT('Lãi vay'!$E$5:$AI$54*('Lãi vay'!$A$5:$A$54=$A880)*('Lãi vay'!$B$5:$B$54="Lãi vay")*('Lãi vay'!$E$3:$AI$3=Z$14))*$H$10</f>
        <v>-2266.3601412407766</v>
      </c>
      <c r="AA880" s="457"/>
      <c r="AB880" s="457"/>
      <c r="AC880" s="457"/>
      <c r="AD880" s="457"/>
      <c r="AE880" s="457"/>
      <c r="AF880" s="457"/>
      <c r="AG880" s="457"/>
      <c r="AH880" s="457"/>
      <c r="AI880" s="457"/>
      <c r="AJ880" s="457"/>
    </row>
    <row r="881" spans="1:39" x14ac:dyDescent="0.25">
      <c r="A881" t="s">
        <v>695</v>
      </c>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row>
    <row r="882" spans="1:39" s="16" customFormat="1" x14ac:dyDescent="0.25">
      <c r="A882" s="16" t="s">
        <v>695</v>
      </c>
      <c r="H882" s="270" t="s">
        <v>472</v>
      </c>
      <c r="I882" s="271" t="str">
        <f>IF($H$9="USD","USD","tr. VND")</f>
        <v>tr. VND</v>
      </c>
      <c r="K882" s="272">
        <f t="shared" ref="K882" si="742">K875+SUM(K877:K880)</f>
        <v>0</v>
      </c>
      <c r="L882" s="272">
        <f>L875+SUM(L877:L880)</f>
        <v>-167535.70909316011</v>
      </c>
      <c r="M882" s="272">
        <f t="shared" ref="M882:AJ882" si="743">M875+SUM(M877:M880)</f>
        <v>-204057.18934902988</v>
      </c>
      <c r="N882" s="272">
        <f t="shared" si="743"/>
        <v>-264515.41429388872</v>
      </c>
      <c r="O882" s="272">
        <f t="shared" si="743"/>
        <v>-268972.34338600188</v>
      </c>
      <c r="P882" s="272">
        <f t="shared" si="743"/>
        <v>-273530.25199029793</v>
      </c>
      <c r="Q882" s="272">
        <f t="shared" si="743"/>
        <v>-278190.7454525308</v>
      </c>
      <c r="R882" s="272">
        <f t="shared" si="743"/>
        <v>-282955.37007277482</v>
      </c>
      <c r="S882" s="272">
        <f t="shared" si="743"/>
        <v>-287825.60243605479</v>
      </c>
      <c r="T882" s="272">
        <f t="shared" si="743"/>
        <v>-292802.83771000936</v>
      </c>
      <c r="U882" s="272">
        <f t="shared" si="743"/>
        <v>-297888.3768237863</v>
      </c>
      <c r="V882" s="272">
        <f t="shared" si="743"/>
        <v>-303083.41243570589</v>
      </c>
      <c r="W882" s="272">
        <f t="shared" si="743"/>
        <v>-308389.01359006815</v>
      </c>
      <c r="X882" s="272">
        <f t="shared" si="743"/>
        <v>-287741.12628910679</v>
      </c>
      <c r="Y882" s="272">
        <f t="shared" si="743"/>
        <v>-293270.48586449446</v>
      </c>
      <c r="Z882" s="272">
        <f t="shared" si="743"/>
        <v>-298912.70102390496</v>
      </c>
      <c r="AA882" s="272"/>
      <c r="AB882" s="272"/>
      <c r="AC882" s="272"/>
      <c r="AD882" s="272"/>
      <c r="AE882" s="272"/>
      <c r="AF882" s="272"/>
      <c r="AG882" s="272"/>
      <c r="AH882" s="272"/>
      <c r="AI882" s="272"/>
      <c r="AJ882" s="272"/>
    </row>
    <row r="883" spans="1:39" x14ac:dyDescent="0.25">
      <c r="A883" t="s">
        <v>695</v>
      </c>
    </row>
    <row r="884" spans="1:39" s="24" customFormat="1" ht="17.25" x14ac:dyDescent="0.3">
      <c r="A884" s="24" t="s">
        <v>695</v>
      </c>
      <c r="H884" s="643" t="s">
        <v>473</v>
      </c>
      <c r="I884" s="643"/>
      <c r="K884" s="643"/>
      <c r="L884" s="643"/>
      <c r="M884" s="643"/>
      <c r="N884" s="643"/>
      <c r="O884" s="643"/>
      <c r="P884" s="643"/>
      <c r="Q884" s="643"/>
      <c r="R884" s="643"/>
      <c r="S884" s="643"/>
      <c r="T884" s="643"/>
      <c r="U884" s="643"/>
      <c r="V884" s="643"/>
      <c r="W884" s="643"/>
      <c r="X884" s="643"/>
      <c r="Y884" s="643"/>
      <c r="Z884" s="643"/>
      <c r="AA884" s="643"/>
      <c r="AB884" s="643"/>
      <c r="AC884" s="643"/>
      <c r="AD884" s="643"/>
      <c r="AE884" s="643"/>
      <c r="AF884" s="643"/>
      <c r="AG884" s="643"/>
      <c r="AH884" s="643"/>
      <c r="AI884" s="643"/>
      <c r="AJ884" s="643"/>
    </row>
    <row r="885" spans="1:39" s="1" customFormat="1" x14ac:dyDescent="0.25">
      <c r="A885" s="1" t="s">
        <v>695</v>
      </c>
      <c r="H885" s="273" t="s">
        <v>434</v>
      </c>
      <c r="I885" s="274" t="str">
        <f>IF($H$9="USD","USD/tấn","tr. VND/tấn")</f>
        <v>tr. VND/tấn</v>
      </c>
      <c r="K885" s="278">
        <f t="shared" ref="K885" si="744">SUM(K886:K887,K890:K893,)</f>
        <v>0</v>
      </c>
      <c r="L885" s="278">
        <f>SUM(L886:L887,L890:L893,)</f>
        <v>16.128035493627401</v>
      </c>
      <c r="M885" s="278">
        <f t="shared" ref="M885:AJ885" si="745">SUM(M886:M887,M890:M893,)</f>
        <v>11.520025352591</v>
      </c>
      <c r="N885" s="278">
        <f t="shared" si="745"/>
        <v>8.2092021666088186</v>
      </c>
      <c r="O885" s="278">
        <f t="shared" si="745"/>
        <v>8.3616458073936943</v>
      </c>
      <c r="P885" s="278">
        <f t="shared" si="745"/>
        <v>8.5217116302178137</v>
      </c>
      <c r="Q885" s="278">
        <f t="shared" si="745"/>
        <v>8.6897807441831354</v>
      </c>
      <c r="R885" s="278">
        <f t="shared" si="745"/>
        <v>8.866253313846725</v>
      </c>
      <c r="S885" s="278">
        <f t="shared" si="745"/>
        <v>9.0515495119934961</v>
      </c>
      <c r="T885" s="278">
        <f t="shared" si="745"/>
        <v>9.2461105200476048</v>
      </c>
      <c r="U885" s="278">
        <f t="shared" si="745"/>
        <v>9.450399578504415</v>
      </c>
      <c r="V885" s="278">
        <f t="shared" si="745"/>
        <v>9.6649030898840689</v>
      </c>
      <c r="W885" s="278">
        <f t="shared" si="745"/>
        <v>9.8901317768327068</v>
      </c>
      <c r="X885" s="278">
        <f t="shared" si="745"/>
        <v>6.0804844495677273</v>
      </c>
      <c r="Y885" s="278">
        <f t="shared" si="745"/>
        <v>6.3287990769285969</v>
      </c>
      <c r="Z885" s="278">
        <f t="shared" si="745"/>
        <v>6.5895294356575143</v>
      </c>
      <c r="AA885" s="278"/>
      <c r="AB885" s="278"/>
      <c r="AC885" s="278"/>
      <c r="AD885" s="278"/>
      <c r="AE885" s="278"/>
      <c r="AF885" s="278"/>
      <c r="AG885" s="278"/>
      <c r="AH885" s="278"/>
      <c r="AI885" s="278"/>
      <c r="AJ885" s="278"/>
      <c r="AL885" s="39"/>
      <c r="AM885" s="39"/>
    </row>
    <row r="886" spans="1:39" x14ac:dyDescent="0.25">
      <c r="A886" t="s">
        <v>695</v>
      </c>
      <c r="C886" t="s">
        <v>367</v>
      </c>
      <c r="H886" s="556" t="s">
        <v>190</v>
      </c>
      <c r="I886" s="557" t="str">
        <f t="shared" ref="I886:I919" si="746">IF($H$9="USD","USD/tấn","tr. VND/tấn")</f>
        <v>tr. VND/tấn</v>
      </c>
      <c r="K886" s="562"/>
      <c r="L886" s="563">
        <f t="shared" ref="L886:AJ886" si="747">-IF($H$9="VND",L854/L842/$H$10/10^3,L854/L842/$H$10*10^3)</f>
        <v>10.029578903950334</v>
      </c>
      <c r="M886" s="563">
        <f t="shared" si="747"/>
        <v>7.1639849313930961</v>
      </c>
      <c r="N886" s="563">
        <f t="shared" si="747"/>
        <v>5.014789451975167</v>
      </c>
      <c r="O886" s="563">
        <f t="shared" si="747"/>
        <v>5.014789451975167</v>
      </c>
      <c r="P886" s="563">
        <f t="shared" si="747"/>
        <v>5.014789451975167</v>
      </c>
      <c r="Q886" s="563">
        <f t="shared" si="747"/>
        <v>5.014789451975167</v>
      </c>
      <c r="R886" s="563">
        <f t="shared" si="747"/>
        <v>5.014789451975167</v>
      </c>
      <c r="S886" s="563">
        <f t="shared" si="747"/>
        <v>5.014789451975167</v>
      </c>
      <c r="T886" s="563">
        <f t="shared" si="747"/>
        <v>5.014789451975167</v>
      </c>
      <c r="U886" s="563">
        <f t="shared" si="747"/>
        <v>5.014789451975167</v>
      </c>
      <c r="V886" s="563">
        <f t="shared" si="747"/>
        <v>5.014789451975167</v>
      </c>
      <c r="W886" s="563">
        <f t="shared" si="747"/>
        <v>5.014789451975167</v>
      </c>
      <c r="X886" s="563">
        <f t="shared" si="747"/>
        <v>0.96865200341411861</v>
      </c>
      <c r="Y886" s="563">
        <f t="shared" si="747"/>
        <v>0.96865200341411861</v>
      </c>
      <c r="Z886" s="563">
        <f t="shared" si="747"/>
        <v>0.96865200341411861</v>
      </c>
      <c r="AA886" s="563"/>
      <c r="AB886" s="563"/>
      <c r="AC886" s="563"/>
      <c r="AD886" s="563"/>
      <c r="AE886" s="563"/>
      <c r="AF886" s="563"/>
      <c r="AG886" s="563"/>
      <c r="AH886" s="563"/>
      <c r="AI886" s="563"/>
      <c r="AJ886" s="563"/>
      <c r="AL886" s="15"/>
      <c r="AM886" s="15"/>
    </row>
    <row r="887" spans="1:39" x14ac:dyDescent="0.25">
      <c r="A887" t="s">
        <v>695</v>
      </c>
      <c r="H887" s="558" t="s">
        <v>429</v>
      </c>
      <c r="I887" s="559" t="str">
        <f t="shared" si="746"/>
        <v>tr. VND/tấn</v>
      </c>
      <c r="K887" s="564">
        <f>SUM(K888:K889)</f>
        <v>0</v>
      </c>
      <c r="L887" s="564">
        <f t="shared" ref="L887:AJ887" si="748">SUM(L888:L889)</f>
        <v>1.9410042574812794</v>
      </c>
      <c r="M887" s="564">
        <f t="shared" si="748"/>
        <v>1.3864316124866283</v>
      </c>
      <c r="N887" s="564">
        <f t="shared" si="748"/>
        <v>1.0190272351776717</v>
      </c>
      <c r="O887" s="564">
        <f t="shared" si="748"/>
        <v>1.0699785969365552</v>
      </c>
      <c r="P887" s="564">
        <f t="shared" si="748"/>
        <v>1.1234775267833832</v>
      </c>
      <c r="Q887" s="564">
        <f t="shared" si="748"/>
        <v>1.179651403122552</v>
      </c>
      <c r="R887" s="564">
        <f t="shared" si="748"/>
        <v>1.2386339732786797</v>
      </c>
      <c r="S887" s="564">
        <f t="shared" si="748"/>
        <v>1.3005656719426137</v>
      </c>
      <c r="T887" s="564">
        <f t="shared" si="748"/>
        <v>1.3655939555397447</v>
      </c>
      <c r="U887" s="564">
        <f t="shared" si="748"/>
        <v>1.4338736533167316</v>
      </c>
      <c r="V887" s="564">
        <f t="shared" si="748"/>
        <v>1.5055673359825681</v>
      </c>
      <c r="W887" s="564">
        <f t="shared" si="748"/>
        <v>1.5808457027816967</v>
      </c>
      <c r="X887" s="564">
        <f t="shared" si="748"/>
        <v>1.6598879879207817</v>
      </c>
      <c r="Y887" s="564">
        <f t="shared" si="748"/>
        <v>1.7428823873168202</v>
      </c>
      <c r="Z887" s="564">
        <f t="shared" si="748"/>
        <v>1.8300265066826618</v>
      </c>
      <c r="AA887" s="564"/>
      <c r="AB887" s="564"/>
      <c r="AC887" s="564"/>
      <c r="AD887" s="564"/>
      <c r="AE887" s="564"/>
      <c r="AF887" s="564"/>
      <c r="AG887" s="564"/>
      <c r="AH887" s="564"/>
      <c r="AI887" s="564"/>
      <c r="AJ887" s="564"/>
      <c r="AL887" s="15"/>
      <c r="AM887" s="15"/>
    </row>
    <row r="888" spans="1:39" s="299" customFormat="1" x14ac:dyDescent="0.25">
      <c r="A888" s="299" t="s">
        <v>695</v>
      </c>
      <c r="C888" s="299" t="s">
        <v>367</v>
      </c>
      <c r="H888" s="560" t="s">
        <v>430</v>
      </c>
      <c r="I888" s="561" t="str">
        <f t="shared" si="746"/>
        <v>tr. VND/tấn</v>
      </c>
      <c r="K888" s="565"/>
      <c r="L888" s="565">
        <f t="shared" ref="L888:AJ888" si="749">-IF($H$9="VND",L856/L842/$H$10/10^3,L856/L842/$H$10*10^3)</f>
        <v>0.31733039631846527</v>
      </c>
      <c r="M888" s="565">
        <f t="shared" si="749"/>
        <v>0.22666456879890379</v>
      </c>
      <c r="N888" s="565">
        <f t="shared" si="749"/>
        <v>0.16659845806719425</v>
      </c>
      <c r="O888" s="565">
        <f t="shared" si="749"/>
        <v>0.17492838097055399</v>
      </c>
      <c r="P888" s="565">
        <f t="shared" si="749"/>
        <v>0.18367480001908168</v>
      </c>
      <c r="Q888" s="565">
        <f t="shared" si="749"/>
        <v>0.19285854002003575</v>
      </c>
      <c r="R888" s="565">
        <f t="shared" si="749"/>
        <v>0.20250146702103758</v>
      </c>
      <c r="S888" s="565">
        <f t="shared" si="749"/>
        <v>0.21262654037208945</v>
      </c>
      <c r="T888" s="565">
        <f t="shared" si="749"/>
        <v>0.22325786739069392</v>
      </c>
      <c r="U888" s="565">
        <f t="shared" si="749"/>
        <v>0.23442076076022861</v>
      </c>
      <c r="V888" s="565">
        <f t="shared" si="749"/>
        <v>0.24614179879824005</v>
      </c>
      <c r="W888" s="565">
        <f t="shared" si="749"/>
        <v>0.25844888873815203</v>
      </c>
      <c r="X888" s="565">
        <f t="shared" si="749"/>
        <v>0.27137133317505963</v>
      </c>
      <c r="Y888" s="565">
        <f t="shared" si="749"/>
        <v>0.28493989983381263</v>
      </c>
      <c r="Z888" s="565">
        <f t="shared" si="749"/>
        <v>0.29918689482550326</v>
      </c>
      <c r="AA888" s="565"/>
      <c r="AB888" s="565"/>
      <c r="AC888" s="565"/>
      <c r="AD888" s="565"/>
      <c r="AE888" s="565"/>
      <c r="AF888" s="565"/>
      <c r="AG888" s="565"/>
      <c r="AH888" s="565"/>
      <c r="AI888" s="565"/>
      <c r="AJ888" s="565"/>
      <c r="AL888" s="876"/>
      <c r="AM888" s="876"/>
    </row>
    <row r="889" spans="1:39" s="299" customFormat="1" x14ac:dyDescent="0.25">
      <c r="A889" s="299" t="s">
        <v>695</v>
      </c>
      <c r="C889" s="299" t="s">
        <v>367</v>
      </c>
      <c r="H889" s="560" t="s">
        <v>431</v>
      </c>
      <c r="I889" s="561" t="str">
        <f t="shared" si="746"/>
        <v>tr. VND/tấn</v>
      </c>
      <c r="K889" s="565"/>
      <c r="L889" s="565">
        <f t="shared" ref="L889:AJ889" si="750">-IF($H$9="VND",L857/L842/$H$10/10^3,L857/L842/$H$10*10^3)</f>
        <v>1.6236738611628141</v>
      </c>
      <c r="M889" s="565">
        <f t="shared" si="750"/>
        <v>1.1597670436877245</v>
      </c>
      <c r="N889" s="565">
        <f t="shared" si="750"/>
        <v>0.85242877711047738</v>
      </c>
      <c r="O889" s="565">
        <f t="shared" si="750"/>
        <v>0.89505021596600121</v>
      </c>
      <c r="P889" s="565">
        <f t="shared" si="750"/>
        <v>0.93980272676430154</v>
      </c>
      <c r="Q889" s="565">
        <f t="shared" si="750"/>
        <v>0.98679286310251635</v>
      </c>
      <c r="R889" s="565">
        <f t="shared" si="750"/>
        <v>1.0361325062576421</v>
      </c>
      <c r="S889" s="565">
        <f t="shared" si="750"/>
        <v>1.0879391315705242</v>
      </c>
      <c r="T889" s="565">
        <f t="shared" si="750"/>
        <v>1.1423360881490507</v>
      </c>
      <c r="U889" s="565">
        <f t="shared" si="750"/>
        <v>1.1994528925565029</v>
      </c>
      <c r="V889" s="565">
        <f t="shared" si="750"/>
        <v>1.2594255371843281</v>
      </c>
      <c r="W889" s="565">
        <f t="shared" si="750"/>
        <v>1.3223968140435447</v>
      </c>
      <c r="X889" s="565">
        <f t="shared" si="750"/>
        <v>1.3885166547457222</v>
      </c>
      <c r="Y889" s="565">
        <f t="shared" si="750"/>
        <v>1.4579424874830076</v>
      </c>
      <c r="Z889" s="565">
        <f t="shared" si="750"/>
        <v>1.5308396118571586</v>
      </c>
      <c r="AA889" s="565"/>
      <c r="AB889" s="565"/>
      <c r="AC889" s="565"/>
      <c r="AD889" s="565"/>
      <c r="AE889" s="565"/>
      <c r="AF889" s="565"/>
      <c r="AG889" s="565"/>
      <c r="AH889" s="565"/>
      <c r="AI889" s="565"/>
      <c r="AJ889" s="565"/>
      <c r="AL889" s="876"/>
      <c r="AM889" s="876"/>
    </row>
    <row r="890" spans="1:39" x14ac:dyDescent="0.25">
      <c r="A890" t="s">
        <v>695</v>
      </c>
      <c r="C890" t="s">
        <v>367</v>
      </c>
      <c r="H890" s="558" t="s">
        <v>656</v>
      </c>
      <c r="I890" s="559" t="str">
        <f t="shared" si="746"/>
        <v>tr. VND/tấn</v>
      </c>
      <c r="K890" s="564"/>
      <c r="L890" s="564">
        <f t="shared" ref="L890:AJ890" si="751">-IF($H$9="VND",L858/L842/$H$10/10^3,L858/L842/$H$10*10^3)</f>
        <v>0.77492160273129496</v>
      </c>
      <c r="M890" s="564">
        <f t="shared" si="751"/>
        <v>0.55351543052235352</v>
      </c>
      <c r="N890" s="564">
        <f t="shared" si="751"/>
        <v>0.40683384143392981</v>
      </c>
      <c r="O890" s="564">
        <f t="shared" si="751"/>
        <v>0.42717553350562631</v>
      </c>
      <c r="P890" s="564">
        <f t="shared" si="751"/>
        <v>0.44853431018090767</v>
      </c>
      <c r="Q890" s="564">
        <f t="shared" si="751"/>
        <v>0.47096102568995302</v>
      </c>
      <c r="R890" s="564">
        <f t="shared" si="751"/>
        <v>0.49450907697445079</v>
      </c>
      <c r="S890" s="564">
        <f t="shared" si="751"/>
        <v>0.51923453082317328</v>
      </c>
      <c r="T890" s="564">
        <f t="shared" si="751"/>
        <v>0.54519625736433197</v>
      </c>
      <c r="U890" s="564">
        <f t="shared" si="751"/>
        <v>0.57245607023254841</v>
      </c>
      <c r="V890" s="564">
        <f t="shared" si="751"/>
        <v>0.60107887374417601</v>
      </c>
      <c r="W890" s="564">
        <f t="shared" si="751"/>
        <v>0.63113281743138472</v>
      </c>
      <c r="X890" s="564">
        <f t="shared" si="751"/>
        <v>0.662689458302954</v>
      </c>
      <c r="Y890" s="564">
        <f t="shared" si="751"/>
        <v>0.69582393121810171</v>
      </c>
      <c r="Z890" s="564">
        <f t="shared" si="751"/>
        <v>0.73061512777900695</v>
      </c>
      <c r="AA890" s="564"/>
      <c r="AB890" s="564"/>
      <c r="AC890" s="564"/>
      <c r="AD890" s="564"/>
      <c r="AE890" s="564"/>
      <c r="AF890" s="564"/>
      <c r="AG890" s="564"/>
      <c r="AH890" s="564"/>
      <c r="AI890" s="564"/>
      <c r="AJ890" s="564"/>
      <c r="AL890" s="15"/>
      <c r="AM890" s="15"/>
    </row>
    <row r="891" spans="1:39" x14ac:dyDescent="0.25">
      <c r="A891" t="s">
        <v>695</v>
      </c>
      <c r="C891" t="s">
        <v>367</v>
      </c>
      <c r="H891" s="558" t="s">
        <v>432</v>
      </c>
      <c r="I891" s="559" t="str">
        <f t="shared" si="746"/>
        <v>tr. VND/tấn</v>
      </c>
      <c r="K891" s="564"/>
      <c r="L891" s="564">
        <f t="shared" ref="L891:AJ891" si="752">-IF($H$9="VND",L859/L842/$H$10/10^3,L859/L842/$H$10*10^3)</f>
        <v>2.9132189629639549</v>
      </c>
      <c r="M891" s="564">
        <f t="shared" si="752"/>
        <v>2.0808706878313963</v>
      </c>
      <c r="N891" s="564">
        <f t="shared" si="752"/>
        <v>1.5294399555560763</v>
      </c>
      <c r="O891" s="564">
        <f t="shared" si="752"/>
        <v>1.6059119533338804</v>
      </c>
      <c r="P891" s="564">
        <f t="shared" si="752"/>
        <v>1.6862075510005743</v>
      </c>
      <c r="Q891" s="564">
        <f t="shared" si="752"/>
        <v>1.7705179285506027</v>
      </c>
      <c r="R891" s="564">
        <f t="shared" si="752"/>
        <v>1.8590438249781329</v>
      </c>
      <c r="S891" s="564">
        <f t="shared" si="752"/>
        <v>1.9519960162270396</v>
      </c>
      <c r="T891" s="564">
        <f t="shared" si="752"/>
        <v>2.0495958170383921</v>
      </c>
      <c r="U891" s="564">
        <f t="shared" si="752"/>
        <v>2.1520756078903109</v>
      </c>
      <c r="V891" s="564">
        <f t="shared" si="752"/>
        <v>2.2596793882848267</v>
      </c>
      <c r="W891" s="564">
        <f t="shared" si="752"/>
        <v>2.3726633576990679</v>
      </c>
      <c r="X891" s="564">
        <f t="shared" si="752"/>
        <v>2.4912965255840218</v>
      </c>
      <c r="Y891" s="564">
        <f t="shared" si="752"/>
        <v>2.6158613518632223</v>
      </c>
      <c r="Z891" s="564">
        <f t="shared" si="752"/>
        <v>2.7466544194563838</v>
      </c>
      <c r="AA891" s="564"/>
      <c r="AB891" s="564"/>
      <c r="AC891" s="564"/>
      <c r="AD891" s="564"/>
      <c r="AE891" s="564"/>
      <c r="AF891" s="564"/>
      <c r="AG891" s="564"/>
      <c r="AH891" s="564"/>
      <c r="AI891" s="564"/>
      <c r="AJ891" s="564"/>
      <c r="AL891" s="15"/>
      <c r="AM891" s="15"/>
    </row>
    <row r="892" spans="1:39" x14ac:dyDescent="0.25">
      <c r="A892" t="s">
        <v>695</v>
      </c>
      <c r="C892" t="s">
        <v>367</v>
      </c>
      <c r="H892" s="558" t="s">
        <v>433</v>
      </c>
      <c r="I892" s="559" t="str">
        <f t="shared" si="746"/>
        <v>tr. VND/tấn</v>
      </c>
      <c r="K892" s="564"/>
      <c r="L892" s="564">
        <f t="shared" ref="L892:AJ892" si="753">-IF($H$9="VND",L860/L842/$H$10/10^3,L860/L842/$H$10*10^3)</f>
        <v>0.17823196862819785</v>
      </c>
      <c r="M892" s="564">
        <f t="shared" si="753"/>
        <v>0.12730854902014133</v>
      </c>
      <c r="N892" s="564">
        <f t="shared" si="753"/>
        <v>9.3571783529803873E-2</v>
      </c>
      <c r="O892" s="564">
        <f t="shared" si="753"/>
        <v>9.8250372706294054E-2</v>
      </c>
      <c r="P892" s="564">
        <f t="shared" si="753"/>
        <v>0.10316289134160876</v>
      </c>
      <c r="Q892" s="564">
        <f t="shared" si="753"/>
        <v>0.1083210359086892</v>
      </c>
      <c r="R892" s="564">
        <f t="shared" si="753"/>
        <v>0.11373708770412366</v>
      </c>
      <c r="S892" s="564">
        <f t="shared" si="753"/>
        <v>0.11942394208932984</v>
      </c>
      <c r="T892" s="564">
        <f t="shared" si="753"/>
        <v>0.12539513919379636</v>
      </c>
      <c r="U892" s="564">
        <f t="shared" si="753"/>
        <v>0.13166489615348614</v>
      </c>
      <c r="V892" s="564">
        <f t="shared" si="753"/>
        <v>0.13824814096116045</v>
      </c>
      <c r="W892" s="564">
        <f t="shared" si="753"/>
        <v>0.14516054800921852</v>
      </c>
      <c r="X892" s="564">
        <f t="shared" si="753"/>
        <v>0.15241857540967946</v>
      </c>
      <c r="Y892" s="564">
        <f t="shared" si="753"/>
        <v>0.16003950418016336</v>
      </c>
      <c r="Z892" s="564">
        <f t="shared" si="753"/>
        <v>0.16804147938917158</v>
      </c>
      <c r="AA892" s="564"/>
      <c r="AB892" s="564"/>
      <c r="AC892" s="564"/>
      <c r="AD892" s="564"/>
      <c r="AE892" s="564"/>
      <c r="AF892" s="564"/>
      <c r="AG892" s="564"/>
      <c r="AH892" s="564"/>
      <c r="AI892" s="564"/>
      <c r="AJ892" s="564"/>
      <c r="AL892" s="15"/>
      <c r="AM892" s="15"/>
    </row>
    <row r="893" spans="1:39" x14ac:dyDescent="0.25">
      <c r="A893" t="s">
        <v>695</v>
      </c>
      <c r="C893" t="s">
        <v>367</v>
      </c>
      <c r="H893" s="558" t="s">
        <v>520</v>
      </c>
      <c r="I893" s="559" t="str">
        <f t="shared" si="746"/>
        <v>tr. VND/tấn</v>
      </c>
      <c r="K893" s="564"/>
      <c r="L893" s="564">
        <f t="shared" ref="L893:AJ893" si="754">-IF($H$9="VND",L861/L842/$H$10/10^3,L861/L842/$H$10*10^3)</f>
        <v>0.29107979787234217</v>
      </c>
      <c r="M893" s="564">
        <f t="shared" si="754"/>
        <v>0.20791414133738728</v>
      </c>
      <c r="N893" s="564">
        <f t="shared" si="754"/>
        <v>0.14553989893617109</v>
      </c>
      <c r="O893" s="564">
        <f t="shared" si="754"/>
        <v>0.14553989893617109</v>
      </c>
      <c r="P893" s="564">
        <f t="shared" si="754"/>
        <v>0.14553989893617109</v>
      </c>
      <c r="Q893" s="564">
        <f t="shared" si="754"/>
        <v>0.14553989893617109</v>
      </c>
      <c r="R893" s="564">
        <f t="shared" si="754"/>
        <v>0.14553989893617109</v>
      </c>
      <c r="S893" s="564">
        <f t="shared" si="754"/>
        <v>0.14553989893617109</v>
      </c>
      <c r="T893" s="564">
        <f t="shared" si="754"/>
        <v>0.14553989893617109</v>
      </c>
      <c r="U893" s="564">
        <f t="shared" si="754"/>
        <v>0.14553989893617109</v>
      </c>
      <c r="V893" s="564">
        <f t="shared" si="754"/>
        <v>0.14553989893617109</v>
      </c>
      <c r="W893" s="564">
        <f t="shared" si="754"/>
        <v>0.14553989893617109</v>
      </c>
      <c r="X893" s="564">
        <f t="shared" si="754"/>
        <v>0.14553989893617109</v>
      </c>
      <c r="Y893" s="564">
        <f t="shared" si="754"/>
        <v>0.14553989893617109</v>
      </c>
      <c r="Z893" s="564">
        <f t="shared" si="754"/>
        <v>0.14553989893617109</v>
      </c>
      <c r="AA893" s="564"/>
      <c r="AB893" s="564"/>
      <c r="AC893" s="564"/>
      <c r="AD893" s="564"/>
      <c r="AE893" s="564"/>
      <c r="AF893" s="564"/>
      <c r="AG893" s="564"/>
      <c r="AH893" s="564"/>
      <c r="AI893" s="564"/>
      <c r="AJ893" s="564"/>
      <c r="AL893" s="15"/>
      <c r="AM893" s="15"/>
    </row>
    <row r="894" spans="1:39" x14ac:dyDescent="0.25">
      <c r="A894" t="s">
        <v>695</v>
      </c>
      <c r="H894" s="247"/>
      <c r="I894" s="275"/>
      <c r="K894" s="279"/>
      <c r="L894" s="279"/>
      <c r="M894" s="279"/>
      <c r="N894" s="279"/>
      <c r="O894" s="279"/>
      <c r="P894" s="279"/>
      <c r="Q894" s="279"/>
      <c r="R894" s="279"/>
      <c r="S894" s="279"/>
      <c r="T894" s="279"/>
      <c r="U894" s="279"/>
      <c r="V894" s="279"/>
      <c r="W894" s="279"/>
      <c r="X894" s="279"/>
      <c r="Y894" s="279"/>
      <c r="Z894" s="279"/>
      <c r="AA894" s="279"/>
      <c r="AB894" s="279"/>
      <c r="AC894" s="279"/>
      <c r="AD894" s="279"/>
      <c r="AE894" s="279"/>
      <c r="AF894" s="279"/>
      <c r="AG894" s="279"/>
      <c r="AH894" s="279"/>
      <c r="AI894" s="279"/>
      <c r="AJ894" s="279"/>
      <c r="AL894" s="15"/>
      <c r="AM894" s="15"/>
    </row>
    <row r="895" spans="1:39" s="1" customFormat="1" x14ac:dyDescent="0.25">
      <c r="A895" s="1" t="s">
        <v>695</v>
      </c>
      <c r="H895" s="273" t="s">
        <v>435</v>
      </c>
      <c r="I895" s="274" t="str">
        <f t="shared" si="746"/>
        <v>tr. VND/tấn</v>
      </c>
      <c r="K895" s="280">
        <f>K896+K899+K902</f>
        <v>0</v>
      </c>
      <c r="L895" s="280">
        <f t="shared" ref="L895:AJ895" si="755">L896+L899+L902</f>
        <v>29.946220655109496</v>
      </c>
      <c r="M895" s="280">
        <f t="shared" si="755"/>
        <v>29.761900249468042</v>
      </c>
      <c r="N895" s="280">
        <f t="shared" si="755"/>
        <v>30.289360993474389</v>
      </c>
      <c r="O895" s="280">
        <f t="shared" si="755"/>
        <v>30.972243868317261</v>
      </c>
      <c r="P895" s="280">
        <f t="shared" si="755"/>
        <v>31.672845596579684</v>
      </c>
      <c r="Q895" s="280">
        <f t="shared" si="755"/>
        <v>32.391723615126203</v>
      </c>
      <c r="R895" s="280">
        <f t="shared" si="755"/>
        <v>33.129456662548428</v>
      </c>
      <c r="S895" s="280">
        <f t="shared" si="755"/>
        <v>33.886645712849131</v>
      </c>
      <c r="T895" s="280">
        <f t="shared" si="755"/>
        <v>34.663914953182356</v>
      </c>
      <c r="U895" s="280">
        <f t="shared" si="755"/>
        <v>35.461912807800097</v>
      </c>
      <c r="V895" s="280">
        <f t="shared" si="755"/>
        <v>36.281313010461943</v>
      </c>
      <c r="W895" s="280">
        <f t="shared" si="755"/>
        <v>37.122815727676354</v>
      </c>
      <c r="X895" s="280">
        <f t="shared" si="755"/>
        <v>37.825303237316888</v>
      </c>
      <c r="Y895" s="280">
        <f t="shared" si="755"/>
        <v>38.713223152877063</v>
      </c>
      <c r="Z895" s="280">
        <f t="shared" si="755"/>
        <v>39.625516726965209</v>
      </c>
      <c r="AA895" s="280"/>
      <c r="AB895" s="280"/>
      <c r="AC895" s="280"/>
      <c r="AD895" s="280"/>
      <c r="AE895" s="280"/>
      <c r="AF895" s="280"/>
      <c r="AG895" s="280"/>
      <c r="AH895" s="280"/>
      <c r="AI895" s="280"/>
      <c r="AJ895" s="280"/>
      <c r="AL895" s="39"/>
      <c r="AM895" s="39"/>
    </row>
    <row r="896" spans="1:39" x14ac:dyDescent="0.25">
      <c r="A896" t="s">
        <v>695</v>
      </c>
      <c r="H896" s="556" t="s">
        <v>454</v>
      </c>
      <c r="I896" s="557" t="str">
        <f t="shared" si="746"/>
        <v>tr. VND/tấn</v>
      </c>
      <c r="K896" s="566">
        <f>SUM(K897:K898)</f>
        <v>0</v>
      </c>
      <c r="L896" s="566">
        <f t="shared" ref="L896:AJ896" si="756">SUM(L897:L898)</f>
        <v>26.838709677419356</v>
      </c>
      <c r="M896" s="566">
        <f t="shared" si="756"/>
        <v>26.838709677419359</v>
      </c>
      <c r="N896" s="566">
        <f t="shared" si="756"/>
        <v>27.375483870967745</v>
      </c>
      <c r="O896" s="566">
        <f t="shared" si="756"/>
        <v>27.922993548387105</v>
      </c>
      <c r="P896" s="566">
        <f t="shared" si="756"/>
        <v>28.481453419354843</v>
      </c>
      <c r="Q896" s="566">
        <f t="shared" si="756"/>
        <v>29.05108248774194</v>
      </c>
      <c r="R896" s="566">
        <f t="shared" si="756"/>
        <v>29.632104137496778</v>
      </c>
      <c r="S896" s="566">
        <f t="shared" si="756"/>
        <v>30.224746220246715</v>
      </c>
      <c r="T896" s="566">
        <f t="shared" si="756"/>
        <v>30.829241144651643</v>
      </c>
      <c r="U896" s="566">
        <f t="shared" si="756"/>
        <v>31.445825967544675</v>
      </c>
      <c r="V896" s="566">
        <f t="shared" si="756"/>
        <v>32.074742486895573</v>
      </c>
      <c r="W896" s="566">
        <f t="shared" si="756"/>
        <v>32.71623733663349</v>
      </c>
      <c r="X896" s="566">
        <f t="shared" si="756"/>
        <v>33.370562083366146</v>
      </c>
      <c r="Y896" s="566">
        <f t="shared" si="756"/>
        <v>34.037973325033477</v>
      </c>
      <c r="Z896" s="566">
        <f t="shared" si="756"/>
        <v>34.718732791534151</v>
      </c>
      <c r="AA896" s="566"/>
      <c r="AB896" s="566"/>
      <c r="AC896" s="566"/>
      <c r="AD896" s="566"/>
      <c r="AE896" s="566"/>
      <c r="AF896" s="566"/>
      <c r="AG896" s="566"/>
      <c r="AH896" s="566"/>
      <c r="AI896" s="566"/>
      <c r="AJ896" s="566"/>
      <c r="AL896" s="15"/>
      <c r="AM896" s="15"/>
    </row>
    <row r="897" spans="1:39" s="299" customFormat="1" x14ac:dyDescent="0.25">
      <c r="A897" s="299" t="s">
        <v>695</v>
      </c>
      <c r="C897" s="299" t="s">
        <v>504</v>
      </c>
      <c r="E897" s="331"/>
      <c r="F897" s="331"/>
      <c r="H897" s="560" t="s">
        <v>167</v>
      </c>
      <c r="I897" s="561" t="str">
        <f t="shared" si="746"/>
        <v>tr. VND/tấn</v>
      </c>
      <c r="K897" s="565"/>
      <c r="L897" s="565">
        <f t="shared" ref="L897" si="757">-IF($H$9="VND",L865/L842/$H$10/10^3,L865/L842/$H$10*10^3)</f>
        <v>24.96</v>
      </c>
      <c r="M897" s="565">
        <f>-IF($H$9="VND",M865/M842/$H$10/10^3,M865/M842/$H$10*10^3)</f>
        <v>24.96</v>
      </c>
      <c r="N897" s="565">
        <f t="shared" ref="N897:AJ897" si="758">-IF($H$9="VND",N865/N842/$H$10/10^3,N865/N842/$H$10*10^3)</f>
        <v>25.459199999999999</v>
      </c>
      <c r="O897" s="565">
        <f t="shared" si="758"/>
        <v>25.968384000000004</v>
      </c>
      <c r="P897" s="565">
        <f t="shared" si="758"/>
        <v>26.487751680000002</v>
      </c>
      <c r="Q897" s="565">
        <f t="shared" si="758"/>
        <v>27.017506713600003</v>
      </c>
      <c r="R897" s="565">
        <f t="shared" si="758"/>
        <v>27.557856847872003</v>
      </c>
      <c r="S897" s="565">
        <f t="shared" si="758"/>
        <v>28.109013984829442</v>
      </c>
      <c r="T897" s="565">
        <f t="shared" si="758"/>
        <v>28.671194264526026</v>
      </c>
      <c r="U897" s="565">
        <f t="shared" si="758"/>
        <v>29.244618149816546</v>
      </c>
      <c r="V897" s="565">
        <f t="shared" si="758"/>
        <v>29.829510512812881</v>
      </c>
      <c r="W897" s="565">
        <f t="shared" si="758"/>
        <v>30.426100723069144</v>
      </c>
      <c r="X897" s="565">
        <f t="shared" si="758"/>
        <v>31.034622737530515</v>
      </c>
      <c r="Y897" s="565">
        <f t="shared" si="758"/>
        <v>31.655315192281126</v>
      </c>
      <c r="Z897" s="565">
        <f t="shared" si="758"/>
        <v>32.288421496126759</v>
      </c>
      <c r="AA897" s="565"/>
      <c r="AB897" s="565"/>
      <c r="AC897" s="565"/>
      <c r="AD897" s="565"/>
      <c r="AE897" s="565"/>
      <c r="AF897" s="565"/>
      <c r="AG897" s="565"/>
      <c r="AH897" s="565"/>
      <c r="AI897" s="565"/>
      <c r="AJ897" s="565"/>
      <c r="AL897" s="876"/>
      <c r="AM897" s="876"/>
    </row>
    <row r="898" spans="1:39" s="299" customFormat="1" x14ac:dyDescent="0.25">
      <c r="A898" s="299" t="s">
        <v>695</v>
      </c>
      <c r="C898" s="299" t="s">
        <v>387</v>
      </c>
      <c r="E898" s="331"/>
      <c r="F898" s="331"/>
      <c r="H898" s="640" t="s">
        <v>203</v>
      </c>
      <c r="I898" s="641" t="str">
        <f t="shared" si="746"/>
        <v>tr. VND/tấn</v>
      </c>
      <c r="K898" s="642"/>
      <c r="L898" s="642">
        <f t="shared" ref="L898:AJ898" si="759">-IF($H$9="VND",L866/L842/$H$10/10^3,L866/L842/$H$10*10^3)</f>
        <v>1.8787096774193559</v>
      </c>
      <c r="M898" s="642">
        <f t="shared" si="759"/>
        <v>1.8787096774193583</v>
      </c>
      <c r="N898" s="642">
        <f t="shared" si="759"/>
        <v>1.9162838709677454</v>
      </c>
      <c r="O898" s="642">
        <f t="shared" si="759"/>
        <v>1.9546095483871007</v>
      </c>
      <c r="P898" s="642">
        <f t="shared" si="759"/>
        <v>1.9937017393548417</v>
      </c>
      <c r="Q898" s="642">
        <f t="shared" si="759"/>
        <v>2.0335757741419362</v>
      </c>
      <c r="R898" s="642">
        <f t="shared" si="759"/>
        <v>2.0742472896247759</v>
      </c>
      <c r="S898" s="642">
        <f t="shared" si="759"/>
        <v>2.1157322354172718</v>
      </c>
      <c r="T898" s="642">
        <f t="shared" si="759"/>
        <v>2.1580468801256183</v>
      </c>
      <c r="U898" s="642">
        <f t="shared" si="759"/>
        <v>2.2012078177281285</v>
      </c>
      <c r="V898" s="642">
        <f t="shared" si="759"/>
        <v>2.2452319740826931</v>
      </c>
      <c r="W898" s="642">
        <f t="shared" si="759"/>
        <v>2.2901366135643446</v>
      </c>
      <c r="X898" s="642">
        <f t="shared" si="759"/>
        <v>2.3359393458356301</v>
      </c>
      <c r="Y898" s="642">
        <f t="shared" si="759"/>
        <v>2.3826581327523475</v>
      </c>
      <c r="Z898" s="642">
        <f t="shared" si="759"/>
        <v>2.430311295407392</v>
      </c>
      <c r="AA898" s="642"/>
      <c r="AB898" s="642"/>
      <c r="AC898" s="642"/>
      <c r="AD898" s="642"/>
      <c r="AE898" s="642"/>
      <c r="AF898" s="642"/>
      <c r="AG898" s="642"/>
      <c r="AH898" s="642"/>
      <c r="AI898" s="642"/>
      <c r="AJ898" s="642"/>
      <c r="AL898" s="876"/>
      <c r="AM898" s="876"/>
    </row>
    <row r="899" spans="1:39" x14ac:dyDescent="0.25">
      <c r="A899" t="s">
        <v>695</v>
      </c>
      <c r="H899" s="558" t="s">
        <v>676</v>
      </c>
      <c r="I899" s="559" t="str">
        <f t="shared" si="746"/>
        <v>tr. VND/tấn</v>
      </c>
      <c r="K899" s="567">
        <f>SUM(K900:K901)</f>
        <v>0</v>
      </c>
      <c r="L899" s="567">
        <f t="shared" ref="L899:AJ899" si="760">SUM(L900:L901)</f>
        <v>0.20420258064516131</v>
      </c>
      <c r="M899" s="567">
        <f t="shared" si="760"/>
        <v>0.20420258064516134</v>
      </c>
      <c r="N899" s="567">
        <f t="shared" si="760"/>
        <v>0.21441270967741941</v>
      </c>
      <c r="O899" s="567">
        <f t="shared" si="760"/>
        <v>0.22513334516129035</v>
      </c>
      <c r="P899" s="567">
        <f t="shared" si="760"/>
        <v>0.23639001241935489</v>
      </c>
      <c r="Q899" s="567">
        <f t="shared" si="760"/>
        <v>0.24820951304032263</v>
      </c>
      <c r="R899" s="567">
        <f t="shared" si="760"/>
        <v>0.26061998869233877</v>
      </c>
      <c r="S899" s="567">
        <f t="shared" si="760"/>
        <v>0.27365098812695565</v>
      </c>
      <c r="T899" s="567">
        <f t="shared" si="760"/>
        <v>0.28733353753330354</v>
      </c>
      <c r="U899" s="567">
        <f t="shared" si="760"/>
        <v>0.30170021440996864</v>
      </c>
      <c r="V899" s="567">
        <f t="shared" si="760"/>
        <v>0.31678522513046709</v>
      </c>
      <c r="W899" s="567">
        <f t="shared" si="760"/>
        <v>0.33262448638699044</v>
      </c>
      <c r="X899" s="567">
        <f t="shared" si="760"/>
        <v>0.34925571070633998</v>
      </c>
      <c r="Y899" s="567">
        <f t="shared" si="760"/>
        <v>0.36671849624165698</v>
      </c>
      <c r="Z899" s="567">
        <f t="shared" si="760"/>
        <v>0.38505442105373988</v>
      </c>
      <c r="AA899" s="567"/>
      <c r="AB899" s="567"/>
      <c r="AC899" s="567"/>
      <c r="AD899" s="567"/>
      <c r="AE899" s="567"/>
      <c r="AF899" s="567"/>
      <c r="AG899" s="567"/>
      <c r="AH899" s="567"/>
      <c r="AI899" s="567"/>
      <c r="AJ899" s="567"/>
      <c r="AL899" s="15"/>
      <c r="AM899" s="15"/>
    </row>
    <row r="900" spans="1:39" s="299" customFormat="1" x14ac:dyDescent="0.25">
      <c r="A900" s="299" t="s">
        <v>695</v>
      </c>
      <c r="C900" s="299" t="s">
        <v>367</v>
      </c>
      <c r="E900" s="331"/>
      <c r="F900" s="331"/>
      <c r="H900" s="560" t="s">
        <v>673</v>
      </c>
      <c r="I900" s="561" t="str">
        <f t="shared" si="746"/>
        <v>tr. VND/tấn</v>
      </c>
      <c r="K900" s="565"/>
      <c r="L900" s="565">
        <f>-IF($H$9="VND",L868/L842/$H$10/10^3,L868/L842/$H$10*10^3)</f>
        <v>0.20420258064516131</v>
      </c>
      <c r="M900" s="565">
        <f t="shared" ref="M900:AJ900" si="761">-IF($H$9="VND",M868/M842/$H$10/10^3,M868/M842/$H$10*10^3)</f>
        <v>0.20420258064516134</v>
      </c>
      <c r="N900" s="565">
        <f t="shared" si="761"/>
        <v>0.21441270967741941</v>
      </c>
      <c r="O900" s="565">
        <f t="shared" si="761"/>
        <v>0.22513334516129035</v>
      </c>
      <c r="P900" s="565">
        <f t="shared" si="761"/>
        <v>0.23639001241935489</v>
      </c>
      <c r="Q900" s="565">
        <f t="shared" si="761"/>
        <v>0.24820951304032263</v>
      </c>
      <c r="R900" s="565">
        <f t="shared" si="761"/>
        <v>0.26061998869233877</v>
      </c>
      <c r="S900" s="565">
        <f t="shared" si="761"/>
        <v>0.27365098812695565</v>
      </c>
      <c r="T900" s="565">
        <f t="shared" si="761"/>
        <v>0.28733353753330354</v>
      </c>
      <c r="U900" s="565">
        <f t="shared" si="761"/>
        <v>0.30170021440996864</v>
      </c>
      <c r="V900" s="565">
        <f t="shared" si="761"/>
        <v>0.31678522513046709</v>
      </c>
      <c r="W900" s="565">
        <f t="shared" si="761"/>
        <v>0.33262448638699044</v>
      </c>
      <c r="X900" s="565">
        <f t="shared" si="761"/>
        <v>0.34925571070633998</v>
      </c>
      <c r="Y900" s="565">
        <f t="shared" si="761"/>
        <v>0.36671849624165698</v>
      </c>
      <c r="Z900" s="565">
        <f t="shared" si="761"/>
        <v>0.38505442105373988</v>
      </c>
      <c r="AA900" s="565"/>
      <c r="AB900" s="565"/>
      <c r="AC900" s="565"/>
      <c r="AD900" s="565"/>
      <c r="AE900" s="565"/>
      <c r="AF900" s="565"/>
      <c r="AG900" s="565"/>
      <c r="AH900" s="565"/>
      <c r="AI900" s="565"/>
      <c r="AJ900" s="565"/>
      <c r="AL900" s="876"/>
      <c r="AM900" s="876"/>
    </row>
    <row r="901" spans="1:39" s="299" customFormat="1" x14ac:dyDescent="0.25">
      <c r="A901" s="299" t="s">
        <v>695</v>
      </c>
      <c r="C901" s="299" t="s">
        <v>367</v>
      </c>
      <c r="E901" s="331"/>
      <c r="F901" s="331"/>
      <c r="H901" s="560" t="s">
        <v>674</v>
      </c>
      <c r="I901" s="561" t="str">
        <f t="shared" si="746"/>
        <v>tr. VND/tấn</v>
      </c>
      <c r="K901" s="565"/>
      <c r="L901" s="565">
        <f>-IF($H$9="VND",L869/L842/$H$10/10^3,L869/L842/$H$10*10^3)</f>
        <v>0</v>
      </c>
      <c r="M901" s="565">
        <f t="shared" ref="M901:AJ901" si="762">-IF($H$9="VND",M869/M842/$H$10/10^3,M869/M842/$H$10*10^3)</f>
        <v>0</v>
      </c>
      <c r="N901" s="565">
        <f t="shared" si="762"/>
        <v>0</v>
      </c>
      <c r="O901" s="565">
        <f t="shared" si="762"/>
        <v>0</v>
      </c>
      <c r="P901" s="565">
        <f t="shared" si="762"/>
        <v>0</v>
      </c>
      <c r="Q901" s="565">
        <f t="shared" si="762"/>
        <v>0</v>
      </c>
      <c r="R901" s="565">
        <f t="shared" si="762"/>
        <v>0</v>
      </c>
      <c r="S901" s="565">
        <f t="shared" si="762"/>
        <v>0</v>
      </c>
      <c r="T901" s="565">
        <f t="shared" si="762"/>
        <v>0</v>
      </c>
      <c r="U901" s="565">
        <f t="shared" si="762"/>
        <v>0</v>
      </c>
      <c r="V901" s="565">
        <f t="shared" si="762"/>
        <v>0</v>
      </c>
      <c r="W901" s="565">
        <f t="shared" si="762"/>
        <v>0</v>
      </c>
      <c r="X901" s="565">
        <f t="shared" si="762"/>
        <v>0</v>
      </c>
      <c r="Y901" s="565">
        <f t="shared" si="762"/>
        <v>0</v>
      </c>
      <c r="Z901" s="565">
        <f t="shared" si="762"/>
        <v>0</v>
      </c>
      <c r="AA901" s="565"/>
      <c r="AB901" s="565"/>
      <c r="AC901" s="565"/>
      <c r="AD901" s="565"/>
      <c r="AE901" s="565"/>
      <c r="AF901" s="565"/>
      <c r="AG901" s="565"/>
      <c r="AH901" s="565"/>
      <c r="AI901" s="565"/>
      <c r="AJ901" s="565"/>
      <c r="AL901" s="876"/>
      <c r="AM901" s="876"/>
    </row>
    <row r="902" spans="1:39" x14ac:dyDescent="0.25">
      <c r="A902" t="s">
        <v>695</v>
      </c>
      <c r="H902" s="558" t="s">
        <v>180</v>
      </c>
      <c r="I902" s="559" t="str">
        <f t="shared" si="746"/>
        <v>tr. VND/tấn</v>
      </c>
      <c r="K902" s="567">
        <f>SUM(K903:K905)</f>
        <v>0</v>
      </c>
      <c r="L902" s="567">
        <f>SUM(L903:L905)</f>
        <v>2.9033083970449769</v>
      </c>
      <c r="M902" s="567">
        <f t="shared" ref="M902:AJ902" si="763">SUM(M903:M905)</f>
        <v>2.7189879914035204</v>
      </c>
      <c r="N902" s="567">
        <f t="shared" si="763"/>
        <v>2.6994644128292276</v>
      </c>
      <c r="O902" s="567">
        <f t="shared" si="763"/>
        <v>2.8241169747688661</v>
      </c>
      <c r="P902" s="567">
        <f t="shared" si="763"/>
        <v>2.9550021648054869</v>
      </c>
      <c r="Q902" s="567">
        <f t="shared" si="763"/>
        <v>3.0924316143439388</v>
      </c>
      <c r="R902" s="567">
        <f t="shared" si="763"/>
        <v>3.2367325363593134</v>
      </c>
      <c r="S902" s="567">
        <f t="shared" si="763"/>
        <v>3.3882485044754564</v>
      </c>
      <c r="T902" s="567">
        <f t="shared" si="763"/>
        <v>3.547340270997406</v>
      </c>
      <c r="U902" s="567">
        <f t="shared" si="763"/>
        <v>3.7143866258454539</v>
      </c>
      <c r="V902" s="567">
        <f t="shared" si="763"/>
        <v>3.8897852984359034</v>
      </c>
      <c r="W902" s="567">
        <f t="shared" si="763"/>
        <v>4.0739539046558768</v>
      </c>
      <c r="X902" s="567">
        <f t="shared" si="763"/>
        <v>4.1054854432444063</v>
      </c>
      <c r="Y902" s="567">
        <f t="shared" si="763"/>
        <v>4.3085313316019249</v>
      </c>
      <c r="Z902" s="567">
        <f t="shared" si="763"/>
        <v>4.5217295143773217</v>
      </c>
      <c r="AA902" s="567"/>
      <c r="AB902" s="567"/>
      <c r="AC902" s="567"/>
      <c r="AD902" s="567"/>
      <c r="AE902" s="567"/>
      <c r="AF902" s="567"/>
      <c r="AG902" s="567"/>
      <c r="AH902" s="567"/>
      <c r="AI902" s="567"/>
      <c r="AJ902" s="567"/>
      <c r="AL902" s="15"/>
      <c r="AM902" s="15"/>
    </row>
    <row r="903" spans="1:39" s="299" customFormat="1" x14ac:dyDescent="0.25">
      <c r="A903" s="299" t="s">
        <v>695</v>
      </c>
      <c r="C903" s="299" t="s">
        <v>367</v>
      </c>
      <c r="H903" s="560" t="s">
        <v>73</v>
      </c>
      <c r="I903" s="561" t="str">
        <f t="shared" si="746"/>
        <v>tr. VND/tấn</v>
      </c>
      <c r="K903" s="565"/>
      <c r="L903" s="565">
        <f t="shared" ref="L903:AJ903" si="764">-IF($H$9="VND",L871/L842/$H$10/10^3,L871/L842/$H$10*10^3)</f>
        <v>1.8565188172043012</v>
      </c>
      <c r="M903" s="565">
        <f t="shared" si="764"/>
        <v>1.8565188172043008</v>
      </c>
      <c r="N903" s="565">
        <f t="shared" si="764"/>
        <v>1.949344758064516</v>
      </c>
      <c r="O903" s="565">
        <f t="shared" si="764"/>
        <v>2.046811995967742</v>
      </c>
      <c r="P903" s="565">
        <f t="shared" si="764"/>
        <v>2.1491525957661293</v>
      </c>
      <c r="Q903" s="565">
        <f t="shared" si="764"/>
        <v>2.2566102255544358</v>
      </c>
      <c r="R903" s="565">
        <f t="shared" si="764"/>
        <v>2.3694407368321579</v>
      </c>
      <c r="S903" s="565">
        <f t="shared" si="764"/>
        <v>2.4879127736737656</v>
      </c>
      <c r="T903" s="565">
        <f t="shared" si="764"/>
        <v>2.6123084123574536</v>
      </c>
      <c r="U903" s="565">
        <f t="shared" si="764"/>
        <v>2.7429238329753267</v>
      </c>
      <c r="V903" s="565">
        <f t="shared" si="764"/>
        <v>2.8800700246240925</v>
      </c>
      <c r="W903" s="565">
        <f t="shared" si="764"/>
        <v>3.0240735258552975</v>
      </c>
      <c r="X903" s="565">
        <f t="shared" si="764"/>
        <v>3.1752772021480626</v>
      </c>
      <c r="Y903" s="565">
        <f t="shared" si="764"/>
        <v>3.3340410622554648</v>
      </c>
      <c r="Z903" s="565">
        <f t="shared" si="764"/>
        <v>3.5007431153682393</v>
      </c>
      <c r="AA903" s="565"/>
      <c r="AB903" s="565"/>
      <c r="AC903" s="565"/>
      <c r="AD903" s="565"/>
      <c r="AE903" s="565"/>
      <c r="AF903" s="565"/>
      <c r="AG903" s="565"/>
      <c r="AH903" s="565"/>
      <c r="AI903" s="565"/>
      <c r="AJ903" s="565"/>
      <c r="AL903" s="876"/>
      <c r="AM903" s="876"/>
    </row>
    <row r="904" spans="1:39" s="299" customFormat="1" x14ac:dyDescent="0.25">
      <c r="A904" s="299" t="s">
        <v>695</v>
      </c>
      <c r="C904" s="299" t="s">
        <v>370</v>
      </c>
      <c r="H904" s="560" t="s">
        <v>192</v>
      </c>
      <c r="I904" s="561" t="str">
        <f t="shared" si="746"/>
        <v>tr. VND/tấn</v>
      </c>
      <c r="K904" s="565"/>
      <c r="L904" s="565">
        <f t="shared" ref="L904:AJ904" si="765">-IF($H$9="VND",L872/L842/$H$10/10^3,L872/L842/$H$10*10^3)</f>
        <v>0.31481481481481483</v>
      </c>
      <c r="M904" s="565">
        <f t="shared" si="765"/>
        <v>0.31481481481481483</v>
      </c>
      <c r="N904" s="565">
        <f t="shared" si="765"/>
        <v>0.3305555555555556</v>
      </c>
      <c r="O904" s="565">
        <f t="shared" si="765"/>
        <v>0.34708333333333335</v>
      </c>
      <c r="P904" s="565">
        <f t="shared" si="765"/>
        <v>0.36443750000000008</v>
      </c>
      <c r="Q904" s="565">
        <f t="shared" si="765"/>
        <v>0.38265937500000002</v>
      </c>
      <c r="R904" s="565">
        <f t="shared" si="765"/>
        <v>0.40179234375000006</v>
      </c>
      <c r="S904" s="565">
        <f t="shared" si="765"/>
        <v>0.42188196093749997</v>
      </c>
      <c r="T904" s="565">
        <f t="shared" si="765"/>
        <v>0.44297605898437514</v>
      </c>
      <c r="U904" s="565">
        <f t="shared" si="765"/>
        <v>0.46512486193359376</v>
      </c>
      <c r="V904" s="565">
        <f t="shared" si="765"/>
        <v>0.48838110503027343</v>
      </c>
      <c r="W904" s="565">
        <f t="shared" si="765"/>
        <v>0.51280016028178721</v>
      </c>
      <c r="X904" s="565">
        <f t="shared" si="765"/>
        <v>0.5384401682958766</v>
      </c>
      <c r="Y904" s="565">
        <f t="shared" si="765"/>
        <v>0.56536217671067035</v>
      </c>
      <c r="Z904" s="565">
        <f t="shared" si="765"/>
        <v>0.5936302855462039</v>
      </c>
      <c r="AA904" s="565"/>
      <c r="AB904" s="565"/>
      <c r="AC904" s="565"/>
      <c r="AD904" s="565"/>
      <c r="AE904" s="565"/>
      <c r="AF904" s="565"/>
      <c r="AG904" s="565"/>
      <c r="AH904" s="565"/>
      <c r="AI904" s="565"/>
      <c r="AJ904" s="565"/>
      <c r="AL904" s="876"/>
      <c r="AM904" s="876"/>
    </row>
    <row r="905" spans="1:39" s="299" customFormat="1" x14ac:dyDescent="0.25">
      <c r="A905" s="299" t="s">
        <v>695</v>
      </c>
      <c r="C905" s="299" t="s">
        <v>367</v>
      </c>
      <c r="H905" s="560" t="s">
        <v>175</v>
      </c>
      <c r="I905" s="561" t="str">
        <f t="shared" si="746"/>
        <v>tr. VND/tấn</v>
      </c>
      <c r="K905" s="565"/>
      <c r="L905" s="565">
        <f>-IF($H$9="VND",L873/L842/$H$10/10^3,L873/L842/$H$10*10^3)</f>
        <v>0.73197476502586101</v>
      </c>
      <c r="M905" s="565">
        <f t="shared" ref="M905:AJ905" si="766">-IF($H$9="VND",M873/M842/$H$10/10^3,M873/M842/$H$10*10^3)</f>
        <v>0.54765435938440488</v>
      </c>
      <c r="N905" s="565">
        <f t="shared" si="766"/>
        <v>0.41956409920915572</v>
      </c>
      <c r="O905" s="565">
        <f t="shared" si="766"/>
        <v>0.43022164546779085</v>
      </c>
      <c r="P905" s="565">
        <f t="shared" si="766"/>
        <v>0.4414120690393577</v>
      </c>
      <c r="Q905" s="565">
        <f t="shared" si="766"/>
        <v>0.45316201378950288</v>
      </c>
      <c r="R905" s="565">
        <f t="shared" si="766"/>
        <v>0.4654994557771554</v>
      </c>
      <c r="S905" s="565">
        <f t="shared" si="766"/>
        <v>0.47845376986419047</v>
      </c>
      <c r="T905" s="565">
        <f t="shared" si="766"/>
        <v>0.49205579965557728</v>
      </c>
      <c r="U905" s="565">
        <f t="shared" si="766"/>
        <v>0.50633793093653356</v>
      </c>
      <c r="V905" s="565">
        <f t="shared" si="766"/>
        <v>0.52133416878153738</v>
      </c>
      <c r="W905" s="565">
        <f t="shared" si="766"/>
        <v>0.53708021851879162</v>
      </c>
      <c r="X905" s="565">
        <f t="shared" si="766"/>
        <v>0.39176807280046666</v>
      </c>
      <c r="Y905" s="565">
        <f t="shared" si="766"/>
        <v>0.40912809263578942</v>
      </c>
      <c r="Z905" s="565">
        <f t="shared" si="766"/>
        <v>0.42735611346287838</v>
      </c>
      <c r="AA905" s="565"/>
      <c r="AB905" s="565"/>
      <c r="AC905" s="565"/>
      <c r="AD905" s="565"/>
      <c r="AE905" s="565"/>
      <c r="AF905" s="565"/>
      <c r="AG905" s="565"/>
      <c r="AH905" s="565"/>
      <c r="AI905" s="565"/>
      <c r="AJ905" s="565"/>
      <c r="AL905" s="876"/>
      <c r="AM905" s="876"/>
    </row>
    <row r="906" spans="1:39" x14ac:dyDescent="0.25">
      <c r="A906" t="s">
        <v>695</v>
      </c>
      <c r="H906" s="247"/>
      <c r="I906" s="275"/>
      <c r="K906" s="281"/>
      <c r="L906" s="282"/>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L906" s="15"/>
      <c r="AM906" s="15"/>
    </row>
    <row r="907" spans="1:39" s="16" customFormat="1" x14ac:dyDescent="0.25">
      <c r="A907" s="16" t="s">
        <v>695</v>
      </c>
      <c r="H907" s="276" t="s">
        <v>464</v>
      </c>
      <c r="I907" s="277" t="str">
        <f t="shared" si="746"/>
        <v>tr. VND/tấn</v>
      </c>
      <c r="K907" s="283">
        <f>K885+K895</f>
        <v>0</v>
      </c>
      <c r="L907" s="283">
        <f t="shared" ref="L907:AJ907" si="767">L885+L895</f>
        <v>46.074256148736893</v>
      </c>
      <c r="M907" s="283">
        <f t="shared" si="767"/>
        <v>41.28192560205904</v>
      </c>
      <c r="N907" s="283">
        <f t="shared" si="767"/>
        <v>38.498563160083208</v>
      </c>
      <c r="O907" s="283">
        <f t="shared" si="767"/>
        <v>39.333889675710957</v>
      </c>
      <c r="P907" s="283">
        <f t="shared" si="767"/>
        <v>40.1945572267975</v>
      </c>
      <c r="Q907" s="283">
        <f t="shared" si="767"/>
        <v>41.081504359309335</v>
      </c>
      <c r="R907" s="283">
        <f t="shared" si="767"/>
        <v>41.995709976395155</v>
      </c>
      <c r="S907" s="283">
        <f t="shared" si="767"/>
        <v>42.93819522484263</v>
      </c>
      <c r="T907" s="283">
        <f t="shared" si="767"/>
        <v>43.910025473229965</v>
      </c>
      <c r="U907" s="283">
        <f t="shared" si="767"/>
        <v>44.912312386304514</v>
      </c>
      <c r="V907" s="283">
        <f t="shared" si="767"/>
        <v>45.946216100346014</v>
      </c>
      <c r="W907" s="283">
        <f t="shared" si="767"/>
        <v>47.012947504509057</v>
      </c>
      <c r="X907" s="283">
        <f t="shared" si="767"/>
        <v>43.905787686884615</v>
      </c>
      <c r="Y907" s="283">
        <f t="shared" si="767"/>
        <v>45.04202222980566</v>
      </c>
      <c r="Z907" s="283">
        <f t="shared" si="767"/>
        <v>46.215046162622727</v>
      </c>
      <c r="AA907" s="283"/>
      <c r="AB907" s="283"/>
      <c r="AC907" s="283"/>
      <c r="AD907" s="283"/>
      <c r="AE907" s="283"/>
      <c r="AF907" s="283"/>
      <c r="AG907" s="283"/>
      <c r="AH907" s="283"/>
      <c r="AI907" s="283"/>
      <c r="AJ907" s="283"/>
      <c r="AL907" s="29"/>
      <c r="AM907" s="29"/>
    </row>
    <row r="908" spans="1:39" x14ac:dyDescent="0.25">
      <c r="A908" t="s">
        <v>695</v>
      </c>
      <c r="H908" s="247"/>
      <c r="I908" s="275"/>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L908" s="15"/>
      <c r="AM908" s="15"/>
    </row>
    <row r="909" spans="1:39" x14ac:dyDescent="0.25">
      <c r="A909" t="s">
        <v>695</v>
      </c>
      <c r="C909" t="s">
        <v>367</v>
      </c>
      <c r="H909" s="568" t="s">
        <v>166</v>
      </c>
      <c r="I909" s="569" t="str">
        <f t="shared" si="746"/>
        <v>tr. VND/tấn</v>
      </c>
      <c r="K909" s="570"/>
      <c r="L909" s="570">
        <f>-IF($H$9="VND",L877/L842/$H$10/10^3,L877/L842/$H$10*10^3)</f>
        <v>0.88888888888888906</v>
      </c>
      <c r="M909" s="570">
        <f t="shared" ref="M909:AJ909" si="768">-IF($H$9="VND",M877/M842/$H$10/10^3,M877/M842/$H$10*10^3)</f>
        <v>0.88888888888888895</v>
      </c>
      <c r="N909" s="570">
        <f t="shared" si="768"/>
        <v>0.93333333333333335</v>
      </c>
      <c r="O909" s="570">
        <f t="shared" si="768"/>
        <v>0.9800000000000002</v>
      </c>
      <c r="P909" s="570">
        <f t="shared" si="768"/>
        <v>1.0290000000000001</v>
      </c>
      <c r="Q909" s="570">
        <f t="shared" si="768"/>
        <v>1.0804500000000004</v>
      </c>
      <c r="R909" s="570">
        <f t="shared" si="768"/>
        <v>1.1344725000000002</v>
      </c>
      <c r="S909" s="570">
        <f t="shared" si="768"/>
        <v>1.1911961249999998</v>
      </c>
      <c r="T909" s="570">
        <f t="shared" si="768"/>
        <v>1.2507559312500003</v>
      </c>
      <c r="U909" s="570">
        <f t="shared" si="768"/>
        <v>1.3132937278125001</v>
      </c>
      <c r="V909" s="570">
        <f t="shared" si="768"/>
        <v>1.3789584142031253</v>
      </c>
      <c r="W909" s="570">
        <f t="shared" si="768"/>
        <v>1.4479063349132817</v>
      </c>
      <c r="X909" s="570">
        <f t="shared" si="768"/>
        <v>1.5203016516589456</v>
      </c>
      <c r="Y909" s="570">
        <f t="shared" si="768"/>
        <v>1.5963167342418931</v>
      </c>
      <c r="Z909" s="570">
        <f t="shared" si="768"/>
        <v>1.6761325709539878</v>
      </c>
      <c r="AA909" s="570"/>
      <c r="AB909" s="570"/>
      <c r="AC909" s="570"/>
      <c r="AD909" s="570"/>
      <c r="AE909" s="570"/>
      <c r="AF909" s="570"/>
      <c r="AG909" s="570"/>
      <c r="AH909" s="570"/>
      <c r="AI909" s="570"/>
      <c r="AJ909" s="570"/>
      <c r="AL909" s="15"/>
      <c r="AM909" s="15"/>
    </row>
    <row r="910" spans="1:39" x14ac:dyDescent="0.25">
      <c r="A910" t="s">
        <v>695</v>
      </c>
      <c r="C910" t="s">
        <v>367</v>
      </c>
      <c r="H910" s="558" t="s">
        <v>469</v>
      </c>
      <c r="I910" s="559" t="str">
        <f t="shared" si="746"/>
        <v>tr. VND/tấn</v>
      </c>
      <c r="K910" s="571"/>
      <c r="L910" s="571">
        <f t="shared" ref="L910:AJ910" si="769">-IF($H$9="VND",L878/L842/$H$10/10^3,L878/L842/$H$10*10^3)</f>
        <v>0</v>
      </c>
      <c r="M910" s="571">
        <f t="shared" si="769"/>
        <v>0</v>
      </c>
      <c r="N910" s="571">
        <f t="shared" si="769"/>
        <v>0</v>
      </c>
      <c r="O910" s="571">
        <f t="shared" si="769"/>
        <v>0</v>
      </c>
      <c r="P910" s="571">
        <f t="shared" si="769"/>
        <v>0</v>
      </c>
      <c r="Q910" s="571">
        <f t="shared" si="769"/>
        <v>0</v>
      </c>
      <c r="R910" s="571">
        <f t="shared" si="769"/>
        <v>0</v>
      </c>
      <c r="S910" s="571">
        <f t="shared" si="769"/>
        <v>0</v>
      </c>
      <c r="T910" s="571">
        <f t="shared" si="769"/>
        <v>0</v>
      </c>
      <c r="U910" s="571">
        <f t="shared" si="769"/>
        <v>0</v>
      </c>
      <c r="V910" s="571">
        <f t="shared" si="769"/>
        <v>0</v>
      </c>
      <c r="W910" s="571">
        <f t="shared" si="769"/>
        <v>0</v>
      </c>
      <c r="X910" s="571">
        <f t="shared" si="769"/>
        <v>0</v>
      </c>
      <c r="Y910" s="571">
        <f t="shared" si="769"/>
        <v>0</v>
      </c>
      <c r="Z910" s="571">
        <f t="shared" si="769"/>
        <v>0</v>
      </c>
      <c r="AA910" s="571"/>
      <c r="AB910" s="571"/>
      <c r="AC910" s="571"/>
      <c r="AD910" s="571"/>
      <c r="AE910" s="571"/>
      <c r="AF910" s="571"/>
      <c r="AG910" s="571"/>
      <c r="AH910" s="571"/>
      <c r="AI910" s="571"/>
      <c r="AJ910" s="571"/>
      <c r="AL910" s="15"/>
      <c r="AM910" s="15"/>
    </row>
    <row r="911" spans="1:39" x14ac:dyDescent="0.25">
      <c r="A911" t="s">
        <v>695</v>
      </c>
      <c r="C911" t="s">
        <v>367</v>
      </c>
      <c r="H911" s="558" t="s">
        <v>468</v>
      </c>
      <c r="I911" s="559" t="str">
        <f t="shared" si="746"/>
        <v>tr. VND/tấn</v>
      </c>
      <c r="K911" s="558"/>
      <c r="L911" s="571">
        <f t="shared" ref="L911:AJ911" si="770">-IF($H$9="VND",L879/L842/$H$10/10^3,L879/L842/$H$10*10^3)</f>
        <v>0</v>
      </c>
      <c r="M911" s="571">
        <f t="shared" si="770"/>
        <v>0</v>
      </c>
      <c r="N911" s="571">
        <f t="shared" si="770"/>
        <v>0</v>
      </c>
      <c r="O911" s="571">
        <f t="shared" si="770"/>
        <v>0</v>
      </c>
      <c r="P911" s="571">
        <f t="shared" si="770"/>
        <v>0</v>
      </c>
      <c r="Q911" s="571">
        <f t="shared" si="770"/>
        <v>0</v>
      </c>
      <c r="R911" s="571">
        <f t="shared" si="770"/>
        <v>0</v>
      </c>
      <c r="S911" s="571">
        <f t="shared" si="770"/>
        <v>0</v>
      </c>
      <c r="T911" s="571">
        <f t="shared" si="770"/>
        <v>0</v>
      </c>
      <c r="U911" s="571">
        <f t="shared" si="770"/>
        <v>0</v>
      </c>
      <c r="V911" s="571">
        <f t="shared" si="770"/>
        <v>0</v>
      </c>
      <c r="W911" s="571">
        <f t="shared" si="770"/>
        <v>0</v>
      </c>
      <c r="X911" s="571">
        <f t="shared" si="770"/>
        <v>0</v>
      </c>
      <c r="Y911" s="571">
        <f t="shared" si="770"/>
        <v>0</v>
      </c>
      <c r="Z911" s="571">
        <f t="shared" si="770"/>
        <v>0</v>
      </c>
      <c r="AA911" s="571"/>
      <c r="AB911" s="571"/>
      <c r="AC911" s="571"/>
      <c r="AD911" s="571"/>
      <c r="AE911" s="571"/>
      <c r="AF911" s="571"/>
      <c r="AG911" s="571"/>
      <c r="AH911" s="571"/>
      <c r="AI911" s="571"/>
      <c r="AJ911" s="571"/>
      <c r="AL911" s="15"/>
      <c r="AM911" s="15"/>
    </row>
    <row r="912" spans="1:39" x14ac:dyDescent="0.25">
      <c r="A912" t="s">
        <v>695</v>
      </c>
      <c r="C912" t="s">
        <v>367</v>
      </c>
      <c r="H912" s="558" t="s">
        <v>470</v>
      </c>
      <c r="I912" s="559" t="str">
        <f t="shared" si="746"/>
        <v>tr. VND/tấn</v>
      </c>
      <c r="K912" s="558"/>
      <c r="L912" s="571">
        <f t="shared" ref="L912:AJ912" si="771">-IF($H$9="VND",L880/L842/$H$10/10^3,L880/L842/$H$10*10^3)</f>
        <v>7.131455047872385</v>
      </c>
      <c r="M912" s="571">
        <f t="shared" si="771"/>
        <v>4.8911867647644334</v>
      </c>
      <c r="N912" s="571">
        <f t="shared" si="771"/>
        <v>3.2720011715319366</v>
      </c>
      <c r="O912" s="571">
        <f t="shared" si="771"/>
        <v>3.1095435382625483</v>
      </c>
      <c r="P912" s="571">
        <f t="shared" si="771"/>
        <v>2.9357138706643027</v>
      </c>
      <c r="Q912" s="571">
        <f t="shared" si="771"/>
        <v>2.7497161263341807</v>
      </c>
      <c r="R912" s="571">
        <f t="shared" si="771"/>
        <v>2.5506985399009494</v>
      </c>
      <c r="S912" s="571">
        <f t="shared" si="771"/>
        <v>2.3377497224173927</v>
      </c>
      <c r="T912" s="571">
        <f t="shared" si="771"/>
        <v>2.1098944877099868</v>
      </c>
      <c r="U912" s="571">
        <f t="shared" si="771"/>
        <v>1.8660893865730617</v>
      </c>
      <c r="V912" s="571">
        <f t="shared" si="771"/>
        <v>1.6052179283565524</v>
      </c>
      <c r="W912" s="571">
        <f t="shared" si="771"/>
        <v>1.3260854680648875</v>
      </c>
      <c r="X912" s="571">
        <f t="shared" si="771"/>
        <v>1.0274137355528061</v>
      </c>
      <c r="Y912" s="571">
        <f t="shared" si="771"/>
        <v>0.70783498176487913</v>
      </c>
      <c r="Z912" s="571">
        <f t="shared" si="771"/>
        <v>0.36588571521179714</v>
      </c>
      <c r="AA912" s="571"/>
      <c r="AB912" s="571"/>
      <c r="AC912" s="571"/>
      <c r="AD912" s="571"/>
      <c r="AE912" s="571"/>
      <c r="AF912" s="571"/>
      <c r="AG912" s="571"/>
      <c r="AH912" s="571"/>
      <c r="AI912" s="571"/>
      <c r="AJ912" s="571"/>
      <c r="AL912" s="15"/>
      <c r="AM912" s="15"/>
    </row>
    <row r="913" spans="1:39" x14ac:dyDescent="0.25">
      <c r="A913" t="s">
        <v>695</v>
      </c>
      <c r="H913" s="247"/>
      <c r="I913" s="275"/>
      <c r="K913" s="247"/>
      <c r="L913" s="247"/>
      <c r="M913" s="247"/>
      <c r="N913" s="247"/>
      <c r="O913" s="247"/>
      <c r="P913" s="247"/>
      <c r="Q913" s="247"/>
      <c r="R913" s="247"/>
      <c r="S913" s="247"/>
      <c r="T913" s="247"/>
      <c r="U913" s="247"/>
      <c r="V913" s="247"/>
      <c r="W913" s="247"/>
      <c r="X913" s="247"/>
      <c r="Y913" s="247"/>
      <c r="Z913" s="247"/>
      <c r="AA913" s="247"/>
      <c r="AB913" s="247"/>
      <c r="AC913" s="247"/>
      <c r="AD913" s="247"/>
      <c r="AE913" s="247"/>
      <c r="AF913" s="247"/>
      <c r="AG913" s="247"/>
      <c r="AH913" s="247"/>
      <c r="AI913" s="247"/>
      <c r="AJ913" s="247"/>
      <c r="AL913" s="15"/>
      <c r="AM913" s="15"/>
    </row>
    <row r="914" spans="1:39" s="16" customFormat="1" x14ac:dyDescent="0.25">
      <c r="A914" s="16" t="s">
        <v>695</v>
      </c>
      <c r="H914" s="276" t="s">
        <v>474</v>
      </c>
      <c r="I914" s="277" t="str">
        <f t="shared" si="746"/>
        <v>tr. VND/tấn</v>
      </c>
      <c r="K914" s="283">
        <f t="shared" ref="K914" si="772">K907+SUM(K909:K912)</f>
        <v>0</v>
      </c>
      <c r="L914" s="283">
        <f>L907+SUM(L909:L912)</f>
        <v>54.094600085498165</v>
      </c>
      <c r="M914" s="283">
        <f t="shared" ref="M914:AJ914" si="773">M907+SUM(M909:M912)</f>
        <v>47.06200125571236</v>
      </c>
      <c r="N914" s="283">
        <f t="shared" si="773"/>
        <v>42.703897664948478</v>
      </c>
      <c r="O914" s="283">
        <f t="shared" si="773"/>
        <v>43.423433213973503</v>
      </c>
      <c r="P914" s="283">
        <f t="shared" si="773"/>
        <v>44.159271097461804</v>
      </c>
      <c r="Q914" s="283">
        <f t="shared" si="773"/>
        <v>44.911670485643519</v>
      </c>
      <c r="R914" s="283">
        <f t="shared" si="773"/>
        <v>45.680881016296105</v>
      </c>
      <c r="S914" s="283">
        <f t="shared" si="773"/>
        <v>46.46714107226002</v>
      </c>
      <c r="T914" s="283">
        <f t="shared" si="773"/>
        <v>47.270675892189949</v>
      </c>
      <c r="U914" s="283">
        <f t="shared" si="773"/>
        <v>48.091695500690079</v>
      </c>
      <c r="V914" s="283">
        <f t="shared" si="773"/>
        <v>48.930392442905692</v>
      </c>
      <c r="W914" s="283">
        <f t="shared" si="773"/>
        <v>49.786939307487224</v>
      </c>
      <c r="X914" s="283">
        <f t="shared" si="773"/>
        <v>46.453503074096368</v>
      </c>
      <c r="Y914" s="283">
        <f t="shared" si="773"/>
        <v>47.346173945812431</v>
      </c>
      <c r="Z914" s="283">
        <f t="shared" si="773"/>
        <v>48.257064448788512</v>
      </c>
      <c r="AA914" s="283"/>
      <c r="AB914" s="283"/>
      <c r="AC914" s="283"/>
      <c r="AD914" s="283"/>
      <c r="AE914" s="283"/>
      <c r="AF914" s="283"/>
      <c r="AG914" s="283"/>
      <c r="AH914" s="283"/>
      <c r="AI914" s="283"/>
      <c r="AJ914" s="283"/>
      <c r="AL914" s="29"/>
      <c r="AM914" s="29"/>
    </row>
    <row r="915" spans="1:39" x14ac:dyDescent="0.25">
      <c r="A915" t="s">
        <v>695</v>
      </c>
    </row>
    <row r="916" spans="1:39" x14ac:dyDescent="0.25">
      <c r="A916" t="s">
        <v>695</v>
      </c>
      <c r="H916" s="568" t="s">
        <v>361</v>
      </c>
      <c r="I916" s="569" t="str">
        <f t="shared" si="746"/>
        <v>tr. VND/tấn</v>
      </c>
      <c r="K916" s="568"/>
      <c r="L916" s="589">
        <f>INDEX('Cover Page'!$H$12:$AJ$12,MATCH($A916,'Cover Page'!$H$5:$AJ$5,0))</f>
        <v>6.6666666666666666E-2</v>
      </c>
      <c r="M916" s="589">
        <f>INDEX('Cover Page'!$H$12:$AJ$12,MATCH($A916,'Cover Page'!$H$5:$AJ$5,0))</f>
        <v>6.6666666666666666E-2</v>
      </c>
      <c r="N916" s="589">
        <f>INDEX('Cover Page'!$H$12:$AJ$12,MATCH($A916,'Cover Page'!$H$5:$AJ$5,0))</f>
        <v>6.6666666666666666E-2</v>
      </c>
      <c r="O916" s="589">
        <f>INDEX('Cover Page'!$H$12:$AJ$12,MATCH($A916,'Cover Page'!$H$5:$AJ$5,0))</f>
        <v>6.6666666666666666E-2</v>
      </c>
      <c r="P916" s="589">
        <f>INDEX('Cover Page'!$H$12:$AJ$12,MATCH($A916,'Cover Page'!$H$5:$AJ$5,0))</f>
        <v>6.6666666666666666E-2</v>
      </c>
      <c r="Q916" s="589">
        <f>INDEX('Cover Page'!$H$12:$AJ$12,MATCH($A916,'Cover Page'!$H$5:$AJ$5,0))</f>
        <v>6.6666666666666666E-2</v>
      </c>
      <c r="R916" s="589">
        <f>INDEX('Cover Page'!$H$12:$AJ$12,MATCH($A916,'Cover Page'!$H$5:$AJ$5,0))</f>
        <v>6.6666666666666666E-2</v>
      </c>
      <c r="S916" s="589">
        <f>INDEX('Cover Page'!$H$12:$AJ$12,MATCH($A916,'Cover Page'!$H$5:$AJ$5,0))</f>
        <v>6.6666666666666666E-2</v>
      </c>
      <c r="T916" s="589">
        <f>INDEX('Cover Page'!$H$12:$AJ$12,MATCH($A916,'Cover Page'!$H$5:$AJ$5,0))</f>
        <v>6.6666666666666666E-2</v>
      </c>
      <c r="U916" s="589">
        <f>INDEX('Cover Page'!$H$12:$AJ$12,MATCH($A916,'Cover Page'!$H$5:$AJ$5,0))</f>
        <v>6.6666666666666666E-2</v>
      </c>
      <c r="V916" s="589">
        <f>INDEX('Cover Page'!$H$12:$AJ$12,MATCH($A916,'Cover Page'!$H$5:$AJ$5,0))</f>
        <v>6.6666666666666666E-2</v>
      </c>
      <c r="W916" s="589">
        <f>INDEX('Cover Page'!$H$12:$AJ$12,MATCH($A916,'Cover Page'!$H$5:$AJ$5,0))</f>
        <v>6.6666666666666666E-2</v>
      </c>
      <c r="X916" s="589">
        <f>INDEX('Cover Page'!$H$12:$AJ$12,MATCH($A916,'Cover Page'!$H$5:$AJ$5,0))</f>
        <v>6.6666666666666666E-2</v>
      </c>
      <c r="Y916" s="589">
        <f>INDEX('Cover Page'!$H$12:$AJ$12,MATCH($A916,'Cover Page'!$H$5:$AJ$5,0))</f>
        <v>6.6666666666666666E-2</v>
      </c>
      <c r="Z916" s="589">
        <f>INDEX('Cover Page'!$H$12:$AJ$12,MATCH($A916,'Cover Page'!$H$5:$AJ$5,0))</f>
        <v>6.6666666666666666E-2</v>
      </c>
      <c r="AA916" s="589"/>
      <c r="AB916" s="589"/>
      <c r="AC916" s="589"/>
      <c r="AD916" s="589"/>
      <c r="AE916" s="589"/>
      <c r="AF916" s="589"/>
      <c r="AG916" s="589"/>
      <c r="AH916" s="589"/>
      <c r="AI916" s="589"/>
      <c r="AJ916" s="589"/>
    </row>
    <row r="917" spans="1:39" s="1" customFormat="1" x14ac:dyDescent="0.25">
      <c r="A917" s="1" t="s">
        <v>695</v>
      </c>
      <c r="H917" s="585" t="s">
        <v>490</v>
      </c>
      <c r="I917" s="586" t="str">
        <f t="shared" si="746"/>
        <v>tr. VND/tấn</v>
      </c>
      <c r="K917" s="585"/>
      <c r="L917" s="590">
        <f t="shared" ref="L917:AJ917" si="774">L914*(1+L916)</f>
        <v>57.700906757864708</v>
      </c>
      <c r="M917" s="590">
        <f t="shared" si="774"/>
        <v>50.199468006093184</v>
      </c>
      <c r="N917" s="590">
        <f t="shared" si="774"/>
        <v>45.550824175945046</v>
      </c>
      <c r="O917" s="590">
        <f t="shared" si="774"/>
        <v>46.318328761571735</v>
      </c>
      <c r="P917" s="590">
        <f t="shared" si="774"/>
        <v>47.103222503959259</v>
      </c>
      <c r="Q917" s="590">
        <f t="shared" si="774"/>
        <v>47.905781851353083</v>
      </c>
      <c r="R917" s="590">
        <f t="shared" si="774"/>
        <v>48.726273084049176</v>
      </c>
      <c r="S917" s="590">
        <f t="shared" si="774"/>
        <v>49.564950477077353</v>
      </c>
      <c r="T917" s="590">
        <f t="shared" si="774"/>
        <v>50.422054285002609</v>
      </c>
      <c r="U917" s="590">
        <f t="shared" si="774"/>
        <v>51.297808534069418</v>
      </c>
      <c r="V917" s="590">
        <f t="shared" si="774"/>
        <v>52.192418605766072</v>
      </c>
      <c r="W917" s="590">
        <f t="shared" si="774"/>
        <v>53.106068594653038</v>
      </c>
      <c r="X917" s="590">
        <f t="shared" si="774"/>
        <v>49.550403279036125</v>
      </c>
      <c r="Y917" s="590">
        <f t="shared" si="774"/>
        <v>50.502585542199924</v>
      </c>
      <c r="Z917" s="590">
        <f t="shared" si="774"/>
        <v>51.474202078707748</v>
      </c>
      <c r="AA917" s="590"/>
      <c r="AB917" s="590"/>
      <c r="AC917" s="590"/>
      <c r="AD917" s="590"/>
      <c r="AE917" s="590"/>
      <c r="AF917" s="590"/>
      <c r="AG917" s="590"/>
      <c r="AH917" s="590"/>
      <c r="AI917" s="590"/>
      <c r="AJ917" s="590"/>
    </row>
    <row r="918" spans="1:39" x14ac:dyDescent="0.25">
      <c r="A918" t="s">
        <v>695</v>
      </c>
      <c r="H918" s="558" t="s">
        <v>292</v>
      </c>
      <c r="I918" s="559" t="str">
        <f t="shared" si="746"/>
        <v>tr. VND/tấn</v>
      </c>
      <c r="K918" s="558"/>
      <c r="L918" s="591">
        <f t="shared" ref="L918:AJ918" si="775">Tax_rate</f>
        <v>0.2</v>
      </c>
      <c r="M918" s="591">
        <f t="shared" si="775"/>
        <v>0.2</v>
      </c>
      <c r="N918" s="591">
        <f t="shared" si="775"/>
        <v>0.2</v>
      </c>
      <c r="O918" s="591">
        <f t="shared" si="775"/>
        <v>0.2</v>
      </c>
      <c r="P918" s="591">
        <f t="shared" si="775"/>
        <v>0.2</v>
      </c>
      <c r="Q918" s="591">
        <f t="shared" si="775"/>
        <v>0.2</v>
      </c>
      <c r="R918" s="591">
        <f t="shared" si="775"/>
        <v>0.2</v>
      </c>
      <c r="S918" s="591">
        <f t="shared" si="775"/>
        <v>0.2</v>
      </c>
      <c r="T918" s="591">
        <f t="shared" si="775"/>
        <v>0.2</v>
      </c>
      <c r="U918" s="591">
        <f t="shared" si="775"/>
        <v>0.2</v>
      </c>
      <c r="V918" s="591">
        <f t="shared" si="775"/>
        <v>0.2</v>
      </c>
      <c r="W918" s="591">
        <f t="shared" si="775"/>
        <v>0.2</v>
      </c>
      <c r="X918" s="591">
        <f t="shared" si="775"/>
        <v>0.2</v>
      </c>
      <c r="Y918" s="591">
        <f t="shared" si="775"/>
        <v>0.2</v>
      </c>
      <c r="Z918" s="591">
        <f t="shared" si="775"/>
        <v>0.2</v>
      </c>
      <c r="AA918" s="591"/>
      <c r="AB918" s="591"/>
      <c r="AC918" s="591"/>
      <c r="AD918" s="591"/>
      <c r="AE918" s="591"/>
      <c r="AF918" s="591"/>
      <c r="AG918" s="591"/>
      <c r="AH918" s="591"/>
      <c r="AI918" s="591"/>
      <c r="AJ918" s="591"/>
    </row>
    <row r="919" spans="1:39" s="1" customFormat="1" x14ac:dyDescent="0.25">
      <c r="A919" s="1" t="s">
        <v>695</v>
      </c>
      <c r="H919" s="585" t="s">
        <v>491</v>
      </c>
      <c r="I919" s="586" t="str">
        <f t="shared" si="746"/>
        <v>tr. VND/tấn</v>
      </c>
      <c r="K919" s="585"/>
      <c r="L919" s="590">
        <f>(L917-L914)*(1-L918)</f>
        <v>2.8850453378932346</v>
      </c>
      <c r="M919" s="590">
        <f t="shared" ref="M919:AJ919" si="776">(M917-M914)*(1-M918)</f>
        <v>2.5099734003046592</v>
      </c>
      <c r="N919" s="590">
        <f t="shared" si="776"/>
        <v>2.277541208797254</v>
      </c>
      <c r="O919" s="590">
        <f t="shared" si="776"/>
        <v>2.3159164380785855</v>
      </c>
      <c r="P919" s="590">
        <f t="shared" si="776"/>
        <v>2.3551611251979638</v>
      </c>
      <c r="Q919" s="590">
        <f t="shared" si="776"/>
        <v>2.3952890925676513</v>
      </c>
      <c r="R919" s="590">
        <f t="shared" si="776"/>
        <v>2.4363136542024564</v>
      </c>
      <c r="S919" s="590">
        <f t="shared" si="776"/>
        <v>2.4782475238538666</v>
      </c>
      <c r="T919" s="590">
        <f t="shared" si="776"/>
        <v>2.5211027142501283</v>
      </c>
      <c r="U919" s="590">
        <f t="shared" si="776"/>
        <v>2.5648904267034709</v>
      </c>
      <c r="V919" s="590">
        <f t="shared" si="776"/>
        <v>2.6096209302883042</v>
      </c>
      <c r="W919" s="590">
        <f t="shared" si="776"/>
        <v>2.6553034297326521</v>
      </c>
      <c r="X919" s="590">
        <f t="shared" si="776"/>
        <v>2.4775201639518061</v>
      </c>
      <c r="Y919" s="590">
        <f t="shared" si="776"/>
        <v>2.5251292771099942</v>
      </c>
      <c r="Z919" s="590">
        <f t="shared" si="776"/>
        <v>2.5737101039353889</v>
      </c>
      <c r="AA919" s="590"/>
      <c r="AB919" s="590"/>
      <c r="AC919" s="590"/>
      <c r="AD919" s="590"/>
      <c r="AE919" s="590"/>
      <c r="AF919" s="590"/>
      <c r="AG919" s="590"/>
      <c r="AH919" s="590"/>
      <c r="AI919" s="590"/>
      <c r="AJ919" s="590"/>
    </row>
    <row r="920" spans="1:39" s="146" customFormat="1" x14ac:dyDescent="0.25">
      <c r="A920" s="146" t="s">
        <v>695</v>
      </c>
      <c r="H920" s="587" t="s">
        <v>492</v>
      </c>
      <c r="I920" s="588"/>
      <c r="K920" s="587"/>
      <c r="L920" s="592">
        <f>IFERROR(L919/L917,0)</f>
        <v>4.9999999999999989E-2</v>
      </c>
      <c r="M920" s="592">
        <f>IFERROR(M919/M917,0)</f>
        <v>0.05</v>
      </c>
      <c r="N920" s="592">
        <f t="shared" ref="N920:AJ920" si="777">IFERROR(N919/N917,0)</f>
        <v>5.0000000000000037E-2</v>
      </c>
      <c r="O920" s="592">
        <f t="shared" si="777"/>
        <v>4.9999999999999975E-2</v>
      </c>
      <c r="P920" s="592">
        <f t="shared" si="777"/>
        <v>5.0000000000000017E-2</v>
      </c>
      <c r="Q920" s="592">
        <f t="shared" si="777"/>
        <v>4.999999999999994E-2</v>
      </c>
      <c r="R920" s="592">
        <f t="shared" si="777"/>
        <v>4.9999999999999954E-2</v>
      </c>
      <c r="S920" s="592">
        <f t="shared" si="777"/>
        <v>4.9999999999999982E-2</v>
      </c>
      <c r="T920" s="592">
        <f t="shared" si="777"/>
        <v>4.9999999999999961E-2</v>
      </c>
      <c r="U920" s="592">
        <f t="shared" si="777"/>
        <v>0.05</v>
      </c>
      <c r="V920" s="592">
        <f t="shared" si="777"/>
        <v>5.000000000000001E-2</v>
      </c>
      <c r="W920" s="592">
        <f t="shared" si="777"/>
        <v>0.05</v>
      </c>
      <c r="X920" s="592">
        <f t="shared" si="777"/>
        <v>4.9999999999999996E-2</v>
      </c>
      <c r="Y920" s="592">
        <f t="shared" si="777"/>
        <v>4.9999999999999961E-2</v>
      </c>
      <c r="Z920" s="592">
        <f t="shared" si="777"/>
        <v>5.0000000000000031E-2</v>
      </c>
      <c r="AA920" s="592"/>
      <c r="AB920" s="592"/>
      <c r="AC920" s="592"/>
      <c r="AD920" s="592"/>
      <c r="AE920" s="592"/>
      <c r="AF920" s="592"/>
      <c r="AG920" s="592"/>
      <c r="AH920" s="592"/>
      <c r="AI920" s="592"/>
      <c r="AJ920" s="592"/>
    </row>
    <row r="921" spans="1:39" x14ac:dyDescent="0.25">
      <c r="A921" t="s">
        <v>695</v>
      </c>
    </row>
    <row r="922" spans="1:39" s="24" customFormat="1" ht="17.25" x14ac:dyDescent="0.3">
      <c r="A922" s="24" t="s">
        <v>695</v>
      </c>
      <c r="H922" s="644" t="s">
        <v>476</v>
      </c>
      <c r="I922" s="644"/>
      <c r="K922" s="644"/>
      <c r="L922" s="644"/>
      <c r="M922" s="644"/>
      <c r="N922" s="644"/>
      <c r="O922" s="644"/>
      <c r="P922" s="644"/>
      <c r="Q922" s="644"/>
      <c r="R922" s="644"/>
      <c r="S922" s="644"/>
      <c r="T922" s="644"/>
      <c r="U922" s="644"/>
      <c r="V922" s="644"/>
      <c r="W922" s="644"/>
      <c r="X922" s="644"/>
      <c r="Y922" s="644"/>
      <c r="Z922" s="644"/>
      <c r="AA922" s="644"/>
      <c r="AB922" s="644"/>
      <c r="AC922" s="644"/>
      <c r="AD922" s="644"/>
      <c r="AE922" s="644"/>
      <c r="AF922" s="644"/>
      <c r="AG922" s="644"/>
      <c r="AH922" s="644"/>
      <c r="AI922" s="644"/>
      <c r="AJ922" s="644"/>
    </row>
    <row r="923" spans="1:39" s="1" customFormat="1" x14ac:dyDescent="0.25">
      <c r="A923" s="1" t="s">
        <v>695</v>
      </c>
      <c r="H923" s="287" t="s">
        <v>434</v>
      </c>
      <c r="I923" s="288" t="str">
        <f>IF($H$9="USD","USD/1.000 phôi","VND/phôi")</f>
        <v>VND/phôi</v>
      </c>
      <c r="K923" s="293">
        <f t="shared" ref="K923" si="778">SUM(K924:K925,K928:K931,)</f>
        <v>0</v>
      </c>
      <c r="L923" s="293">
        <f>SUM(L924:L925,L928:L931,)</f>
        <v>241.92053240441103</v>
      </c>
      <c r="M923" s="293">
        <f t="shared" ref="M923:AJ923" si="779">SUM(M924:M925,M928:M931,)</f>
        <v>172.80038028886503</v>
      </c>
      <c r="N923" s="293">
        <f t="shared" si="779"/>
        <v>123.13803249913229</v>
      </c>
      <c r="O923" s="293">
        <f t="shared" si="779"/>
        <v>125.42468711090538</v>
      </c>
      <c r="P923" s="293">
        <f t="shared" si="779"/>
        <v>127.82567445326717</v>
      </c>
      <c r="Q923" s="293">
        <f t="shared" si="779"/>
        <v>130.34671116274703</v>
      </c>
      <c r="R923" s="293">
        <f t="shared" si="779"/>
        <v>132.99379970770087</v>
      </c>
      <c r="S923" s="293">
        <f t="shared" si="779"/>
        <v>135.77324267990244</v>
      </c>
      <c r="T923" s="293">
        <f t="shared" si="779"/>
        <v>138.69165780071404</v>
      </c>
      <c r="U923" s="293">
        <f t="shared" si="779"/>
        <v>141.75599367756624</v>
      </c>
      <c r="V923" s="293">
        <f t="shared" si="779"/>
        <v>144.97354634826104</v>
      </c>
      <c r="W923" s="293">
        <f t="shared" si="779"/>
        <v>148.35197665249063</v>
      </c>
      <c r="X923" s="293">
        <f t="shared" si="779"/>
        <v>91.207266743515888</v>
      </c>
      <c r="Y923" s="293">
        <f t="shared" si="779"/>
        <v>94.931986153928946</v>
      </c>
      <c r="Z923" s="293">
        <f t="shared" si="779"/>
        <v>98.842941534862703</v>
      </c>
      <c r="AA923" s="293"/>
      <c r="AB923" s="293"/>
      <c r="AC923" s="293"/>
      <c r="AD923" s="293"/>
      <c r="AE923" s="293"/>
      <c r="AF923" s="293"/>
      <c r="AG923" s="293"/>
      <c r="AH923" s="293"/>
      <c r="AI923" s="293"/>
      <c r="AJ923" s="293"/>
    </row>
    <row r="924" spans="1:39" x14ac:dyDescent="0.25">
      <c r="A924" t="s">
        <v>695</v>
      </c>
      <c r="E924" t="s">
        <v>173</v>
      </c>
      <c r="H924" s="572" t="s">
        <v>190</v>
      </c>
      <c r="I924" s="573" t="str">
        <f t="shared" ref="I924:I931" si="780">IF($H$9="USD","USD/1.000 phôi","VND/phôi")</f>
        <v>VND/phôi</v>
      </c>
      <c r="K924" s="578"/>
      <c r="L924" s="579">
        <f t="shared" ref="L924:AJ924" si="781">-IF($H$9="USD",L854/L843/$H$10*10^3,L854/L843/$H$10)</f>
        <v>150.44368355925502</v>
      </c>
      <c r="M924" s="579">
        <f t="shared" si="781"/>
        <v>107.45977397089644</v>
      </c>
      <c r="N924" s="579">
        <f t="shared" si="781"/>
        <v>75.221841779627511</v>
      </c>
      <c r="O924" s="579">
        <f t="shared" si="781"/>
        <v>75.221841779627511</v>
      </c>
      <c r="P924" s="579">
        <f t="shared" si="781"/>
        <v>75.221841779627511</v>
      </c>
      <c r="Q924" s="579">
        <f t="shared" si="781"/>
        <v>75.221841779627511</v>
      </c>
      <c r="R924" s="579">
        <f t="shared" si="781"/>
        <v>75.221841779627511</v>
      </c>
      <c r="S924" s="579">
        <f t="shared" si="781"/>
        <v>75.221841779627511</v>
      </c>
      <c r="T924" s="579">
        <f t="shared" si="781"/>
        <v>75.221841779627511</v>
      </c>
      <c r="U924" s="579">
        <f t="shared" si="781"/>
        <v>75.221841779627511</v>
      </c>
      <c r="V924" s="579">
        <f t="shared" si="781"/>
        <v>75.221841779627511</v>
      </c>
      <c r="W924" s="579">
        <f t="shared" si="781"/>
        <v>75.221841779627511</v>
      </c>
      <c r="X924" s="579">
        <f t="shared" si="781"/>
        <v>14.529780051211779</v>
      </c>
      <c r="Y924" s="579">
        <f t="shared" si="781"/>
        <v>14.529780051211779</v>
      </c>
      <c r="Z924" s="579">
        <f t="shared" si="781"/>
        <v>14.529780051211779</v>
      </c>
      <c r="AA924" s="579"/>
      <c r="AB924" s="579"/>
      <c r="AC924" s="579"/>
      <c r="AD924" s="579"/>
      <c r="AE924" s="579"/>
      <c r="AF924" s="579"/>
      <c r="AG924" s="579"/>
      <c r="AH924" s="579"/>
      <c r="AI924" s="579"/>
      <c r="AJ924" s="579"/>
    </row>
    <row r="925" spans="1:39" x14ac:dyDescent="0.25">
      <c r="A925" t="s">
        <v>695</v>
      </c>
      <c r="H925" s="574" t="s">
        <v>429</v>
      </c>
      <c r="I925" s="575" t="str">
        <f t="shared" si="780"/>
        <v>VND/phôi</v>
      </c>
      <c r="K925" s="580">
        <f>SUM(K926:K927)</f>
        <v>0</v>
      </c>
      <c r="L925" s="580">
        <f t="shared" ref="L925:AJ925" si="782">SUM(L926:L927)</f>
        <v>29.115063862219181</v>
      </c>
      <c r="M925" s="580">
        <f t="shared" si="782"/>
        <v>20.79647418729942</v>
      </c>
      <c r="N925" s="580">
        <f t="shared" si="782"/>
        <v>15.285408527665071</v>
      </c>
      <c r="O925" s="580">
        <f t="shared" si="782"/>
        <v>16.049678954048325</v>
      </c>
      <c r="P925" s="580">
        <f t="shared" si="782"/>
        <v>16.852162901750745</v>
      </c>
      <c r="Q925" s="580">
        <f t="shared" si="782"/>
        <v>17.69477104683828</v>
      </c>
      <c r="R925" s="580">
        <f t="shared" si="782"/>
        <v>18.579509599180195</v>
      </c>
      <c r="S925" s="580">
        <f t="shared" si="782"/>
        <v>19.508485079139202</v>
      </c>
      <c r="T925" s="580">
        <f t="shared" si="782"/>
        <v>20.483909333096165</v>
      </c>
      <c r="U925" s="580">
        <f t="shared" si="782"/>
        <v>21.508104799750974</v>
      </c>
      <c r="V925" s="580">
        <f t="shared" si="782"/>
        <v>22.58351003973852</v>
      </c>
      <c r="W925" s="580">
        <f t="shared" si="782"/>
        <v>23.712685541725449</v>
      </c>
      <c r="X925" s="580">
        <f t="shared" si="782"/>
        <v>24.898319818811725</v>
      </c>
      <c r="Y925" s="580">
        <f t="shared" si="782"/>
        <v>26.143235809752301</v>
      </c>
      <c r="Z925" s="580">
        <f t="shared" si="782"/>
        <v>27.450397600239924</v>
      </c>
      <c r="AA925" s="580"/>
      <c r="AB925" s="580"/>
      <c r="AC925" s="580"/>
      <c r="AD925" s="580"/>
      <c r="AE925" s="580"/>
      <c r="AF925" s="580"/>
      <c r="AG925" s="580"/>
      <c r="AH925" s="580"/>
      <c r="AI925" s="580"/>
      <c r="AJ925" s="580"/>
    </row>
    <row r="926" spans="1:39" s="299" customFormat="1" x14ac:dyDescent="0.25">
      <c r="A926" s="299" t="s">
        <v>695</v>
      </c>
      <c r="E926" s="299" t="s">
        <v>171</v>
      </c>
      <c r="H926" s="576" t="s">
        <v>430</v>
      </c>
      <c r="I926" s="577" t="str">
        <f t="shared" si="780"/>
        <v>VND/phôi</v>
      </c>
      <c r="K926" s="581"/>
      <c r="L926" s="581">
        <f t="shared" ref="L926:AJ926" si="783">-IF($H$9="USD",L856/L843/$H$10*10^3,L856/L843/$H$10)</f>
        <v>4.7599559447769781</v>
      </c>
      <c r="M926" s="581">
        <f t="shared" si="783"/>
        <v>3.3999685319835566</v>
      </c>
      <c r="N926" s="581">
        <f t="shared" si="783"/>
        <v>2.4989768710079137</v>
      </c>
      <c r="O926" s="581">
        <f t="shared" si="783"/>
        <v>2.6239257145583097</v>
      </c>
      <c r="P926" s="581">
        <f t="shared" si="783"/>
        <v>2.7551220002862253</v>
      </c>
      <c r="Q926" s="581">
        <f t="shared" si="783"/>
        <v>2.8928781003005359</v>
      </c>
      <c r="R926" s="581">
        <f t="shared" si="783"/>
        <v>3.0375220053155632</v>
      </c>
      <c r="S926" s="581">
        <f t="shared" si="783"/>
        <v>3.1893981055813412</v>
      </c>
      <c r="T926" s="581">
        <f t="shared" si="783"/>
        <v>3.3488680108604085</v>
      </c>
      <c r="U926" s="581">
        <f t="shared" si="783"/>
        <v>3.5163114114034286</v>
      </c>
      <c r="V926" s="581">
        <f t="shared" si="783"/>
        <v>3.6921269819736002</v>
      </c>
      <c r="W926" s="581">
        <f t="shared" si="783"/>
        <v>3.8767333310722805</v>
      </c>
      <c r="X926" s="581">
        <f t="shared" si="783"/>
        <v>4.0705699976258947</v>
      </c>
      <c r="Y926" s="581">
        <f t="shared" si="783"/>
        <v>4.2740984975071887</v>
      </c>
      <c r="Z926" s="581">
        <f t="shared" si="783"/>
        <v>4.4878034223825489</v>
      </c>
      <c r="AA926" s="581"/>
      <c r="AB926" s="581"/>
      <c r="AC926" s="581"/>
      <c r="AD926" s="581"/>
      <c r="AE926" s="581"/>
      <c r="AF926" s="581"/>
      <c r="AG926" s="581"/>
      <c r="AH926" s="581"/>
      <c r="AI926" s="581"/>
      <c r="AJ926" s="581"/>
    </row>
    <row r="927" spans="1:39" s="299" customFormat="1" x14ac:dyDescent="0.25">
      <c r="A927" s="299" t="s">
        <v>695</v>
      </c>
      <c r="E927" s="299" t="s">
        <v>171</v>
      </c>
      <c r="H927" s="576" t="s">
        <v>431</v>
      </c>
      <c r="I927" s="577" t="str">
        <f t="shared" si="780"/>
        <v>VND/phôi</v>
      </c>
      <c r="K927" s="581"/>
      <c r="L927" s="581">
        <f t="shared" ref="L927:AJ927" si="784">-IF($H$9="USD",L857/L843/$H$10*10^3,L857/L843/$H$10)</f>
        <v>24.355107917442204</v>
      </c>
      <c r="M927" s="581">
        <f t="shared" si="784"/>
        <v>17.396505655315863</v>
      </c>
      <c r="N927" s="581">
        <f t="shared" si="784"/>
        <v>12.786431656657157</v>
      </c>
      <c r="O927" s="581">
        <f t="shared" si="784"/>
        <v>13.425753239490016</v>
      </c>
      <c r="P927" s="581">
        <f t="shared" si="784"/>
        <v>14.097040901464521</v>
      </c>
      <c r="Q927" s="581">
        <f t="shared" si="784"/>
        <v>14.801892946537743</v>
      </c>
      <c r="R927" s="581">
        <f t="shared" si="784"/>
        <v>15.541987593864631</v>
      </c>
      <c r="S927" s="581">
        <f t="shared" si="784"/>
        <v>16.319086973557862</v>
      </c>
      <c r="T927" s="581">
        <f t="shared" si="784"/>
        <v>17.135041322235757</v>
      </c>
      <c r="U927" s="581">
        <f t="shared" si="784"/>
        <v>17.991793388347546</v>
      </c>
      <c r="V927" s="581">
        <f t="shared" si="784"/>
        <v>18.891383057764919</v>
      </c>
      <c r="W927" s="581">
        <f t="shared" si="784"/>
        <v>19.835952210653168</v>
      </c>
      <c r="X927" s="581">
        <f t="shared" si="784"/>
        <v>20.827749821185829</v>
      </c>
      <c r="Y927" s="581">
        <f t="shared" si="784"/>
        <v>21.869137312245112</v>
      </c>
      <c r="Z927" s="581">
        <f t="shared" si="784"/>
        <v>22.962594177857376</v>
      </c>
      <c r="AA927" s="581"/>
      <c r="AB927" s="581"/>
      <c r="AC927" s="581"/>
      <c r="AD927" s="581"/>
      <c r="AE927" s="581"/>
      <c r="AF927" s="581"/>
      <c r="AG927" s="581"/>
      <c r="AH927" s="581"/>
      <c r="AI927" s="581"/>
      <c r="AJ927" s="581"/>
    </row>
    <row r="928" spans="1:39" x14ac:dyDescent="0.25">
      <c r="A928" t="s">
        <v>695</v>
      </c>
      <c r="E928" t="s">
        <v>172</v>
      </c>
      <c r="H928" s="574" t="s">
        <v>656</v>
      </c>
      <c r="I928" s="575" t="str">
        <f t="shared" si="780"/>
        <v>VND/phôi</v>
      </c>
      <c r="K928" s="580"/>
      <c r="L928" s="580">
        <f t="shared" ref="L928:AJ928" si="785">-IF($H$9="USD",L858/L843/$H$10*10^3,L858/L843/$H$10)</f>
        <v>11.623824040969422</v>
      </c>
      <c r="M928" s="580">
        <f t="shared" si="785"/>
        <v>8.3027314578353018</v>
      </c>
      <c r="N928" s="580">
        <f t="shared" si="785"/>
        <v>6.1025076215089467</v>
      </c>
      <c r="O928" s="580">
        <f t="shared" si="785"/>
        <v>6.4076330025843937</v>
      </c>
      <c r="P928" s="580">
        <f t="shared" si="785"/>
        <v>6.7280146527136147</v>
      </c>
      <c r="Q928" s="580">
        <f t="shared" si="785"/>
        <v>7.064415385349295</v>
      </c>
      <c r="R928" s="580">
        <f t="shared" si="785"/>
        <v>7.4176361546167602</v>
      </c>
      <c r="S928" s="580">
        <f t="shared" si="785"/>
        <v>7.7885179623475977</v>
      </c>
      <c r="T928" s="580">
        <f t="shared" si="785"/>
        <v>8.1779438604649783</v>
      </c>
      <c r="U928" s="580">
        <f t="shared" si="785"/>
        <v>8.5868410534882269</v>
      </c>
      <c r="V928" s="580">
        <f t="shared" si="785"/>
        <v>9.0161831061626376</v>
      </c>
      <c r="W928" s="580">
        <f t="shared" si="785"/>
        <v>9.4669922614707716</v>
      </c>
      <c r="X928" s="580">
        <f t="shared" si="785"/>
        <v>9.9403418745443091</v>
      </c>
      <c r="Y928" s="580">
        <f t="shared" si="785"/>
        <v>10.437358968271525</v>
      </c>
      <c r="Z928" s="580">
        <f t="shared" si="785"/>
        <v>10.959226916685102</v>
      </c>
      <c r="AA928" s="580"/>
      <c r="AB928" s="580"/>
      <c r="AC928" s="580"/>
      <c r="AD928" s="580"/>
      <c r="AE928" s="580"/>
      <c r="AF928" s="580"/>
      <c r="AG928" s="580"/>
      <c r="AH928" s="580"/>
      <c r="AI928" s="580"/>
      <c r="AJ928" s="580"/>
    </row>
    <row r="929" spans="1:36" x14ac:dyDescent="0.25">
      <c r="A929" t="s">
        <v>695</v>
      </c>
      <c r="E929" t="s">
        <v>172</v>
      </c>
      <c r="H929" s="574" t="s">
        <v>432</v>
      </c>
      <c r="I929" s="575" t="str">
        <f t="shared" si="780"/>
        <v>VND/phôi</v>
      </c>
      <c r="K929" s="580"/>
      <c r="L929" s="580">
        <f t="shared" ref="L929:AJ929" si="786">-IF($H$9="USD",L859/L843/$H$10*10^3,L859/L843/$H$10)</f>
        <v>43.698284444459318</v>
      </c>
      <c r="M929" s="580">
        <f t="shared" si="786"/>
        <v>31.213060317470944</v>
      </c>
      <c r="N929" s="580">
        <f t="shared" si="786"/>
        <v>22.941599333341141</v>
      </c>
      <c r="O929" s="580">
        <f t="shared" si="786"/>
        <v>24.088679300008199</v>
      </c>
      <c r="P929" s="580">
        <f t="shared" si="786"/>
        <v>25.293113265008611</v>
      </c>
      <c r="Q929" s="580">
        <f t="shared" si="786"/>
        <v>26.557768928259037</v>
      </c>
      <c r="R929" s="580">
        <f t="shared" si="786"/>
        <v>27.88565737467199</v>
      </c>
      <c r="S929" s="580">
        <f t="shared" si="786"/>
        <v>29.279940243405587</v>
      </c>
      <c r="T929" s="580">
        <f t="shared" si="786"/>
        <v>30.743937255575872</v>
      </c>
      <c r="U929" s="580">
        <f t="shared" si="786"/>
        <v>32.281134118354665</v>
      </c>
      <c r="V929" s="580">
        <f t="shared" si="786"/>
        <v>33.895190824272397</v>
      </c>
      <c r="W929" s="580">
        <f t="shared" si="786"/>
        <v>35.589950365486018</v>
      </c>
      <c r="X929" s="580">
        <f t="shared" si="786"/>
        <v>37.369447883760323</v>
      </c>
      <c r="Y929" s="580">
        <f t="shared" si="786"/>
        <v>39.237920277948334</v>
      </c>
      <c r="Z929" s="580">
        <f t="shared" si="786"/>
        <v>41.199816291845757</v>
      </c>
      <c r="AA929" s="580"/>
      <c r="AB929" s="580"/>
      <c r="AC929" s="580"/>
      <c r="AD929" s="580"/>
      <c r="AE929" s="580"/>
      <c r="AF929" s="580"/>
      <c r="AG929" s="580"/>
      <c r="AH929" s="580"/>
      <c r="AI929" s="580"/>
      <c r="AJ929" s="580"/>
    </row>
    <row r="930" spans="1:36" x14ac:dyDescent="0.25">
      <c r="A930" t="s">
        <v>695</v>
      </c>
      <c r="E930" t="s">
        <v>172</v>
      </c>
      <c r="H930" s="574" t="s">
        <v>433</v>
      </c>
      <c r="I930" s="575" t="str">
        <f t="shared" si="780"/>
        <v>VND/phôi</v>
      </c>
      <c r="K930" s="580"/>
      <c r="L930" s="580">
        <f t="shared" ref="L930:AJ930" si="787">-IF($H$9="USD",L860/L843/$H$10*10^3,L860/L843/$H$10)</f>
        <v>2.6734795294229672</v>
      </c>
      <c r="M930" s="580">
        <f t="shared" si="787"/>
        <v>1.9096282353021197</v>
      </c>
      <c r="N930" s="580">
        <f t="shared" si="787"/>
        <v>1.4035767529470577</v>
      </c>
      <c r="O930" s="580">
        <f t="shared" si="787"/>
        <v>1.4737555905944109</v>
      </c>
      <c r="P930" s="580">
        <f t="shared" si="787"/>
        <v>1.5474433701241312</v>
      </c>
      <c r="Q930" s="580">
        <f t="shared" si="787"/>
        <v>1.624815538630338</v>
      </c>
      <c r="R930" s="580">
        <f t="shared" si="787"/>
        <v>1.7060563155618549</v>
      </c>
      <c r="S930" s="580">
        <f t="shared" si="787"/>
        <v>1.7913591313399475</v>
      </c>
      <c r="T930" s="580">
        <f t="shared" si="787"/>
        <v>1.8809270879069451</v>
      </c>
      <c r="U930" s="580">
        <f t="shared" si="787"/>
        <v>1.9749734423022924</v>
      </c>
      <c r="V930" s="580">
        <f t="shared" si="787"/>
        <v>2.0737221144174067</v>
      </c>
      <c r="W930" s="580">
        <f t="shared" si="787"/>
        <v>2.1774082201382772</v>
      </c>
      <c r="X930" s="580">
        <f t="shared" si="787"/>
        <v>2.2862786311451915</v>
      </c>
      <c r="Y930" s="580">
        <f t="shared" si="787"/>
        <v>2.4005925627024505</v>
      </c>
      <c r="Z930" s="580">
        <f t="shared" si="787"/>
        <v>2.5206221908375732</v>
      </c>
      <c r="AA930" s="580"/>
      <c r="AB930" s="580"/>
      <c r="AC930" s="580"/>
      <c r="AD930" s="580"/>
      <c r="AE930" s="580"/>
      <c r="AF930" s="580"/>
      <c r="AG930" s="580"/>
      <c r="AH930" s="580"/>
      <c r="AI930" s="580"/>
      <c r="AJ930" s="580"/>
    </row>
    <row r="931" spans="1:36" x14ac:dyDescent="0.25">
      <c r="A931" t="s">
        <v>695</v>
      </c>
      <c r="E931" t="s">
        <v>172</v>
      </c>
      <c r="H931" s="574" t="s">
        <v>520</v>
      </c>
      <c r="I931" s="575" t="str">
        <f t="shared" si="780"/>
        <v>VND/phôi</v>
      </c>
      <c r="K931" s="580"/>
      <c r="L931" s="580">
        <f t="shared" ref="L931:AJ931" si="788">-IF($H$9="USD",L861/L843/$H$10*10^3,L861/L843/$H$10)</f>
        <v>4.3661969680851325</v>
      </c>
      <c r="M931" s="580">
        <f t="shared" si="788"/>
        <v>3.1187121200608092</v>
      </c>
      <c r="N931" s="580">
        <f t="shared" si="788"/>
        <v>2.1830984840425662</v>
      </c>
      <c r="O931" s="580">
        <f t="shared" si="788"/>
        <v>2.1830984840425662</v>
      </c>
      <c r="P931" s="580">
        <f t="shared" si="788"/>
        <v>2.1830984840425662</v>
      </c>
      <c r="Q931" s="580">
        <f t="shared" si="788"/>
        <v>2.1830984840425662</v>
      </c>
      <c r="R931" s="580">
        <f t="shared" si="788"/>
        <v>2.1830984840425662</v>
      </c>
      <c r="S931" s="580">
        <f t="shared" si="788"/>
        <v>2.1830984840425662</v>
      </c>
      <c r="T931" s="580">
        <f t="shared" si="788"/>
        <v>2.1830984840425662</v>
      </c>
      <c r="U931" s="580">
        <f t="shared" si="788"/>
        <v>2.1830984840425662</v>
      </c>
      <c r="V931" s="580">
        <f t="shared" si="788"/>
        <v>2.1830984840425662</v>
      </c>
      <c r="W931" s="580">
        <f t="shared" si="788"/>
        <v>2.1830984840425662</v>
      </c>
      <c r="X931" s="580">
        <f t="shared" si="788"/>
        <v>2.1830984840425662</v>
      </c>
      <c r="Y931" s="580">
        <f t="shared" si="788"/>
        <v>2.1830984840425662</v>
      </c>
      <c r="Z931" s="580">
        <f t="shared" si="788"/>
        <v>2.1830984840425662</v>
      </c>
      <c r="AA931" s="580"/>
      <c r="AB931" s="580"/>
      <c r="AC931" s="580"/>
      <c r="AD931" s="580"/>
      <c r="AE931" s="580"/>
      <c r="AF931" s="580"/>
      <c r="AG931" s="580"/>
      <c r="AH931" s="580"/>
      <c r="AI931" s="580"/>
      <c r="AJ931" s="580"/>
    </row>
    <row r="932" spans="1:36" x14ac:dyDescent="0.25">
      <c r="A932" t="s">
        <v>695</v>
      </c>
      <c r="H932" s="289"/>
      <c r="I932" s="290"/>
      <c r="K932" s="294"/>
      <c r="L932" s="294"/>
      <c r="M932" s="294"/>
      <c r="N932" s="294"/>
      <c r="O932" s="294"/>
      <c r="P932" s="294"/>
      <c r="Q932" s="294"/>
      <c r="R932" s="294"/>
      <c r="S932" s="294"/>
      <c r="T932" s="294"/>
      <c r="U932" s="294"/>
      <c r="V932" s="294"/>
      <c r="W932" s="294"/>
      <c r="X932" s="294"/>
      <c r="Y932" s="294"/>
      <c r="Z932" s="294"/>
      <c r="AA932" s="294"/>
      <c r="AB932" s="294"/>
      <c r="AC932" s="294"/>
      <c r="AD932" s="294"/>
      <c r="AE932" s="294"/>
      <c r="AF932" s="294"/>
      <c r="AG932" s="294"/>
      <c r="AH932" s="294"/>
      <c r="AI932" s="294"/>
      <c r="AJ932" s="294"/>
    </row>
    <row r="933" spans="1:36" s="1" customFormat="1" x14ac:dyDescent="0.25">
      <c r="A933" s="1" t="s">
        <v>695</v>
      </c>
      <c r="H933" s="287" t="s">
        <v>435</v>
      </c>
      <c r="I933" s="288" t="str">
        <f t="shared" ref="I933:I957" si="789">IF($H$9="USD","USD/1.000 phôi","VND/phôi")</f>
        <v>VND/phôi</v>
      </c>
      <c r="K933" s="295">
        <f>K934+K937+K940</f>
        <v>0</v>
      </c>
      <c r="L933" s="295">
        <f t="shared" ref="L933:AJ933" si="790">L934+L937+L940</f>
        <v>449.19330982664235</v>
      </c>
      <c r="M933" s="295">
        <f t="shared" si="790"/>
        <v>446.42850374202067</v>
      </c>
      <c r="N933" s="295">
        <f t="shared" si="790"/>
        <v>454.34041490211587</v>
      </c>
      <c r="O933" s="295">
        <f t="shared" si="790"/>
        <v>464.58365802475885</v>
      </c>
      <c r="P933" s="295">
        <f t="shared" si="790"/>
        <v>475.09268394869514</v>
      </c>
      <c r="Q933" s="295">
        <f t="shared" si="790"/>
        <v>485.87585422689295</v>
      </c>
      <c r="R933" s="295">
        <f t="shared" si="790"/>
        <v>496.94184993822643</v>
      </c>
      <c r="S933" s="295">
        <f t="shared" si="790"/>
        <v>508.29968569273683</v>
      </c>
      <c r="T933" s="295">
        <f t="shared" si="790"/>
        <v>519.95872429773522</v>
      </c>
      <c r="U933" s="295">
        <f t="shared" si="790"/>
        <v>531.92869211700133</v>
      </c>
      <c r="V933" s="295">
        <f t="shared" si="790"/>
        <v>544.21969515692911</v>
      </c>
      <c r="W933" s="295">
        <f t="shared" si="790"/>
        <v>556.84223591514524</v>
      </c>
      <c r="X933" s="295">
        <f t="shared" si="790"/>
        <v>567.37954855975329</v>
      </c>
      <c r="Y933" s="295">
        <f t="shared" si="790"/>
        <v>580.69834729315585</v>
      </c>
      <c r="Z933" s="295">
        <f t="shared" si="790"/>
        <v>594.38275090447803</v>
      </c>
      <c r="AA933" s="295"/>
      <c r="AB933" s="295"/>
      <c r="AC933" s="295"/>
      <c r="AD933" s="295"/>
      <c r="AE933" s="295"/>
      <c r="AF933" s="295"/>
      <c r="AG933" s="295"/>
      <c r="AH933" s="295"/>
      <c r="AI933" s="295"/>
      <c r="AJ933" s="295"/>
    </row>
    <row r="934" spans="1:36" x14ac:dyDescent="0.25">
      <c r="A934" t="s">
        <v>695</v>
      </c>
      <c r="H934" s="572" t="s">
        <v>454</v>
      </c>
      <c r="I934" s="573" t="str">
        <f t="shared" si="789"/>
        <v>VND/phôi</v>
      </c>
      <c r="K934" s="582">
        <f>SUM(K935:K936)</f>
        <v>0</v>
      </c>
      <c r="L934" s="582">
        <f t="shared" ref="L934:AJ934" si="791">SUM(L935:L936)</f>
        <v>402.58064516129031</v>
      </c>
      <c r="M934" s="582">
        <f t="shared" si="791"/>
        <v>402.58064516129042</v>
      </c>
      <c r="N934" s="582">
        <f t="shared" si="791"/>
        <v>410.63225806451618</v>
      </c>
      <c r="O934" s="582">
        <f t="shared" si="791"/>
        <v>418.84490322580649</v>
      </c>
      <c r="P934" s="582">
        <f t="shared" si="791"/>
        <v>427.22180129032256</v>
      </c>
      <c r="Q934" s="582">
        <f t="shared" si="791"/>
        <v>435.76623731612904</v>
      </c>
      <c r="R934" s="582">
        <f t="shared" si="791"/>
        <v>444.48156206245164</v>
      </c>
      <c r="S934" s="582">
        <f t="shared" si="791"/>
        <v>453.37119330370069</v>
      </c>
      <c r="T934" s="582">
        <f t="shared" si="791"/>
        <v>462.4386171697746</v>
      </c>
      <c r="U934" s="582">
        <f t="shared" si="791"/>
        <v>471.68738951317005</v>
      </c>
      <c r="V934" s="582">
        <f t="shared" si="791"/>
        <v>481.12113730343356</v>
      </c>
      <c r="W934" s="582">
        <f t="shared" si="791"/>
        <v>490.74356004950221</v>
      </c>
      <c r="X934" s="582">
        <f t="shared" si="791"/>
        <v>500.55843125049216</v>
      </c>
      <c r="Y934" s="582">
        <f t="shared" si="791"/>
        <v>510.56959987550215</v>
      </c>
      <c r="Z934" s="582">
        <f t="shared" si="791"/>
        <v>520.78099187301211</v>
      </c>
      <c r="AA934" s="582"/>
      <c r="AB934" s="582"/>
      <c r="AC934" s="582"/>
      <c r="AD934" s="582"/>
      <c r="AE934" s="582"/>
      <c r="AF934" s="582"/>
      <c r="AG934" s="582"/>
      <c r="AH934" s="582"/>
      <c r="AI934" s="582"/>
      <c r="AJ934" s="582"/>
    </row>
    <row r="935" spans="1:36" s="299" customFormat="1" x14ac:dyDescent="0.25">
      <c r="A935" s="299" t="s">
        <v>695</v>
      </c>
      <c r="E935" s="299" t="s">
        <v>536</v>
      </c>
      <c r="H935" s="576" t="s">
        <v>167</v>
      </c>
      <c r="I935" s="577" t="str">
        <f t="shared" si="789"/>
        <v>VND/phôi</v>
      </c>
      <c r="K935" s="581"/>
      <c r="L935" s="581">
        <f>-IF($H$9="USD",L865/L843/$H$10*10^3,L865/L843/$H$10)</f>
        <v>374.4</v>
      </c>
      <c r="M935" s="581">
        <f t="shared" ref="M935:AJ935" si="792">-IF($H$9="USD",M865/M843/$H$10*10^3,M865/M843/$H$10)</f>
        <v>374.40000000000003</v>
      </c>
      <c r="N935" s="581">
        <f t="shared" si="792"/>
        <v>381.88799999999998</v>
      </c>
      <c r="O935" s="581">
        <f t="shared" si="792"/>
        <v>389.52575999999999</v>
      </c>
      <c r="P935" s="581">
        <f t="shared" si="792"/>
        <v>397.31627519999995</v>
      </c>
      <c r="Q935" s="581">
        <f t="shared" si="792"/>
        <v>405.26260070400002</v>
      </c>
      <c r="R935" s="581">
        <f t="shared" si="792"/>
        <v>413.36785271808003</v>
      </c>
      <c r="S935" s="581">
        <f t="shared" si="792"/>
        <v>421.63520977244161</v>
      </c>
      <c r="T935" s="581">
        <f t="shared" si="792"/>
        <v>430.06791396789032</v>
      </c>
      <c r="U935" s="581">
        <f t="shared" si="792"/>
        <v>438.66927224724816</v>
      </c>
      <c r="V935" s="581">
        <f t="shared" si="792"/>
        <v>447.44265769219317</v>
      </c>
      <c r="W935" s="581">
        <f t="shared" si="792"/>
        <v>456.39151084603702</v>
      </c>
      <c r="X935" s="581">
        <f t="shared" si="792"/>
        <v>465.51934106295772</v>
      </c>
      <c r="Y935" s="581">
        <f t="shared" si="792"/>
        <v>474.82972788421694</v>
      </c>
      <c r="Z935" s="581">
        <f t="shared" si="792"/>
        <v>484.32632244190125</v>
      </c>
      <c r="AA935" s="581"/>
      <c r="AB935" s="581"/>
      <c r="AC935" s="581"/>
      <c r="AD935" s="581"/>
      <c r="AE935" s="581"/>
      <c r="AF935" s="581"/>
      <c r="AG935" s="581"/>
      <c r="AH935" s="581"/>
      <c r="AI935" s="581"/>
      <c r="AJ935" s="581"/>
    </row>
    <row r="936" spans="1:36" s="299" customFormat="1" x14ac:dyDescent="0.25">
      <c r="A936" s="299" t="s">
        <v>695</v>
      </c>
      <c r="E936" s="299" t="s">
        <v>537</v>
      </c>
      <c r="H936" s="645" t="s">
        <v>203</v>
      </c>
      <c r="I936" s="646" t="str">
        <f t="shared" si="789"/>
        <v>VND/phôi</v>
      </c>
      <c r="K936" s="647"/>
      <c r="L936" s="647">
        <f>-IF($H$9="USD",L866/L843/$H$10*10^3,L866/L843/$H$10)</f>
        <v>28.180645161290336</v>
      </c>
      <c r="M936" s="647">
        <f t="shared" ref="M936:AJ936" si="793">-IF($H$9="USD",M866/M843/$H$10*10^3,M866/M843/$H$10)</f>
        <v>28.180645161290371</v>
      </c>
      <c r="N936" s="647">
        <f t="shared" si="793"/>
        <v>28.744258064516178</v>
      </c>
      <c r="O936" s="647">
        <f t="shared" si="793"/>
        <v>29.319143225806506</v>
      </c>
      <c r="P936" s="647">
        <f t="shared" si="793"/>
        <v>29.905526090322624</v>
      </c>
      <c r="Q936" s="647">
        <f t="shared" si="793"/>
        <v>30.503636612129036</v>
      </c>
      <c r="R936" s="647">
        <f t="shared" si="793"/>
        <v>31.113709344371639</v>
      </c>
      <c r="S936" s="647">
        <f t="shared" si="793"/>
        <v>31.735983531259077</v>
      </c>
      <c r="T936" s="647">
        <f t="shared" si="793"/>
        <v>32.370703201884282</v>
      </c>
      <c r="U936" s="647">
        <f t="shared" si="793"/>
        <v>33.018117265921916</v>
      </c>
      <c r="V936" s="647">
        <f t="shared" si="793"/>
        <v>33.678479611240391</v>
      </c>
      <c r="W936" s="647">
        <f t="shared" si="793"/>
        <v>34.352049203465171</v>
      </c>
      <c r="X936" s="647">
        <f t="shared" si="793"/>
        <v>35.039090187534455</v>
      </c>
      <c r="Y936" s="647">
        <f t="shared" si="793"/>
        <v>35.739871991285206</v>
      </c>
      <c r="Z936" s="647">
        <f t="shared" si="793"/>
        <v>36.454669431110879</v>
      </c>
      <c r="AA936" s="647"/>
      <c r="AB936" s="647"/>
      <c r="AC936" s="647"/>
      <c r="AD936" s="647"/>
      <c r="AE936" s="647"/>
      <c r="AF936" s="647"/>
      <c r="AG936" s="647"/>
      <c r="AH936" s="647"/>
      <c r="AI936" s="647"/>
      <c r="AJ936" s="647"/>
    </row>
    <row r="937" spans="1:36" x14ac:dyDescent="0.25">
      <c r="A937" t="s">
        <v>695</v>
      </c>
      <c r="E937" t="s">
        <v>177</v>
      </c>
      <c r="H937" s="574" t="s">
        <v>676</v>
      </c>
      <c r="I937" s="575" t="str">
        <f t="shared" si="789"/>
        <v>VND/phôi</v>
      </c>
      <c r="K937" s="583">
        <f>SUM(K938:K939)</f>
        <v>0</v>
      </c>
      <c r="L937" s="583">
        <f t="shared" ref="L937:AJ937" si="794">SUM(L938:L939)</f>
        <v>3.0630387096774192</v>
      </c>
      <c r="M937" s="583">
        <f t="shared" si="794"/>
        <v>3.0630387096774196</v>
      </c>
      <c r="N937" s="583">
        <f t="shared" si="794"/>
        <v>3.2161906451612912</v>
      </c>
      <c r="O937" s="583">
        <f t="shared" si="794"/>
        <v>3.377000177419355</v>
      </c>
      <c r="P937" s="583">
        <f t="shared" si="794"/>
        <v>3.5458501862903229</v>
      </c>
      <c r="Q937" s="583">
        <f t="shared" si="794"/>
        <v>3.7231426956048392</v>
      </c>
      <c r="R937" s="583">
        <f t="shared" si="794"/>
        <v>3.9092998303850814</v>
      </c>
      <c r="S937" s="583">
        <f t="shared" si="794"/>
        <v>4.1047648219043342</v>
      </c>
      <c r="T937" s="583">
        <f t="shared" si="794"/>
        <v>4.3100030629995523</v>
      </c>
      <c r="U937" s="583">
        <f t="shared" si="794"/>
        <v>4.525503216149529</v>
      </c>
      <c r="V937" s="583">
        <f t="shared" si="794"/>
        <v>4.7517783769570059</v>
      </c>
      <c r="W937" s="583">
        <f t="shared" si="794"/>
        <v>4.9893672958048558</v>
      </c>
      <c r="X937" s="583">
        <f t="shared" si="794"/>
        <v>5.2388356605950994</v>
      </c>
      <c r="Y937" s="583">
        <f t="shared" si="794"/>
        <v>5.5007774436248544</v>
      </c>
      <c r="Z937" s="583">
        <f t="shared" si="794"/>
        <v>5.7758163158060976</v>
      </c>
      <c r="AA937" s="583"/>
      <c r="AB937" s="583"/>
      <c r="AC937" s="583"/>
      <c r="AD937" s="583"/>
      <c r="AE937" s="583"/>
      <c r="AF937" s="583"/>
      <c r="AG937" s="583"/>
      <c r="AH937" s="583"/>
      <c r="AI937" s="583"/>
      <c r="AJ937" s="583"/>
    </row>
    <row r="938" spans="1:36" s="299" customFormat="1" x14ac:dyDescent="0.25">
      <c r="A938" s="299" t="s">
        <v>695</v>
      </c>
      <c r="H938" s="576" t="s">
        <v>673</v>
      </c>
      <c r="I938" s="577" t="str">
        <f t="shared" si="789"/>
        <v>VND/phôi</v>
      </c>
      <c r="K938" s="581"/>
      <c r="L938" s="581">
        <f>-IF($H$9="USD",L868/L843/$H$10*10^3,L868/L843/$H$10)</f>
        <v>3.0630387096774192</v>
      </c>
      <c r="M938" s="581">
        <f t="shared" ref="M938:AJ938" si="795">-IF($H$9="USD",M868/M843/$H$10*10^3,M868/M843/$H$10)</f>
        <v>3.0630387096774196</v>
      </c>
      <c r="N938" s="581">
        <f t="shared" si="795"/>
        <v>3.2161906451612912</v>
      </c>
      <c r="O938" s="581">
        <f t="shared" si="795"/>
        <v>3.377000177419355</v>
      </c>
      <c r="P938" s="581">
        <f t="shared" si="795"/>
        <v>3.5458501862903229</v>
      </c>
      <c r="Q938" s="581">
        <f t="shared" si="795"/>
        <v>3.7231426956048392</v>
      </c>
      <c r="R938" s="581">
        <f t="shared" si="795"/>
        <v>3.9092998303850814</v>
      </c>
      <c r="S938" s="581">
        <f t="shared" si="795"/>
        <v>4.1047648219043342</v>
      </c>
      <c r="T938" s="581">
        <f t="shared" si="795"/>
        <v>4.3100030629995523</v>
      </c>
      <c r="U938" s="581">
        <f t="shared" si="795"/>
        <v>4.525503216149529</v>
      </c>
      <c r="V938" s="581">
        <f t="shared" si="795"/>
        <v>4.7517783769570059</v>
      </c>
      <c r="W938" s="581">
        <f t="shared" si="795"/>
        <v>4.9893672958048558</v>
      </c>
      <c r="X938" s="581">
        <f t="shared" si="795"/>
        <v>5.2388356605950994</v>
      </c>
      <c r="Y938" s="581">
        <f t="shared" si="795"/>
        <v>5.5007774436248544</v>
      </c>
      <c r="Z938" s="581">
        <f t="shared" si="795"/>
        <v>5.7758163158060976</v>
      </c>
      <c r="AA938" s="581"/>
      <c r="AB938" s="581"/>
      <c r="AC938" s="581"/>
      <c r="AD938" s="581"/>
      <c r="AE938" s="581"/>
      <c r="AF938" s="581"/>
      <c r="AG938" s="581"/>
      <c r="AH938" s="581"/>
      <c r="AI938" s="581"/>
      <c r="AJ938" s="581"/>
    </row>
    <row r="939" spans="1:36" s="299" customFormat="1" x14ac:dyDescent="0.25">
      <c r="A939" s="299" t="s">
        <v>695</v>
      </c>
      <c r="H939" s="576" t="s">
        <v>674</v>
      </c>
      <c r="I939" s="577" t="str">
        <f t="shared" si="789"/>
        <v>VND/phôi</v>
      </c>
      <c r="K939" s="581"/>
      <c r="L939" s="581">
        <f>-IF($H$9="USD",L869/L843/$H$10*10^3,L869/L843/$H$10)</f>
        <v>0</v>
      </c>
      <c r="M939" s="581">
        <f t="shared" ref="M939:AJ939" si="796">-IF($H$9="USD",M869/M843/$H$10*10^3,M869/M843/$H$10)</f>
        <v>0</v>
      </c>
      <c r="N939" s="581">
        <f t="shared" si="796"/>
        <v>0</v>
      </c>
      <c r="O939" s="581">
        <f t="shared" si="796"/>
        <v>0</v>
      </c>
      <c r="P939" s="581">
        <f t="shared" si="796"/>
        <v>0</v>
      </c>
      <c r="Q939" s="581">
        <f t="shared" si="796"/>
        <v>0</v>
      </c>
      <c r="R939" s="581">
        <f t="shared" si="796"/>
        <v>0</v>
      </c>
      <c r="S939" s="581">
        <f t="shared" si="796"/>
        <v>0</v>
      </c>
      <c r="T939" s="581">
        <f t="shared" si="796"/>
        <v>0</v>
      </c>
      <c r="U939" s="581">
        <f t="shared" si="796"/>
        <v>0</v>
      </c>
      <c r="V939" s="581">
        <f t="shared" si="796"/>
        <v>0</v>
      </c>
      <c r="W939" s="581">
        <f t="shared" si="796"/>
        <v>0</v>
      </c>
      <c r="X939" s="581">
        <f t="shared" si="796"/>
        <v>0</v>
      </c>
      <c r="Y939" s="581">
        <f t="shared" si="796"/>
        <v>0</v>
      </c>
      <c r="Z939" s="581">
        <f t="shared" si="796"/>
        <v>0</v>
      </c>
      <c r="AA939" s="581"/>
      <c r="AB939" s="581"/>
      <c r="AC939" s="581"/>
      <c r="AD939" s="581"/>
      <c r="AE939" s="581"/>
      <c r="AF939" s="581"/>
      <c r="AG939" s="581"/>
      <c r="AH939" s="581"/>
      <c r="AI939" s="581"/>
      <c r="AJ939" s="581"/>
    </row>
    <row r="940" spans="1:36" x14ac:dyDescent="0.25">
      <c r="A940" t="s">
        <v>695</v>
      </c>
      <c r="H940" s="574" t="s">
        <v>180</v>
      </c>
      <c r="I940" s="575" t="str">
        <f t="shared" si="789"/>
        <v>VND/phôi</v>
      </c>
      <c r="K940" s="583">
        <f>SUM(K941:K943)</f>
        <v>0</v>
      </c>
      <c r="L940" s="583">
        <f>SUM(L941:L943)</f>
        <v>43.549625955674657</v>
      </c>
      <c r="M940" s="583">
        <f t="shared" ref="M940:AJ940" si="797">SUM(M941:M943)</f>
        <v>40.784819871052804</v>
      </c>
      <c r="N940" s="583">
        <f t="shared" si="797"/>
        <v>40.491966192438404</v>
      </c>
      <c r="O940" s="583">
        <f t="shared" si="797"/>
        <v>42.361754621532988</v>
      </c>
      <c r="P940" s="583">
        <f t="shared" si="797"/>
        <v>44.325032472082299</v>
      </c>
      <c r="Q940" s="583">
        <f t="shared" si="797"/>
        <v>46.386474215159069</v>
      </c>
      <c r="R940" s="583">
        <f t="shared" si="797"/>
        <v>48.550988045389694</v>
      </c>
      <c r="S940" s="583">
        <f t="shared" si="797"/>
        <v>50.823727567131826</v>
      </c>
      <c r="T940" s="583">
        <f t="shared" si="797"/>
        <v>53.210104064961087</v>
      </c>
      <c r="U940" s="583">
        <f t="shared" si="797"/>
        <v>55.715799387681798</v>
      </c>
      <c r="V940" s="583">
        <f t="shared" si="797"/>
        <v>58.346779476538543</v>
      </c>
      <c r="W940" s="583">
        <f t="shared" si="797"/>
        <v>61.109308569838142</v>
      </c>
      <c r="X940" s="583">
        <f t="shared" si="797"/>
        <v>61.582281648666068</v>
      </c>
      <c r="Y940" s="583">
        <f t="shared" si="797"/>
        <v>64.627969974028858</v>
      </c>
      <c r="Z940" s="583">
        <f t="shared" si="797"/>
        <v>67.825942715659806</v>
      </c>
      <c r="AA940" s="583"/>
      <c r="AB940" s="583"/>
      <c r="AC940" s="583"/>
      <c r="AD940" s="583"/>
      <c r="AE940" s="583"/>
      <c r="AF940" s="583"/>
      <c r="AG940" s="583"/>
      <c r="AH940" s="583"/>
      <c r="AI940" s="583"/>
      <c r="AJ940" s="583"/>
    </row>
    <row r="941" spans="1:36" s="299" customFormat="1" x14ac:dyDescent="0.25">
      <c r="A941" s="299" t="s">
        <v>695</v>
      </c>
      <c r="E941" s="299" t="s">
        <v>174</v>
      </c>
      <c r="H941" s="576" t="s">
        <v>73</v>
      </c>
      <c r="I941" s="577" t="str">
        <f t="shared" si="789"/>
        <v>VND/phôi</v>
      </c>
      <c r="K941" s="581"/>
      <c r="L941" s="581">
        <f t="shared" ref="L941:AJ941" si="798">-IF($H$9="USD",L871/L843/$H$10*10^3,L871/L843/$H$10)</f>
        <v>27.847782258064516</v>
      </c>
      <c r="M941" s="581">
        <f t="shared" si="798"/>
        <v>27.847782258064512</v>
      </c>
      <c r="N941" s="581">
        <f t="shared" si="798"/>
        <v>29.24017137096774</v>
      </c>
      <c r="O941" s="581">
        <f t="shared" si="798"/>
        <v>30.702179939516128</v>
      </c>
      <c r="P941" s="581">
        <f t="shared" si="798"/>
        <v>32.237288936491936</v>
      </c>
      <c r="Q941" s="581">
        <f t="shared" si="798"/>
        <v>33.849153383316526</v>
      </c>
      <c r="R941" s="581">
        <f t="shared" si="798"/>
        <v>35.541611052482359</v>
      </c>
      <c r="S941" s="581">
        <f t="shared" si="798"/>
        <v>37.318691605106473</v>
      </c>
      <c r="T941" s="581">
        <f t="shared" si="798"/>
        <v>39.1846261853618</v>
      </c>
      <c r="U941" s="581">
        <f t="shared" si="798"/>
        <v>41.143857494629891</v>
      </c>
      <c r="V941" s="581">
        <f t="shared" si="798"/>
        <v>43.201050369361383</v>
      </c>
      <c r="W941" s="581">
        <f t="shared" si="798"/>
        <v>45.36110288782946</v>
      </c>
      <c r="X941" s="581">
        <f t="shared" si="798"/>
        <v>47.629158032220928</v>
      </c>
      <c r="Y941" s="581">
        <f t="shared" si="798"/>
        <v>50.010615933831971</v>
      </c>
      <c r="Z941" s="581">
        <f t="shared" si="798"/>
        <v>52.511146730523578</v>
      </c>
      <c r="AA941" s="581"/>
      <c r="AB941" s="581"/>
      <c r="AC941" s="581"/>
      <c r="AD941" s="581"/>
      <c r="AE941" s="581"/>
      <c r="AF941" s="581"/>
      <c r="AG941" s="581"/>
      <c r="AH941" s="581"/>
      <c r="AI941" s="581"/>
      <c r="AJ941" s="581"/>
    </row>
    <row r="942" spans="1:36" s="299" customFormat="1" x14ac:dyDescent="0.25">
      <c r="A942" s="299" t="s">
        <v>695</v>
      </c>
      <c r="E942" s="299" t="s">
        <v>306</v>
      </c>
      <c r="H942" s="576" t="s">
        <v>192</v>
      </c>
      <c r="I942" s="577" t="str">
        <f t="shared" si="789"/>
        <v>VND/phôi</v>
      </c>
      <c r="K942" s="581"/>
      <c r="L942" s="581">
        <f t="shared" ref="L942:AJ942" si="799">-IF($H$9="USD",L872/L843/$H$10*10^3,L872/L843/$H$10)</f>
        <v>4.7222222222222214</v>
      </c>
      <c r="M942" s="581">
        <f t="shared" si="799"/>
        <v>4.7222222222222214</v>
      </c>
      <c r="N942" s="581">
        <f t="shared" si="799"/>
        <v>4.958333333333333</v>
      </c>
      <c r="O942" s="581">
        <f t="shared" si="799"/>
        <v>5.2062499999999998</v>
      </c>
      <c r="P942" s="581">
        <f t="shared" si="799"/>
        <v>5.4665624999999993</v>
      </c>
      <c r="Q942" s="581">
        <f t="shared" si="799"/>
        <v>5.7398906249999992</v>
      </c>
      <c r="R942" s="581">
        <f t="shared" si="799"/>
        <v>6.0268851562500005</v>
      </c>
      <c r="S942" s="581">
        <f t="shared" si="799"/>
        <v>6.3282294140624984</v>
      </c>
      <c r="T942" s="581">
        <f t="shared" si="799"/>
        <v>6.6446408847656251</v>
      </c>
      <c r="U942" s="581">
        <f t="shared" si="799"/>
        <v>6.976872929003906</v>
      </c>
      <c r="V942" s="581">
        <f t="shared" si="799"/>
        <v>7.3257165754541012</v>
      </c>
      <c r="W942" s="581">
        <f t="shared" si="799"/>
        <v>7.6920024042268071</v>
      </c>
      <c r="X942" s="581">
        <f t="shared" si="799"/>
        <v>8.0766025244381474</v>
      </c>
      <c r="Y942" s="581">
        <f t="shared" si="799"/>
        <v>8.4804326506600525</v>
      </c>
      <c r="Z942" s="581">
        <f t="shared" si="799"/>
        <v>8.9044542831930595</v>
      </c>
      <c r="AA942" s="581"/>
      <c r="AB942" s="581"/>
      <c r="AC942" s="581"/>
      <c r="AD942" s="581"/>
      <c r="AE942" s="581"/>
      <c r="AF942" s="581"/>
      <c r="AG942" s="581"/>
      <c r="AH942" s="581"/>
      <c r="AI942" s="581"/>
      <c r="AJ942" s="581"/>
    </row>
    <row r="943" spans="1:36" s="299" customFormat="1" x14ac:dyDescent="0.25">
      <c r="A943" s="299" t="s">
        <v>695</v>
      </c>
      <c r="E943" s="299" t="s">
        <v>172</v>
      </c>
      <c r="H943" s="576" t="s">
        <v>175</v>
      </c>
      <c r="I943" s="577" t="str">
        <f t="shared" si="789"/>
        <v>VND/phôi</v>
      </c>
      <c r="K943" s="581"/>
      <c r="L943" s="581">
        <f t="shared" ref="L943:AJ943" si="800">-IF($H$9="USD",L873/L843/$H$10*10^3,L873/L843/$H$10)</f>
        <v>10.979621475387912</v>
      </c>
      <c r="M943" s="581">
        <f t="shared" si="800"/>
        <v>8.2148153907660717</v>
      </c>
      <c r="N943" s="581">
        <f t="shared" si="800"/>
        <v>6.2934614881373347</v>
      </c>
      <c r="O943" s="581">
        <f t="shared" si="800"/>
        <v>6.4533246820168619</v>
      </c>
      <c r="P943" s="581">
        <f t="shared" si="800"/>
        <v>6.6211810355903635</v>
      </c>
      <c r="Q943" s="581">
        <f t="shared" si="800"/>
        <v>6.7974302068425425</v>
      </c>
      <c r="R943" s="581">
        <f t="shared" si="800"/>
        <v>6.9824918366573296</v>
      </c>
      <c r="S943" s="581">
        <f t="shared" si="800"/>
        <v>7.1768065479628564</v>
      </c>
      <c r="T943" s="581">
        <f t="shared" si="800"/>
        <v>7.3808369948336585</v>
      </c>
      <c r="U943" s="581">
        <f t="shared" si="800"/>
        <v>7.5950689640480018</v>
      </c>
      <c r="V943" s="581">
        <f t="shared" si="800"/>
        <v>7.8200125317230604</v>
      </c>
      <c r="W943" s="581">
        <f t="shared" si="800"/>
        <v>8.056203277781874</v>
      </c>
      <c r="X943" s="581">
        <f t="shared" si="800"/>
        <v>5.8765210920069988</v>
      </c>
      <c r="Y943" s="581">
        <f t="shared" si="800"/>
        <v>6.1369213895368393</v>
      </c>
      <c r="Z943" s="581">
        <f t="shared" si="800"/>
        <v>6.4103417019431745</v>
      </c>
      <c r="AA943" s="581"/>
      <c r="AB943" s="581"/>
      <c r="AC943" s="581"/>
      <c r="AD943" s="581"/>
      <c r="AE943" s="581"/>
      <c r="AF943" s="581"/>
      <c r="AG943" s="581"/>
      <c r="AH943" s="581"/>
      <c r="AI943" s="581"/>
      <c r="AJ943" s="581"/>
    </row>
    <row r="944" spans="1:36" x14ac:dyDescent="0.25">
      <c r="A944" t="s">
        <v>695</v>
      </c>
      <c r="H944" s="289"/>
      <c r="I944" s="290"/>
      <c r="K944" s="296"/>
      <c r="L944" s="297"/>
      <c r="M944" s="296"/>
      <c r="N944" s="296"/>
      <c r="O944" s="296"/>
      <c r="P944" s="296"/>
      <c r="Q944" s="296"/>
      <c r="R944" s="296"/>
      <c r="S944" s="296"/>
      <c r="T944" s="296"/>
      <c r="U944" s="296"/>
      <c r="V944" s="296"/>
      <c r="W944" s="296"/>
      <c r="X944" s="296"/>
      <c r="Y944" s="296"/>
      <c r="Z944" s="296"/>
      <c r="AA944" s="296"/>
      <c r="AB944" s="296"/>
      <c r="AC944" s="296"/>
      <c r="AD944" s="296"/>
      <c r="AE944" s="296"/>
      <c r="AF944" s="296"/>
      <c r="AG944" s="296"/>
      <c r="AH944" s="296"/>
      <c r="AI944" s="296"/>
      <c r="AJ944" s="296"/>
    </row>
    <row r="945" spans="1:36" s="16" customFormat="1" x14ac:dyDescent="0.25">
      <c r="A945" s="16" t="s">
        <v>695</v>
      </c>
      <c r="H945" s="291" t="s">
        <v>464</v>
      </c>
      <c r="I945" s="292" t="str">
        <f t="shared" si="789"/>
        <v>VND/phôi</v>
      </c>
      <c r="K945" s="298">
        <f>K923+K933</f>
        <v>0</v>
      </c>
      <c r="L945" s="298">
        <f t="shared" ref="L945:AJ945" si="801">L923+L933</f>
        <v>691.11384223105335</v>
      </c>
      <c r="M945" s="298">
        <f t="shared" si="801"/>
        <v>619.22888403088564</v>
      </c>
      <c r="N945" s="298">
        <f t="shared" si="801"/>
        <v>577.4784474012481</v>
      </c>
      <c r="O945" s="298">
        <f t="shared" si="801"/>
        <v>590.00834513566429</v>
      </c>
      <c r="P945" s="298">
        <f t="shared" si="801"/>
        <v>602.91835840196234</v>
      </c>
      <c r="Q945" s="298">
        <f t="shared" si="801"/>
        <v>616.22256538963995</v>
      </c>
      <c r="R945" s="298">
        <f t="shared" si="801"/>
        <v>629.93564964592724</v>
      </c>
      <c r="S945" s="298">
        <f t="shared" si="801"/>
        <v>644.07292837263924</v>
      </c>
      <c r="T945" s="298">
        <f t="shared" si="801"/>
        <v>658.6503820984492</v>
      </c>
      <c r="U945" s="298">
        <f t="shared" si="801"/>
        <v>673.6846857945676</v>
      </c>
      <c r="V945" s="298">
        <f t="shared" si="801"/>
        <v>689.19324150519014</v>
      </c>
      <c r="W945" s="298">
        <f t="shared" si="801"/>
        <v>705.19421256763587</v>
      </c>
      <c r="X945" s="298">
        <f t="shared" si="801"/>
        <v>658.58681530326919</v>
      </c>
      <c r="Y945" s="298">
        <f t="shared" si="801"/>
        <v>675.63033344708481</v>
      </c>
      <c r="Z945" s="298">
        <f t="shared" si="801"/>
        <v>693.22569243934072</v>
      </c>
      <c r="AA945" s="298"/>
      <c r="AB945" s="298"/>
      <c r="AC945" s="298"/>
      <c r="AD945" s="298"/>
      <c r="AE945" s="298"/>
      <c r="AF945" s="298"/>
      <c r="AG945" s="298"/>
      <c r="AH945" s="298"/>
      <c r="AI945" s="298"/>
      <c r="AJ945" s="298"/>
    </row>
    <row r="946" spans="1:36" x14ac:dyDescent="0.25">
      <c r="A946" t="s">
        <v>695</v>
      </c>
      <c r="H946" s="289"/>
      <c r="I946" s="290"/>
      <c r="K946" s="296"/>
      <c r="L946" s="296"/>
      <c r="M946" s="296"/>
      <c r="N946" s="296"/>
      <c r="O946" s="296"/>
      <c r="P946" s="296"/>
      <c r="Q946" s="296"/>
      <c r="R946" s="296"/>
      <c r="S946" s="296"/>
      <c r="T946" s="296"/>
      <c r="U946" s="296"/>
      <c r="V946" s="296"/>
      <c r="W946" s="296"/>
      <c r="X946" s="296"/>
      <c r="Y946" s="296"/>
      <c r="Z946" s="296"/>
      <c r="AA946" s="296"/>
      <c r="AB946" s="296"/>
      <c r="AC946" s="296"/>
      <c r="AD946" s="296"/>
      <c r="AE946" s="296"/>
      <c r="AF946" s="296"/>
      <c r="AG946" s="296"/>
      <c r="AH946" s="296"/>
      <c r="AI946" s="296"/>
      <c r="AJ946" s="296"/>
    </row>
    <row r="947" spans="1:36" x14ac:dyDescent="0.25">
      <c r="A947" t="s">
        <v>695</v>
      </c>
      <c r="E947" t="s">
        <v>172</v>
      </c>
      <c r="H947" s="593" t="s">
        <v>166</v>
      </c>
      <c r="I947" s="594" t="str">
        <f t="shared" si="789"/>
        <v>VND/phôi</v>
      </c>
      <c r="K947" s="604"/>
      <c r="L947" s="604">
        <f>-IF($H$9="USD",L877/L843/$H$10*10^3,L877/L843/$H$10)</f>
        <v>13.333333333333334</v>
      </c>
      <c r="M947" s="604">
        <f t="shared" ref="M947:AJ947" si="802">-IF($H$9="USD",M877/M843/$H$10*10^3,M877/M843/$H$10)</f>
        <v>13.333333333333332</v>
      </c>
      <c r="N947" s="604">
        <f t="shared" si="802"/>
        <v>13.999999999999998</v>
      </c>
      <c r="O947" s="604">
        <f t="shared" si="802"/>
        <v>14.700000000000001</v>
      </c>
      <c r="P947" s="604">
        <f t="shared" si="802"/>
        <v>15.435</v>
      </c>
      <c r="Q947" s="604">
        <f t="shared" si="802"/>
        <v>16.20675</v>
      </c>
      <c r="R947" s="604">
        <f t="shared" si="802"/>
        <v>17.017087500000002</v>
      </c>
      <c r="S947" s="604">
        <f t="shared" si="802"/>
        <v>17.867941875</v>
      </c>
      <c r="T947" s="604">
        <f t="shared" si="802"/>
        <v>18.761338968750003</v>
      </c>
      <c r="U947" s="604">
        <f t="shared" si="802"/>
        <v>19.699405917187502</v>
      </c>
      <c r="V947" s="604">
        <f t="shared" si="802"/>
        <v>20.684376213046878</v>
      </c>
      <c r="W947" s="604">
        <f t="shared" si="802"/>
        <v>21.718595023699219</v>
      </c>
      <c r="X947" s="604">
        <f t="shared" si="802"/>
        <v>22.804524774884179</v>
      </c>
      <c r="Y947" s="604">
        <f t="shared" si="802"/>
        <v>23.944751013628391</v>
      </c>
      <c r="Z947" s="604">
        <f t="shared" si="802"/>
        <v>25.141988564309816</v>
      </c>
      <c r="AA947" s="604"/>
      <c r="AB947" s="604"/>
      <c r="AC947" s="604"/>
      <c r="AD947" s="604"/>
      <c r="AE947" s="604"/>
      <c r="AF947" s="604"/>
      <c r="AG947" s="604"/>
      <c r="AH947" s="604"/>
      <c r="AI947" s="604"/>
      <c r="AJ947" s="604"/>
    </row>
    <row r="948" spans="1:36" x14ac:dyDescent="0.25">
      <c r="A948" t="s">
        <v>695</v>
      </c>
      <c r="E948" t="s">
        <v>171</v>
      </c>
      <c r="H948" s="574" t="s">
        <v>469</v>
      </c>
      <c r="I948" s="575" t="str">
        <f t="shared" si="789"/>
        <v>VND/phôi</v>
      </c>
      <c r="K948" s="584"/>
      <c r="L948" s="584">
        <f t="shared" ref="L948:AJ948" si="803">-IF($H$9="USD",L878/L843/$H$10*10^3,L878/L843/$H$10)</f>
        <v>0</v>
      </c>
      <c r="M948" s="584">
        <f t="shared" si="803"/>
        <v>0</v>
      </c>
      <c r="N948" s="584">
        <f t="shared" si="803"/>
        <v>0</v>
      </c>
      <c r="O948" s="584">
        <f t="shared" si="803"/>
        <v>0</v>
      </c>
      <c r="P948" s="584">
        <f t="shared" si="803"/>
        <v>0</v>
      </c>
      <c r="Q948" s="584">
        <f t="shared" si="803"/>
        <v>0</v>
      </c>
      <c r="R948" s="584">
        <f t="shared" si="803"/>
        <v>0</v>
      </c>
      <c r="S948" s="584">
        <f t="shared" si="803"/>
        <v>0</v>
      </c>
      <c r="T948" s="584">
        <f t="shared" si="803"/>
        <v>0</v>
      </c>
      <c r="U948" s="584">
        <f t="shared" si="803"/>
        <v>0</v>
      </c>
      <c r="V948" s="584">
        <f t="shared" si="803"/>
        <v>0</v>
      </c>
      <c r="W948" s="584">
        <f t="shared" si="803"/>
        <v>0</v>
      </c>
      <c r="X948" s="584">
        <f t="shared" si="803"/>
        <v>0</v>
      </c>
      <c r="Y948" s="584">
        <f t="shared" si="803"/>
        <v>0</v>
      </c>
      <c r="Z948" s="584">
        <f t="shared" si="803"/>
        <v>0</v>
      </c>
      <c r="AA948" s="584"/>
      <c r="AB948" s="584"/>
      <c r="AC948" s="584"/>
      <c r="AD948" s="584"/>
      <c r="AE948" s="584"/>
      <c r="AF948" s="584"/>
      <c r="AG948" s="584"/>
      <c r="AH948" s="584"/>
      <c r="AI948" s="584"/>
      <c r="AJ948" s="584"/>
    </row>
    <row r="949" spans="1:36" x14ac:dyDescent="0.25">
      <c r="A949" t="s">
        <v>695</v>
      </c>
      <c r="E949" t="s">
        <v>182</v>
      </c>
      <c r="H949" s="574" t="s">
        <v>468</v>
      </c>
      <c r="I949" s="575" t="str">
        <f t="shared" si="789"/>
        <v>VND/phôi</v>
      </c>
      <c r="K949" s="574"/>
      <c r="L949" s="584">
        <f t="shared" ref="L949:AJ949" si="804">-IF($H$9="USD",L879/L843/$H$10*10^3,L879/L843/$H$10)</f>
        <v>0</v>
      </c>
      <c r="M949" s="584">
        <f t="shared" si="804"/>
        <v>0</v>
      </c>
      <c r="N949" s="584">
        <f t="shared" si="804"/>
        <v>0</v>
      </c>
      <c r="O949" s="584">
        <f t="shared" si="804"/>
        <v>0</v>
      </c>
      <c r="P949" s="584">
        <f t="shared" si="804"/>
        <v>0</v>
      </c>
      <c r="Q949" s="584">
        <f t="shared" si="804"/>
        <v>0</v>
      </c>
      <c r="R949" s="584">
        <f t="shared" si="804"/>
        <v>0</v>
      </c>
      <c r="S949" s="584">
        <f t="shared" si="804"/>
        <v>0</v>
      </c>
      <c r="T949" s="584">
        <f t="shared" si="804"/>
        <v>0</v>
      </c>
      <c r="U949" s="584">
        <f t="shared" si="804"/>
        <v>0</v>
      </c>
      <c r="V949" s="584">
        <f t="shared" si="804"/>
        <v>0</v>
      </c>
      <c r="W949" s="584">
        <f t="shared" si="804"/>
        <v>0</v>
      </c>
      <c r="X949" s="584">
        <f t="shared" si="804"/>
        <v>0</v>
      </c>
      <c r="Y949" s="584">
        <f t="shared" si="804"/>
        <v>0</v>
      </c>
      <c r="Z949" s="584">
        <f t="shared" si="804"/>
        <v>0</v>
      </c>
      <c r="AA949" s="584"/>
      <c r="AB949" s="584"/>
      <c r="AC949" s="584"/>
      <c r="AD949" s="584"/>
      <c r="AE949" s="584"/>
      <c r="AF949" s="584"/>
      <c r="AG949" s="584"/>
      <c r="AH949" s="584"/>
      <c r="AI949" s="584"/>
      <c r="AJ949" s="584"/>
    </row>
    <row r="950" spans="1:36" x14ac:dyDescent="0.25">
      <c r="A950" t="s">
        <v>695</v>
      </c>
      <c r="E950" t="s">
        <v>182</v>
      </c>
      <c r="H950" s="574" t="s">
        <v>470</v>
      </c>
      <c r="I950" s="575" t="str">
        <f t="shared" si="789"/>
        <v>VND/phôi</v>
      </c>
      <c r="K950" s="574"/>
      <c r="L950" s="584">
        <f>-IF($H$9="USD",L880/L843/$H$10*10^3,L880/L843/$H$10)</f>
        <v>106.97182571808577</v>
      </c>
      <c r="M950" s="584">
        <f t="shared" ref="M950:AJ950" si="805">-IF($H$9="USD",M880/M843/$H$10*10^3,M880/M843/$H$10)</f>
        <v>73.367801471466493</v>
      </c>
      <c r="N950" s="584">
        <f t="shared" si="805"/>
        <v>49.080017572979045</v>
      </c>
      <c r="O950" s="584">
        <f t="shared" si="805"/>
        <v>46.643153073938215</v>
      </c>
      <c r="P950" s="584">
        <f t="shared" si="805"/>
        <v>44.035708059964541</v>
      </c>
      <c r="Q950" s="584">
        <f t="shared" si="805"/>
        <v>41.245741895012706</v>
      </c>
      <c r="R950" s="584">
        <f t="shared" si="805"/>
        <v>38.260478098514241</v>
      </c>
      <c r="S950" s="584">
        <f t="shared" si="805"/>
        <v>35.066245836260883</v>
      </c>
      <c r="T950" s="584">
        <f t="shared" si="805"/>
        <v>31.648417315649791</v>
      </c>
      <c r="U950" s="584">
        <f t="shared" si="805"/>
        <v>27.991340798595921</v>
      </c>
      <c r="V950" s="584">
        <f t="shared" si="805"/>
        <v>24.078268925348286</v>
      </c>
      <c r="W950" s="584">
        <f t="shared" si="805"/>
        <v>19.891282020973311</v>
      </c>
      <c r="X950" s="584">
        <f t="shared" si="805"/>
        <v>15.411206033292091</v>
      </c>
      <c r="Y950" s="584">
        <f t="shared" si="805"/>
        <v>10.617524726473185</v>
      </c>
      <c r="Z950" s="584">
        <f t="shared" si="805"/>
        <v>5.4882857281769573</v>
      </c>
      <c r="AA950" s="584"/>
      <c r="AB950" s="584"/>
      <c r="AC950" s="584"/>
      <c r="AD950" s="584"/>
      <c r="AE950" s="584"/>
      <c r="AF950" s="584"/>
      <c r="AG950" s="584"/>
      <c r="AH950" s="584"/>
      <c r="AI950" s="584"/>
      <c r="AJ950" s="584"/>
    </row>
    <row r="951" spans="1:36" x14ac:dyDescent="0.25">
      <c r="A951" t="s">
        <v>695</v>
      </c>
      <c r="H951" s="289"/>
      <c r="I951" s="290"/>
      <c r="K951" s="289"/>
      <c r="L951" s="289"/>
      <c r="M951" s="289"/>
      <c r="N951" s="289"/>
      <c r="O951" s="289"/>
      <c r="P951" s="289"/>
      <c r="Q951" s="289"/>
      <c r="R951" s="289"/>
      <c r="S951" s="289"/>
      <c r="T951" s="289"/>
      <c r="U951" s="289"/>
      <c r="V951" s="289"/>
      <c r="W951" s="289"/>
      <c r="X951" s="289"/>
      <c r="Y951" s="289"/>
      <c r="Z951" s="289"/>
      <c r="AA951" s="289"/>
      <c r="AB951" s="289"/>
      <c r="AC951" s="289"/>
      <c r="AD951" s="289"/>
      <c r="AE951" s="289"/>
      <c r="AF951" s="289"/>
      <c r="AG951" s="289"/>
      <c r="AH951" s="289"/>
      <c r="AI951" s="289"/>
      <c r="AJ951" s="289"/>
    </row>
    <row r="952" spans="1:36" s="16" customFormat="1" x14ac:dyDescent="0.25">
      <c r="A952" s="16" t="s">
        <v>695</v>
      </c>
      <c r="H952" s="291" t="s">
        <v>487</v>
      </c>
      <c r="I952" s="292" t="str">
        <f t="shared" si="789"/>
        <v>VND/phôi</v>
      </c>
      <c r="K952" s="298">
        <f>K945+SUM(K947:K950)</f>
        <v>0</v>
      </c>
      <c r="L952" s="298">
        <f t="shared" ref="L952:AJ952" si="806">L945+SUM(L947:L950)</f>
        <v>811.41900128247244</v>
      </c>
      <c r="M952" s="298">
        <f t="shared" si="806"/>
        <v>705.93001883568547</v>
      </c>
      <c r="N952" s="298">
        <f t="shared" si="806"/>
        <v>640.55846497422715</v>
      </c>
      <c r="O952" s="298">
        <f t="shared" si="806"/>
        <v>651.35149820960248</v>
      </c>
      <c r="P952" s="298">
        <f t="shared" si="806"/>
        <v>662.38906646192686</v>
      </c>
      <c r="Q952" s="298">
        <f t="shared" si="806"/>
        <v>673.67505728465267</v>
      </c>
      <c r="R952" s="298">
        <f t="shared" si="806"/>
        <v>685.21321524444147</v>
      </c>
      <c r="S952" s="298">
        <f t="shared" si="806"/>
        <v>697.00711608390009</v>
      </c>
      <c r="T952" s="298">
        <f t="shared" si="806"/>
        <v>709.060138382849</v>
      </c>
      <c r="U952" s="298">
        <f t="shared" si="806"/>
        <v>721.37543251035106</v>
      </c>
      <c r="V952" s="298">
        <f t="shared" si="806"/>
        <v>733.95588664358536</v>
      </c>
      <c r="W952" s="298">
        <f t="shared" si="806"/>
        <v>746.80408961230842</v>
      </c>
      <c r="X952" s="298">
        <f t="shared" si="806"/>
        <v>696.80254611144551</v>
      </c>
      <c r="Y952" s="298">
        <f t="shared" si="806"/>
        <v>710.19260918718635</v>
      </c>
      <c r="Z952" s="298">
        <f t="shared" si="806"/>
        <v>723.85596673182749</v>
      </c>
      <c r="AA952" s="298"/>
      <c r="AB952" s="298"/>
      <c r="AC952" s="298"/>
      <c r="AD952" s="298"/>
      <c r="AE952" s="298"/>
      <c r="AF952" s="298"/>
      <c r="AG952" s="298"/>
      <c r="AH952" s="298"/>
      <c r="AI952" s="298"/>
      <c r="AJ952" s="298"/>
    </row>
    <row r="953" spans="1:36" x14ac:dyDescent="0.25">
      <c r="A953" t="s">
        <v>695</v>
      </c>
    </row>
    <row r="954" spans="1:36" x14ac:dyDescent="0.25">
      <c r="A954" t="s">
        <v>695</v>
      </c>
      <c r="H954" s="593" t="s">
        <v>361</v>
      </c>
      <c r="I954" s="594" t="str">
        <f t="shared" si="789"/>
        <v>VND/phôi</v>
      </c>
      <c r="K954" s="593"/>
      <c r="L954" s="599">
        <f>INDEX('Cover Page'!$H$12:$AJ$12,MATCH($A954,'Cover Page'!$H$5:$AJ$5,0))</f>
        <v>6.6666666666666666E-2</v>
      </c>
      <c r="M954" s="599">
        <f>INDEX('Cover Page'!$H$12:$AJ$12,MATCH($A954,'Cover Page'!$H$5:$AJ$5,0))</f>
        <v>6.6666666666666666E-2</v>
      </c>
      <c r="N954" s="599">
        <f>INDEX('Cover Page'!$H$12:$AJ$12,MATCH($A954,'Cover Page'!$H$5:$AJ$5,0))</f>
        <v>6.6666666666666666E-2</v>
      </c>
      <c r="O954" s="599">
        <f>INDEX('Cover Page'!$H$12:$AJ$12,MATCH($A954,'Cover Page'!$H$5:$AJ$5,0))</f>
        <v>6.6666666666666666E-2</v>
      </c>
      <c r="P954" s="599">
        <f>INDEX('Cover Page'!$H$12:$AJ$12,MATCH($A954,'Cover Page'!$H$5:$AJ$5,0))</f>
        <v>6.6666666666666666E-2</v>
      </c>
      <c r="Q954" s="599">
        <f>INDEX('Cover Page'!$H$12:$AJ$12,MATCH($A954,'Cover Page'!$H$5:$AJ$5,0))</f>
        <v>6.6666666666666666E-2</v>
      </c>
      <c r="R954" s="599">
        <f>INDEX('Cover Page'!$H$12:$AJ$12,MATCH($A954,'Cover Page'!$H$5:$AJ$5,0))</f>
        <v>6.6666666666666666E-2</v>
      </c>
      <c r="S954" s="599">
        <f>INDEX('Cover Page'!$H$12:$AJ$12,MATCH($A954,'Cover Page'!$H$5:$AJ$5,0))</f>
        <v>6.6666666666666666E-2</v>
      </c>
      <c r="T954" s="599">
        <f>INDEX('Cover Page'!$H$12:$AJ$12,MATCH($A954,'Cover Page'!$H$5:$AJ$5,0))</f>
        <v>6.6666666666666666E-2</v>
      </c>
      <c r="U954" s="599">
        <f>INDEX('Cover Page'!$H$12:$AJ$12,MATCH($A954,'Cover Page'!$H$5:$AJ$5,0))</f>
        <v>6.6666666666666666E-2</v>
      </c>
      <c r="V954" s="599">
        <f>INDEX('Cover Page'!$H$12:$AJ$12,MATCH($A954,'Cover Page'!$H$5:$AJ$5,0))</f>
        <v>6.6666666666666666E-2</v>
      </c>
      <c r="W954" s="599">
        <f>INDEX('Cover Page'!$H$12:$AJ$12,MATCH($A954,'Cover Page'!$H$5:$AJ$5,0))</f>
        <v>6.6666666666666666E-2</v>
      </c>
      <c r="X954" s="599">
        <f>INDEX('Cover Page'!$H$12:$AJ$12,MATCH($A954,'Cover Page'!$H$5:$AJ$5,0))</f>
        <v>6.6666666666666666E-2</v>
      </c>
      <c r="Y954" s="599">
        <f>INDEX('Cover Page'!$H$12:$AJ$12,MATCH($A954,'Cover Page'!$H$5:$AJ$5,0))</f>
        <v>6.6666666666666666E-2</v>
      </c>
      <c r="Z954" s="599">
        <f>INDEX('Cover Page'!$H$12:$AJ$12,MATCH($A954,'Cover Page'!$H$5:$AJ$5,0))</f>
        <v>6.6666666666666666E-2</v>
      </c>
      <c r="AA954" s="599"/>
      <c r="AB954" s="599"/>
      <c r="AC954" s="599"/>
      <c r="AD954" s="599"/>
      <c r="AE954" s="599"/>
      <c r="AF954" s="599"/>
      <c r="AG954" s="599"/>
      <c r="AH954" s="599"/>
      <c r="AI954" s="599"/>
      <c r="AJ954" s="599"/>
    </row>
    <row r="955" spans="1:36" s="1" customFormat="1" x14ac:dyDescent="0.25">
      <c r="A955" s="1" t="s">
        <v>695</v>
      </c>
      <c r="H955" s="595" t="s">
        <v>490</v>
      </c>
      <c r="I955" s="596" t="str">
        <f t="shared" si="789"/>
        <v>VND/phôi</v>
      </c>
      <c r="K955" s="595"/>
      <c r="L955" s="600">
        <f>L952*(1+L954)</f>
        <v>865.51360136797064</v>
      </c>
      <c r="M955" s="600">
        <f t="shared" ref="M955:AJ955" si="807">M952*(1+M954)</f>
        <v>752.99202009139788</v>
      </c>
      <c r="N955" s="600">
        <f t="shared" si="807"/>
        <v>683.26236263917565</v>
      </c>
      <c r="O955" s="600">
        <f t="shared" si="807"/>
        <v>694.77493142357594</v>
      </c>
      <c r="P955" s="600">
        <f t="shared" si="807"/>
        <v>706.54833755938864</v>
      </c>
      <c r="Q955" s="600">
        <f t="shared" si="807"/>
        <v>718.58672777029619</v>
      </c>
      <c r="R955" s="600">
        <f t="shared" si="807"/>
        <v>730.89409626073757</v>
      </c>
      <c r="S955" s="600">
        <f t="shared" si="807"/>
        <v>743.47425715616009</v>
      </c>
      <c r="T955" s="600">
        <f t="shared" si="807"/>
        <v>756.33081427503896</v>
      </c>
      <c r="U955" s="600">
        <f t="shared" si="807"/>
        <v>769.46712801104115</v>
      </c>
      <c r="V955" s="600">
        <f t="shared" si="807"/>
        <v>782.88627908649107</v>
      </c>
      <c r="W955" s="600">
        <f t="shared" si="807"/>
        <v>796.59102891979569</v>
      </c>
      <c r="X955" s="600">
        <f t="shared" si="807"/>
        <v>743.25604918554188</v>
      </c>
      <c r="Y955" s="600">
        <f t="shared" si="807"/>
        <v>757.53878313299879</v>
      </c>
      <c r="Z955" s="600">
        <f t="shared" si="807"/>
        <v>772.11303118061596</v>
      </c>
      <c r="AA955" s="600"/>
      <c r="AB955" s="600"/>
      <c r="AC955" s="600"/>
      <c r="AD955" s="600"/>
      <c r="AE955" s="600"/>
      <c r="AF955" s="600"/>
      <c r="AG955" s="600"/>
      <c r="AH955" s="600"/>
      <c r="AI955" s="600"/>
      <c r="AJ955" s="600"/>
    </row>
    <row r="956" spans="1:36" x14ac:dyDescent="0.25">
      <c r="A956" t="s">
        <v>695</v>
      </c>
      <c r="H956" s="574" t="s">
        <v>292</v>
      </c>
      <c r="I956" s="575" t="str">
        <f t="shared" si="789"/>
        <v>VND/phôi</v>
      </c>
      <c r="K956" s="574"/>
      <c r="L956" s="601">
        <f t="shared" ref="L956:AJ956" si="808">Tax_rate</f>
        <v>0.2</v>
      </c>
      <c r="M956" s="601">
        <f t="shared" si="808"/>
        <v>0.2</v>
      </c>
      <c r="N956" s="601">
        <f t="shared" si="808"/>
        <v>0.2</v>
      </c>
      <c r="O956" s="601">
        <f t="shared" si="808"/>
        <v>0.2</v>
      </c>
      <c r="P956" s="601">
        <f t="shared" si="808"/>
        <v>0.2</v>
      </c>
      <c r="Q956" s="601">
        <f t="shared" si="808"/>
        <v>0.2</v>
      </c>
      <c r="R956" s="601">
        <f t="shared" si="808"/>
        <v>0.2</v>
      </c>
      <c r="S956" s="601">
        <f t="shared" si="808"/>
        <v>0.2</v>
      </c>
      <c r="T956" s="601">
        <f t="shared" si="808"/>
        <v>0.2</v>
      </c>
      <c r="U956" s="601">
        <f t="shared" si="808"/>
        <v>0.2</v>
      </c>
      <c r="V956" s="601">
        <f t="shared" si="808"/>
        <v>0.2</v>
      </c>
      <c r="W956" s="601">
        <f t="shared" si="808"/>
        <v>0.2</v>
      </c>
      <c r="X956" s="601">
        <f t="shared" si="808"/>
        <v>0.2</v>
      </c>
      <c r="Y956" s="601">
        <f t="shared" si="808"/>
        <v>0.2</v>
      </c>
      <c r="Z956" s="601">
        <f t="shared" si="808"/>
        <v>0.2</v>
      </c>
      <c r="AA956" s="601"/>
      <c r="AB956" s="601"/>
      <c r="AC956" s="601"/>
      <c r="AD956" s="601"/>
      <c r="AE956" s="601"/>
      <c r="AF956" s="601"/>
      <c r="AG956" s="601"/>
      <c r="AH956" s="601"/>
      <c r="AI956" s="601"/>
      <c r="AJ956" s="601"/>
    </row>
    <row r="957" spans="1:36" s="1" customFormat="1" x14ac:dyDescent="0.25">
      <c r="A957" s="1" t="s">
        <v>695</v>
      </c>
      <c r="H957" s="595" t="s">
        <v>491</v>
      </c>
      <c r="I957" s="596" t="str">
        <f t="shared" si="789"/>
        <v>VND/phôi</v>
      </c>
      <c r="K957" s="595"/>
      <c r="L957" s="600">
        <f>(L955-L952)*(1-L956)</f>
        <v>43.275680068398565</v>
      </c>
      <c r="M957" s="600">
        <f t="shared" ref="M957:AJ957" si="809">(M955-M952)*(1-M956)</f>
        <v>37.649601004569924</v>
      </c>
      <c r="N957" s="600">
        <f t="shared" si="809"/>
        <v>34.163118131958804</v>
      </c>
      <c r="O957" s="600">
        <f t="shared" si="809"/>
        <v>34.738746571178766</v>
      </c>
      <c r="P957" s="600">
        <f t="shared" si="809"/>
        <v>35.327416877969426</v>
      </c>
      <c r="Q957" s="600">
        <f t="shared" si="809"/>
        <v>35.92933638851482</v>
      </c>
      <c r="R957" s="600">
        <f t="shared" si="809"/>
        <v>36.54470481303688</v>
      </c>
      <c r="S957" s="600">
        <f t="shared" si="809"/>
        <v>37.173712857808006</v>
      </c>
      <c r="T957" s="600">
        <f t="shared" si="809"/>
        <v>37.816540713751969</v>
      </c>
      <c r="U957" s="600">
        <f t="shared" si="809"/>
        <v>38.473356400552078</v>
      </c>
      <c r="V957" s="600">
        <f t="shared" si="809"/>
        <v>39.144313954324574</v>
      </c>
      <c r="W957" s="600">
        <f t="shared" si="809"/>
        <v>39.829551445989821</v>
      </c>
      <c r="X957" s="600">
        <f t="shared" si="809"/>
        <v>37.162802459277103</v>
      </c>
      <c r="Y957" s="600">
        <f t="shared" si="809"/>
        <v>37.876939156649954</v>
      </c>
      <c r="Z957" s="600">
        <f t="shared" si="809"/>
        <v>38.605651559030775</v>
      </c>
      <c r="AA957" s="600"/>
      <c r="AB957" s="600"/>
      <c r="AC957" s="600"/>
      <c r="AD957" s="600"/>
      <c r="AE957" s="600"/>
      <c r="AF957" s="600"/>
      <c r="AG957" s="600"/>
      <c r="AH957" s="600"/>
      <c r="AI957" s="600"/>
      <c r="AJ957" s="600"/>
    </row>
    <row r="958" spans="1:36" s="146" customFormat="1" x14ac:dyDescent="0.25">
      <c r="A958" s="146" t="s">
        <v>695</v>
      </c>
      <c r="H958" s="597" t="s">
        <v>492</v>
      </c>
      <c r="I958" s="598"/>
      <c r="K958" s="597"/>
      <c r="L958" s="602">
        <f>IFERROR(L957/L955,0)</f>
        <v>5.0000000000000037E-2</v>
      </c>
      <c r="M958" s="602">
        <f>IFERROR(M957/M955,0)</f>
        <v>5.0000000000000037E-2</v>
      </c>
      <c r="N958" s="602">
        <f t="shared" ref="N958:AJ958" si="810">IFERROR(N957/N955,0)</f>
        <v>5.0000000000000031E-2</v>
      </c>
      <c r="O958" s="602">
        <f t="shared" si="810"/>
        <v>4.9999999999999954E-2</v>
      </c>
      <c r="P958" s="602">
        <f t="shared" si="810"/>
        <v>4.9999999999999989E-2</v>
      </c>
      <c r="Q958" s="602">
        <f t="shared" si="810"/>
        <v>5.0000000000000017E-2</v>
      </c>
      <c r="R958" s="602">
        <f t="shared" si="810"/>
        <v>0.05</v>
      </c>
      <c r="S958" s="602">
        <f t="shared" si="810"/>
        <v>0.05</v>
      </c>
      <c r="T958" s="602">
        <f t="shared" si="810"/>
        <v>5.0000000000000031E-2</v>
      </c>
      <c r="U958" s="602">
        <f t="shared" si="810"/>
        <v>5.0000000000000024E-2</v>
      </c>
      <c r="V958" s="602">
        <f t="shared" si="810"/>
        <v>5.0000000000000024E-2</v>
      </c>
      <c r="W958" s="602">
        <f t="shared" si="810"/>
        <v>5.0000000000000044E-2</v>
      </c>
      <c r="X958" s="602">
        <f t="shared" si="810"/>
        <v>5.000000000000001E-2</v>
      </c>
      <c r="Y958" s="602">
        <f t="shared" si="810"/>
        <v>5.0000000000000017E-2</v>
      </c>
      <c r="Z958" s="602">
        <f t="shared" si="810"/>
        <v>4.9999999999999968E-2</v>
      </c>
      <c r="AA958" s="602"/>
      <c r="AB958" s="602"/>
      <c r="AC958" s="602"/>
      <c r="AD958" s="602"/>
      <c r="AE958" s="602"/>
      <c r="AF958" s="602"/>
      <c r="AG958" s="602"/>
      <c r="AH958" s="602"/>
      <c r="AI958" s="602"/>
      <c r="AJ958" s="602"/>
    </row>
    <row r="959" spans="1:36" x14ac:dyDescent="0.25">
      <c r="A959" t="s">
        <v>695</v>
      </c>
      <c r="L959" s="64"/>
    </row>
    <row r="960" spans="1:36" x14ac:dyDescent="0.25">
      <c r="A960" t="s">
        <v>695</v>
      </c>
      <c r="H960" s="1" t="s">
        <v>493</v>
      </c>
    </row>
    <row r="961" spans="1:36" x14ac:dyDescent="0.25">
      <c r="A961" t="s">
        <v>695</v>
      </c>
      <c r="H961" t="s">
        <v>493</v>
      </c>
      <c r="I961" s="65" t="s">
        <v>475</v>
      </c>
      <c r="K961" s="15"/>
      <c r="L961" s="15">
        <f t="shared" ref="L961:AJ961" si="811">L962*PHOI_KG*10^3/10^6</f>
        <v>40.666666666666671</v>
      </c>
      <c r="M961" s="15">
        <f t="shared" si="811"/>
        <v>41.480000000000004</v>
      </c>
      <c r="N961" s="15">
        <f t="shared" si="811"/>
        <v>42.30960000000001</v>
      </c>
      <c r="O961" s="15">
        <f t="shared" si="811"/>
        <v>43.155791999999998</v>
      </c>
      <c r="P961" s="15">
        <f t="shared" si="811"/>
        <v>44.018907840000004</v>
      </c>
      <c r="Q961" s="15">
        <f t="shared" si="811"/>
        <v>44.899285996800003</v>
      </c>
      <c r="R961" s="15">
        <f t="shared" si="811"/>
        <v>45.797271716736006</v>
      </c>
      <c r="S961" s="15">
        <f t="shared" si="811"/>
        <v>46.713217151070715</v>
      </c>
      <c r="T961" s="15">
        <f t="shared" si="811"/>
        <v>47.647481494092133</v>
      </c>
      <c r="U961" s="15">
        <f t="shared" si="811"/>
        <v>48.600431123973976</v>
      </c>
      <c r="V961" s="15">
        <f t="shared" si="811"/>
        <v>49.572439746453455</v>
      </c>
      <c r="W961" s="15">
        <f t="shared" si="811"/>
        <v>50.563888541382518</v>
      </c>
      <c r="X961" s="15">
        <f t="shared" si="811"/>
        <v>51.575166312210172</v>
      </c>
      <c r="Y961" s="15">
        <f t="shared" si="811"/>
        <v>52.606669638454385</v>
      </c>
      <c r="Z961" s="15">
        <f t="shared" si="811"/>
        <v>53.658803031223471</v>
      </c>
      <c r="AA961" s="15"/>
      <c r="AB961" s="15"/>
      <c r="AC961" s="15"/>
      <c r="AD961" s="15"/>
      <c r="AE961" s="15"/>
      <c r="AF961" s="15"/>
      <c r="AG961" s="15"/>
      <c r="AH961" s="15"/>
      <c r="AI961" s="15"/>
      <c r="AJ961" s="15"/>
    </row>
    <row r="962" spans="1:36" x14ac:dyDescent="0.25">
      <c r="A962" t="s">
        <v>695</v>
      </c>
      <c r="F962" t="s">
        <v>570</v>
      </c>
      <c r="H962" t="s">
        <v>493</v>
      </c>
      <c r="I962" s="65" t="s">
        <v>368</v>
      </c>
      <c r="K962" s="27"/>
      <c r="L962" s="27">
        <f>INDEX('Cover Page'!$H$14:$AJ$14,MATCH($A962,'Cover Page'!$H$5:$AJ$5,0))*POWER(1+INDEX('Cover Page'!$H$17:$AJ$17,MATCH($A962,'Cover Page'!$H$5:$AJ$5,0)),L$12+1)</f>
        <v>610</v>
      </c>
      <c r="M962" s="27">
        <f>INDEX('Cover Page'!$H$14:$AJ$14,MATCH($A962,'Cover Page'!$H$5:$AJ$5,0))*POWER(1+INDEX('Cover Page'!$H$17:$AJ$17,MATCH($A962,'Cover Page'!$H$5:$AJ$5,0)),M$12+1)</f>
        <v>622.20000000000005</v>
      </c>
      <c r="N962" s="27">
        <f>INDEX('Cover Page'!$H$14:$AJ$14,MATCH($A962,'Cover Page'!$H$5:$AJ$5,0))*POWER(1+INDEX('Cover Page'!$H$17:$AJ$17,MATCH($A962,'Cover Page'!$H$5:$AJ$5,0)),N$12+1)</f>
        <v>634.64400000000001</v>
      </c>
      <c r="O962" s="27">
        <f>INDEX('Cover Page'!$H$14:$AJ$14,MATCH($A962,'Cover Page'!$H$5:$AJ$5,0))*POWER(1+INDEX('Cover Page'!$H$17:$AJ$17,MATCH($A962,'Cover Page'!$H$5:$AJ$5,0)),O$12+1)</f>
        <v>647.33687999999995</v>
      </c>
      <c r="P962" s="27">
        <f>INDEX('Cover Page'!$H$14:$AJ$14,MATCH($A962,'Cover Page'!$H$5:$AJ$5,0))*POWER(1+INDEX('Cover Page'!$H$17:$AJ$17,MATCH($A962,'Cover Page'!$H$5:$AJ$5,0)),P$12+1)</f>
        <v>660.28361759999996</v>
      </c>
      <c r="Q962" s="27">
        <f>INDEX('Cover Page'!$H$14:$AJ$14,MATCH($A962,'Cover Page'!$H$5:$AJ$5,0))*POWER(1+INDEX('Cover Page'!$H$17:$AJ$17,MATCH($A962,'Cover Page'!$H$5:$AJ$5,0)),Q$12+1)</f>
        <v>673.48928995200004</v>
      </c>
      <c r="R962" s="27">
        <f>INDEX('Cover Page'!$H$14:$AJ$14,MATCH($A962,'Cover Page'!$H$5:$AJ$5,0))*POWER(1+INDEX('Cover Page'!$H$17:$AJ$17,MATCH($A962,'Cover Page'!$H$5:$AJ$5,0)),R$12+1)</f>
        <v>686.95907575104002</v>
      </c>
      <c r="S962" s="27">
        <f>INDEX('Cover Page'!$H$14:$AJ$14,MATCH($A962,'Cover Page'!$H$5:$AJ$5,0))*POWER(1+INDEX('Cover Page'!$H$17:$AJ$17,MATCH($A962,'Cover Page'!$H$5:$AJ$5,0)),S$12+1)</f>
        <v>700.69825726606064</v>
      </c>
      <c r="T962" s="27">
        <f>INDEX('Cover Page'!$H$14:$AJ$14,MATCH($A962,'Cover Page'!$H$5:$AJ$5,0))*POWER(1+INDEX('Cover Page'!$H$17:$AJ$17,MATCH($A962,'Cover Page'!$H$5:$AJ$5,0)),T$12+1)</f>
        <v>714.71222241138196</v>
      </c>
      <c r="U962" s="27">
        <f>INDEX('Cover Page'!$H$14:$AJ$14,MATCH($A962,'Cover Page'!$H$5:$AJ$5,0))*POWER(1+INDEX('Cover Page'!$H$17:$AJ$17,MATCH($A962,'Cover Page'!$H$5:$AJ$5,0)),U$12+1)</f>
        <v>729.00646685960965</v>
      </c>
      <c r="V962" s="27">
        <f>INDEX('Cover Page'!$H$14:$AJ$14,MATCH($A962,'Cover Page'!$H$5:$AJ$5,0))*POWER(1+INDEX('Cover Page'!$H$17:$AJ$17,MATCH($A962,'Cover Page'!$H$5:$AJ$5,0)),V$12+1)</f>
        <v>743.58659619680179</v>
      </c>
      <c r="W962" s="27">
        <f>INDEX('Cover Page'!$H$14:$AJ$14,MATCH($A962,'Cover Page'!$H$5:$AJ$5,0))*POWER(1+INDEX('Cover Page'!$H$17:$AJ$17,MATCH($A962,'Cover Page'!$H$5:$AJ$5,0)),W$12+1)</f>
        <v>758.45832812073775</v>
      </c>
      <c r="X962" s="27">
        <f>INDEX('Cover Page'!$H$14:$AJ$14,MATCH($A962,'Cover Page'!$H$5:$AJ$5,0))*POWER(1+INDEX('Cover Page'!$H$17:$AJ$17,MATCH($A962,'Cover Page'!$H$5:$AJ$5,0)),X$12+1)</f>
        <v>773.62749468315258</v>
      </c>
      <c r="Y962" s="27">
        <f>INDEX('Cover Page'!$H$14:$AJ$14,MATCH($A962,'Cover Page'!$H$5:$AJ$5,0))*POWER(1+INDEX('Cover Page'!$H$17:$AJ$17,MATCH($A962,'Cover Page'!$H$5:$AJ$5,0)),Y$12+1)</f>
        <v>789.10004457681566</v>
      </c>
      <c r="Z962" s="27">
        <f>INDEX('Cover Page'!$H$14:$AJ$14,MATCH($A962,'Cover Page'!$H$5:$AJ$5,0))*POWER(1+INDEX('Cover Page'!$H$17:$AJ$17,MATCH($A962,'Cover Page'!$H$5:$AJ$5,0)),Z$12+1)</f>
        <v>804.88204546835198</v>
      </c>
      <c r="AA962" s="27"/>
      <c r="AB962" s="27"/>
      <c r="AC962" s="27"/>
      <c r="AD962" s="27"/>
      <c r="AE962" s="27"/>
      <c r="AF962" s="27"/>
      <c r="AG962" s="27"/>
      <c r="AH962" s="27"/>
      <c r="AI962" s="27"/>
      <c r="AJ962" s="27"/>
    </row>
    <row r="963" spans="1:36" x14ac:dyDescent="0.25">
      <c r="A963" t="s">
        <v>695</v>
      </c>
      <c r="H963" t="s">
        <v>493</v>
      </c>
      <c r="I963" s="65" t="s">
        <v>369</v>
      </c>
      <c r="K963" s="15"/>
      <c r="L963" s="15">
        <f t="shared" ref="L963:AJ963" si="812">L961/EXR*10^6</f>
        <v>1564.1025641025642</v>
      </c>
      <c r="M963" s="15">
        <f t="shared" si="812"/>
        <v>1595.3846153846155</v>
      </c>
      <c r="N963" s="15">
        <f t="shared" si="812"/>
        <v>1627.292307692308</v>
      </c>
      <c r="O963" s="15">
        <f t="shared" si="812"/>
        <v>1659.8381538461538</v>
      </c>
      <c r="P963" s="15">
        <f t="shared" si="812"/>
        <v>1693.0349169230772</v>
      </c>
      <c r="Q963" s="15">
        <f t="shared" si="812"/>
        <v>1726.8956152615385</v>
      </c>
      <c r="R963" s="15">
        <f t="shared" si="812"/>
        <v>1761.4335275667695</v>
      </c>
      <c r="S963" s="15">
        <f t="shared" si="812"/>
        <v>1796.6621981181045</v>
      </c>
      <c r="T963" s="15">
        <f t="shared" si="812"/>
        <v>1832.5954420804667</v>
      </c>
      <c r="U963" s="15">
        <f t="shared" si="812"/>
        <v>1869.2473509220761</v>
      </c>
      <c r="V963" s="15">
        <f t="shared" si="812"/>
        <v>1906.6322979405174</v>
      </c>
      <c r="W963" s="15">
        <f t="shared" si="812"/>
        <v>1944.7649438993278</v>
      </c>
      <c r="X963" s="15">
        <f t="shared" si="812"/>
        <v>1983.6602427773144</v>
      </c>
      <c r="Y963" s="15">
        <f t="shared" si="812"/>
        <v>2023.333447632861</v>
      </c>
      <c r="Z963" s="15">
        <f t="shared" si="812"/>
        <v>2063.800116585518</v>
      </c>
      <c r="AA963" s="15"/>
      <c r="AB963" s="15"/>
      <c r="AC963" s="15"/>
      <c r="AD963" s="15"/>
      <c r="AE963" s="15"/>
      <c r="AF963" s="15"/>
      <c r="AG963" s="15"/>
      <c r="AH963" s="15"/>
      <c r="AI963" s="15"/>
      <c r="AJ963" s="15"/>
    </row>
    <row r="964" spans="1:36" x14ac:dyDescent="0.25">
      <c r="A964" t="s">
        <v>695</v>
      </c>
      <c r="H964" t="s">
        <v>493</v>
      </c>
      <c r="I964" s="65" t="s">
        <v>494</v>
      </c>
      <c r="K964" s="15"/>
      <c r="L964" s="15">
        <f t="shared" ref="L964:AJ964" si="813">L962*1000/EXR</f>
        <v>23.46153846153846</v>
      </c>
      <c r="M964" s="15">
        <f t="shared" si="813"/>
        <v>23.930769230769229</v>
      </c>
      <c r="N964" s="15">
        <f t="shared" si="813"/>
        <v>24.409384615384614</v>
      </c>
      <c r="O964" s="15">
        <f t="shared" si="813"/>
        <v>24.897572307692307</v>
      </c>
      <c r="P964" s="15">
        <f t="shared" si="813"/>
        <v>25.395523753846152</v>
      </c>
      <c r="Q964" s="15">
        <f t="shared" si="813"/>
        <v>25.903434228923079</v>
      </c>
      <c r="R964" s="15">
        <f t="shared" si="813"/>
        <v>26.421502913501538</v>
      </c>
      <c r="S964" s="15">
        <f t="shared" si="813"/>
        <v>26.949932971771563</v>
      </c>
      <c r="T964" s="15">
        <f t="shared" si="813"/>
        <v>27.488931631207002</v>
      </c>
      <c r="U964" s="15">
        <f t="shared" si="813"/>
        <v>28.038710263831138</v>
      </c>
      <c r="V964" s="15">
        <f t="shared" si="813"/>
        <v>28.599484469107761</v>
      </c>
      <c r="W964" s="15">
        <f t="shared" si="813"/>
        <v>29.171474158489914</v>
      </c>
      <c r="X964" s="15">
        <f t="shared" si="813"/>
        <v>29.754903641659713</v>
      </c>
      <c r="Y964" s="15">
        <f t="shared" si="813"/>
        <v>30.350001714492912</v>
      </c>
      <c r="Z964" s="15">
        <f t="shared" si="813"/>
        <v>30.957001748782766</v>
      </c>
      <c r="AA964" s="15"/>
      <c r="AB964" s="15"/>
      <c r="AC964" s="15"/>
      <c r="AD964" s="15"/>
      <c r="AE964" s="15"/>
      <c r="AF964" s="15"/>
      <c r="AG964" s="15"/>
      <c r="AH964" s="15"/>
      <c r="AI964" s="15"/>
      <c r="AJ964" s="15"/>
    </row>
    <row r="965" spans="1:36" x14ac:dyDescent="0.25">
      <c r="A965" t="s">
        <v>695</v>
      </c>
    </row>
    <row r="966" spans="1:36" s="16" customFormat="1" x14ac:dyDescent="0.25">
      <c r="A966" s="16" t="s">
        <v>695</v>
      </c>
      <c r="D966" s="16" t="s">
        <v>722</v>
      </c>
      <c r="H966" s="270" t="s">
        <v>497</v>
      </c>
      <c r="I966" s="271" t="str">
        <f>IF($H$9="USD","USD","tr. VND")</f>
        <v>tr. VND</v>
      </c>
      <c r="K966" s="270"/>
      <c r="L966" s="272">
        <f t="shared" ref="L966:AJ966" si="814">IF($H$9="USD",L963*L842/10^3,L961*L842/10^3)</f>
        <v>125948.22451200002</v>
      </c>
      <c r="M966" s="272">
        <f t="shared" si="814"/>
        <v>179854.06460313601</v>
      </c>
      <c r="N966" s="272">
        <f t="shared" si="814"/>
        <v>262073.06556456964</v>
      </c>
      <c r="O966" s="272">
        <f t="shared" si="814"/>
        <v>267314.52687586093</v>
      </c>
      <c r="P966" s="272">
        <f t="shared" si="814"/>
        <v>272660.81741337822</v>
      </c>
      <c r="Q966" s="272">
        <f t="shared" si="814"/>
        <v>278114.03376164578</v>
      </c>
      <c r="R966" s="272">
        <f t="shared" si="814"/>
        <v>283676.31443687872</v>
      </c>
      <c r="S966" s="272">
        <f t="shared" si="814"/>
        <v>289349.8407256162</v>
      </c>
      <c r="T966" s="272">
        <f t="shared" si="814"/>
        <v>295136.83754012862</v>
      </c>
      <c r="U966" s="272">
        <f t="shared" si="814"/>
        <v>301039.57429093117</v>
      </c>
      <c r="V966" s="272">
        <f t="shared" si="814"/>
        <v>307060.36577674979</v>
      </c>
      <c r="W966" s="272">
        <f t="shared" si="814"/>
        <v>313201.57309228473</v>
      </c>
      <c r="X966" s="272">
        <f t="shared" si="814"/>
        <v>319465.60455413046</v>
      </c>
      <c r="Y966" s="272">
        <f t="shared" si="814"/>
        <v>325854.91664521315</v>
      </c>
      <c r="Z966" s="272">
        <f t="shared" si="814"/>
        <v>332372.01497811737</v>
      </c>
      <c r="AA966" s="272"/>
      <c r="AB966" s="272"/>
      <c r="AC966" s="272"/>
      <c r="AD966" s="272"/>
      <c r="AE966" s="272"/>
      <c r="AF966" s="272"/>
      <c r="AG966" s="272"/>
      <c r="AH966" s="272"/>
      <c r="AI966" s="272"/>
      <c r="AJ966" s="272"/>
    </row>
    <row r="967" spans="1:36" x14ac:dyDescent="0.25">
      <c r="A967" t="s">
        <v>695</v>
      </c>
    </row>
    <row r="968" spans="1:36" s="1" customFormat="1" x14ac:dyDescent="0.25">
      <c r="A968" s="1" t="s">
        <v>695</v>
      </c>
      <c r="H968" s="266" t="s">
        <v>495</v>
      </c>
      <c r="I968" s="267" t="str">
        <f>IF($H$9="USD","USD","tr. VND")</f>
        <v>tr. VND</v>
      </c>
      <c r="K968" s="266"/>
      <c r="L968" s="269">
        <f>L966+L882</f>
        <v>-41587.484581160097</v>
      </c>
      <c r="M968" s="269">
        <f t="shared" ref="M968:AJ968" si="815">M966+M882</f>
        <v>-24203.124745893874</v>
      </c>
      <c r="N968" s="269">
        <f t="shared" si="815"/>
        <v>-2442.3487293190847</v>
      </c>
      <c r="O968" s="269">
        <f t="shared" si="815"/>
        <v>-1657.8165101409541</v>
      </c>
      <c r="P968" s="269">
        <f t="shared" si="815"/>
        <v>-869.4345769197098</v>
      </c>
      <c r="Q968" s="269">
        <f t="shared" si="815"/>
        <v>-76.711690885014832</v>
      </c>
      <c r="R968" s="269">
        <f t="shared" si="815"/>
        <v>720.94436410389608</v>
      </c>
      <c r="S968" s="269">
        <f t="shared" si="815"/>
        <v>1524.2382895614137</v>
      </c>
      <c r="T968" s="269">
        <f t="shared" si="815"/>
        <v>2333.9998301192536</v>
      </c>
      <c r="U968" s="269">
        <f t="shared" si="815"/>
        <v>3151.1974671448697</v>
      </c>
      <c r="V968" s="269">
        <f t="shared" si="815"/>
        <v>3976.9533410439035</v>
      </c>
      <c r="W968" s="269">
        <f t="shared" si="815"/>
        <v>4812.5595022165799</v>
      </c>
      <c r="X968" s="269">
        <f t="shared" si="815"/>
        <v>31724.478265023674</v>
      </c>
      <c r="Y968" s="269">
        <f t="shared" si="815"/>
        <v>32584.430780718685</v>
      </c>
      <c r="Z968" s="269">
        <f t="shared" si="815"/>
        <v>33459.313954212412</v>
      </c>
      <c r="AA968" s="269"/>
      <c r="AB968" s="269"/>
      <c r="AC968" s="269"/>
      <c r="AD968" s="269"/>
      <c r="AE968" s="269"/>
      <c r="AF968" s="269"/>
      <c r="AG968" s="269"/>
      <c r="AH968" s="269"/>
      <c r="AI968" s="269"/>
      <c r="AJ968" s="269"/>
    </row>
    <row r="969" spans="1:36" s="146" customFormat="1" x14ac:dyDescent="0.25">
      <c r="A969" s="146" t="s">
        <v>695</v>
      </c>
      <c r="H969" s="146" t="s">
        <v>496</v>
      </c>
      <c r="I969" s="144"/>
      <c r="L969" s="147">
        <f>IFERROR(L968/L966,0)</f>
        <v>-0.33019508406962694</v>
      </c>
      <c r="M969" s="147">
        <f t="shared" ref="M969:AJ969" si="816">IFERROR(M968/M966,0)</f>
        <v>-0.13457090780405892</v>
      </c>
      <c r="N969" s="147">
        <f t="shared" si="816"/>
        <v>-9.319342772053537E-3</v>
      </c>
      <c r="O969" s="147">
        <f t="shared" si="816"/>
        <v>-6.2017449239144149E-3</v>
      </c>
      <c r="P969" s="147">
        <f t="shared" si="816"/>
        <v>-3.1887037718425419E-3</v>
      </c>
      <c r="Q969" s="147">
        <f t="shared" si="816"/>
        <v>-2.75828191218713E-4</v>
      </c>
      <c r="R969" s="147">
        <f t="shared" si="816"/>
        <v>2.5414330608991135E-3</v>
      </c>
      <c r="S969" s="147">
        <f t="shared" si="816"/>
        <v>5.267804142345507E-3</v>
      </c>
      <c r="T969" s="147">
        <f t="shared" si="816"/>
        <v>7.9081955664104739E-3</v>
      </c>
      <c r="U969" s="147">
        <f t="shared" si="816"/>
        <v>1.0467718320978902E-2</v>
      </c>
      <c r="V969" s="147">
        <f t="shared" si="816"/>
        <v>1.2951698702578153E-2</v>
      </c>
      <c r="W969" s="147">
        <f t="shared" si="816"/>
        <v>1.5365693903454825E-2</v>
      </c>
      <c r="X969" s="147">
        <f t="shared" si="816"/>
        <v>9.9304832234758653E-2</v>
      </c>
      <c r="Y969" s="147">
        <f t="shared" si="816"/>
        <v>9.9996744306289589E-2</v>
      </c>
      <c r="Z969" s="147">
        <f t="shared" si="816"/>
        <v>0.1006682646143217</v>
      </c>
      <c r="AA969" s="147"/>
      <c r="AB969" s="147"/>
      <c r="AC969" s="147"/>
      <c r="AD969" s="147"/>
      <c r="AE969" s="147"/>
      <c r="AF969" s="147"/>
      <c r="AG969" s="147"/>
      <c r="AH969" s="147"/>
      <c r="AI969" s="147"/>
      <c r="AJ969" s="147"/>
    </row>
    <row r="970" spans="1:36" x14ac:dyDescent="0.25">
      <c r="A970" t="s">
        <v>695</v>
      </c>
    </row>
    <row r="971" spans="1:36" s="16" customFormat="1" x14ac:dyDescent="0.25">
      <c r="A971" s="16" t="s">
        <v>695</v>
      </c>
      <c r="D971" s="16" t="s">
        <v>488</v>
      </c>
      <c r="H971" s="270" t="s">
        <v>488</v>
      </c>
      <c r="I971" s="271" t="str">
        <f>IF($H$9="USD","USD","tr. VND")</f>
        <v>tr. VND</v>
      </c>
      <c r="K971" s="270"/>
      <c r="L971" s="272">
        <f t="shared" ref="L971:AJ971" si="817">L968*(1-Tax_rate)</f>
        <v>-33269.987664928078</v>
      </c>
      <c r="M971" s="272">
        <f t="shared" si="817"/>
        <v>-19362.499796715099</v>
      </c>
      <c r="N971" s="272">
        <f t="shared" si="817"/>
        <v>-1953.8789834552679</v>
      </c>
      <c r="O971" s="272">
        <f t="shared" si="817"/>
        <v>-1326.2532081127633</v>
      </c>
      <c r="P971" s="272">
        <f t="shared" si="817"/>
        <v>-695.54766153576793</v>
      </c>
      <c r="Q971" s="272">
        <f t="shared" si="817"/>
        <v>-61.369352708011867</v>
      </c>
      <c r="R971" s="272">
        <f t="shared" si="817"/>
        <v>576.75549128311684</v>
      </c>
      <c r="S971" s="272">
        <f t="shared" si="817"/>
        <v>1219.3906316491309</v>
      </c>
      <c r="T971" s="272">
        <f t="shared" si="817"/>
        <v>1867.199864095403</v>
      </c>
      <c r="U971" s="272">
        <f t="shared" si="817"/>
        <v>2520.9579737158961</v>
      </c>
      <c r="V971" s="272">
        <f t="shared" si="817"/>
        <v>3181.5626728351231</v>
      </c>
      <c r="W971" s="272">
        <f t="shared" si="817"/>
        <v>3850.047601773264</v>
      </c>
      <c r="X971" s="272">
        <f t="shared" si="817"/>
        <v>25379.582612018941</v>
      </c>
      <c r="Y971" s="272">
        <f t="shared" si="817"/>
        <v>26067.544624574948</v>
      </c>
      <c r="Z971" s="272">
        <f t="shared" si="817"/>
        <v>26767.451163369929</v>
      </c>
      <c r="AA971" s="272"/>
      <c r="AB971" s="272"/>
      <c r="AC971" s="272"/>
      <c r="AD971" s="272"/>
      <c r="AE971" s="272"/>
      <c r="AF971" s="272"/>
      <c r="AG971" s="272"/>
      <c r="AH971" s="272"/>
      <c r="AI971" s="272"/>
      <c r="AJ971" s="272"/>
    </row>
    <row r="972" spans="1:36" s="146" customFormat="1" x14ac:dyDescent="0.25">
      <c r="A972" s="146" t="s">
        <v>695</v>
      </c>
      <c r="H972" s="146" t="s">
        <v>489</v>
      </c>
      <c r="I972" s="144"/>
      <c r="L972" s="147">
        <f>IFERROR(L971/L966,0)</f>
        <v>-0.26415606725570157</v>
      </c>
      <c r="M972" s="147">
        <f t="shared" ref="M972:AJ972" si="818">IFERROR(M971/M966,0)</f>
        <v>-0.10765672624324714</v>
      </c>
      <c r="N972" s="147">
        <f t="shared" si="818"/>
        <v>-7.4554742176428301E-3</v>
      </c>
      <c r="O972" s="147">
        <f t="shared" si="818"/>
        <v>-4.9613959391315325E-3</v>
      </c>
      <c r="P972" s="147">
        <f t="shared" si="818"/>
        <v>-2.5509630174740342E-3</v>
      </c>
      <c r="Q972" s="147">
        <f t="shared" si="818"/>
        <v>-2.2066255297497039E-4</v>
      </c>
      <c r="R972" s="147">
        <f t="shared" si="818"/>
        <v>2.0331464487192909E-3</v>
      </c>
      <c r="S972" s="147">
        <f t="shared" si="818"/>
        <v>4.2142433138764052E-3</v>
      </c>
      <c r="T972" s="147">
        <f t="shared" si="818"/>
        <v>6.32655645312838E-3</v>
      </c>
      <c r="U972" s="147">
        <f t="shared" si="818"/>
        <v>8.3741746567831225E-3</v>
      </c>
      <c r="V972" s="147">
        <f t="shared" si="818"/>
        <v>1.0361358962062523E-2</v>
      </c>
      <c r="W972" s="147">
        <f t="shared" si="818"/>
        <v>1.229255512276386E-2</v>
      </c>
      <c r="X972" s="147">
        <f t="shared" si="818"/>
        <v>7.9443865787806919E-2</v>
      </c>
      <c r="Y972" s="147">
        <f t="shared" si="818"/>
        <v>7.9997395445031663E-2</v>
      </c>
      <c r="Z972" s="147">
        <f t="shared" si="818"/>
        <v>8.0534611691457356E-2</v>
      </c>
      <c r="AA972" s="147"/>
      <c r="AB972" s="147"/>
      <c r="AC972" s="147"/>
      <c r="AD972" s="147"/>
      <c r="AE972" s="147"/>
      <c r="AF972" s="147"/>
      <c r="AG972" s="147"/>
      <c r="AH972" s="147"/>
      <c r="AI972" s="147"/>
      <c r="AJ972" s="147"/>
    </row>
    <row r="973" spans="1:36" x14ac:dyDescent="0.25">
      <c r="A973" t="s">
        <v>695</v>
      </c>
    </row>
    <row r="974" spans="1:36" s="16" customFormat="1" x14ac:dyDescent="0.25">
      <c r="A974" s="16" t="s">
        <v>695</v>
      </c>
      <c r="H974" s="270" t="s">
        <v>477</v>
      </c>
      <c r="I974" s="271" t="str">
        <f>IF($H$9="USD","USD","tr. VND")</f>
        <v>tr. VND</v>
      </c>
      <c r="K974" s="272">
        <f>SUM(K976:K979)</f>
        <v>-450749.80000000005</v>
      </c>
      <c r="L974" s="272">
        <f t="shared" ref="L974:AJ974" si="819">SUM(L976:L979)</f>
        <v>0</v>
      </c>
      <c r="M974" s="272">
        <f t="shared" si="819"/>
        <v>0</v>
      </c>
      <c r="N974" s="272">
        <f t="shared" si="819"/>
        <v>0</v>
      </c>
      <c r="O974" s="272">
        <f t="shared" si="819"/>
        <v>0</v>
      </c>
      <c r="P974" s="272">
        <f t="shared" si="819"/>
        <v>0</v>
      </c>
      <c r="Q974" s="272">
        <f t="shared" si="819"/>
        <v>0</v>
      </c>
      <c r="R974" s="272">
        <f t="shared" si="819"/>
        <v>0</v>
      </c>
      <c r="S974" s="272">
        <f t="shared" si="819"/>
        <v>0</v>
      </c>
      <c r="T974" s="272">
        <f t="shared" si="819"/>
        <v>0</v>
      </c>
      <c r="U974" s="272">
        <f t="shared" si="819"/>
        <v>0</v>
      </c>
      <c r="V974" s="272">
        <f t="shared" si="819"/>
        <v>0</v>
      </c>
      <c r="W974" s="272">
        <f t="shared" si="819"/>
        <v>0</v>
      </c>
      <c r="X974" s="272">
        <f t="shared" si="819"/>
        <v>0</v>
      </c>
      <c r="Y974" s="272">
        <f t="shared" si="819"/>
        <v>0</v>
      </c>
      <c r="Z974" s="272">
        <f t="shared" si="819"/>
        <v>0</v>
      </c>
      <c r="AA974" s="272"/>
      <c r="AB974" s="272"/>
      <c r="AC974" s="272"/>
      <c r="AD974" s="272"/>
      <c r="AE974" s="272"/>
      <c r="AF974" s="272"/>
      <c r="AG974" s="272"/>
      <c r="AH974" s="272"/>
      <c r="AI974" s="272"/>
      <c r="AJ974" s="272"/>
    </row>
    <row r="975" spans="1:36" x14ac:dyDescent="0.25">
      <c r="A975" t="s">
        <v>695</v>
      </c>
    </row>
    <row r="976" spans="1:36" x14ac:dyDescent="0.25">
      <c r="A976" t="s">
        <v>695</v>
      </c>
      <c r="B976" t="s">
        <v>480</v>
      </c>
      <c r="H976" s="459" t="s">
        <v>30</v>
      </c>
      <c r="I976" s="493" t="str">
        <f t="shared" ref="I976:I979" si="820">IF($H$9="USD","USD","tr. VND")</f>
        <v>tr. VND</v>
      </c>
      <c r="K976" s="461" cm="1">
        <f t="array" ref="K976">-SUMPRODUCT('W1'!$H$10:$BC$60*('W1'!$A$10:$A$60=$B976)*('W1'!$H$7:$BC$7="Giá trị đầu tư")*('W1'!$H$6:$BC$6=$A976))*$H$10</f>
        <v>-246389.00000000003</v>
      </c>
      <c r="L976" s="461"/>
      <c r="M976" s="461"/>
      <c r="N976" s="461"/>
      <c r="O976" s="461"/>
      <c r="P976" s="461"/>
      <c r="Q976" s="461"/>
      <c r="R976" s="461"/>
      <c r="S976" s="461"/>
      <c r="T976" s="461"/>
      <c r="U976" s="461"/>
      <c r="V976" s="461"/>
      <c r="W976" s="461"/>
      <c r="X976" s="461"/>
      <c r="Y976" s="461"/>
      <c r="Z976" s="461"/>
      <c r="AA976" s="461"/>
      <c r="AB976" s="461"/>
      <c r="AC976" s="461"/>
      <c r="AD976" s="461"/>
      <c r="AE976" s="461"/>
      <c r="AF976" s="461"/>
      <c r="AG976" s="461"/>
      <c r="AH976" s="461"/>
      <c r="AI976" s="461"/>
      <c r="AJ976" s="461"/>
    </row>
    <row r="977" spans="1:36" x14ac:dyDescent="0.25">
      <c r="A977" t="s">
        <v>695</v>
      </c>
      <c r="B977" t="s">
        <v>481</v>
      </c>
      <c r="H977" s="454" t="s">
        <v>32</v>
      </c>
      <c r="I977" s="496" t="str">
        <f t="shared" si="820"/>
        <v>tr. VND</v>
      </c>
      <c r="K977" s="457" cm="1">
        <f t="array" ref="K977">-SUMPRODUCT('W1'!$H$10:$BC$60*('W1'!$A$10:$A$60=$B977)*('W1'!$H$7:$BC$7="Giá trị đầu tư")*('W1'!$H$6:$BC$6=$A977))*$H$10</f>
        <v>-38110.799999999996</v>
      </c>
      <c r="L977" s="457"/>
      <c r="M977" s="457"/>
      <c r="N977" s="457"/>
      <c r="O977" s="457"/>
      <c r="P977" s="457"/>
      <c r="Q977" s="457"/>
      <c r="R977" s="457"/>
      <c r="S977" s="457"/>
      <c r="T977" s="457"/>
      <c r="U977" s="457"/>
      <c r="V977" s="457"/>
      <c r="W977" s="457"/>
      <c r="X977" s="457"/>
      <c r="Y977" s="457"/>
      <c r="Z977" s="457"/>
      <c r="AA977" s="457"/>
      <c r="AB977" s="457"/>
      <c r="AC977" s="457"/>
      <c r="AD977" s="457"/>
      <c r="AE977" s="457"/>
      <c r="AF977" s="457"/>
      <c r="AG977" s="457"/>
      <c r="AH977" s="457"/>
      <c r="AI977" s="457"/>
      <c r="AJ977" s="457"/>
    </row>
    <row r="978" spans="1:36" x14ac:dyDescent="0.25">
      <c r="A978" t="s">
        <v>695</v>
      </c>
      <c r="B978" t="s">
        <v>482</v>
      </c>
      <c r="H978" s="454" t="s">
        <v>478</v>
      </c>
      <c r="I978" s="496" t="str">
        <f t="shared" si="820"/>
        <v>tr. VND</v>
      </c>
      <c r="K978" s="457" cm="1">
        <f t="array" ref="K978">-SUMPRODUCT('W1'!$H$10:$BC$60*('W1'!$A$10:$A$60=$B978)*('W1'!$H$7:$BC$7="Giá trị đầu tư")*('W1'!$H$6:$BC$6=$A978))*$H$10</f>
        <v>-150000</v>
      </c>
      <c r="L978" s="457"/>
      <c r="M978" s="457"/>
      <c r="N978" s="457"/>
      <c r="O978" s="457"/>
      <c r="P978" s="457"/>
      <c r="Q978" s="457"/>
      <c r="R978" s="457"/>
      <c r="S978" s="457"/>
      <c r="T978" s="457"/>
      <c r="U978" s="457"/>
      <c r="V978" s="457"/>
      <c r="W978" s="457"/>
      <c r="X978" s="457"/>
      <c r="Y978" s="457"/>
      <c r="Z978" s="457"/>
      <c r="AA978" s="457"/>
      <c r="AB978" s="457"/>
      <c r="AC978" s="457"/>
      <c r="AD978" s="457"/>
      <c r="AE978" s="457"/>
      <c r="AF978" s="457"/>
      <c r="AG978" s="457"/>
      <c r="AH978" s="457"/>
      <c r="AI978" s="457"/>
      <c r="AJ978" s="457"/>
    </row>
    <row r="979" spans="1:36" x14ac:dyDescent="0.25">
      <c r="A979" t="s">
        <v>695</v>
      </c>
      <c r="B979" t="s">
        <v>483</v>
      </c>
      <c r="H979" s="454" t="s">
        <v>479</v>
      </c>
      <c r="I979" s="496" t="str">
        <f t="shared" si="820"/>
        <v>tr. VND</v>
      </c>
      <c r="K979" s="457" cm="1">
        <f t="array" ref="K979">-SUMPRODUCT('W1'!$H$10:$BC$60*('W1'!$A$10:$A$60=$B979)*('W1'!$H$7:$BC$7="Giá trị đầu tư")*('W1'!$H$6:$BC$6=$A979))*$H$10</f>
        <v>-16250</v>
      </c>
      <c r="L979" s="457"/>
      <c r="M979" s="457"/>
      <c r="N979" s="457"/>
      <c r="O979" s="457"/>
      <c r="P979" s="457"/>
      <c r="Q979" s="457"/>
      <c r="R979" s="457"/>
      <c r="S979" s="457"/>
      <c r="T979" s="457"/>
      <c r="U979" s="457"/>
      <c r="V979" s="457"/>
      <c r="W979" s="457"/>
      <c r="X979" s="457"/>
      <c r="Y979" s="457"/>
      <c r="Z979" s="457"/>
      <c r="AA979" s="457"/>
      <c r="AB979" s="457"/>
      <c r="AC979" s="457"/>
      <c r="AD979" s="457"/>
      <c r="AE979" s="457"/>
      <c r="AF979" s="457"/>
      <c r="AG979" s="457"/>
      <c r="AH979" s="457"/>
      <c r="AI979" s="457"/>
      <c r="AJ979" s="457"/>
    </row>
    <row r="980" spans="1:36" x14ac:dyDescent="0.25">
      <c r="A980" t="s">
        <v>695</v>
      </c>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row>
    <row r="981" spans="1:36" s="16" customFormat="1" x14ac:dyDescent="0.25">
      <c r="A981" s="16" t="s">
        <v>695</v>
      </c>
      <c r="H981" s="270" t="s">
        <v>498</v>
      </c>
      <c r="I981" s="271" t="str">
        <f>IF($H$9="USD","USD","tr. VND")</f>
        <v>tr. VND</v>
      </c>
      <c r="K981" s="272">
        <f>K974</f>
        <v>-450749.80000000005</v>
      </c>
      <c r="L981" s="272">
        <f t="shared" ref="L981:AJ981" si="821">L966+L882-(L854+L880)</f>
        <v>11561.73895217324</v>
      </c>
      <c r="M981" s="272">
        <f t="shared" si="821"/>
        <v>28067.165250311831</v>
      </c>
      <c r="N981" s="272">
        <f t="shared" si="821"/>
        <v>48887.482382160051</v>
      </c>
      <c r="O981" s="272">
        <f t="shared" si="821"/>
        <v>48665.723594680749</v>
      </c>
      <c r="P981" s="272">
        <f t="shared" si="821"/>
        <v>48377.374150778545</v>
      </c>
      <c r="Q981" s="272">
        <f t="shared" si="821"/>
        <v>48017.99446329115</v>
      </c>
      <c r="R981" s="272">
        <f t="shared" si="821"/>
        <v>47582.900764611426</v>
      </c>
      <c r="S981" s="272">
        <f t="shared" si="821"/>
        <v>47067.152453643503</v>
      </c>
      <c r="T981" s="272">
        <f t="shared" si="821"/>
        <v>46465.538801226125</v>
      </c>
      <c r="U981" s="272">
        <f t="shared" si="821"/>
        <v>45772.56498176825</v>
      </c>
      <c r="V981" s="272">
        <f t="shared" si="821"/>
        <v>44982.437397229951</v>
      </c>
      <c r="W981" s="272">
        <f t="shared" si="821"/>
        <v>44089.048257874689</v>
      </c>
      <c r="X981" s="272">
        <f t="shared" si="821"/>
        <v>44088.458715783549</v>
      </c>
      <c r="Y981" s="272">
        <f t="shared" si="821"/>
        <v>42968.884511904114</v>
      </c>
      <c r="Z981" s="272">
        <f t="shared" si="821"/>
        <v>41725.674095453185</v>
      </c>
      <c r="AA981" s="272"/>
      <c r="AB981" s="272"/>
      <c r="AC981" s="272"/>
      <c r="AD981" s="272"/>
      <c r="AE981" s="272"/>
      <c r="AF981" s="272"/>
      <c r="AG981" s="272"/>
      <c r="AH981" s="272"/>
      <c r="AI981" s="272"/>
      <c r="AJ981" s="272"/>
    </row>
    <row r="982" spans="1:36" x14ac:dyDescent="0.25">
      <c r="A982" t="s">
        <v>695</v>
      </c>
      <c r="H982" t="s">
        <v>292</v>
      </c>
      <c r="I982" s="65" t="str">
        <f t="shared" ref="I982:I989" si="822">IF($H$9="USD","USD","tr. VND")</f>
        <v>tr. VND</v>
      </c>
      <c r="L982" s="15">
        <f>-(L981+L854)*Tax_rate</f>
        <v>3900.1488762320187</v>
      </c>
      <c r="M982" s="15">
        <f t="shared" ref="M982:AJ982" si="823">-(M981+M854)*Tax_rate</f>
        <v>599.06361660430048</v>
      </c>
      <c r="N982" s="15">
        <f t="shared" si="823"/>
        <v>-3564.9998097653438</v>
      </c>
      <c r="O982" s="15">
        <f t="shared" si="823"/>
        <v>-3520.6480522694833</v>
      </c>
      <c r="P982" s="15">
        <f t="shared" si="823"/>
        <v>-3462.9781634890423</v>
      </c>
      <c r="Q982" s="15">
        <f t="shared" si="823"/>
        <v>-3391.1022259915635</v>
      </c>
      <c r="R982" s="15">
        <f t="shared" si="823"/>
        <v>-3304.0834862556185</v>
      </c>
      <c r="S982" s="15">
        <f t="shared" si="823"/>
        <v>-3200.9338240620341</v>
      </c>
      <c r="T982" s="15">
        <f t="shared" si="823"/>
        <v>-3080.6110935785582</v>
      </c>
      <c r="U982" s="15">
        <f t="shared" si="823"/>
        <v>-2942.0163296869832</v>
      </c>
      <c r="V982" s="15">
        <f t="shared" si="823"/>
        <v>-2783.9908127793237</v>
      </c>
      <c r="W982" s="15">
        <f t="shared" si="823"/>
        <v>-2605.3129849082711</v>
      </c>
      <c r="X982" s="15">
        <f t="shared" si="823"/>
        <v>-7617.6917431567099</v>
      </c>
      <c r="Y982" s="15">
        <f t="shared" si="823"/>
        <v>-7393.7769023808232</v>
      </c>
      <c r="Z982" s="15">
        <f t="shared" si="823"/>
        <v>-7145.1348190906374</v>
      </c>
      <c r="AA982" s="15"/>
      <c r="AB982" s="15"/>
      <c r="AC982" s="15"/>
      <c r="AD982" s="15"/>
      <c r="AE982" s="15"/>
      <c r="AF982" s="15"/>
      <c r="AG982" s="15"/>
      <c r="AH982" s="15"/>
      <c r="AI982" s="15"/>
      <c r="AJ982" s="15"/>
    </row>
    <row r="983" spans="1:36" s="16" customFormat="1" x14ac:dyDescent="0.25">
      <c r="A983" s="16" t="s">
        <v>695</v>
      </c>
      <c r="H983" s="270" t="s">
        <v>499</v>
      </c>
      <c r="I983" s="271" t="str">
        <f t="shared" si="822"/>
        <v>tr. VND</v>
      </c>
      <c r="K983" s="272">
        <f>K981+K982</f>
        <v>-450749.80000000005</v>
      </c>
      <c r="L983" s="272">
        <f t="shared" ref="L983:AJ983" si="824">L981+L982</f>
        <v>15461.887828405259</v>
      </c>
      <c r="M983" s="272">
        <f t="shared" si="824"/>
        <v>28666.228866916132</v>
      </c>
      <c r="N983" s="272">
        <f t="shared" si="824"/>
        <v>45322.482572394707</v>
      </c>
      <c r="O983" s="272">
        <f t="shared" si="824"/>
        <v>45145.075542411265</v>
      </c>
      <c r="P983" s="272">
        <f t="shared" si="824"/>
        <v>44914.395987289507</v>
      </c>
      <c r="Q983" s="272">
        <f t="shared" si="824"/>
        <v>44626.892237299588</v>
      </c>
      <c r="R983" s="272">
        <f t="shared" si="824"/>
        <v>44278.817278355811</v>
      </c>
      <c r="S983" s="272">
        <f t="shared" si="824"/>
        <v>43866.218629581468</v>
      </c>
      <c r="T983" s="272">
        <f t="shared" si="824"/>
        <v>43384.92770764757</v>
      </c>
      <c r="U983" s="272">
        <f t="shared" si="824"/>
        <v>42830.54865208127</v>
      </c>
      <c r="V983" s="272">
        <f t="shared" si="824"/>
        <v>42198.446584450627</v>
      </c>
      <c r="W983" s="272">
        <f t="shared" si="824"/>
        <v>41483.73527296642</v>
      </c>
      <c r="X983" s="272">
        <f t="shared" si="824"/>
        <v>36470.766972626836</v>
      </c>
      <c r="Y983" s="272">
        <f t="shared" si="824"/>
        <v>35575.107609523293</v>
      </c>
      <c r="Z983" s="272">
        <f t="shared" si="824"/>
        <v>34580.53927636255</v>
      </c>
      <c r="AA983" s="272"/>
      <c r="AB983" s="272"/>
      <c r="AC983" s="272"/>
      <c r="AD983" s="272"/>
      <c r="AE983" s="272"/>
      <c r="AF983" s="272"/>
      <c r="AG983" s="272"/>
      <c r="AH983" s="272"/>
      <c r="AI983" s="272"/>
      <c r="AJ983" s="272"/>
    </row>
    <row r="984" spans="1:36" x14ac:dyDescent="0.25">
      <c r="A984" t="s">
        <v>695</v>
      </c>
      <c r="H984" t="s">
        <v>500</v>
      </c>
      <c r="K984" s="95">
        <f>INDEX('Cover Page'!$H$23:$AJ$23,MATCH($A984,'Cover Page'!$H$5:$AJ$5,0))</f>
        <v>7.2660000000000016E-2</v>
      </c>
    </row>
    <row r="985" spans="1:36" s="16" customFormat="1" x14ac:dyDescent="0.25">
      <c r="A985" s="16" t="s">
        <v>695</v>
      </c>
      <c r="D985" s="16" t="s">
        <v>515</v>
      </c>
      <c r="H985" s="270" t="s">
        <v>501</v>
      </c>
      <c r="I985" s="271" t="str">
        <f t="shared" si="822"/>
        <v>tr. VND</v>
      </c>
      <c r="K985" s="272">
        <f>K983/POWER(1+$K984,K$14)</f>
        <v>-450749.80000000005</v>
      </c>
      <c r="L985" s="272">
        <f t="shared" ref="L985:AJ985" si="825">L983/POWER(1+$K984,L$14)</f>
        <v>14414.528208756978</v>
      </c>
      <c r="M985" s="272">
        <f t="shared" si="825"/>
        <v>24914.16820085689</v>
      </c>
      <c r="N985" s="272">
        <f t="shared" si="825"/>
        <v>36722.093581367728</v>
      </c>
      <c r="O985" s="272">
        <f t="shared" si="825"/>
        <v>34100.601577984198</v>
      </c>
      <c r="P985" s="272">
        <f t="shared" si="825"/>
        <v>31628.247909583304</v>
      </c>
      <c r="Q985" s="272">
        <f t="shared" si="825"/>
        <v>29297.065962883011</v>
      </c>
      <c r="R985" s="272">
        <f t="shared" si="825"/>
        <v>27099.508292229941</v>
      </c>
      <c r="S985" s="272">
        <f t="shared" si="825"/>
        <v>25028.424470583137</v>
      </c>
      <c r="T985" s="272">
        <f t="shared" si="825"/>
        <v>23077.040127291068</v>
      </c>
      <c r="U985" s="272">
        <f t="shared" si="825"/>
        <v>21238.937107810074</v>
      </c>
      <c r="V985" s="272">
        <f t="shared" si="825"/>
        <v>19508.034694141545</v>
      </c>
      <c r="W985" s="272">
        <f t="shared" si="825"/>
        <v>17878.571828179611</v>
      </c>
      <c r="X985" s="272">
        <f t="shared" si="825"/>
        <v>14653.378920145984</v>
      </c>
      <c r="Y985" s="272">
        <f t="shared" si="825"/>
        <v>13325.300761834187</v>
      </c>
      <c r="Z985" s="272">
        <f t="shared" si="825"/>
        <v>12075.370744366452</v>
      </c>
      <c r="AA985" s="272"/>
      <c r="AB985" s="272"/>
      <c r="AC985" s="272"/>
      <c r="AD985" s="272"/>
      <c r="AE985" s="272"/>
      <c r="AF985" s="272"/>
      <c r="AG985" s="272"/>
      <c r="AH985" s="272"/>
      <c r="AI985" s="272"/>
      <c r="AJ985" s="272"/>
    </row>
    <row r="986" spans="1:36" x14ac:dyDescent="0.25">
      <c r="A986" t="s">
        <v>695</v>
      </c>
      <c r="H986" t="s">
        <v>503</v>
      </c>
      <c r="I986" s="65" t="str">
        <f t="shared" si="822"/>
        <v>tr. VND</v>
      </c>
      <c r="K986" s="15">
        <f>SUM($K985:K985)</f>
        <v>-450749.80000000005</v>
      </c>
      <c r="L986" s="15">
        <f>SUM($K985:L985)</f>
        <v>-436335.27179124305</v>
      </c>
      <c r="M986" s="15">
        <f>SUM($K985:M985)</f>
        <v>-411421.10359038616</v>
      </c>
      <c r="N986" s="15">
        <f>SUM($K985:N985)</f>
        <v>-374699.01000901841</v>
      </c>
      <c r="O986" s="15">
        <f>SUM($K985:O985)</f>
        <v>-340598.40843103419</v>
      </c>
      <c r="P986" s="15">
        <f>SUM($K985:P985)</f>
        <v>-308970.16052145086</v>
      </c>
      <c r="Q986" s="15">
        <f>SUM($K985:Q985)</f>
        <v>-279673.09455856786</v>
      </c>
      <c r="R986" s="15">
        <f>SUM($K985:R985)</f>
        <v>-252573.58626633792</v>
      </c>
      <c r="S986" s="15">
        <f>SUM($K985:S985)</f>
        <v>-227545.1617957548</v>
      </c>
      <c r="T986" s="15">
        <f>SUM($K985:T985)</f>
        <v>-204468.12166846375</v>
      </c>
      <c r="U986" s="15">
        <f>SUM($K985:U985)</f>
        <v>-183229.18456065367</v>
      </c>
      <c r="V986" s="15">
        <f>SUM($K985:V985)</f>
        <v>-163721.14986651213</v>
      </c>
      <c r="W986" s="15">
        <f>SUM($K985:W985)</f>
        <v>-145842.57803833252</v>
      </c>
      <c r="X986" s="15">
        <f>SUM($K985:X985)</f>
        <v>-131189.19911818655</v>
      </c>
      <c r="Y986" s="15">
        <f>SUM($K985:Y985)</f>
        <v>-117863.89835635235</v>
      </c>
      <c r="Z986" s="15">
        <f>SUM($K985:Z985)</f>
        <v>-105788.5276119859</v>
      </c>
      <c r="AA986" s="15"/>
      <c r="AB986" s="15"/>
      <c r="AC986" s="15"/>
      <c r="AD986" s="15"/>
      <c r="AE986" s="15"/>
      <c r="AF986" s="15"/>
      <c r="AG986" s="15"/>
      <c r="AH986" s="15"/>
      <c r="AI986" s="15"/>
      <c r="AJ986" s="15"/>
    </row>
    <row r="987" spans="1:36" x14ac:dyDescent="0.25">
      <c r="A987" t="s">
        <v>695</v>
      </c>
    </row>
    <row r="988" spans="1:36" ht="15.75" thickBot="1" x14ac:dyDescent="0.3">
      <c r="A988" t="s">
        <v>695</v>
      </c>
    </row>
    <row r="989" spans="1:36" x14ac:dyDescent="0.25">
      <c r="A989" t="s">
        <v>695</v>
      </c>
      <c r="D989" t="s">
        <v>544</v>
      </c>
      <c r="H989" s="96" t="s">
        <v>401</v>
      </c>
      <c r="I989" s="310" t="str">
        <f t="shared" si="822"/>
        <v>tr. VND</v>
      </c>
      <c r="J989" s="311"/>
      <c r="K989" s="97">
        <f>SUM(K985:AJ985)</f>
        <v>-105788.5276119859</v>
      </c>
      <c r="L989" s="263"/>
      <c r="M989" s="70"/>
      <c r="N989" s="70"/>
    </row>
    <row r="990" spans="1:36" x14ac:dyDescent="0.25">
      <c r="A990" t="s">
        <v>695</v>
      </c>
      <c r="D990" t="s">
        <v>516</v>
      </c>
      <c r="H990" s="212" t="s">
        <v>402</v>
      </c>
      <c r="I990" s="255"/>
      <c r="J990" s="48"/>
      <c r="K990" s="314">
        <f>IFERROR(IRR(K983:AJ983),0)</f>
        <v>3.4366044105067273E-2</v>
      </c>
    </row>
    <row r="991" spans="1:36" ht="15.75" thickBot="1" x14ac:dyDescent="0.3">
      <c r="A991" t="s">
        <v>695</v>
      </c>
      <c r="D991" t="s">
        <v>517</v>
      </c>
      <c r="H991" s="98" t="s">
        <v>403</v>
      </c>
      <c r="I991" s="312" t="s">
        <v>290</v>
      </c>
      <c r="J991" s="313"/>
      <c r="K991" s="315" cm="1">
        <f t="array" ref="K991">ROUNDUP(IF(K989&lt;0,0,INDEX(K$14:AJ$14,,MATCH(_xlfn.MINIFS(K986:AJ986,K986:AJ986,"&gt;"&amp;0),K986:AJ986))-1-INDEX(K986:AJ986,,MATCH(_xlfn.MINIFS(K986:AJ986,K986:AJ986,"&gt;"&amp;0),K986:AJ986)-1)/INDEX(K985:AJ985,,MATCH(_xlfn.MINIFS(K986:AJ986,K986:AJ986,"&gt;"&amp;0),K986:AJ986))),1)</f>
        <v>0</v>
      </c>
    </row>
    <row r="992" spans="1:36" x14ac:dyDescent="0.25">
      <c r="A992" t="s">
        <v>695</v>
      </c>
      <c r="H992" s="316" t="str">
        <f>INT(K991)&amp;" năm"&amp;IF(MOD(K991,1)*12=0,," "&amp;TEXT(MOD(K991,1)*12,"00")&amp;" tháng")</f>
        <v>0 năm</v>
      </c>
    </row>
    <row r="993" spans="1:36" x14ac:dyDescent="0.25">
      <c r="A993" t="s">
        <v>695</v>
      </c>
    </row>
    <row r="994" spans="1:36" x14ac:dyDescent="0.25">
      <c r="A994" t="s">
        <v>695</v>
      </c>
    </row>
    <row r="995" spans="1:36" s="304" customFormat="1" x14ac:dyDescent="0.25">
      <c r="I995" s="305"/>
    </row>
    <row r="996" spans="1:36" s="631" customFormat="1" ht="19.5" x14ac:dyDescent="0.3">
      <c r="A996" s="631" t="s">
        <v>859</v>
      </c>
      <c r="H996" s="632" t="s">
        <v>859</v>
      </c>
      <c r="K996" s="633"/>
      <c r="L996" s="633"/>
      <c r="M996" s="633"/>
      <c r="N996" s="633"/>
      <c r="O996" s="633"/>
      <c r="P996" s="633"/>
      <c r="Q996" s="633"/>
      <c r="R996" s="633"/>
      <c r="S996" s="633"/>
      <c r="T996" s="633"/>
      <c r="U996" s="633"/>
      <c r="V996" s="633"/>
      <c r="W996" s="633"/>
      <c r="X996" s="633"/>
      <c r="Y996" s="633"/>
      <c r="Z996" s="633"/>
      <c r="AA996" s="633"/>
      <c r="AB996" s="633"/>
      <c r="AC996" s="633"/>
      <c r="AD996" s="633"/>
      <c r="AE996" s="633"/>
      <c r="AF996" s="633"/>
      <c r="AG996" s="633"/>
      <c r="AH996" s="633"/>
      <c r="AI996" s="633"/>
      <c r="AJ996" s="633"/>
    </row>
    <row r="997" spans="1:36" x14ac:dyDescent="0.25">
      <c r="A997" t="s">
        <v>859</v>
      </c>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row>
    <row r="998" spans="1:36" s="24" customFormat="1" ht="17.25" x14ac:dyDescent="0.3">
      <c r="A998" s="24" t="s">
        <v>859</v>
      </c>
      <c r="H998" s="24" t="s">
        <v>669</v>
      </c>
      <c r="K998" s="634"/>
      <c r="L998" s="634"/>
      <c r="M998" s="634"/>
      <c r="N998" s="634"/>
      <c r="O998" s="634"/>
      <c r="P998" s="634"/>
      <c r="Q998" s="634"/>
      <c r="R998" s="634"/>
      <c r="S998" s="634"/>
      <c r="T998" s="634"/>
      <c r="U998" s="634"/>
      <c r="V998" s="634"/>
      <c r="W998" s="634"/>
      <c r="X998" s="634"/>
      <c r="Y998" s="634"/>
      <c r="Z998" s="634"/>
      <c r="AA998" s="634"/>
      <c r="AB998" s="634"/>
      <c r="AC998" s="634"/>
      <c r="AD998" s="634"/>
      <c r="AE998" s="634"/>
      <c r="AF998" s="634"/>
      <c r="AG998" s="634"/>
      <c r="AH998" s="634"/>
      <c r="AI998" s="634"/>
      <c r="AJ998" s="634"/>
    </row>
    <row r="999" spans="1:36" x14ac:dyDescent="0.25">
      <c r="A999" t="s">
        <v>859</v>
      </c>
      <c r="H999" s="459" t="s">
        <v>427</v>
      </c>
      <c r="I999" s="493" t="s">
        <v>436</v>
      </c>
      <c r="K999" s="548"/>
      <c r="L999" s="548">
        <f t="shared" ref="L999:AA1000" si="826">Capacity*24*365</f>
        <v>7568640</v>
      </c>
      <c r="M999" s="548">
        <f t="shared" si="826"/>
        <v>7568640</v>
      </c>
      <c r="N999" s="548">
        <f t="shared" si="826"/>
        <v>7568640</v>
      </c>
      <c r="O999" s="548">
        <f t="shared" si="826"/>
        <v>7568640</v>
      </c>
      <c r="P999" s="548">
        <f t="shared" si="826"/>
        <v>7568640</v>
      </c>
      <c r="Q999" s="548">
        <f t="shared" si="826"/>
        <v>7568640</v>
      </c>
      <c r="R999" s="548">
        <f t="shared" si="826"/>
        <v>7568640</v>
      </c>
      <c r="S999" s="548">
        <f t="shared" si="826"/>
        <v>7568640</v>
      </c>
      <c r="T999" s="548">
        <f t="shared" si="826"/>
        <v>7568640</v>
      </c>
      <c r="U999" s="548">
        <f t="shared" si="826"/>
        <v>7568640</v>
      </c>
      <c r="V999" s="548">
        <f t="shared" si="826"/>
        <v>7568640</v>
      </c>
      <c r="W999" s="548">
        <f t="shared" si="826"/>
        <v>7568640</v>
      </c>
      <c r="X999" s="548">
        <f t="shared" si="826"/>
        <v>7568640</v>
      </c>
      <c r="Y999" s="548">
        <f t="shared" si="826"/>
        <v>7568640</v>
      </c>
      <c r="Z999" s="548">
        <f t="shared" si="826"/>
        <v>7568640</v>
      </c>
      <c r="AA999" s="548"/>
      <c r="AB999" s="548"/>
      <c r="AC999" s="548"/>
      <c r="AD999" s="548"/>
      <c r="AE999" s="548"/>
      <c r="AF999" s="548"/>
      <c r="AG999" s="548"/>
      <c r="AH999" s="548"/>
      <c r="AI999" s="548"/>
      <c r="AJ999" s="548"/>
    </row>
    <row r="1000" spans="1:36" x14ac:dyDescent="0.25">
      <c r="A1000" t="s">
        <v>859</v>
      </c>
      <c r="H1000" s="454" t="s">
        <v>427</v>
      </c>
      <c r="I1000" s="496" t="s">
        <v>320</v>
      </c>
      <c r="K1000" s="549"/>
      <c r="L1000" s="549">
        <f t="shared" si="826"/>
        <v>7568640</v>
      </c>
      <c r="M1000" s="549">
        <f t="shared" si="826"/>
        <v>7568640</v>
      </c>
      <c r="N1000" s="549">
        <f t="shared" si="826"/>
        <v>7568640</v>
      </c>
      <c r="O1000" s="549">
        <f t="shared" si="826"/>
        <v>7568640</v>
      </c>
      <c r="P1000" s="549">
        <f t="shared" si="826"/>
        <v>7568640</v>
      </c>
      <c r="Q1000" s="549">
        <f t="shared" si="826"/>
        <v>7568640</v>
      </c>
      <c r="R1000" s="549">
        <f t="shared" si="826"/>
        <v>7568640</v>
      </c>
      <c r="S1000" s="549">
        <f t="shared" si="826"/>
        <v>7568640</v>
      </c>
      <c r="T1000" s="549">
        <f t="shared" si="826"/>
        <v>7568640</v>
      </c>
      <c r="U1000" s="549">
        <f t="shared" si="826"/>
        <v>7568640</v>
      </c>
      <c r="V1000" s="549">
        <f t="shared" si="826"/>
        <v>7568640</v>
      </c>
      <c r="W1000" s="549">
        <f t="shared" si="826"/>
        <v>7568640</v>
      </c>
      <c r="X1000" s="549">
        <f t="shared" si="826"/>
        <v>7568640</v>
      </c>
      <c r="Y1000" s="549">
        <f t="shared" si="826"/>
        <v>7568640</v>
      </c>
      <c r="Z1000" s="549">
        <f t="shared" si="826"/>
        <v>7568640</v>
      </c>
      <c r="AA1000" s="549"/>
      <c r="AB1000" s="549"/>
      <c r="AC1000" s="549"/>
      <c r="AD1000" s="549"/>
      <c r="AE1000" s="549"/>
      <c r="AF1000" s="549"/>
      <c r="AG1000" s="549"/>
      <c r="AH1000" s="549"/>
      <c r="AI1000" s="549"/>
      <c r="AJ1000" s="549"/>
    </row>
    <row r="1001" spans="1:36" s="250" customFormat="1" x14ac:dyDescent="0.25">
      <c r="A1001" s="250" t="s">
        <v>859</v>
      </c>
      <c r="H1001" s="536" t="s">
        <v>460</v>
      </c>
      <c r="I1001" s="547"/>
      <c r="K1001" s="550"/>
      <c r="L1001" s="551">
        <v>0.88</v>
      </c>
      <c r="M1001" s="551">
        <v>0.88</v>
      </c>
      <c r="N1001" s="551">
        <v>0.88</v>
      </c>
      <c r="O1001" s="551">
        <v>0.88</v>
      </c>
      <c r="P1001" s="551">
        <v>0.88</v>
      </c>
      <c r="Q1001" s="551">
        <v>0.88</v>
      </c>
      <c r="R1001" s="551">
        <v>0.88</v>
      </c>
      <c r="S1001" s="551">
        <v>0.88</v>
      </c>
      <c r="T1001" s="551">
        <v>0.88</v>
      </c>
      <c r="U1001" s="551">
        <v>0.88</v>
      </c>
      <c r="V1001" s="551">
        <v>0.88</v>
      </c>
      <c r="W1001" s="551">
        <v>0.88</v>
      </c>
      <c r="X1001" s="551">
        <v>0.88</v>
      </c>
      <c r="Y1001" s="551">
        <v>0.88</v>
      </c>
      <c r="Z1001" s="551">
        <v>0.88</v>
      </c>
      <c r="AA1001" s="551"/>
      <c r="AB1001" s="551"/>
      <c r="AC1001" s="551"/>
      <c r="AD1001" s="551"/>
      <c r="AE1001" s="551"/>
      <c r="AF1001" s="551"/>
      <c r="AG1001" s="551"/>
      <c r="AH1001" s="551"/>
      <c r="AI1001" s="551"/>
      <c r="AJ1001" s="551"/>
    </row>
    <row r="1002" spans="1:36" s="250" customFormat="1" x14ac:dyDescent="0.25">
      <c r="A1002" s="250" t="s">
        <v>859</v>
      </c>
      <c r="H1002" s="536" t="s">
        <v>461</v>
      </c>
      <c r="I1002" s="547"/>
      <c r="K1002" s="550"/>
      <c r="L1002" s="551">
        <v>0.5</v>
      </c>
      <c r="M1002" s="551">
        <v>0.7</v>
      </c>
      <c r="N1002" s="551">
        <v>1</v>
      </c>
      <c r="O1002" s="551">
        <v>1</v>
      </c>
      <c r="P1002" s="551">
        <v>1</v>
      </c>
      <c r="Q1002" s="551">
        <v>1</v>
      </c>
      <c r="R1002" s="551">
        <v>1</v>
      </c>
      <c r="S1002" s="551">
        <v>1</v>
      </c>
      <c r="T1002" s="551">
        <v>1</v>
      </c>
      <c r="U1002" s="551">
        <v>1</v>
      </c>
      <c r="V1002" s="551">
        <v>1</v>
      </c>
      <c r="W1002" s="551">
        <v>1</v>
      </c>
      <c r="X1002" s="551">
        <v>1</v>
      </c>
      <c r="Y1002" s="551">
        <v>1</v>
      </c>
      <c r="Z1002" s="551">
        <v>1</v>
      </c>
      <c r="AA1002" s="551"/>
      <c r="AB1002" s="551"/>
      <c r="AC1002" s="551"/>
      <c r="AD1002" s="551"/>
      <c r="AE1002" s="551"/>
      <c r="AF1002" s="551"/>
      <c r="AG1002" s="551"/>
      <c r="AH1002" s="551"/>
      <c r="AI1002" s="551"/>
      <c r="AJ1002" s="551"/>
    </row>
    <row r="1003" spans="1:36" x14ac:dyDescent="0.25">
      <c r="A1003" t="s">
        <v>859</v>
      </c>
      <c r="B1003" t="s">
        <v>437</v>
      </c>
      <c r="H1003" s="454" t="s">
        <v>70</v>
      </c>
      <c r="I1003" s="496"/>
      <c r="K1003" s="549"/>
      <c r="L1003" s="552" cm="1">
        <f t="array" ref="L1003">SUMPRODUCT('W2'!$M$12:$V$112*('W2'!$M$7:$V$7=$A1003)*('W2'!$A$12:$A$112=$B1003))</f>
        <v>7.0000000000000007E-2</v>
      </c>
      <c r="M1003" s="552">
        <f>L1003</f>
        <v>7.0000000000000007E-2</v>
      </c>
      <c r="N1003" s="552">
        <f t="shared" ref="N1003" si="827">M1003</f>
        <v>7.0000000000000007E-2</v>
      </c>
      <c r="O1003" s="552">
        <f t="shared" ref="O1003" si="828">N1003</f>
        <v>7.0000000000000007E-2</v>
      </c>
      <c r="P1003" s="552">
        <f t="shared" ref="P1003" si="829">O1003</f>
        <v>7.0000000000000007E-2</v>
      </c>
      <c r="Q1003" s="552">
        <f t="shared" ref="Q1003" si="830">P1003</f>
        <v>7.0000000000000007E-2</v>
      </c>
      <c r="R1003" s="552">
        <f t="shared" ref="R1003" si="831">Q1003</f>
        <v>7.0000000000000007E-2</v>
      </c>
      <c r="S1003" s="552">
        <f t="shared" ref="S1003" si="832">R1003</f>
        <v>7.0000000000000007E-2</v>
      </c>
      <c r="T1003" s="552">
        <f t="shared" ref="T1003" si="833">S1003</f>
        <v>7.0000000000000007E-2</v>
      </c>
      <c r="U1003" s="552">
        <f t="shared" ref="U1003" si="834">T1003</f>
        <v>7.0000000000000007E-2</v>
      </c>
      <c r="V1003" s="552">
        <f t="shared" ref="V1003" si="835">U1003</f>
        <v>7.0000000000000007E-2</v>
      </c>
      <c r="W1003" s="552">
        <f t="shared" ref="W1003" si="836">V1003</f>
        <v>7.0000000000000007E-2</v>
      </c>
      <c r="X1003" s="552">
        <f t="shared" ref="X1003" si="837">W1003</f>
        <v>7.0000000000000007E-2</v>
      </c>
      <c r="Y1003" s="552">
        <f t="shared" ref="Y1003" si="838">X1003</f>
        <v>7.0000000000000007E-2</v>
      </c>
      <c r="Z1003" s="552">
        <f t="shared" ref="Z1003" si="839">Y1003</f>
        <v>7.0000000000000007E-2</v>
      </c>
      <c r="AA1003" s="552"/>
      <c r="AB1003" s="552"/>
      <c r="AC1003" s="552"/>
      <c r="AD1003" s="552"/>
      <c r="AE1003" s="552"/>
      <c r="AF1003" s="552"/>
      <c r="AG1003" s="552"/>
      <c r="AH1003" s="552"/>
      <c r="AI1003" s="552"/>
      <c r="AJ1003" s="552"/>
    </row>
    <row r="1004" spans="1:36" x14ac:dyDescent="0.25">
      <c r="A1004" t="s">
        <v>859</v>
      </c>
      <c r="H1004" s="454" t="s">
        <v>59</v>
      </c>
      <c r="I1004" s="496"/>
      <c r="K1004" s="549"/>
      <c r="L1004" s="549">
        <f>365*L1001*L1002</f>
        <v>160.6</v>
      </c>
      <c r="M1004" s="549">
        <f t="shared" ref="M1004:AJ1004" si="840">365*M1001*M1002</f>
        <v>224.83999999999997</v>
      </c>
      <c r="N1004" s="549">
        <f t="shared" si="840"/>
        <v>321.2</v>
      </c>
      <c r="O1004" s="549">
        <f t="shared" si="840"/>
        <v>321.2</v>
      </c>
      <c r="P1004" s="549">
        <f t="shared" si="840"/>
        <v>321.2</v>
      </c>
      <c r="Q1004" s="549">
        <f t="shared" si="840"/>
        <v>321.2</v>
      </c>
      <c r="R1004" s="549">
        <f t="shared" si="840"/>
        <v>321.2</v>
      </c>
      <c r="S1004" s="549">
        <f t="shared" si="840"/>
        <v>321.2</v>
      </c>
      <c r="T1004" s="549">
        <f t="shared" si="840"/>
        <v>321.2</v>
      </c>
      <c r="U1004" s="549">
        <f t="shared" si="840"/>
        <v>321.2</v>
      </c>
      <c r="V1004" s="549">
        <f t="shared" si="840"/>
        <v>321.2</v>
      </c>
      <c r="W1004" s="549">
        <f t="shared" si="840"/>
        <v>321.2</v>
      </c>
      <c r="X1004" s="549">
        <f t="shared" si="840"/>
        <v>321.2</v>
      </c>
      <c r="Y1004" s="549">
        <f t="shared" si="840"/>
        <v>321.2</v>
      </c>
      <c r="Z1004" s="549">
        <f t="shared" si="840"/>
        <v>321.2</v>
      </c>
      <c r="AA1004" s="549"/>
      <c r="AB1004" s="549"/>
      <c r="AC1004" s="549"/>
      <c r="AD1004" s="549"/>
      <c r="AE1004" s="549"/>
      <c r="AF1004" s="549"/>
      <c r="AG1004" s="549"/>
      <c r="AH1004" s="549"/>
      <c r="AI1004" s="549"/>
      <c r="AJ1004" s="549"/>
    </row>
    <row r="1005" spans="1:36" x14ac:dyDescent="0.25">
      <c r="A1005" t="s">
        <v>859</v>
      </c>
      <c r="C1005" t="s">
        <v>574</v>
      </c>
      <c r="H1005" s="454" t="s">
        <v>202</v>
      </c>
      <c r="I1005" s="496" t="s">
        <v>436</v>
      </c>
      <c r="K1005" s="549"/>
      <c r="L1005" s="549">
        <f>L999*L1001*(1-L1003)*L1002</f>
        <v>3097087.4879999999</v>
      </c>
      <c r="M1005" s="549">
        <f t="shared" ref="M1005:AJ1005" si="841">M999*M1001*(1-M1003)*M1002</f>
        <v>4335922.4831999997</v>
      </c>
      <c r="N1005" s="549">
        <f t="shared" si="841"/>
        <v>6194174.9759999998</v>
      </c>
      <c r="O1005" s="549">
        <f t="shared" si="841"/>
        <v>6194174.9759999998</v>
      </c>
      <c r="P1005" s="549">
        <f t="shared" si="841"/>
        <v>6194174.9759999998</v>
      </c>
      <c r="Q1005" s="549">
        <f t="shared" si="841"/>
        <v>6194174.9759999998</v>
      </c>
      <c r="R1005" s="549">
        <f t="shared" si="841"/>
        <v>6194174.9759999998</v>
      </c>
      <c r="S1005" s="549">
        <f t="shared" si="841"/>
        <v>6194174.9759999998</v>
      </c>
      <c r="T1005" s="549">
        <f t="shared" si="841"/>
        <v>6194174.9759999998</v>
      </c>
      <c r="U1005" s="549">
        <f t="shared" si="841"/>
        <v>6194174.9759999998</v>
      </c>
      <c r="V1005" s="549">
        <f t="shared" si="841"/>
        <v>6194174.9759999998</v>
      </c>
      <c r="W1005" s="549">
        <f t="shared" si="841"/>
        <v>6194174.9759999998</v>
      </c>
      <c r="X1005" s="549">
        <f t="shared" si="841"/>
        <v>6194174.9759999998</v>
      </c>
      <c r="Y1005" s="549">
        <f t="shared" si="841"/>
        <v>6194174.9759999998</v>
      </c>
      <c r="Z1005" s="549">
        <f t="shared" si="841"/>
        <v>6194174.9759999998</v>
      </c>
      <c r="AA1005" s="549"/>
      <c r="AB1005" s="549"/>
      <c r="AC1005" s="549"/>
      <c r="AD1005" s="549"/>
      <c r="AE1005" s="549"/>
      <c r="AF1005" s="549"/>
      <c r="AG1005" s="549"/>
      <c r="AH1005" s="549"/>
      <c r="AI1005" s="549"/>
      <c r="AJ1005" s="549"/>
    </row>
    <row r="1006" spans="1:36" x14ac:dyDescent="0.25">
      <c r="A1006" t="s">
        <v>859</v>
      </c>
      <c r="C1006" t="s">
        <v>575</v>
      </c>
      <c r="H1006" s="454" t="s">
        <v>202</v>
      </c>
      <c r="I1006" s="496" t="s">
        <v>320</v>
      </c>
      <c r="K1006" s="549"/>
      <c r="L1006" s="549">
        <f t="shared" ref="L1006:AJ1006" si="842">L1005*PHOI_KG</f>
        <v>206472499.20000002</v>
      </c>
      <c r="M1006" s="549">
        <f t="shared" si="842"/>
        <v>289061498.88</v>
      </c>
      <c r="N1006" s="549">
        <f t="shared" si="842"/>
        <v>412944998.40000004</v>
      </c>
      <c r="O1006" s="549">
        <f t="shared" si="842"/>
        <v>412944998.40000004</v>
      </c>
      <c r="P1006" s="549">
        <f t="shared" si="842"/>
        <v>412944998.40000004</v>
      </c>
      <c r="Q1006" s="549">
        <f t="shared" si="842"/>
        <v>412944998.40000004</v>
      </c>
      <c r="R1006" s="549">
        <f t="shared" si="842"/>
        <v>412944998.40000004</v>
      </c>
      <c r="S1006" s="549">
        <f t="shared" si="842"/>
        <v>412944998.40000004</v>
      </c>
      <c r="T1006" s="549">
        <f t="shared" si="842"/>
        <v>412944998.40000004</v>
      </c>
      <c r="U1006" s="549">
        <f t="shared" si="842"/>
        <v>412944998.40000004</v>
      </c>
      <c r="V1006" s="549">
        <f t="shared" si="842"/>
        <v>412944998.40000004</v>
      </c>
      <c r="W1006" s="549">
        <f t="shared" si="842"/>
        <v>412944998.40000004</v>
      </c>
      <c r="X1006" s="549">
        <f t="shared" si="842"/>
        <v>412944998.40000004</v>
      </c>
      <c r="Y1006" s="549">
        <f t="shared" si="842"/>
        <v>412944998.40000004</v>
      </c>
      <c r="Z1006" s="549">
        <f t="shared" si="842"/>
        <v>412944998.40000004</v>
      </c>
      <c r="AA1006" s="549"/>
      <c r="AB1006" s="549"/>
      <c r="AC1006" s="549"/>
      <c r="AD1006" s="549"/>
      <c r="AE1006" s="549"/>
      <c r="AF1006" s="549"/>
      <c r="AG1006" s="549"/>
      <c r="AH1006" s="549"/>
      <c r="AI1006" s="549"/>
      <c r="AJ1006" s="549"/>
    </row>
    <row r="1007" spans="1:36" x14ac:dyDescent="0.25">
      <c r="A1007" t="s">
        <v>859</v>
      </c>
      <c r="K1007" s="243"/>
      <c r="L1007" s="243"/>
      <c r="M1007" s="243"/>
      <c r="N1007" s="243"/>
      <c r="O1007" s="243"/>
      <c r="P1007" s="243"/>
      <c r="Q1007" s="243"/>
      <c r="R1007" s="243"/>
      <c r="S1007" s="243"/>
      <c r="T1007" s="243"/>
      <c r="U1007" s="243"/>
      <c r="V1007" s="243"/>
      <c r="W1007" s="243"/>
      <c r="X1007" s="243"/>
      <c r="Y1007" s="243"/>
      <c r="Z1007" s="243"/>
      <c r="AA1007" s="243"/>
      <c r="AB1007" s="243"/>
      <c r="AC1007" s="243"/>
      <c r="AD1007" s="243"/>
      <c r="AE1007" s="243"/>
      <c r="AF1007" s="243"/>
      <c r="AG1007" s="243"/>
      <c r="AH1007" s="243"/>
      <c r="AI1007" s="243"/>
      <c r="AJ1007" s="243"/>
    </row>
    <row r="1008" spans="1:36" s="24" customFormat="1" ht="17.25" x14ac:dyDescent="0.3">
      <c r="A1008" s="24" t="s">
        <v>859</v>
      </c>
      <c r="H1008" s="24" t="s">
        <v>670</v>
      </c>
      <c r="K1008" s="635"/>
      <c r="L1008" s="635"/>
      <c r="M1008" s="635"/>
      <c r="N1008" s="635"/>
      <c r="O1008" s="635"/>
      <c r="P1008" s="635"/>
      <c r="Q1008" s="635"/>
      <c r="R1008" s="635"/>
      <c r="S1008" s="635"/>
      <c r="T1008" s="635"/>
      <c r="U1008" s="635"/>
      <c r="V1008" s="635"/>
      <c r="W1008" s="635"/>
      <c r="X1008" s="635"/>
      <c r="Y1008" s="635"/>
      <c r="Z1008" s="635"/>
      <c r="AA1008" s="635"/>
      <c r="AB1008" s="635"/>
      <c r="AC1008" s="635"/>
      <c r="AD1008" s="635"/>
      <c r="AE1008" s="635"/>
      <c r="AF1008" s="635"/>
      <c r="AG1008" s="635"/>
      <c r="AH1008" s="635"/>
      <c r="AI1008" s="635"/>
      <c r="AJ1008" s="635"/>
    </row>
    <row r="1009" spans="1:36" s="250" customFormat="1" x14ac:dyDescent="0.25">
      <c r="A1009" s="250" t="s">
        <v>859</v>
      </c>
      <c r="B1009" s="250" t="s">
        <v>665</v>
      </c>
      <c r="H1009" s="625" t="s">
        <v>663</v>
      </c>
      <c r="I1009" s="626" t="s">
        <v>71</v>
      </c>
      <c r="K1009" s="627"/>
      <c r="L1009" s="630" cm="1">
        <f t="array" ref="L1009">SUMPRODUCT('W2'!$M$12:$V$112*('W2'!$M$7:$V$7=$A1009)*('W2'!$A$12:$A$112=$B1009))</f>
        <v>2.0000000000000001E-4</v>
      </c>
      <c r="M1009" s="629">
        <f>L1009</f>
        <v>2.0000000000000001E-4</v>
      </c>
      <c r="N1009" s="629">
        <f t="shared" ref="N1009:N1010" si="843">M1009</f>
        <v>2.0000000000000001E-4</v>
      </c>
      <c r="O1009" s="629">
        <f t="shared" ref="O1009:O1010" si="844">N1009</f>
        <v>2.0000000000000001E-4</v>
      </c>
      <c r="P1009" s="629">
        <f t="shared" ref="P1009:P1010" si="845">O1009</f>
        <v>2.0000000000000001E-4</v>
      </c>
      <c r="Q1009" s="629">
        <f t="shared" ref="Q1009:Q1010" si="846">P1009</f>
        <v>2.0000000000000001E-4</v>
      </c>
      <c r="R1009" s="629">
        <f t="shared" ref="R1009:R1010" si="847">Q1009</f>
        <v>2.0000000000000001E-4</v>
      </c>
      <c r="S1009" s="629">
        <f t="shared" ref="S1009:S1010" si="848">R1009</f>
        <v>2.0000000000000001E-4</v>
      </c>
      <c r="T1009" s="629">
        <f t="shared" ref="T1009:T1010" si="849">S1009</f>
        <v>2.0000000000000001E-4</v>
      </c>
      <c r="U1009" s="629">
        <f t="shared" ref="U1009:U1010" si="850">T1009</f>
        <v>2.0000000000000001E-4</v>
      </c>
      <c r="V1009" s="629">
        <f t="shared" ref="V1009:V1010" si="851">U1009</f>
        <v>2.0000000000000001E-4</v>
      </c>
      <c r="W1009" s="629">
        <f t="shared" ref="W1009:W1010" si="852">V1009</f>
        <v>2.0000000000000001E-4</v>
      </c>
      <c r="X1009" s="629">
        <f t="shared" ref="X1009:X1010" si="853">W1009</f>
        <v>2.0000000000000001E-4</v>
      </c>
      <c r="Y1009" s="629">
        <f t="shared" ref="Y1009:Y1010" si="854">X1009</f>
        <v>2.0000000000000001E-4</v>
      </c>
      <c r="Z1009" s="629">
        <f t="shared" ref="Z1009:Z1010" si="855">Y1009</f>
        <v>2.0000000000000001E-4</v>
      </c>
      <c r="AA1009" s="629"/>
      <c r="AB1009" s="629"/>
      <c r="AC1009" s="629"/>
      <c r="AD1009" s="629"/>
      <c r="AE1009" s="629"/>
      <c r="AF1009" s="629"/>
      <c r="AG1009" s="629"/>
      <c r="AH1009" s="629"/>
      <c r="AI1009" s="629"/>
      <c r="AJ1009" s="629"/>
    </row>
    <row r="1010" spans="1:36" s="250" customFormat="1" x14ac:dyDescent="0.25">
      <c r="A1010" s="250" t="s">
        <v>859</v>
      </c>
      <c r="B1010" s="250" t="s">
        <v>666</v>
      </c>
      <c r="H1010" s="536" t="s">
        <v>664</v>
      </c>
      <c r="I1010" s="547" t="s">
        <v>71</v>
      </c>
      <c r="K1010" s="628"/>
      <c r="L1010" s="630" cm="1">
        <f t="array" ref="L1010">SUMPRODUCT('W2'!$M$12:$V$112*('W2'!$M$7:$V$7=$A1010)*('W2'!$A$12:$A$112=$B1010))</f>
        <v>0</v>
      </c>
      <c r="M1010" s="629">
        <f>L1010</f>
        <v>0</v>
      </c>
      <c r="N1010" s="629">
        <f t="shared" si="843"/>
        <v>0</v>
      </c>
      <c r="O1010" s="629">
        <f t="shared" si="844"/>
        <v>0</v>
      </c>
      <c r="P1010" s="629">
        <f t="shared" si="845"/>
        <v>0</v>
      </c>
      <c r="Q1010" s="629">
        <f t="shared" si="846"/>
        <v>0</v>
      </c>
      <c r="R1010" s="629">
        <f t="shared" si="847"/>
        <v>0</v>
      </c>
      <c r="S1010" s="629">
        <f t="shared" si="848"/>
        <v>0</v>
      </c>
      <c r="T1010" s="629">
        <f t="shared" si="849"/>
        <v>0</v>
      </c>
      <c r="U1010" s="629">
        <f t="shared" si="850"/>
        <v>0</v>
      </c>
      <c r="V1010" s="629">
        <f t="shared" si="851"/>
        <v>0</v>
      </c>
      <c r="W1010" s="629">
        <f t="shared" si="852"/>
        <v>0</v>
      </c>
      <c r="X1010" s="629">
        <f t="shared" si="853"/>
        <v>0</v>
      </c>
      <c r="Y1010" s="629">
        <f t="shared" si="854"/>
        <v>0</v>
      </c>
      <c r="Z1010" s="629">
        <f t="shared" si="855"/>
        <v>0</v>
      </c>
      <c r="AA1010" s="629"/>
      <c r="AB1010" s="629"/>
      <c r="AC1010" s="629"/>
      <c r="AD1010" s="629"/>
      <c r="AE1010" s="629"/>
      <c r="AF1010" s="629"/>
      <c r="AG1010" s="629"/>
      <c r="AH1010" s="629"/>
      <c r="AI1010" s="629"/>
      <c r="AJ1010" s="629"/>
    </row>
    <row r="1011" spans="1:36" x14ac:dyDescent="0.25">
      <c r="A1011" t="s">
        <v>859</v>
      </c>
      <c r="H1011" s="454" t="s">
        <v>671</v>
      </c>
      <c r="I1011" s="496" t="s">
        <v>436</v>
      </c>
      <c r="K1011" s="549"/>
      <c r="L1011" s="549">
        <f>L1009*L1005/(1-L1003)</f>
        <v>666.04032000000007</v>
      </c>
      <c r="M1011" s="549">
        <f>M1009*M1005/(1-M1003)</f>
        <v>932.45644800000014</v>
      </c>
      <c r="N1011" s="549">
        <f t="shared" ref="N1011:AJ1011" si="856">N1009*N1005/(1-N1003)</f>
        <v>1332.0806400000001</v>
      </c>
      <c r="O1011" s="549">
        <f t="shared" si="856"/>
        <v>1332.0806400000001</v>
      </c>
      <c r="P1011" s="549">
        <f t="shared" si="856"/>
        <v>1332.0806400000001</v>
      </c>
      <c r="Q1011" s="549">
        <f t="shared" si="856"/>
        <v>1332.0806400000001</v>
      </c>
      <c r="R1011" s="549">
        <f t="shared" si="856"/>
        <v>1332.0806400000001</v>
      </c>
      <c r="S1011" s="549">
        <f t="shared" si="856"/>
        <v>1332.0806400000001</v>
      </c>
      <c r="T1011" s="549">
        <f t="shared" si="856"/>
        <v>1332.0806400000001</v>
      </c>
      <c r="U1011" s="549">
        <f t="shared" si="856"/>
        <v>1332.0806400000001</v>
      </c>
      <c r="V1011" s="549">
        <f t="shared" si="856"/>
        <v>1332.0806400000001</v>
      </c>
      <c r="W1011" s="549">
        <f t="shared" si="856"/>
        <v>1332.0806400000001</v>
      </c>
      <c r="X1011" s="549">
        <f t="shared" si="856"/>
        <v>1332.0806400000001</v>
      </c>
      <c r="Y1011" s="549">
        <f t="shared" si="856"/>
        <v>1332.0806400000001</v>
      </c>
      <c r="Z1011" s="549">
        <f t="shared" si="856"/>
        <v>1332.0806400000001</v>
      </c>
      <c r="AA1011" s="549"/>
      <c r="AB1011" s="549"/>
      <c r="AC1011" s="549"/>
      <c r="AD1011" s="549"/>
      <c r="AE1011" s="549"/>
      <c r="AF1011" s="549"/>
      <c r="AG1011" s="549"/>
      <c r="AH1011" s="549"/>
      <c r="AI1011" s="549"/>
      <c r="AJ1011" s="549"/>
    </row>
    <row r="1012" spans="1:36" x14ac:dyDescent="0.25">
      <c r="A1012" t="s">
        <v>859</v>
      </c>
      <c r="H1012" s="454" t="s">
        <v>675</v>
      </c>
      <c r="I1012" s="496" t="s">
        <v>436</v>
      </c>
      <c r="K1012" s="549"/>
      <c r="L1012" s="549">
        <f>L1010*L1005/(1-L1003)</f>
        <v>0</v>
      </c>
      <c r="M1012" s="549">
        <f t="shared" ref="M1012:AJ1012" si="857">M1010*M1005/(1-M1003)</f>
        <v>0</v>
      </c>
      <c r="N1012" s="549">
        <f t="shared" si="857"/>
        <v>0</v>
      </c>
      <c r="O1012" s="549">
        <f t="shared" si="857"/>
        <v>0</v>
      </c>
      <c r="P1012" s="549">
        <f t="shared" si="857"/>
        <v>0</v>
      </c>
      <c r="Q1012" s="549">
        <f t="shared" si="857"/>
        <v>0</v>
      </c>
      <c r="R1012" s="549">
        <f t="shared" si="857"/>
        <v>0</v>
      </c>
      <c r="S1012" s="549">
        <f t="shared" si="857"/>
        <v>0</v>
      </c>
      <c r="T1012" s="549">
        <f t="shared" si="857"/>
        <v>0</v>
      </c>
      <c r="U1012" s="549">
        <f t="shared" si="857"/>
        <v>0</v>
      </c>
      <c r="V1012" s="549">
        <f t="shared" si="857"/>
        <v>0</v>
      </c>
      <c r="W1012" s="549">
        <f t="shared" si="857"/>
        <v>0</v>
      </c>
      <c r="X1012" s="549">
        <f t="shared" si="857"/>
        <v>0</v>
      </c>
      <c r="Y1012" s="549">
        <f t="shared" si="857"/>
        <v>0</v>
      </c>
      <c r="Z1012" s="549">
        <f t="shared" si="857"/>
        <v>0</v>
      </c>
      <c r="AA1012" s="549"/>
      <c r="AB1012" s="549"/>
      <c r="AC1012" s="549"/>
      <c r="AD1012" s="549"/>
      <c r="AE1012" s="549"/>
      <c r="AF1012" s="549"/>
      <c r="AG1012" s="549"/>
      <c r="AH1012" s="549"/>
      <c r="AI1012" s="549"/>
      <c r="AJ1012" s="549"/>
    </row>
    <row r="1013" spans="1:36" x14ac:dyDescent="0.25">
      <c r="A1013" t="s">
        <v>859</v>
      </c>
      <c r="K1013" s="243"/>
      <c r="L1013" s="243"/>
      <c r="M1013" s="243"/>
      <c r="N1013" s="243"/>
      <c r="O1013" s="243"/>
      <c r="P1013" s="243"/>
      <c r="Q1013" s="243"/>
      <c r="R1013" s="243"/>
      <c r="S1013" s="243"/>
      <c r="T1013" s="243"/>
      <c r="U1013" s="243"/>
      <c r="V1013" s="243"/>
      <c r="W1013" s="243"/>
      <c r="X1013" s="243"/>
      <c r="Y1013" s="243"/>
      <c r="Z1013" s="243"/>
      <c r="AA1013" s="243"/>
      <c r="AB1013" s="243"/>
      <c r="AC1013" s="243"/>
      <c r="AD1013" s="243"/>
      <c r="AE1013" s="243"/>
      <c r="AF1013" s="243"/>
      <c r="AG1013" s="243"/>
      <c r="AH1013" s="243"/>
      <c r="AI1013" s="243"/>
      <c r="AJ1013" s="243"/>
    </row>
    <row r="1014" spans="1:36" x14ac:dyDescent="0.25">
      <c r="A1014" t="s">
        <v>859</v>
      </c>
      <c r="K1014" s="243"/>
      <c r="L1014" s="243"/>
      <c r="M1014" s="243"/>
      <c r="N1014" s="243"/>
      <c r="O1014" s="243"/>
      <c r="P1014" s="243"/>
      <c r="Q1014" s="243"/>
      <c r="R1014" s="243"/>
      <c r="S1014" s="243"/>
      <c r="T1014" s="243"/>
      <c r="U1014" s="243"/>
      <c r="V1014" s="243"/>
      <c r="W1014" s="243"/>
      <c r="X1014" s="243"/>
      <c r="Y1014" s="243"/>
      <c r="Z1014" s="243"/>
      <c r="AA1014" s="243"/>
      <c r="AB1014" s="243"/>
      <c r="AC1014" s="243"/>
      <c r="AD1014" s="243"/>
      <c r="AE1014" s="243"/>
      <c r="AF1014" s="243"/>
      <c r="AG1014" s="243"/>
      <c r="AH1014" s="243"/>
      <c r="AI1014" s="243"/>
      <c r="AJ1014" s="243"/>
    </row>
    <row r="1015" spans="1:36" x14ac:dyDescent="0.25">
      <c r="A1015" t="s">
        <v>859</v>
      </c>
      <c r="K1015" s="243"/>
      <c r="L1015" s="243"/>
      <c r="M1015" s="243"/>
      <c r="N1015" s="243"/>
      <c r="O1015" s="243"/>
      <c r="P1015" s="243"/>
      <c r="Q1015" s="243"/>
      <c r="R1015" s="243"/>
      <c r="S1015" s="243"/>
      <c r="T1015" s="243"/>
      <c r="U1015" s="243"/>
      <c r="V1015" s="243"/>
      <c r="W1015" s="243"/>
      <c r="X1015" s="243"/>
      <c r="Y1015" s="243"/>
      <c r="Z1015" s="243"/>
      <c r="AA1015" s="243"/>
      <c r="AB1015" s="243"/>
      <c r="AC1015" s="243"/>
      <c r="AD1015" s="243"/>
      <c r="AE1015" s="243"/>
      <c r="AF1015" s="243"/>
      <c r="AG1015" s="243"/>
      <c r="AH1015" s="243"/>
      <c r="AI1015" s="243"/>
      <c r="AJ1015" s="243"/>
    </row>
    <row r="1016" spans="1:36" s="1" customFormat="1" x14ac:dyDescent="0.25">
      <c r="A1016" s="1" t="s">
        <v>859</v>
      </c>
      <c r="H1016" s="266" t="s">
        <v>434</v>
      </c>
      <c r="I1016" s="267" t="str">
        <f t="shared" ref="I1016:I1024" si="858">IF($H$9="USD","USD","tr. VND")</f>
        <v>tr. VND</v>
      </c>
      <c r="K1016" s="268">
        <f t="shared" ref="K1016" si="859">SUM(K1017:K1018,K1021:K1024,)</f>
        <v>0</v>
      </c>
      <c r="L1016" s="268">
        <f>SUM(L1017:L1018,L1021:L1024,)</f>
        <v>-43649.936933333331</v>
      </c>
      <c r="M1016" s="268">
        <f t="shared" ref="M1016:AJ1016" si="860">SUM(M1017:M1018,M1021:M1024,)</f>
        <v>-43649.936933333331</v>
      </c>
      <c r="N1016" s="268">
        <f t="shared" si="860"/>
        <v>-44549.234633333333</v>
      </c>
      <c r="O1016" s="268">
        <f t="shared" si="860"/>
        <v>-45493.497218333338</v>
      </c>
      <c r="P1016" s="268">
        <f t="shared" si="860"/>
        <v>-46484.97293258334</v>
      </c>
      <c r="Q1016" s="268">
        <f t="shared" si="860"/>
        <v>-47526.022432545833</v>
      </c>
      <c r="R1016" s="268">
        <f t="shared" si="860"/>
        <v>-48619.124407506461</v>
      </c>
      <c r="S1016" s="268">
        <f t="shared" si="860"/>
        <v>-49766.881481215125</v>
      </c>
      <c r="T1016" s="268">
        <f t="shared" si="860"/>
        <v>-50972.026408609207</v>
      </c>
      <c r="U1016" s="268">
        <f t="shared" si="860"/>
        <v>-52237.428582373002</v>
      </c>
      <c r="V1016" s="268">
        <f t="shared" si="860"/>
        <v>-53566.100864824984</v>
      </c>
      <c r="W1016" s="268">
        <f t="shared" si="860"/>
        <v>-54961.20676139956</v>
      </c>
      <c r="X1016" s="268">
        <f t="shared" si="860"/>
        <v>-31363.584619469544</v>
      </c>
      <c r="Y1016" s="268">
        <f t="shared" si="860"/>
        <v>-32901.688870443017</v>
      </c>
      <c r="Z1016" s="268">
        <f t="shared" si="860"/>
        <v>-34516.698333965178</v>
      </c>
      <c r="AA1016" s="268"/>
      <c r="AB1016" s="268"/>
      <c r="AC1016" s="268"/>
      <c r="AD1016" s="268"/>
      <c r="AE1016" s="268"/>
      <c r="AF1016" s="268"/>
      <c r="AG1016" s="268"/>
      <c r="AH1016" s="268"/>
      <c r="AI1016" s="268"/>
      <c r="AJ1016" s="268"/>
    </row>
    <row r="1017" spans="1:36" x14ac:dyDescent="0.25">
      <c r="A1017" t="s">
        <v>859</v>
      </c>
      <c r="B1017" t="s">
        <v>173</v>
      </c>
      <c r="H1017" s="459" t="s">
        <v>190</v>
      </c>
      <c r="I1017" s="493" t="str">
        <f t="shared" si="858"/>
        <v>tr. VND</v>
      </c>
      <c r="K1017" s="492"/>
      <c r="L1017" s="548" cm="1">
        <f t="array" ref="L1017">-SUMPRODUCT('W1'!$BI$10:$NE$60*('W1'!$BI$7:$NE$7=$A1017)*('W1'!$BI$8:$NE$8=L$14)*('W1'!$A$10:$A$60=$B1017))*$H$10</f>
        <v>-25062.483333333334</v>
      </c>
      <c r="M1017" s="548" cm="1">
        <f t="array" ref="M1017">-SUMPRODUCT('W1'!$BI$10:$NE$60*('W1'!$BI$7:$NE$7=$A1017)*('W1'!$BI$8:$NE$8=M$14)*('W1'!$A$10:$A$60=$B1017))*$H$10</f>
        <v>-25062.483333333334</v>
      </c>
      <c r="N1017" s="548" cm="1">
        <f t="array" ref="N1017">-SUMPRODUCT('W1'!$BI$10:$NE$60*('W1'!$BI$7:$NE$7=$A1017)*('W1'!$BI$8:$NE$8=N$14)*('W1'!$A$10:$A$60=$B1017))*$H$10</f>
        <v>-25062.483333333334</v>
      </c>
      <c r="O1017" s="548" cm="1">
        <f t="array" ref="O1017">-SUMPRODUCT('W1'!$BI$10:$NE$60*('W1'!$BI$7:$NE$7=$A1017)*('W1'!$BI$8:$NE$8=O$14)*('W1'!$A$10:$A$60=$B1017))*$H$10</f>
        <v>-25062.483333333334</v>
      </c>
      <c r="P1017" s="548" cm="1">
        <f t="array" ref="P1017">-SUMPRODUCT('W1'!$BI$10:$NE$60*('W1'!$BI$7:$NE$7=$A1017)*('W1'!$BI$8:$NE$8=P$14)*('W1'!$A$10:$A$60=$B1017))*$H$10</f>
        <v>-25062.483333333334</v>
      </c>
      <c r="Q1017" s="548" cm="1">
        <f t="array" ref="Q1017">-SUMPRODUCT('W1'!$BI$10:$NE$60*('W1'!$BI$7:$NE$7=$A1017)*('W1'!$BI$8:$NE$8=Q$14)*('W1'!$A$10:$A$60=$B1017))*$H$10</f>
        <v>-25062.483333333334</v>
      </c>
      <c r="R1017" s="548" cm="1">
        <f t="array" ref="R1017">-SUMPRODUCT('W1'!$BI$10:$NE$60*('W1'!$BI$7:$NE$7=$A1017)*('W1'!$BI$8:$NE$8=R$14)*('W1'!$A$10:$A$60=$B1017))*$H$10</f>
        <v>-25062.483333333334</v>
      </c>
      <c r="S1017" s="548" cm="1">
        <f t="array" ref="S1017">-SUMPRODUCT('W1'!$BI$10:$NE$60*('W1'!$BI$7:$NE$7=$A1017)*('W1'!$BI$8:$NE$8=S$14)*('W1'!$A$10:$A$60=$B1017))*$H$10</f>
        <v>-25062.483333333334</v>
      </c>
      <c r="T1017" s="548" cm="1">
        <f t="array" ref="T1017">-SUMPRODUCT('W1'!$BI$10:$NE$60*('W1'!$BI$7:$NE$7=$A1017)*('W1'!$BI$8:$NE$8=T$14)*('W1'!$A$10:$A$60=$B1017))*$H$10</f>
        <v>-25062.483333333334</v>
      </c>
      <c r="U1017" s="548" cm="1">
        <f t="array" ref="U1017">-SUMPRODUCT('W1'!$BI$10:$NE$60*('W1'!$BI$7:$NE$7=$A1017)*('W1'!$BI$8:$NE$8=U$14)*('W1'!$A$10:$A$60=$B1017))*$H$10</f>
        <v>-25062.483333333334</v>
      </c>
      <c r="V1017" s="548" cm="1">
        <f t="array" ref="V1017">-SUMPRODUCT('W1'!$BI$10:$NE$60*('W1'!$BI$7:$NE$7=$A1017)*('W1'!$BI$8:$NE$8=V$14)*('W1'!$A$10:$A$60=$B1017))*$H$10</f>
        <v>-25062.483333333334</v>
      </c>
      <c r="W1017" s="548" cm="1">
        <f t="array" ref="W1017">-SUMPRODUCT('W1'!$BI$10:$NE$60*('W1'!$BI$7:$NE$7=$A1017)*('W1'!$BI$8:$NE$8=W$14)*('W1'!$A$10:$A$60=$B1017))*$H$10</f>
        <v>-25062.483333333334</v>
      </c>
      <c r="X1017" s="548" cm="1">
        <f t="array" ref="X1017">-SUMPRODUCT('W1'!$BI$10:$NE$60*('W1'!$BI$7:$NE$7=$A1017)*('W1'!$BI$8:$NE$8=X$14)*('W1'!$A$10:$A$60=$B1017))*$H$10</f>
        <v>0</v>
      </c>
      <c r="Y1017" s="548" cm="1">
        <f t="array" ref="Y1017">-SUMPRODUCT('W1'!$BI$10:$NE$60*('W1'!$BI$7:$NE$7=$A1017)*('W1'!$BI$8:$NE$8=Y$14)*('W1'!$A$10:$A$60=$B1017))*$H$10</f>
        <v>0</v>
      </c>
      <c r="Z1017" s="548" cm="1">
        <f t="array" ref="Z1017">-SUMPRODUCT('W1'!$BI$10:$NE$60*('W1'!$BI$7:$NE$7=$A1017)*('W1'!$BI$8:$NE$8=Z$14)*('W1'!$A$10:$A$60=$B1017))*$H$10</f>
        <v>0</v>
      </c>
      <c r="AA1017" s="548"/>
      <c r="AB1017" s="548"/>
      <c r="AC1017" s="548"/>
      <c r="AD1017" s="548"/>
      <c r="AE1017" s="548"/>
      <c r="AF1017" s="548"/>
      <c r="AG1017" s="548"/>
      <c r="AH1017" s="548"/>
      <c r="AI1017" s="548"/>
      <c r="AJ1017" s="548"/>
    </row>
    <row r="1018" spans="1:36" x14ac:dyDescent="0.25">
      <c r="A1018" t="s">
        <v>859</v>
      </c>
      <c r="H1018" s="454" t="s">
        <v>429</v>
      </c>
      <c r="I1018" s="496" t="str">
        <f t="shared" si="858"/>
        <v>tr. VND</v>
      </c>
      <c r="K1018" s="549">
        <f>SUM(K1019:K1020)</f>
        <v>0</v>
      </c>
      <c r="L1018" s="549">
        <f t="shared" ref="L1018:AJ1018" si="861">SUM(L1019:L1020)</f>
        <v>-6011.46</v>
      </c>
      <c r="M1018" s="549">
        <f t="shared" si="861"/>
        <v>-6011.46</v>
      </c>
      <c r="N1018" s="549">
        <f t="shared" si="861"/>
        <v>-6312.0329999999994</v>
      </c>
      <c r="O1018" s="549">
        <f t="shared" si="861"/>
        <v>-6627.63465</v>
      </c>
      <c r="P1018" s="549">
        <f t="shared" si="861"/>
        <v>-6959.0163825000009</v>
      </c>
      <c r="Q1018" s="549">
        <f t="shared" si="861"/>
        <v>-7306.9672016249997</v>
      </c>
      <c r="R1018" s="549">
        <f t="shared" si="861"/>
        <v>-7672.3155617062503</v>
      </c>
      <c r="S1018" s="549">
        <f t="shared" si="861"/>
        <v>-8055.931339791563</v>
      </c>
      <c r="T1018" s="549">
        <f t="shared" si="861"/>
        <v>-8458.7279067811414</v>
      </c>
      <c r="U1018" s="549">
        <f t="shared" si="861"/>
        <v>-8881.664302120198</v>
      </c>
      <c r="V1018" s="549">
        <f t="shared" si="861"/>
        <v>-9325.7475172262075</v>
      </c>
      <c r="W1018" s="549">
        <f t="shared" si="861"/>
        <v>-9792.0348930875189</v>
      </c>
      <c r="X1018" s="549">
        <f t="shared" si="861"/>
        <v>-10281.636637741896</v>
      </c>
      <c r="Y1018" s="549">
        <f t="shared" si="861"/>
        <v>-10795.718469628988</v>
      </c>
      <c r="Z1018" s="549">
        <f t="shared" si="861"/>
        <v>-11335.504393110441</v>
      </c>
      <c r="AA1018" s="549"/>
      <c r="AB1018" s="549"/>
      <c r="AC1018" s="549"/>
      <c r="AD1018" s="549"/>
      <c r="AE1018" s="549"/>
      <c r="AF1018" s="549"/>
      <c r="AG1018" s="549"/>
      <c r="AH1018" s="549"/>
      <c r="AI1018" s="549"/>
      <c r="AJ1018" s="549"/>
    </row>
    <row r="1019" spans="1:36" s="299" customFormat="1" x14ac:dyDescent="0.25">
      <c r="A1019" s="299" t="s">
        <v>859</v>
      </c>
      <c r="B1019" s="299" t="s">
        <v>449</v>
      </c>
      <c r="H1019" s="553" t="s">
        <v>430</v>
      </c>
      <c r="I1019" s="554" t="str">
        <f t="shared" si="858"/>
        <v>tr. VND</v>
      </c>
      <c r="K1019" s="555"/>
      <c r="L1019" s="555" cm="1">
        <f t="array" ref="L1019">-SUMPRODUCT('W2'!$M$12:$V$112*('W2'!$M$7:$V$7=$A1019)*('W2'!$A$12:$A$112=$B1019))*$H$10*POWER(1+Inflation,L$11+1)</f>
        <v>-982.8</v>
      </c>
      <c r="M1019" s="555" cm="1">
        <f t="array" ref="M1019">-SUMPRODUCT('W2'!$M$12:$V$112*('W2'!$M$7:$V$7=$A1019)*('W2'!$A$12:$A$112=$B1019))*$H$10*POWER(1+Inflation,M$11+1)</f>
        <v>-982.8</v>
      </c>
      <c r="N1019" s="555" cm="1">
        <f t="array" ref="N1019">-SUMPRODUCT('W2'!$M$12:$V$112*('W2'!$M$7:$V$7=$A1019)*('W2'!$A$12:$A$112=$B1019))*$H$10*POWER(1+Inflation,N$11+1)</f>
        <v>-1031.94</v>
      </c>
      <c r="O1019" s="555" cm="1">
        <f t="array" ref="O1019">-SUMPRODUCT('W2'!$M$12:$V$112*('W2'!$M$7:$V$7=$A1019)*('W2'!$A$12:$A$112=$B1019))*$H$10*POWER(1+Inflation,O$11+1)</f>
        <v>-1083.537</v>
      </c>
      <c r="P1019" s="555" cm="1">
        <f t="array" ref="P1019">-SUMPRODUCT('W2'!$M$12:$V$112*('W2'!$M$7:$V$7=$A1019)*('W2'!$A$12:$A$112=$B1019))*$H$10*POWER(1+Inflation,P$11+1)</f>
        <v>-1137.7138500000001</v>
      </c>
      <c r="Q1019" s="555" cm="1">
        <f t="array" ref="Q1019">-SUMPRODUCT('W2'!$M$12:$V$112*('W2'!$M$7:$V$7=$A1019)*('W2'!$A$12:$A$112=$B1019))*$H$10*POWER(1+Inflation,Q$11+1)</f>
        <v>-1194.5995424999999</v>
      </c>
      <c r="R1019" s="555" cm="1">
        <f t="array" ref="R1019">-SUMPRODUCT('W2'!$M$12:$V$112*('W2'!$M$7:$V$7=$A1019)*('W2'!$A$12:$A$112=$B1019))*$H$10*POWER(1+Inflation,R$11+1)</f>
        <v>-1254.3295196250001</v>
      </c>
      <c r="S1019" s="555" cm="1">
        <f t="array" ref="S1019">-SUMPRODUCT('W2'!$M$12:$V$112*('W2'!$M$7:$V$7=$A1019)*('W2'!$A$12:$A$112=$B1019))*$H$10*POWER(1+Inflation,S$11+1)</f>
        <v>-1317.04599560625</v>
      </c>
      <c r="T1019" s="555" cm="1">
        <f t="array" ref="T1019">-SUMPRODUCT('W2'!$M$12:$V$112*('W2'!$M$7:$V$7=$A1019)*('W2'!$A$12:$A$112=$B1019))*$H$10*POWER(1+Inflation,T$11+1)</f>
        <v>-1382.8982953865627</v>
      </c>
      <c r="U1019" s="555" cm="1">
        <f t="array" ref="U1019">-SUMPRODUCT('W2'!$M$12:$V$112*('W2'!$M$7:$V$7=$A1019)*('W2'!$A$12:$A$112=$B1019))*$H$10*POWER(1+Inflation,U$11+1)</f>
        <v>-1452.0432101558906</v>
      </c>
      <c r="V1019" s="555" cm="1">
        <f t="array" ref="V1019">-SUMPRODUCT('W2'!$M$12:$V$112*('W2'!$M$7:$V$7=$A1019)*('W2'!$A$12:$A$112=$B1019))*$H$10*POWER(1+Inflation,V$11+1)</f>
        <v>-1524.6453706636853</v>
      </c>
      <c r="W1019" s="555" cm="1">
        <f t="array" ref="W1019">-SUMPRODUCT('W2'!$M$12:$V$112*('W2'!$M$7:$V$7=$A1019)*('W2'!$A$12:$A$112=$B1019))*$H$10*POWER(1+Inflation,W$11+1)</f>
        <v>-1600.8776391968695</v>
      </c>
      <c r="X1019" s="555" cm="1">
        <f t="array" ref="X1019">-SUMPRODUCT('W2'!$M$12:$V$112*('W2'!$M$7:$V$7=$A1019)*('W2'!$A$12:$A$112=$B1019))*$H$10*POWER(1+Inflation,X$11+1)</f>
        <v>-1680.9215211567132</v>
      </c>
      <c r="Y1019" s="555" cm="1">
        <f t="array" ref="Y1019">-SUMPRODUCT('W2'!$M$12:$V$112*('W2'!$M$7:$V$7=$A1019)*('W2'!$A$12:$A$112=$B1019))*$H$10*POWER(1+Inflation,Y$11+1)</f>
        <v>-1764.9675972145485</v>
      </c>
      <c r="Z1019" s="555" cm="1">
        <f t="array" ref="Z1019">-SUMPRODUCT('W2'!$M$12:$V$112*('W2'!$M$7:$V$7=$A1019)*('W2'!$A$12:$A$112=$B1019))*$H$10*POWER(1+Inflation,Z$11+1)</f>
        <v>-1853.2159770752762</v>
      </c>
      <c r="AA1019" s="555"/>
      <c r="AB1019" s="555"/>
      <c r="AC1019" s="555"/>
      <c r="AD1019" s="555"/>
      <c r="AE1019" s="555"/>
      <c r="AF1019" s="555"/>
      <c r="AG1019" s="555"/>
      <c r="AH1019" s="555"/>
      <c r="AI1019" s="555"/>
      <c r="AJ1019" s="555"/>
    </row>
    <row r="1020" spans="1:36" s="299" customFormat="1" x14ac:dyDescent="0.25">
      <c r="A1020" s="299" t="s">
        <v>859</v>
      </c>
      <c r="B1020" s="299" t="s">
        <v>450</v>
      </c>
      <c r="H1020" s="553" t="s">
        <v>431</v>
      </c>
      <c r="I1020" s="554" t="str">
        <f t="shared" si="858"/>
        <v>tr. VND</v>
      </c>
      <c r="K1020" s="555"/>
      <c r="L1020" s="555" cm="1">
        <f t="array" ref="L1020">-SUMPRODUCT('W2'!$M$12:$V$112*('W2'!$M$7:$V$7=$A1020)*('W2'!$A$12:$A$112=$B1020))*$H$10*POWER(1+Inflation,L$11+1)</f>
        <v>-5028.66</v>
      </c>
      <c r="M1020" s="555" cm="1">
        <f t="array" ref="M1020">-SUMPRODUCT('W2'!$M$12:$V$112*('W2'!$M$7:$V$7=$A1020)*('W2'!$A$12:$A$112=$B1020))*$H$10*POWER(1+Inflation,M$11+1)</f>
        <v>-5028.66</v>
      </c>
      <c r="N1020" s="555" cm="1">
        <f t="array" ref="N1020">-SUMPRODUCT('W2'!$M$12:$V$112*('W2'!$M$7:$V$7=$A1020)*('W2'!$A$12:$A$112=$B1020))*$H$10*POWER(1+Inflation,N$11+1)</f>
        <v>-5280.0929999999998</v>
      </c>
      <c r="O1020" s="555" cm="1">
        <f t="array" ref="O1020">-SUMPRODUCT('W2'!$M$12:$V$112*('W2'!$M$7:$V$7=$A1020)*('W2'!$A$12:$A$112=$B1020))*$H$10*POWER(1+Inflation,O$11+1)</f>
        <v>-5544.0976499999997</v>
      </c>
      <c r="P1020" s="555" cm="1">
        <f t="array" ref="P1020">-SUMPRODUCT('W2'!$M$12:$V$112*('W2'!$M$7:$V$7=$A1020)*('W2'!$A$12:$A$112=$B1020))*$H$10*POWER(1+Inflation,P$11+1)</f>
        <v>-5821.3025325000008</v>
      </c>
      <c r="Q1020" s="555" cm="1">
        <f t="array" ref="Q1020">-SUMPRODUCT('W2'!$M$12:$V$112*('W2'!$M$7:$V$7=$A1020)*('W2'!$A$12:$A$112=$B1020))*$H$10*POWER(1+Inflation,Q$11+1)</f>
        <v>-6112.3676591249996</v>
      </c>
      <c r="R1020" s="555" cm="1">
        <f t="array" ref="R1020">-SUMPRODUCT('W2'!$M$12:$V$112*('W2'!$M$7:$V$7=$A1020)*('W2'!$A$12:$A$112=$B1020))*$H$10*POWER(1+Inflation,R$11+1)</f>
        <v>-6417.9860420812502</v>
      </c>
      <c r="S1020" s="555" cm="1">
        <f t="array" ref="S1020">-SUMPRODUCT('W2'!$M$12:$V$112*('W2'!$M$7:$V$7=$A1020)*('W2'!$A$12:$A$112=$B1020))*$H$10*POWER(1+Inflation,S$11+1)</f>
        <v>-6738.8853441853125</v>
      </c>
      <c r="T1020" s="555" cm="1">
        <f t="array" ref="T1020">-SUMPRODUCT('W2'!$M$12:$V$112*('W2'!$M$7:$V$7=$A1020)*('W2'!$A$12:$A$112=$B1020))*$H$10*POWER(1+Inflation,T$11+1)</f>
        <v>-7075.8296113945789</v>
      </c>
      <c r="U1020" s="555" cm="1">
        <f t="array" ref="U1020">-SUMPRODUCT('W2'!$M$12:$V$112*('W2'!$M$7:$V$7=$A1020)*('W2'!$A$12:$A$112=$B1020))*$H$10*POWER(1+Inflation,U$11+1)</f>
        <v>-7429.6210919643072</v>
      </c>
      <c r="V1020" s="555" cm="1">
        <f t="array" ref="V1020">-SUMPRODUCT('W2'!$M$12:$V$112*('W2'!$M$7:$V$7=$A1020)*('W2'!$A$12:$A$112=$B1020))*$H$10*POWER(1+Inflation,V$11+1)</f>
        <v>-7801.1021465625226</v>
      </c>
      <c r="W1020" s="555" cm="1">
        <f t="array" ref="W1020">-SUMPRODUCT('W2'!$M$12:$V$112*('W2'!$M$7:$V$7=$A1020)*('W2'!$A$12:$A$112=$B1020))*$H$10*POWER(1+Inflation,W$11+1)</f>
        <v>-8191.1572538906494</v>
      </c>
      <c r="X1020" s="555" cm="1">
        <f t="array" ref="X1020">-SUMPRODUCT('W2'!$M$12:$V$112*('W2'!$M$7:$V$7=$A1020)*('W2'!$A$12:$A$112=$B1020))*$H$10*POWER(1+Inflation,X$11+1)</f>
        <v>-8600.7151165851828</v>
      </c>
      <c r="Y1020" s="555" cm="1">
        <f t="array" ref="Y1020">-SUMPRODUCT('W2'!$M$12:$V$112*('W2'!$M$7:$V$7=$A1020)*('W2'!$A$12:$A$112=$B1020))*$H$10*POWER(1+Inflation,Y$11+1)</f>
        <v>-9030.7508724144391</v>
      </c>
      <c r="Z1020" s="555" cm="1">
        <f t="array" ref="Z1020">-SUMPRODUCT('W2'!$M$12:$V$112*('W2'!$M$7:$V$7=$A1020)*('W2'!$A$12:$A$112=$B1020))*$H$10*POWER(1+Inflation,Z$11+1)</f>
        <v>-9482.2884160351641</v>
      </c>
      <c r="AA1020" s="555"/>
      <c r="AB1020" s="555"/>
      <c r="AC1020" s="555"/>
      <c r="AD1020" s="555"/>
      <c r="AE1020" s="555"/>
      <c r="AF1020" s="555"/>
      <c r="AG1020" s="555"/>
      <c r="AH1020" s="555"/>
      <c r="AI1020" s="555"/>
      <c r="AJ1020" s="555"/>
    </row>
    <row r="1021" spans="1:36" x14ac:dyDescent="0.25">
      <c r="A1021" t="s">
        <v>859</v>
      </c>
      <c r="B1021" t="s">
        <v>451</v>
      </c>
      <c r="H1021" s="454" t="s">
        <v>656</v>
      </c>
      <c r="I1021" s="496" t="str">
        <f t="shared" si="858"/>
        <v>tr. VND</v>
      </c>
      <c r="K1021" s="549"/>
      <c r="L1021" s="549" cm="1">
        <f t="array" ref="L1021">-SUMPRODUCT('W2'!$M$12:$V$112*('W2'!$M$7:$V$7=$A1021)*('W2'!$A$12:$A$112=$B1021))*$H$10*POWER(1+Inflation,L$11+1)</f>
        <v>-2400</v>
      </c>
      <c r="M1021" s="549" cm="1">
        <f t="array" ref="M1021">-SUMPRODUCT('W2'!$M$12:$V$112*('W2'!$M$7:$V$7=$A1021)*('W2'!$A$12:$A$112=$B1021))*$H$10*POWER(1+Inflation,M$11+1)</f>
        <v>-2400</v>
      </c>
      <c r="N1021" s="549" cm="1">
        <f t="array" ref="N1021">-SUMPRODUCT('W2'!$M$12:$V$112*('W2'!$M$7:$V$7=$A1021)*('W2'!$A$12:$A$112=$B1021))*$H$10*POWER(1+Inflation,N$11+1)</f>
        <v>-2520</v>
      </c>
      <c r="O1021" s="549" cm="1">
        <f t="array" ref="O1021">-SUMPRODUCT('W2'!$M$12:$V$112*('W2'!$M$7:$V$7=$A1021)*('W2'!$A$12:$A$112=$B1021))*$H$10*POWER(1+Inflation,O$11+1)</f>
        <v>-2646</v>
      </c>
      <c r="P1021" s="549" cm="1">
        <f t="array" ref="P1021">-SUMPRODUCT('W2'!$M$12:$V$112*('W2'!$M$7:$V$7=$A1021)*('W2'!$A$12:$A$112=$B1021))*$H$10*POWER(1+Inflation,P$11+1)</f>
        <v>-2778.3</v>
      </c>
      <c r="Q1021" s="549" cm="1">
        <f t="array" ref="Q1021">-SUMPRODUCT('W2'!$M$12:$V$112*('W2'!$M$7:$V$7=$A1021)*('W2'!$A$12:$A$112=$B1021))*$H$10*POWER(1+Inflation,Q$11+1)</f>
        <v>-2917.2150000000001</v>
      </c>
      <c r="R1021" s="549" cm="1">
        <f t="array" ref="R1021">-SUMPRODUCT('W2'!$M$12:$V$112*('W2'!$M$7:$V$7=$A1021)*('W2'!$A$12:$A$112=$B1021))*$H$10*POWER(1+Inflation,R$11+1)</f>
        <v>-3063.0757500000004</v>
      </c>
      <c r="S1021" s="549" cm="1">
        <f t="array" ref="S1021">-SUMPRODUCT('W2'!$M$12:$V$112*('W2'!$M$7:$V$7=$A1021)*('W2'!$A$12:$A$112=$B1021))*$H$10*POWER(1+Inflation,S$11+1)</f>
        <v>-3216.2295374999999</v>
      </c>
      <c r="T1021" s="549" cm="1">
        <f t="array" ref="T1021">-SUMPRODUCT('W2'!$M$12:$V$112*('W2'!$M$7:$V$7=$A1021)*('W2'!$A$12:$A$112=$B1021))*$H$10*POWER(1+Inflation,T$11+1)</f>
        <v>-3377.0410143750005</v>
      </c>
      <c r="U1021" s="549" cm="1">
        <f t="array" ref="U1021">-SUMPRODUCT('W2'!$M$12:$V$112*('W2'!$M$7:$V$7=$A1021)*('W2'!$A$12:$A$112=$B1021))*$H$10*POWER(1+Inflation,U$11+1)</f>
        <v>-3545.89306509375</v>
      </c>
      <c r="V1021" s="549" cm="1">
        <f t="array" ref="V1021">-SUMPRODUCT('W2'!$M$12:$V$112*('W2'!$M$7:$V$7=$A1021)*('W2'!$A$12:$A$112=$B1021))*$H$10*POWER(1+Inflation,V$11+1)</f>
        <v>-3723.187718348438</v>
      </c>
      <c r="W1021" s="549" cm="1">
        <f t="array" ref="W1021">-SUMPRODUCT('W2'!$M$12:$V$112*('W2'!$M$7:$V$7=$A1021)*('W2'!$A$12:$A$112=$B1021))*$H$10*POWER(1+Inflation,W$11+1)</f>
        <v>-3909.3471042658598</v>
      </c>
      <c r="X1021" s="549" cm="1">
        <f t="array" ref="X1021">-SUMPRODUCT('W2'!$M$12:$V$112*('W2'!$M$7:$V$7=$A1021)*('W2'!$A$12:$A$112=$B1021))*$H$10*POWER(1+Inflation,X$11+1)</f>
        <v>-4104.8144594791529</v>
      </c>
      <c r="Y1021" s="549" cm="1">
        <f t="array" ref="Y1021">-SUMPRODUCT('W2'!$M$12:$V$112*('W2'!$M$7:$V$7=$A1021)*('W2'!$A$12:$A$112=$B1021))*$H$10*POWER(1+Inflation,Y$11+1)</f>
        <v>-4310.0551824531103</v>
      </c>
      <c r="Z1021" s="549" cm="1">
        <f t="array" ref="Z1021">-SUMPRODUCT('W2'!$M$12:$V$112*('W2'!$M$7:$V$7=$A1021)*('W2'!$A$12:$A$112=$B1021))*$H$10*POWER(1+Inflation,Z$11+1)</f>
        <v>-4525.5579415757666</v>
      </c>
      <c r="AA1021" s="549"/>
      <c r="AB1021" s="549"/>
      <c r="AC1021" s="549"/>
      <c r="AD1021" s="549"/>
      <c r="AE1021" s="549"/>
      <c r="AF1021" s="549"/>
      <c r="AG1021" s="549"/>
      <c r="AH1021" s="549"/>
      <c r="AI1021" s="549"/>
      <c r="AJ1021" s="549"/>
    </row>
    <row r="1022" spans="1:36" x14ac:dyDescent="0.25">
      <c r="A1022" t="s">
        <v>859</v>
      </c>
      <c r="B1022" t="s">
        <v>452</v>
      </c>
      <c r="H1022" s="454" t="s">
        <v>432</v>
      </c>
      <c r="I1022" s="496" t="str">
        <f t="shared" si="858"/>
        <v>tr. VND</v>
      </c>
      <c r="K1022" s="549"/>
      <c r="L1022" s="549" cm="1">
        <f t="array" ref="L1022">-SUMPRODUCT('W2'!$M$12:$V$112*('W2'!$M$7:$V$7=$A1022)*('W2'!$A$12:$A$112=$B1022))*$H$10*POWER(1+Inflation,L$11+1)</f>
        <v>-9022.4939999999988</v>
      </c>
      <c r="M1022" s="549" cm="1">
        <f t="array" ref="M1022">-SUMPRODUCT('W2'!$M$12:$V$112*('W2'!$M$7:$V$7=$A1022)*('W2'!$A$12:$A$112=$B1022))*$H$10*POWER(1+Inflation,M$11+1)</f>
        <v>-9022.4939999999988</v>
      </c>
      <c r="N1022" s="549" cm="1">
        <f t="array" ref="N1022">-SUMPRODUCT('W2'!$M$12:$V$112*('W2'!$M$7:$V$7=$A1022)*('W2'!$A$12:$A$112=$B1022))*$H$10*POWER(1+Inflation,N$11+1)</f>
        <v>-9473.6186999999991</v>
      </c>
      <c r="O1022" s="549" cm="1">
        <f t="array" ref="O1022">-SUMPRODUCT('W2'!$M$12:$V$112*('W2'!$M$7:$V$7=$A1022)*('W2'!$A$12:$A$112=$B1022))*$H$10*POWER(1+Inflation,O$11+1)</f>
        <v>-9947.2996349999994</v>
      </c>
      <c r="P1022" s="549" cm="1">
        <f t="array" ref="P1022">-SUMPRODUCT('W2'!$M$12:$V$112*('W2'!$M$7:$V$7=$A1022)*('W2'!$A$12:$A$112=$B1022))*$H$10*POWER(1+Inflation,P$11+1)</f>
        <v>-10444.66461675</v>
      </c>
      <c r="Q1022" s="549" cm="1">
        <f t="array" ref="Q1022">-SUMPRODUCT('W2'!$M$12:$V$112*('W2'!$M$7:$V$7=$A1022)*('W2'!$A$12:$A$112=$B1022))*$H$10*POWER(1+Inflation,Q$11+1)</f>
        <v>-10966.897847587499</v>
      </c>
      <c r="R1022" s="549" cm="1">
        <f t="array" ref="R1022">-SUMPRODUCT('W2'!$M$12:$V$112*('W2'!$M$7:$V$7=$A1022)*('W2'!$A$12:$A$112=$B1022))*$H$10*POWER(1+Inflation,R$11+1)</f>
        <v>-11515.242739966874</v>
      </c>
      <c r="S1022" s="549" cm="1">
        <f t="array" ref="S1022">-SUMPRODUCT('W2'!$M$12:$V$112*('W2'!$M$7:$V$7=$A1022)*('W2'!$A$12:$A$112=$B1022))*$H$10*POWER(1+Inflation,S$11+1)</f>
        <v>-12091.004876965217</v>
      </c>
      <c r="T1022" s="549" cm="1">
        <f t="array" ref="T1022">-SUMPRODUCT('W2'!$M$12:$V$112*('W2'!$M$7:$V$7=$A1022)*('W2'!$A$12:$A$112=$B1022))*$H$10*POWER(1+Inflation,T$11+1)</f>
        <v>-12695.55512081348</v>
      </c>
      <c r="U1022" s="549" cm="1">
        <f t="array" ref="U1022">-SUMPRODUCT('W2'!$M$12:$V$112*('W2'!$M$7:$V$7=$A1022)*('W2'!$A$12:$A$112=$B1022))*$H$10*POWER(1+Inflation,U$11+1)</f>
        <v>-13330.332876854152</v>
      </c>
      <c r="V1022" s="549" cm="1">
        <f t="array" ref="V1022">-SUMPRODUCT('W2'!$M$12:$V$112*('W2'!$M$7:$V$7=$A1022)*('W2'!$A$12:$A$112=$B1022))*$H$10*POWER(1+Inflation,V$11+1)</f>
        <v>-13996.84952069686</v>
      </c>
      <c r="W1022" s="549" cm="1">
        <f t="array" ref="W1022">-SUMPRODUCT('W2'!$M$12:$V$112*('W2'!$M$7:$V$7=$A1022)*('W2'!$A$12:$A$112=$B1022))*$H$10*POWER(1+Inflation,W$11+1)</f>
        <v>-14696.691996731704</v>
      </c>
      <c r="X1022" s="549" cm="1">
        <f t="array" ref="X1022">-SUMPRODUCT('W2'!$M$12:$V$112*('W2'!$M$7:$V$7=$A1022)*('W2'!$A$12:$A$112=$B1022))*$H$10*POWER(1+Inflation,X$11+1)</f>
        <v>-15431.52659656829</v>
      </c>
      <c r="Y1022" s="549" cm="1">
        <f t="array" ref="Y1022">-SUMPRODUCT('W2'!$M$12:$V$112*('W2'!$M$7:$V$7=$A1022)*('W2'!$A$12:$A$112=$B1022))*$H$10*POWER(1+Inflation,Y$11+1)</f>
        <v>-16203.102926396703</v>
      </c>
      <c r="Z1022" s="549" cm="1">
        <f t="array" ref="Z1022">-SUMPRODUCT('W2'!$M$12:$V$112*('W2'!$M$7:$V$7=$A1022)*('W2'!$A$12:$A$112=$B1022))*$H$10*POWER(1+Inflation,Z$11+1)</f>
        <v>-17013.25807271654</v>
      </c>
      <c r="AA1022" s="549"/>
      <c r="AB1022" s="549"/>
      <c r="AC1022" s="549"/>
      <c r="AD1022" s="549"/>
      <c r="AE1022" s="549"/>
      <c r="AF1022" s="549"/>
      <c r="AG1022" s="549"/>
      <c r="AH1022" s="549"/>
      <c r="AI1022" s="549"/>
      <c r="AJ1022" s="549"/>
    </row>
    <row r="1023" spans="1:36" x14ac:dyDescent="0.25">
      <c r="A1023" t="s">
        <v>859</v>
      </c>
      <c r="B1023" t="s">
        <v>453</v>
      </c>
      <c r="H1023" s="454" t="s">
        <v>433</v>
      </c>
      <c r="I1023" s="496" t="str">
        <f t="shared" si="858"/>
        <v>tr. VND</v>
      </c>
      <c r="K1023" s="549"/>
      <c r="L1023" s="549" cm="1">
        <f t="array" ref="L1023">-SUMPRODUCT('W2'!$M$12:$V$112*('W2'!$M$7:$V$7=$A1023)*('W2'!$A$12:$A$112=$B1023))*$H$10*POWER(1+Inflation,L$11+1)</f>
        <v>-552</v>
      </c>
      <c r="M1023" s="549" cm="1">
        <f t="array" ref="M1023">-SUMPRODUCT('W2'!$M$12:$V$112*('W2'!$M$7:$V$7=$A1023)*('W2'!$A$12:$A$112=$B1023))*$H$10*POWER(1+Inflation,M$11+1)</f>
        <v>-552</v>
      </c>
      <c r="N1023" s="549" cm="1">
        <f t="array" ref="N1023">-SUMPRODUCT('W2'!$M$12:$V$112*('W2'!$M$7:$V$7=$A1023)*('W2'!$A$12:$A$112=$B1023))*$H$10*POWER(1+Inflation,N$11+1)</f>
        <v>-579.6</v>
      </c>
      <c r="O1023" s="549" cm="1">
        <f t="array" ref="O1023">-SUMPRODUCT('W2'!$M$12:$V$112*('W2'!$M$7:$V$7=$A1023)*('W2'!$A$12:$A$112=$B1023))*$H$10*POWER(1+Inflation,O$11+1)</f>
        <v>-608.58000000000004</v>
      </c>
      <c r="P1023" s="549" cm="1">
        <f t="array" ref="P1023">-SUMPRODUCT('W2'!$M$12:$V$112*('W2'!$M$7:$V$7=$A1023)*('W2'!$A$12:$A$112=$B1023))*$H$10*POWER(1+Inflation,P$11+1)</f>
        <v>-639.00900000000001</v>
      </c>
      <c r="Q1023" s="549" cm="1">
        <f t="array" ref="Q1023">-SUMPRODUCT('W2'!$M$12:$V$112*('W2'!$M$7:$V$7=$A1023)*('W2'!$A$12:$A$112=$B1023))*$H$10*POWER(1+Inflation,Q$11+1)</f>
        <v>-670.95945000000006</v>
      </c>
      <c r="R1023" s="549" cm="1">
        <f t="array" ref="R1023">-SUMPRODUCT('W2'!$M$12:$V$112*('W2'!$M$7:$V$7=$A1023)*('W2'!$A$12:$A$112=$B1023))*$H$10*POWER(1+Inflation,R$11+1)</f>
        <v>-704.50742250000008</v>
      </c>
      <c r="S1023" s="549" cm="1">
        <f t="array" ref="S1023">-SUMPRODUCT('W2'!$M$12:$V$112*('W2'!$M$7:$V$7=$A1023)*('W2'!$A$12:$A$112=$B1023))*$H$10*POWER(1+Inflation,S$11+1)</f>
        <v>-739.732793625</v>
      </c>
      <c r="T1023" s="549" cm="1">
        <f t="array" ref="T1023">-SUMPRODUCT('W2'!$M$12:$V$112*('W2'!$M$7:$V$7=$A1023)*('W2'!$A$12:$A$112=$B1023))*$H$10*POWER(1+Inflation,T$11+1)</f>
        <v>-776.71943330625015</v>
      </c>
      <c r="U1023" s="549" cm="1">
        <f t="array" ref="U1023">-SUMPRODUCT('W2'!$M$12:$V$112*('W2'!$M$7:$V$7=$A1023)*('W2'!$A$12:$A$112=$B1023))*$H$10*POWER(1+Inflation,U$11+1)</f>
        <v>-815.55540497156255</v>
      </c>
      <c r="V1023" s="549" cm="1">
        <f t="array" ref="V1023">-SUMPRODUCT('W2'!$M$12:$V$112*('W2'!$M$7:$V$7=$A1023)*('W2'!$A$12:$A$112=$B1023))*$H$10*POWER(1+Inflation,V$11+1)</f>
        <v>-856.33317522014067</v>
      </c>
      <c r="W1023" s="549" cm="1">
        <f t="array" ref="W1023">-SUMPRODUCT('W2'!$M$12:$V$112*('W2'!$M$7:$V$7=$A1023)*('W2'!$A$12:$A$112=$B1023))*$H$10*POWER(1+Inflation,W$11+1)</f>
        <v>-899.14983398114771</v>
      </c>
      <c r="X1023" s="549" cm="1">
        <f t="array" ref="X1023">-SUMPRODUCT('W2'!$M$12:$V$112*('W2'!$M$7:$V$7=$A1023)*('W2'!$A$12:$A$112=$B1023))*$H$10*POWER(1+Inflation,X$11+1)</f>
        <v>-944.10732568020524</v>
      </c>
      <c r="Y1023" s="549" cm="1">
        <f t="array" ref="Y1023">-SUMPRODUCT('W2'!$M$12:$V$112*('W2'!$M$7:$V$7=$A1023)*('W2'!$A$12:$A$112=$B1023))*$H$10*POWER(1+Inflation,Y$11+1)</f>
        <v>-991.31269196421533</v>
      </c>
      <c r="Z1023" s="549" cm="1">
        <f t="array" ref="Z1023">-SUMPRODUCT('W2'!$M$12:$V$112*('W2'!$M$7:$V$7=$A1023)*('W2'!$A$12:$A$112=$B1023))*$H$10*POWER(1+Inflation,Z$11+1)</f>
        <v>-1040.8783265624263</v>
      </c>
      <c r="AA1023" s="549"/>
      <c r="AB1023" s="549"/>
      <c r="AC1023" s="549"/>
      <c r="AD1023" s="549"/>
      <c r="AE1023" s="549"/>
      <c r="AF1023" s="549"/>
      <c r="AG1023" s="549"/>
      <c r="AH1023" s="549"/>
      <c r="AI1023" s="549"/>
      <c r="AJ1023" s="549"/>
    </row>
    <row r="1024" spans="1:36" x14ac:dyDescent="0.25">
      <c r="A1024" t="s">
        <v>859</v>
      </c>
      <c r="B1024" t="s">
        <v>521</v>
      </c>
      <c r="H1024" s="454" t="s">
        <v>520</v>
      </c>
      <c r="I1024" s="496" t="str">
        <f t="shared" si="858"/>
        <v>tr. VND</v>
      </c>
      <c r="K1024" s="549"/>
      <c r="L1024" s="549" cm="1">
        <f t="array" ref="L1024">-SUMPRODUCT('W2'!$M$12:$V$112*('W2'!$M$7:$V$7=$A1024)*('W2'!$A$12:$A$112=$B1024))*$H$10</f>
        <v>-601.49959999999999</v>
      </c>
      <c r="M1024" s="549" cm="1">
        <f t="array" ref="M1024">-SUMPRODUCT('W2'!$M$12:$V$112*('W2'!$M$7:$V$7=$A1024)*('W2'!$A$12:$A$112=$B1024))*$H$10</f>
        <v>-601.49959999999999</v>
      </c>
      <c r="N1024" s="549" cm="1">
        <f t="array" ref="N1024">-SUMPRODUCT('W2'!$M$12:$V$112*('W2'!$M$7:$V$7=$A1024)*('W2'!$A$12:$A$112=$B1024))*$H$10</f>
        <v>-601.49959999999999</v>
      </c>
      <c r="O1024" s="549" cm="1">
        <f t="array" ref="O1024">-SUMPRODUCT('W2'!$M$12:$V$112*('W2'!$M$7:$V$7=$A1024)*('W2'!$A$12:$A$112=$B1024))*$H$10</f>
        <v>-601.49959999999999</v>
      </c>
      <c r="P1024" s="549" cm="1">
        <f t="array" ref="P1024">-SUMPRODUCT('W2'!$M$12:$V$112*('W2'!$M$7:$V$7=$A1024)*('W2'!$A$12:$A$112=$B1024))*$H$10</f>
        <v>-601.49959999999999</v>
      </c>
      <c r="Q1024" s="549" cm="1">
        <f t="array" ref="Q1024">-SUMPRODUCT('W2'!$M$12:$V$112*('W2'!$M$7:$V$7=$A1024)*('W2'!$A$12:$A$112=$B1024))*$H$10</f>
        <v>-601.49959999999999</v>
      </c>
      <c r="R1024" s="549" cm="1">
        <f t="array" ref="R1024">-SUMPRODUCT('W2'!$M$12:$V$112*('W2'!$M$7:$V$7=$A1024)*('W2'!$A$12:$A$112=$B1024))*$H$10</f>
        <v>-601.49959999999999</v>
      </c>
      <c r="S1024" s="549" cm="1">
        <f t="array" ref="S1024">-SUMPRODUCT('W2'!$M$12:$V$112*('W2'!$M$7:$V$7=$A1024)*('W2'!$A$12:$A$112=$B1024))*$H$10</f>
        <v>-601.49959999999999</v>
      </c>
      <c r="T1024" s="549" cm="1">
        <f t="array" ref="T1024">-SUMPRODUCT('W2'!$M$12:$V$112*('W2'!$M$7:$V$7=$A1024)*('W2'!$A$12:$A$112=$B1024))*$H$10</f>
        <v>-601.49959999999999</v>
      </c>
      <c r="U1024" s="549" cm="1">
        <f t="array" ref="U1024">-SUMPRODUCT('W2'!$M$12:$V$112*('W2'!$M$7:$V$7=$A1024)*('W2'!$A$12:$A$112=$B1024))*$H$10</f>
        <v>-601.49959999999999</v>
      </c>
      <c r="V1024" s="549" cm="1">
        <f t="array" ref="V1024">-SUMPRODUCT('W2'!$M$12:$V$112*('W2'!$M$7:$V$7=$A1024)*('W2'!$A$12:$A$112=$B1024))*$H$10</f>
        <v>-601.49959999999999</v>
      </c>
      <c r="W1024" s="549" cm="1">
        <f t="array" ref="W1024">-SUMPRODUCT('W2'!$M$12:$V$112*('W2'!$M$7:$V$7=$A1024)*('W2'!$A$12:$A$112=$B1024))*$H$10</f>
        <v>-601.49959999999999</v>
      </c>
      <c r="X1024" s="549" cm="1">
        <f t="array" ref="X1024">-SUMPRODUCT('W2'!$M$12:$V$112*('W2'!$M$7:$V$7=$A1024)*('W2'!$A$12:$A$112=$B1024))*$H$10</f>
        <v>-601.49959999999999</v>
      </c>
      <c r="Y1024" s="549" cm="1">
        <f t="array" ref="Y1024">-SUMPRODUCT('W2'!$M$12:$V$112*('W2'!$M$7:$V$7=$A1024)*('W2'!$A$12:$A$112=$B1024))*$H$10</f>
        <v>-601.49959999999999</v>
      </c>
      <c r="Z1024" s="549" cm="1">
        <f t="array" ref="Z1024">-SUMPRODUCT('W2'!$M$12:$V$112*('W2'!$M$7:$V$7=$A1024)*('W2'!$A$12:$A$112=$B1024))*$H$10</f>
        <v>-601.49959999999999</v>
      </c>
      <c r="AA1024" s="549"/>
      <c r="AB1024" s="549"/>
      <c r="AC1024" s="549"/>
      <c r="AD1024" s="549"/>
      <c r="AE1024" s="549"/>
      <c r="AF1024" s="549"/>
      <c r="AG1024" s="549"/>
      <c r="AH1024" s="549"/>
      <c r="AI1024" s="549"/>
      <c r="AJ1024" s="549"/>
    </row>
    <row r="1025" spans="1:36" x14ac:dyDescent="0.25">
      <c r="A1025" t="s">
        <v>859</v>
      </c>
      <c r="K1025" s="243"/>
      <c r="L1025" s="243"/>
      <c r="M1025" s="243"/>
      <c r="N1025" s="243"/>
      <c r="O1025" s="243"/>
      <c r="P1025" s="243"/>
      <c r="Q1025" s="243"/>
      <c r="R1025" s="243"/>
      <c r="S1025" s="243"/>
      <c r="T1025" s="243"/>
      <c r="U1025" s="243"/>
      <c r="V1025" s="243"/>
      <c r="W1025" s="243"/>
      <c r="X1025" s="243"/>
      <c r="Y1025" s="243"/>
      <c r="Z1025" s="243"/>
      <c r="AA1025" s="243"/>
      <c r="AB1025" s="243"/>
      <c r="AC1025" s="243"/>
      <c r="AD1025" s="243"/>
      <c r="AE1025" s="243"/>
      <c r="AF1025" s="243"/>
      <c r="AG1025" s="243"/>
      <c r="AH1025" s="243"/>
      <c r="AI1025" s="243"/>
      <c r="AJ1025" s="243"/>
    </row>
    <row r="1026" spans="1:36" s="1" customFormat="1" x14ac:dyDescent="0.25">
      <c r="A1026" s="1" t="s">
        <v>859</v>
      </c>
      <c r="H1026" s="266" t="s">
        <v>435</v>
      </c>
      <c r="I1026" s="267" t="str">
        <f t="shared" ref="I1026:I1029" si="862">IF($H$9="USD","USD","tr. VND")</f>
        <v>tr. VND</v>
      </c>
      <c r="K1026" s="269">
        <f>K1027+K1030+K1033</f>
        <v>0</v>
      </c>
      <c r="L1026" s="269">
        <f t="shared" ref="L1026:AJ1026" si="863">L1027+L1030+L1033</f>
        <v>-92494.065303826777</v>
      </c>
      <c r="M1026" s="269">
        <f t="shared" si="863"/>
        <v>-128793.29243442416</v>
      </c>
      <c r="N1026" s="269">
        <f t="shared" si="863"/>
        <v>-187365.60190480959</v>
      </c>
      <c r="O1026" s="269">
        <f t="shared" si="863"/>
        <v>-191595.4979197002</v>
      </c>
      <c r="P1026" s="269">
        <f t="shared" si="863"/>
        <v>-195935.14761304564</v>
      </c>
      <c r="Q1026" s="269">
        <f t="shared" si="863"/>
        <v>-200388.00384632294</v>
      </c>
      <c r="R1026" s="269">
        <f t="shared" si="863"/>
        <v>-204957.65142763397</v>
      </c>
      <c r="S1026" s="269">
        <f t="shared" si="863"/>
        <v>-209647.81289510772</v>
      </c>
      <c r="T1026" s="269">
        <f t="shared" si="863"/>
        <v>-214462.35457319432</v>
      </c>
      <c r="U1026" s="269">
        <f t="shared" si="863"/>
        <v>-219405.29291516927</v>
      </c>
      <c r="V1026" s="269">
        <f t="shared" si="863"/>
        <v>-224480.80114582658</v>
      </c>
      <c r="W1026" s="269">
        <f t="shared" si="863"/>
        <v>-229693.21621903207</v>
      </c>
      <c r="X1026" s="269">
        <f t="shared" si="863"/>
        <v>-234044.54677220009</v>
      </c>
      <c r="Y1026" s="269">
        <f t="shared" si="863"/>
        <v>-239544.47809385488</v>
      </c>
      <c r="Z1026" s="269">
        <f t="shared" si="863"/>
        <v>-245195.38412123729</v>
      </c>
      <c r="AA1026" s="269"/>
      <c r="AB1026" s="269"/>
      <c r="AC1026" s="269"/>
      <c r="AD1026" s="269"/>
      <c r="AE1026" s="269"/>
      <c r="AF1026" s="269"/>
      <c r="AG1026" s="269"/>
      <c r="AH1026" s="269"/>
      <c r="AI1026" s="269"/>
      <c r="AJ1026" s="269"/>
    </row>
    <row r="1027" spans="1:36" x14ac:dyDescent="0.25">
      <c r="A1027" t="s">
        <v>859</v>
      </c>
      <c r="H1027" s="636" t="s">
        <v>454</v>
      </c>
      <c r="I1027" s="637" t="str">
        <f t="shared" si="862"/>
        <v>tr. VND</v>
      </c>
      <c r="K1027" s="638">
        <f>SUM(K1028:K1029)</f>
        <v>0</v>
      </c>
      <c r="L1027" s="638">
        <f t="shared" ref="L1027:AJ1027" si="864">SUM(L1028:L1029)</f>
        <v>-83121.831936000002</v>
      </c>
      <c r="M1027" s="638">
        <f t="shared" si="864"/>
        <v>-116370.56471040001</v>
      </c>
      <c r="N1027" s="638">
        <f t="shared" si="864"/>
        <v>-169568.53714944003</v>
      </c>
      <c r="O1027" s="638">
        <f t="shared" si="864"/>
        <v>-172959.90789242883</v>
      </c>
      <c r="P1027" s="638">
        <f t="shared" si="864"/>
        <v>-176419.10605027739</v>
      </c>
      <c r="Q1027" s="638">
        <f t="shared" si="864"/>
        <v>-179947.48817128292</v>
      </c>
      <c r="R1027" s="638">
        <f t="shared" si="864"/>
        <v>-183546.43793470861</v>
      </c>
      <c r="S1027" s="638">
        <f t="shared" si="864"/>
        <v>-187217.36669340279</v>
      </c>
      <c r="T1027" s="638">
        <f t="shared" si="864"/>
        <v>-190961.71402727079</v>
      </c>
      <c r="U1027" s="638">
        <f t="shared" si="864"/>
        <v>-194780.9483078162</v>
      </c>
      <c r="V1027" s="638">
        <f t="shared" si="864"/>
        <v>-198676.56727397256</v>
      </c>
      <c r="W1027" s="638">
        <f t="shared" si="864"/>
        <v>-202650.09861945201</v>
      </c>
      <c r="X1027" s="638">
        <f t="shared" si="864"/>
        <v>-206703.10059184101</v>
      </c>
      <c r="Y1027" s="638">
        <f t="shared" si="864"/>
        <v>-210837.16260367786</v>
      </c>
      <c r="Z1027" s="638">
        <f t="shared" si="864"/>
        <v>-215053.90585575142</v>
      </c>
      <c r="AA1027" s="638"/>
      <c r="AB1027" s="638"/>
      <c r="AC1027" s="638"/>
      <c r="AD1027" s="638"/>
      <c r="AE1027" s="638"/>
      <c r="AF1027" s="638"/>
      <c r="AG1027" s="638"/>
      <c r="AH1027" s="638"/>
      <c r="AI1027" s="638"/>
      <c r="AJ1027" s="638"/>
    </row>
    <row r="1028" spans="1:36" s="299" customFormat="1" x14ac:dyDescent="0.25">
      <c r="A1028" s="299" t="s">
        <v>859</v>
      </c>
      <c r="B1028" s="299" t="s">
        <v>459</v>
      </c>
      <c r="H1028" s="553" t="s">
        <v>167</v>
      </c>
      <c r="I1028" s="554" t="str">
        <f t="shared" si="862"/>
        <v>tr. VND</v>
      </c>
      <c r="K1028" s="555"/>
      <c r="L1028" s="555" cm="1">
        <f t="array" ref="L1028">-SUMPRODUCT('W2'!$M$12:$V$112*('W2'!$M$7:$V$7=$A1028)*('W2'!$A$12:$A$112=$B1028))*L1005*$H$10*POWER(1+INDEX('Cover Page'!$H$8:$AJ$8,MATCH($A1028,'Cover Page'!$H$5:$AJ$5,0)),1+L$13)</f>
        <v>-77303.303700479999</v>
      </c>
      <c r="M1028" s="555" cm="1">
        <f t="array" ref="M1028">-SUMPRODUCT('W2'!$M$12:$V$112*('W2'!$M$7:$V$7=$A1028)*('W2'!$A$12:$A$112=$B1028))*M1005*$H$10*POWER(1+INDEX('Cover Page'!$H$8:$AJ$8,MATCH($A1028,'Cover Page'!$H$5:$AJ$5,0)),1+M$13)</f>
        <v>-108224.625180672</v>
      </c>
      <c r="N1028" s="555" cm="1">
        <f t="array" ref="N1028">-SUMPRODUCT('W2'!$M$12:$V$112*('W2'!$M$7:$V$7=$A1028)*('W2'!$A$12:$A$112=$B1028))*N1005*$H$10*POWER(1+INDEX('Cover Page'!$H$8:$AJ$8,MATCH($A1028,'Cover Page'!$H$5:$AJ$5,0)),1+N$13)</f>
        <v>-157698.73954897921</v>
      </c>
      <c r="O1028" s="555" cm="1">
        <f t="array" ref="O1028">-SUMPRODUCT('W2'!$M$12:$V$112*('W2'!$M$7:$V$7=$A1028)*('W2'!$A$12:$A$112=$B1028))*O1005*$H$10*POWER(1+INDEX('Cover Page'!$H$8:$AJ$8,MATCH($A1028,'Cover Page'!$H$5:$AJ$5,0)),1+O$13)</f>
        <v>-160852.71433995879</v>
      </c>
      <c r="P1028" s="555" cm="1">
        <f t="array" ref="P1028">-SUMPRODUCT('W2'!$M$12:$V$112*('W2'!$M$7:$V$7=$A1028)*('W2'!$A$12:$A$112=$B1028))*P1005*$H$10*POWER(1+INDEX('Cover Page'!$H$8:$AJ$8,MATCH($A1028,'Cover Page'!$H$5:$AJ$5,0)),1+P$13)</f>
        <v>-164069.76862675796</v>
      </c>
      <c r="Q1028" s="555" cm="1">
        <f t="array" ref="Q1028">-SUMPRODUCT('W2'!$M$12:$V$112*('W2'!$M$7:$V$7=$A1028)*('W2'!$A$12:$A$112=$B1028))*Q1005*$H$10*POWER(1+INDEX('Cover Page'!$H$8:$AJ$8,MATCH($A1028,'Cover Page'!$H$5:$AJ$5,0)),1+Q$13)</f>
        <v>-167351.16399929312</v>
      </c>
      <c r="R1028" s="555" cm="1">
        <f t="array" ref="R1028">-SUMPRODUCT('W2'!$M$12:$V$112*('W2'!$M$7:$V$7=$A1028)*('W2'!$A$12:$A$112=$B1028))*R1005*$H$10*POWER(1+INDEX('Cover Page'!$H$8:$AJ$8,MATCH($A1028,'Cover Page'!$H$5:$AJ$5,0)),1+R$13)</f>
        <v>-170698.18727927899</v>
      </c>
      <c r="S1028" s="555" cm="1">
        <f t="array" ref="S1028">-SUMPRODUCT('W2'!$M$12:$V$112*('W2'!$M$7:$V$7=$A1028)*('W2'!$A$12:$A$112=$B1028))*S1005*$H$10*POWER(1+INDEX('Cover Page'!$H$8:$AJ$8,MATCH($A1028,'Cover Page'!$H$5:$AJ$5,0)),1+S$13)</f>
        <v>-174112.15102486458</v>
      </c>
      <c r="T1028" s="555" cm="1">
        <f t="array" ref="T1028">-SUMPRODUCT('W2'!$M$12:$V$112*('W2'!$M$7:$V$7=$A1028)*('W2'!$A$12:$A$112=$B1028))*T1005*$H$10*POWER(1+INDEX('Cover Page'!$H$8:$AJ$8,MATCH($A1028,'Cover Page'!$H$5:$AJ$5,0)),1+T$13)</f>
        <v>-177594.39404536181</v>
      </c>
      <c r="U1028" s="555" cm="1">
        <f t="array" ref="U1028">-SUMPRODUCT('W2'!$M$12:$V$112*('W2'!$M$7:$V$7=$A1028)*('W2'!$A$12:$A$112=$B1028))*U1005*$H$10*POWER(1+INDEX('Cover Page'!$H$8:$AJ$8,MATCH($A1028,'Cover Page'!$H$5:$AJ$5,0)),1+U$13)</f>
        <v>-181146.28192626906</v>
      </c>
      <c r="V1028" s="555" cm="1">
        <f t="array" ref="V1028">-SUMPRODUCT('W2'!$M$12:$V$112*('W2'!$M$7:$V$7=$A1028)*('W2'!$A$12:$A$112=$B1028))*V1005*$H$10*POWER(1+INDEX('Cover Page'!$H$8:$AJ$8,MATCH($A1028,'Cover Page'!$H$5:$AJ$5,0)),1+V$13)</f>
        <v>-184769.20756479446</v>
      </c>
      <c r="W1028" s="555" cm="1">
        <f t="array" ref="W1028">-SUMPRODUCT('W2'!$M$12:$V$112*('W2'!$M$7:$V$7=$A1028)*('W2'!$A$12:$A$112=$B1028))*W1005*$H$10*POWER(1+INDEX('Cover Page'!$H$8:$AJ$8,MATCH($A1028,'Cover Page'!$H$5:$AJ$5,0)),1+W$13)</f>
        <v>-188464.59171609036</v>
      </c>
      <c r="X1028" s="555" cm="1">
        <f t="array" ref="X1028">-SUMPRODUCT('W2'!$M$12:$V$112*('W2'!$M$7:$V$7=$A1028)*('W2'!$A$12:$A$112=$B1028))*X1005*$H$10*POWER(1+INDEX('Cover Page'!$H$8:$AJ$8,MATCH($A1028,'Cover Page'!$H$5:$AJ$5,0)),1+X$13)</f>
        <v>-192233.88355041214</v>
      </c>
      <c r="Y1028" s="555" cm="1">
        <f t="array" ref="Y1028">-SUMPRODUCT('W2'!$M$12:$V$112*('W2'!$M$7:$V$7=$A1028)*('W2'!$A$12:$A$112=$B1028))*Y1005*$H$10*POWER(1+INDEX('Cover Page'!$H$8:$AJ$8,MATCH($A1028,'Cover Page'!$H$5:$AJ$5,0)),1+Y$13)</f>
        <v>-196078.56122142039</v>
      </c>
      <c r="Z1028" s="555" cm="1">
        <f t="array" ref="Z1028">-SUMPRODUCT('W2'!$M$12:$V$112*('W2'!$M$7:$V$7=$A1028)*('W2'!$A$12:$A$112=$B1028))*Z1005*$H$10*POWER(1+INDEX('Cover Page'!$H$8:$AJ$8,MATCH($A1028,'Cover Page'!$H$5:$AJ$5,0)),1+Z$13)</f>
        <v>-200000.13244584881</v>
      </c>
      <c r="AA1028" s="555"/>
      <c r="AB1028" s="555"/>
      <c r="AC1028" s="555"/>
      <c r="AD1028" s="555"/>
      <c r="AE1028" s="555"/>
      <c r="AF1028" s="555"/>
      <c r="AG1028" s="555"/>
      <c r="AH1028" s="555"/>
      <c r="AI1028" s="555"/>
      <c r="AJ1028" s="555"/>
    </row>
    <row r="1029" spans="1:36" s="299" customFormat="1" x14ac:dyDescent="0.25">
      <c r="A1029" s="299" t="s">
        <v>859</v>
      </c>
      <c r="H1029" s="553" t="s">
        <v>203</v>
      </c>
      <c r="I1029" s="554" t="str">
        <f t="shared" si="862"/>
        <v>tr. VND</v>
      </c>
      <c r="K1029" s="639"/>
      <c r="L1029" s="639">
        <f>L1028/(1-L1003)-L1028</f>
        <v>-5818.5282355200034</v>
      </c>
      <c r="M1029" s="639">
        <f t="shared" ref="M1029:AJ1029" si="865">M1028/(1-M1003)-M1028</f>
        <v>-8145.9395297280134</v>
      </c>
      <c r="N1029" s="639">
        <f t="shared" si="865"/>
        <v>-11869.797600460821</v>
      </c>
      <c r="O1029" s="639">
        <f t="shared" si="865"/>
        <v>-12107.193552470038</v>
      </c>
      <c r="P1029" s="639">
        <f t="shared" si="865"/>
        <v>-12349.337423519435</v>
      </c>
      <c r="Q1029" s="639">
        <f t="shared" si="865"/>
        <v>-12596.324171989807</v>
      </c>
      <c r="R1029" s="639">
        <f t="shared" si="865"/>
        <v>-12848.250655429612</v>
      </c>
      <c r="S1029" s="639">
        <f t="shared" si="865"/>
        <v>-13105.215668538207</v>
      </c>
      <c r="T1029" s="639">
        <f t="shared" si="865"/>
        <v>-13367.319981908979</v>
      </c>
      <c r="U1029" s="639">
        <f t="shared" si="865"/>
        <v>-13634.66638154714</v>
      </c>
      <c r="V1029" s="639">
        <f t="shared" si="865"/>
        <v>-13907.359709178098</v>
      </c>
      <c r="W1029" s="639">
        <f t="shared" si="865"/>
        <v>-14185.506903361646</v>
      </c>
      <c r="X1029" s="639">
        <f t="shared" si="865"/>
        <v>-14469.21704142887</v>
      </c>
      <c r="Y1029" s="639">
        <f t="shared" si="865"/>
        <v>-14758.601382257475</v>
      </c>
      <c r="Z1029" s="639">
        <f t="shared" si="865"/>
        <v>-15053.773409902613</v>
      </c>
      <c r="AA1029" s="639"/>
      <c r="AB1029" s="639"/>
      <c r="AC1029" s="639"/>
      <c r="AD1029" s="639"/>
      <c r="AE1029" s="639"/>
      <c r="AF1029" s="639"/>
      <c r="AG1029" s="639"/>
      <c r="AH1029" s="639"/>
      <c r="AI1029" s="639"/>
      <c r="AJ1029" s="639"/>
    </row>
    <row r="1030" spans="1:36" x14ac:dyDescent="0.25">
      <c r="A1030" t="s">
        <v>859</v>
      </c>
      <c r="H1030" s="454" t="s">
        <v>676</v>
      </c>
      <c r="I1030" s="496" t="s">
        <v>672</v>
      </c>
      <c r="K1030" s="616">
        <f t="shared" ref="K1030:AJ1030" si="866">SUM(K1031:K1032)</f>
        <v>0</v>
      </c>
      <c r="L1030" s="616">
        <f t="shared" si="866"/>
        <v>-632.43325753344004</v>
      </c>
      <c r="M1030" s="616">
        <f t="shared" si="866"/>
        <v>-885.40656054681608</v>
      </c>
      <c r="N1030" s="616">
        <f t="shared" si="866"/>
        <v>-1328.1098408202242</v>
      </c>
      <c r="O1030" s="616">
        <f t="shared" si="866"/>
        <v>-1394.5153328612353</v>
      </c>
      <c r="P1030" s="616">
        <f t="shared" si="866"/>
        <v>-1464.2410995042972</v>
      </c>
      <c r="Q1030" s="616">
        <f t="shared" si="866"/>
        <v>-1537.453154479512</v>
      </c>
      <c r="R1030" s="616">
        <f t="shared" si="866"/>
        <v>-1614.3258122034877</v>
      </c>
      <c r="S1030" s="616">
        <f t="shared" si="866"/>
        <v>-1695.0421028136618</v>
      </c>
      <c r="T1030" s="616">
        <f t="shared" si="866"/>
        <v>-1779.7942079543452</v>
      </c>
      <c r="U1030" s="616">
        <f t="shared" si="866"/>
        <v>-1868.7839183520623</v>
      </c>
      <c r="V1030" s="616">
        <f t="shared" si="866"/>
        <v>-1962.2231142696655</v>
      </c>
      <c r="W1030" s="616">
        <f t="shared" si="866"/>
        <v>-2060.3342699831487</v>
      </c>
      <c r="X1030" s="616">
        <f t="shared" si="866"/>
        <v>-2163.3509834823062</v>
      </c>
      <c r="Y1030" s="616">
        <f t="shared" si="866"/>
        <v>-2271.5185326564215</v>
      </c>
      <c r="Z1030" s="616">
        <f t="shared" si="866"/>
        <v>-2385.0944592892429</v>
      </c>
      <c r="AA1030" s="616"/>
      <c r="AB1030" s="616"/>
      <c r="AC1030" s="616"/>
      <c r="AD1030" s="616"/>
      <c r="AE1030" s="616"/>
      <c r="AF1030" s="616"/>
      <c r="AG1030" s="616"/>
      <c r="AH1030" s="616"/>
      <c r="AI1030" s="616"/>
      <c r="AJ1030" s="616"/>
    </row>
    <row r="1031" spans="1:36" s="299" customFormat="1" x14ac:dyDescent="0.25">
      <c r="A1031" s="299" t="s">
        <v>859</v>
      </c>
      <c r="B1031" s="299" t="s">
        <v>667</v>
      </c>
      <c r="H1031" s="553" t="s">
        <v>673</v>
      </c>
      <c r="I1031" s="554" t="s">
        <v>672</v>
      </c>
      <c r="K1031" s="555"/>
      <c r="L1031" s="555" cm="1">
        <f t="array" ref="L1031">-SUMPRODUCT('W2'!$M$12:$V$112*('W2'!$M$7:$V$7=$A1031)*('W2'!$A$12:$A$112=$B1031))*L1011*$H$10*POWER(1+Inflation,L$11+1)</f>
        <v>-632.43325753344004</v>
      </c>
      <c r="M1031" s="555" cm="1">
        <f t="array" ref="M1031">-SUMPRODUCT('W2'!$M$12:$V$112*('W2'!$M$7:$V$7=$A1031)*('W2'!$A$12:$A$112=$B1031))*M1011*$H$10*POWER(1+Inflation,M$11+1)</f>
        <v>-885.40656054681608</v>
      </c>
      <c r="N1031" s="555" cm="1">
        <f t="array" ref="N1031">-SUMPRODUCT('W2'!$M$12:$V$112*('W2'!$M$7:$V$7=$A1031)*('W2'!$A$12:$A$112=$B1031))*N1011*$H$10*POWER(1+Inflation,N$11+1)</f>
        <v>-1328.1098408202242</v>
      </c>
      <c r="O1031" s="555" cm="1">
        <f t="array" ref="O1031">-SUMPRODUCT('W2'!$M$12:$V$112*('W2'!$M$7:$V$7=$A1031)*('W2'!$A$12:$A$112=$B1031))*O1011*$H$10*POWER(1+Inflation,O$11+1)</f>
        <v>-1394.5153328612353</v>
      </c>
      <c r="P1031" s="555" cm="1">
        <f t="array" ref="P1031">-SUMPRODUCT('W2'!$M$12:$V$112*('W2'!$M$7:$V$7=$A1031)*('W2'!$A$12:$A$112=$B1031))*P1011*$H$10*POWER(1+Inflation,P$11+1)</f>
        <v>-1464.2410995042972</v>
      </c>
      <c r="Q1031" s="555" cm="1">
        <f t="array" ref="Q1031">-SUMPRODUCT('W2'!$M$12:$V$112*('W2'!$M$7:$V$7=$A1031)*('W2'!$A$12:$A$112=$B1031))*Q1011*$H$10*POWER(1+Inflation,Q$11+1)</f>
        <v>-1537.453154479512</v>
      </c>
      <c r="R1031" s="555" cm="1">
        <f t="array" ref="R1031">-SUMPRODUCT('W2'!$M$12:$V$112*('W2'!$M$7:$V$7=$A1031)*('W2'!$A$12:$A$112=$B1031))*R1011*$H$10*POWER(1+Inflation,R$11+1)</f>
        <v>-1614.3258122034877</v>
      </c>
      <c r="S1031" s="555" cm="1">
        <f t="array" ref="S1031">-SUMPRODUCT('W2'!$M$12:$V$112*('W2'!$M$7:$V$7=$A1031)*('W2'!$A$12:$A$112=$B1031))*S1011*$H$10*POWER(1+Inflation,S$11+1)</f>
        <v>-1695.0421028136618</v>
      </c>
      <c r="T1031" s="555" cm="1">
        <f t="array" ref="T1031">-SUMPRODUCT('W2'!$M$12:$V$112*('W2'!$M$7:$V$7=$A1031)*('W2'!$A$12:$A$112=$B1031))*T1011*$H$10*POWER(1+Inflation,T$11+1)</f>
        <v>-1779.7942079543452</v>
      </c>
      <c r="U1031" s="555" cm="1">
        <f t="array" ref="U1031">-SUMPRODUCT('W2'!$M$12:$V$112*('W2'!$M$7:$V$7=$A1031)*('W2'!$A$12:$A$112=$B1031))*U1011*$H$10*POWER(1+Inflation,U$11+1)</f>
        <v>-1868.7839183520623</v>
      </c>
      <c r="V1031" s="555" cm="1">
        <f t="array" ref="V1031">-SUMPRODUCT('W2'!$M$12:$V$112*('W2'!$M$7:$V$7=$A1031)*('W2'!$A$12:$A$112=$B1031))*V1011*$H$10*POWER(1+Inflation,V$11+1)</f>
        <v>-1962.2231142696655</v>
      </c>
      <c r="W1031" s="555" cm="1">
        <f t="array" ref="W1031">-SUMPRODUCT('W2'!$M$12:$V$112*('W2'!$M$7:$V$7=$A1031)*('W2'!$A$12:$A$112=$B1031))*W1011*$H$10*POWER(1+Inflation,W$11+1)</f>
        <v>-2060.3342699831487</v>
      </c>
      <c r="X1031" s="555" cm="1">
        <f t="array" ref="X1031">-SUMPRODUCT('W2'!$M$12:$V$112*('W2'!$M$7:$V$7=$A1031)*('W2'!$A$12:$A$112=$B1031))*X1011*$H$10*POWER(1+Inflation,X$11+1)</f>
        <v>-2163.3509834823062</v>
      </c>
      <c r="Y1031" s="555" cm="1">
        <f t="array" ref="Y1031">-SUMPRODUCT('W2'!$M$12:$V$112*('W2'!$M$7:$V$7=$A1031)*('W2'!$A$12:$A$112=$B1031))*Y1011*$H$10*POWER(1+Inflation,Y$11+1)</f>
        <v>-2271.5185326564215</v>
      </c>
      <c r="Z1031" s="555" cm="1">
        <f t="array" ref="Z1031">-SUMPRODUCT('W2'!$M$12:$V$112*('W2'!$M$7:$V$7=$A1031)*('W2'!$A$12:$A$112=$B1031))*Z1011*$H$10*POWER(1+Inflation,Z$11+1)</f>
        <v>-2385.0944592892429</v>
      </c>
      <c r="AA1031" s="555"/>
      <c r="AB1031" s="555"/>
      <c r="AC1031" s="555"/>
      <c r="AD1031" s="555"/>
      <c r="AE1031" s="555"/>
      <c r="AF1031" s="555"/>
      <c r="AG1031" s="555"/>
      <c r="AH1031" s="555"/>
      <c r="AI1031" s="555"/>
      <c r="AJ1031" s="555"/>
    </row>
    <row r="1032" spans="1:36" s="299" customFormat="1" x14ac:dyDescent="0.25">
      <c r="A1032" s="299" t="s">
        <v>859</v>
      </c>
      <c r="B1032" s="299" t="s">
        <v>668</v>
      </c>
      <c r="H1032" s="553" t="s">
        <v>674</v>
      </c>
      <c r="I1032" s="554" t="s">
        <v>672</v>
      </c>
      <c r="K1032" s="555"/>
      <c r="L1032" s="555" cm="1">
        <f t="array" ref="L1032">-SUMPRODUCT('W2'!$M$12:$V$112*('W2'!$M$7:$V$7=$A1032)*('W2'!$A$12:$A$112=$B1032))*L1012*$H$10*POWER(1+Inflation,L$11+1)</f>
        <v>0</v>
      </c>
      <c r="M1032" s="555" cm="1">
        <f t="array" ref="M1032">-SUMPRODUCT('W2'!$M$12:$V$112*('W2'!$M$7:$V$7=$A1032)*('W2'!$A$12:$A$112=$B1032))*M1012*$H$10*POWER(1+Inflation,M$11+1)</f>
        <v>0</v>
      </c>
      <c r="N1032" s="555" cm="1">
        <f t="array" ref="N1032">-SUMPRODUCT('W2'!$M$12:$V$112*('W2'!$M$7:$V$7=$A1032)*('W2'!$A$12:$A$112=$B1032))*N1012*$H$10*POWER(1+Inflation,N$11+1)</f>
        <v>0</v>
      </c>
      <c r="O1032" s="555" cm="1">
        <f t="array" ref="O1032">-SUMPRODUCT('W2'!$M$12:$V$112*('W2'!$M$7:$V$7=$A1032)*('W2'!$A$12:$A$112=$B1032))*O1012*$H$10*POWER(1+Inflation,O$11+1)</f>
        <v>0</v>
      </c>
      <c r="P1032" s="555" cm="1">
        <f t="array" ref="P1032">-SUMPRODUCT('W2'!$M$12:$V$112*('W2'!$M$7:$V$7=$A1032)*('W2'!$A$12:$A$112=$B1032))*P1012*$H$10*POWER(1+Inflation,P$11+1)</f>
        <v>0</v>
      </c>
      <c r="Q1032" s="555" cm="1">
        <f t="array" ref="Q1032">-SUMPRODUCT('W2'!$M$12:$V$112*('W2'!$M$7:$V$7=$A1032)*('W2'!$A$12:$A$112=$B1032))*Q1012*$H$10*POWER(1+Inflation,Q$11+1)</f>
        <v>0</v>
      </c>
      <c r="R1032" s="555" cm="1">
        <f t="array" ref="R1032">-SUMPRODUCT('W2'!$M$12:$V$112*('W2'!$M$7:$V$7=$A1032)*('W2'!$A$12:$A$112=$B1032))*R1012*$H$10*POWER(1+Inflation,R$11+1)</f>
        <v>0</v>
      </c>
      <c r="S1032" s="555" cm="1">
        <f t="array" ref="S1032">-SUMPRODUCT('W2'!$M$12:$V$112*('W2'!$M$7:$V$7=$A1032)*('W2'!$A$12:$A$112=$B1032))*S1012*$H$10*POWER(1+Inflation,S$11+1)</f>
        <v>0</v>
      </c>
      <c r="T1032" s="555" cm="1">
        <f t="array" ref="T1032">-SUMPRODUCT('W2'!$M$12:$V$112*('W2'!$M$7:$V$7=$A1032)*('W2'!$A$12:$A$112=$B1032))*T1012*$H$10*POWER(1+Inflation,T$11+1)</f>
        <v>0</v>
      </c>
      <c r="U1032" s="555" cm="1">
        <f t="array" ref="U1032">-SUMPRODUCT('W2'!$M$12:$V$112*('W2'!$M$7:$V$7=$A1032)*('W2'!$A$12:$A$112=$B1032))*U1012*$H$10*POWER(1+Inflation,U$11+1)</f>
        <v>0</v>
      </c>
      <c r="V1032" s="555" cm="1">
        <f t="array" ref="V1032">-SUMPRODUCT('W2'!$M$12:$V$112*('W2'!$M$7:$V$7=$A1032)*('W2'!$A$12:$A$112=$B1032))*V1012*$H$10*POWER(1+Inflation,V$11+1)</f>
        <v>0</v>
      </c>
      <c r="W1032" s="555" cm="1">
        <f t="array" ref="W1032">-SUMPRODUCT('W2'!$M$12:$V$112*('W2'!$M$7:$V$7=$A1032)*('W2'!$A$12:$A$112=$B1032))*W1012*$H$10*POWER(1+Inflation,W$11+1)</f>
        <v>0</v>
      </c>
      <c r="X1032" s="555" cm="1">
        <f t="array" ref="X1032">-SUMPRODUCT('W2'!$M$12:$V$112*('W2'!$M$7:$V$7=$A1032)*('W2'!$A$12:$A$112=$B1032))*X1012*$H$10*POWER(1+Inflation,X$11+1)</f>
        <v>0</v>
      </c>
      <c r="Y1032" s="555" cm="1">
        <f t="array" ref="Y1032">-SUMPRODUCT('W2'!$M$12:$V$112*('W2'!$M$7:$V$7=$A1032)*('W2'!$A$12:$A$112=$B1032))*Y1012*$H$10*POWER(1+Inflation,Y$11+1)</f>
        <v>0</v>
      </c>
      <c r="Z1032" s="555" cm="1">
        <f t="array" ref="Z1032">-SUMPRODUCT('W2'!$M$12:$V$112*('W2'!$M$7:$V$7=$A1032)*('W2'!$A$12:$A$112=$B1032))*Z1012*$H$10*POWER(1+Inflation,Z$11+1)</f>
        <v>0</v>
      </c>
      <c r="AA1032" s="555"/>
      <c r="AB1032" s="555"/>
      <c r="AC1032" s="555"/>
      <c r="AD1032" s="555"/>
      <c r="AE1032" s="555"/>
      <c r="AF1032" s="555"/>
      <c r="AG1032" s="555"/>
      <c r="AH1032" s="555"/>
      <c r="AI1032" s="555"/>
      <c r="AJ1032" s="555"/>
    </row>
    <row r="1033" spans="1:36" x14ac:dyDescent="0.25">
      <c r="A1033" t="s">
        <v>859</v>
      </c>
      <c r="H1033" s="454" t="s">
        <v>180</v>
      </c>
      <c r="I1033" s="496" t="str">
        <f t="shared" ref="I1033:I1036" si="867">IF($H$9="USD","USD","tr. VND")</f>
        <v>tr. VND</v>
      </c>
      <c r="K1033" s="616">
        <f>SUM(K1034:K1036)</f>
        <v>0</v>
      </c>
      <c r="L1033" s="616">
        <f>SUM(L1034:L1036)</f>
        <v>-8739.800110293334</v>
      </c>
      <c r="M1033" s="616">
        <f t="shared" ref="M1033:AJ1033" si="868">SUM(M1034:M1036)</f>
        <v>-11537.321163477332</v>
      </c>
      <c r="N1033" s="616">
        <f t="shared" si="868"/>
        <v>-16468.954914549333</v>
      </c>
      <c r="O1033" s="616">
        <f t="shared" si="868"/>
        <v>-17241.074694410134</v>
      </c>
      <c r="P1033" s="616">
        <f t="shared" si="868"/>
        <v>-18051.800463263975</v>
      </c>
      <c r="Q1033" s="616">
        <f t="shared" si="868"/>
        <v>-18903.062520560507</v>
      </c>
      <c r="R1033" s="616">
        <f t="shared" si="868"/>
        <v>-19796.887680721866</v>
      </c>
      <c r="S1033" s="616">
        <f t="shared" si="868"/>
        <v>-20735.404098891289</v>
      </c>
      <c r="T1033" s="616">
        <f t="shared" si="868"/>
        <v>-21720.846337969193</v>
      </c>
      <c r="U1033" s="616">
        <f t="shared" si="868"/>
        <v>-22755.560689000984</v>
      </c>
      <c r="V1033" s="616">
        <f t="shared" si="868"/>
        <v>-23842.010757584365</v>
      </c>
      <c r="W1033" s="616">
        <f t="shared" si="868"/>
        <v>-24982.783329596918</v>
      </c>
      <c r="X1033" s="616">
        <f t="shared" si="868"/>
        <v>-25178.095196876766</v>
      </c>
      <c r="Y1033" s="616">
        <f t="shared" si="868"/>
        <v>-26435.796957520601</v>
      </c>
      <c r="Z1033" s="616">
        <f t="shared" si="868"/>
        <v>-27756.383806196634</v>
      </c>
      <c r="AA1033" s="616"/>
      <c r="AB1033" s="616"/>
      <c r="AC1033" s="616"/>
      <c r="AD1033" s="616"/>
      <c r="AE1033" s="616"/>
      <c r="AF1033" s="616"/>
      <c r="AG1033" s="616"/>
      <c r="AH1033" s="616"/>
      <c r="AI1033" s="616"/>
      <c r="AJ1033" s="616"/>
    </row>
    <row r="1034" spans="1:36" s="299" customFormat="1" x14ac:dyDescent="0.25">
      <c r="A1034" s="299" t="s">
        <v>859</v>
      </c>
      <c r="B1034" s="299" t="s">
        <v>174</v>
      </c>
      <c r="H1034" s="553" t="s">
        <v>73</v>
      </c>
      <c r="I1034" s="554" t="str">
        <f t="shared" si="867"/>
        <v>tr. VND</v>
      </c>
      <c r="K1034" s="555"/>
      <c r="L1034" s="555" cm="1">
        <f t="array" ref="L1034">-SUMPRODUCT('W2'!$M$12:$V$112*('W2'!$M$7:$V$7=$A1034)*('W2'!$A$12:$A$112=$B1034))*L1004*24*$H$10*POWER(1+Inflation,L$11+1)</f>
        <v>-5749.8011999999999</v>
      </c>
      <c r="M1034" s="555" cm="1">
        <f t="array" ref="M1034">-SUMPRODUCT('W2'!$M$12:$V$112*('W2'!$M$7:$V$7=$A1034)*('W2'!$A$12:$A$112=$B1034))*M1004*24*$H$10*POWER(1+Inflation,M$11+1)</f>
        <v>-8049.7216799999978</v>
      </c>
      <c r="N1034" s="555" cm="1">
        <f t="array" ref="N1034">-SUMPRODUCT('W2'!$M$12:$V$112*('W2'!$M$7:$V$7=$A1034)*('W2'!$A$12:$A$112=$B1034))*N1004*24*$H$10*POWER(1+Inflation,N$11+1)</f>
        <v>-12074.58252</v>
      </c>
      <c r="O1034" s="555" cm="1">
        <f t="array" ref="O1034">-SUMPRODUCT('W2'!$M$12:$V$112*('W2'!$M$7:$V$7=$A1034)*('W2'!$A$12:$A$112=$B1034))*O1004*24*$H$10*POWER(1+Inflation,O$11+1)</f>
        <v>-12678.311646</v>
      </c>
      <c r="P1034" s="555" cm="1">
        <f t="array" ref="P1034">-SUMPRODUCT('W2'!$M$12:$V$112*('W2'!$M$7:$V$7=$A1034)*('W2'!$A$12:$A$112=$B1034))*P1004*24*$H$10*POWER(1+Inflation,P$11+1)</f>
        <v>-13312.227228300002</v>
      </c>
      <c r="Q1034" s="555" cm="1">
        <f t="array" ref="Q1034">-SUMPRODUCT('W2'!$M$12:$V$112*('W2'!$M$7:$V$7=$A1034)*('W2'!$A$12:$A$112=$B1034))*Q1004*24*$H$10*POWER(1+Inflation,Q$11+1)</f>
        <v>-13977.838589715</v>
      </c>
      <c r="R1034" s="555" cm="1">
        <f t="array" ref="R1034">-SUMPRODUCT('W2'!$M$12:$V$112*('W2'!$M$7:$V$7=$A1034)*('W2'!$A$12:$A$112=$B1034))*R1004*24*$H$10*POWER(1+Inflation,R$11+1)</f>
        <v>-14676.730519200752</v>
      </c>
      <c r="S1034" s="555" cm="1">
        <f t="array" ref="S1034">-SUMPRODUCT('W2'!$M$12:$V$112*('W2'!$M$7:$V$7=$A1034)*('W2'!$A$12:$A$112=$B1034))*S1004*24*$H$10*POWER(1+Inflation,S$11+1)</f>
        <v>-15410.567045160788</v>
      </c>
      <c r="T1034" s="555" cm="1">
        <f t="array" ref="T1034">-SUMPRODUCT('W2'!$M$12:$V$112*('W2'!$M$7:$V$7=$A1034)*('W2'!$A$12:$A$112=$B1034))*T1004*24*$H$10*POWER(1+Inflation,T$11+1)</f>
        <v>-16181.095397418829</v>
      </c>
      <c r="U1034" s="555" cm="1">
        <f t="array" ref="U1034">-SUMPRODUCT('W2'!$M$12:$V$112*('W2'!$M$7:$V$7=$A1034)*('W2'!$A$12:$A$112=$B1034))*U1004*24*$H$10*POWER(1+Inflation,U$11+1)</f>
        <v>-16990.150167289768</v>
      </c>
      <c r="V1034" s="555" cm="1">
        <f t="array" ref="V1034">-SUMPRODUCT('W2'!$M$12:$V$112*('W2'!$M$7:$V$7=$A1034)*('W2'!$A$12:$A$112=$B1034))*V1004*24*$H$10*POWER(1+Inflation,V$11+1)</f>
        <v>-17839.657675654256</v>
      </c>
      <c r="W1034" s="555" cm="1">
        <f t="array" ref="W1034">-SUMPRODUCT('W2'!$M$12:$V$112*('W2'!$M$7:$V$7=$A1034)*('W2'!$A$12:$A$112=$B1034))*W1004*24*$H$10*POWER(1+Inflation,W$11+1)</f>
        <v>-18731.640559436972</v>
      </c>
      <c r="X1034" s="555" cm="1">
        <f t="array" ref="X1034">-SUMPRODUCT('W2'!$M$12:$V$112*('W2'!$M$7:$V$7=$A1034)*('W2'!$A$12:$A$112=$B1034))*X1004*24*$H$10*POWER(1+Inflation,X$11+1)</f>
        <v>-19668.222587408822</v>
      </c>
      <c r="Y1034" s="555" cm="1">
        <f t="array" ref="Y1034">-SUMPRODUCT('W2'!$M$12:$V$112*('W2'!$M$7:$V$7=$A1034)*('W2'!$A$12:$A$112=$B1034))*Y1004*24*$H$10*POWER(1+Inflation,Y$11+1)</f>
        <v>-20651.633716779259</v>
      </c>
      <c r="Z1034" s="555" cm="1">
        <f t="array" ref="Z1034">-SUMPRODUCT('W2'!$M$12:$V$112*('W2'!$M$7:$V$7=$A1034)*('W2'!$A$12:$A$112=$B1034))*Z1004*24*$H$10*POWER(1+Inflation,Z$11+1)</f>
        <v>-21684.215402618225</v>
      </c>
      <c r="AA1034" s="555"/>
      <c r="AB1034" s="555"/>
      <c r="AC1034" s="555"/>
      <c r="AD1034" s="555"/>
      <c r="AE1034" s="555"/>
      <c r="AF1034" s="555"/>
      <c r="AG1034" s="555"/>
      <c r="AH1034" s="555"/>
      <c r="AI1034" s="555"/>
      <c r="AJ1034" s="555"/>
    </row>
    <row r="1035" spans="1:36" s="299" customFormat="1" x14ac:dyDescent="0.25">
      <c r="A1035" s="299" t="s">
        <v>859</v>
      </c>
      <c r="B1035" s="299" t="s">
        <v>462</v>
      </c>
      <c r="H1035" s="553" t="s">
        <v>192</v>
      </c>
      <c r="I1035" s="554" t="str">
        <f t="shared" si="867"/>
        <v>tr. VND</v>
      </c>
      <c r="K1035" s="555"/>
      <c r="L1035" s="555" cm="1">
        <f t="array" ref="L1035">-SUMPRODUCT('W2'!$M$12:$V$112*('W2'!$M$7:$V$7=$A1035)*('W2'!$A$12:$A$112=$B1035))*L1005*$H$10*POWER(1+Inflation,L$11+1)</f>
        <v>-975.00902399999995</v>
      </c>
      <c r="M1035" s="555" cm="1">
        <f t="array" ref="M1035">-SUMPRODUCT('W2'!$M$12:$V$112*('W2'!$M$7:$V$7=$A1035)*('W2'!$A$12:$A$112=$B1035))*M1005*$H$10*POWER(1+Inflation,M$11+1)</f>
        <v>-1365.0126335999998</v>
      </c>
      <c r="N1035" s="555" cm="1">
        <f t="array" ref="N1035">-SUMPRODUCT('W2'!$M$12:$V$112*('W2'!$M$7:$V$7=$A1035)*('W2'!$A$12:$A$112=$B1035))*N1005*$H$10*POWER(1+Inflation,N$11+1)</f>
        <v>-2047.5189504</v>
      </c>
      <c r="O1035" s="555" cm="1">
        <f t="array" ref="O1035">-SUMPRODUCT('W2'!$M$12:$V$112*('W2'!$M$7:$V$7=$A1035)*('W2'!$A$12:$A$112=$B1035))*O1005*$H$10*POWER(1+Inflation,O$11+1)</f>
        <v>-2149.8948979199999</v>
      </c>
      <c r="P1035" s="555" cm="1">
        <f t="array" ref="P1035">-SUMPRODUCT('W2'!$M$12:$V$112*('W2'!$M$7:$V$7=$A1035)*('W2'!$A$12:$A$112=$B1035))*P1005*$H$10*POWER(1+Inflation,P$11+1)</f>
        <v>-2257.3896428160001</v>
      </c>
      <c r="Q1035" s="555" cm="1">
        <f t="array" ref="Q1035">-SUMPRODUCT('W2'!$M$12:$V$112*('W2'!$M$7:$V$7=$A1035)*('W2'!$A$12:$A$112=$B1035))*Q1005*$H$10*POWER(1+Inflation,Q$11+1)</f>
        <v>-2370.2591249568</v>
      </c>
      <c r="R1035" s="555" cm="1">
        <f t="array" ref="R1035">-SUMPRODUCT('W2'!$M$12:$V$112*('W2'!$M$7:$V$7=$A1035)*('W2'!$A$12:$A$112=$B1035))*R1005*$H$10*POWER(1+Inflation,R$11+1)</f>
        <v>-2488.77208120464</v>
      </c>
      <c r="S1035" s="555" cm="1">
        <f t="array" ref="S1035">-SUMPRODUCT('W2'!$M$12:$V$112*('W2'!$M$7:$V$7=$A1035)*('W2'!$A$12:$A$112=$B1035))*S1005*$H$10*POWER(1+Inflation,S$11+1)</f>
        <v>-2613.2106852648717</v>
      </c>
      <c r="T1035" s="555" cm="1">
        <f t="array" ref="T1035">-SUMPRODUCT('W2'!$M$12:$V$112*('W2'!$M$7:$V$7=$A1035)*('W2'!$A$12:$A$112=$B1035))*T1005*$H$10*POWER(1+Inflation,T$11+1)</f>
        <v>-2743.8712195281159</v>
      </c>
      <c r="U1035" s="555" cm="1">
        <f t="array" ref="U1035">-SUMPRODUCT('W2'!$M$12:$V$112*('W2'!$M$7:$V$7=$A1035)*('W2'!$A$12:$A$112=$B1035))*U1005*$H$10*POWER(1+Inflation,U$11+1)</f>
        <v>-2881.0647805045214</v>
      </c>
      <c r="V1035" s="555" cm="1">
        <f t="array" ref="V1035">-SUMPRODUCT('W2'!$M$12:$V$112*('W2'!$M$7:$V$7=$A1035)*('W2'!$A$12:$A$112=$B1035))*V1005*$H$10*POWER(1+Inflation,V$11+1)</f>
        <v>-3025.1180195297475</v>
      </c>
      <c r="W1035" s="555" cm="1">
        <f t="array" ref="W1035">-SUMPRODUCT('W2'!$M$12:$V$112*('W2'!$M$7:$V$7=$A1035)*('W2'!$A$12:$A$112=$B1035))*W1005*$H$10*POWER(1+Inflation,W$11+1)</f>
        <v>-3176.3739205062352</v>
      </c>
      <c r="X1035" s="555" cm="1">
        <f t="array" ref="X1035">-SUMPRODUCT('W2'!$M$12:$V$112*('W2'!$M$7:$V$7=$A1035)*('W2'!$A$12:$A$112=$B1035))*X1005*$H$10*POWER(1+Inflation,X$11+1)</f>
        <v>-3335.1926165315472</v>
      </c>
      <c r="Y1035" s="555" cm="1">
        <f t="array" ref="Y1035">-SUMPRODUCT('W2'!$M$12:$V$112*('W2'!$M$7:$V$7=$A1035)*('W2'!$A$12:$A$112=$B1035))*Y1005*$H$10*POWER(1+Inflation,Y$11+1)</f>
        <v>-3501.9522473581237</v>
      </c>
      <c r="Z1035" s="555" cm="1">
        <f t="array" ref="Z1035">-SUMPRODUCT('W2'!$M$12:$V$112*('W2'!$M$7:$V$7=$A1035)*('W2'!$A$12:$A$112=$B1035))*Z1005*$H$10*POWER(1+Inflation,Z$11+1)</f>
        <v>-3677.0498597260307</v>
      </c>
      <c r="AA1035" s="555"/>
      <c r="AB1035" s="555"/>
      <c r="AC1035" s="555"/>
      <c r="AD1035" s="555"/>
      <c r="AE1035" s="555"/>
      <c r="AF1035" s="555"/>
      <c r="AG1035" s="555"/>
      <c r="AH1035" s="555"/>
      <c r="AI1035" s="555"/>
      <c r="AJ1035" s="555"/>
    </row>
    <row r="1036" spans="1:36" s="299" customFormat="1" x14ac:dyDescent="0.25">
      <c r="A1036" s="299" t="s">
        <v>859</v>
      </c>
      <c r="B1036" s="299" t="s">
        <v>140</v>
      </c>
      <c r="H1036" s="553" t="s">
        <v>175</v>
      </c>
      <c r="I1036" s="554" t="str">
        <f t="shared" si="867"/>
        <v>tr. VND</v>
      </c>
      <c r="K1036" s="555"/>
      <c r="L1036" s="555" cm="1">
        <f t="array" ref="L1036">SUMPRODUCT('W2'!$M$12:$V$112*('W2'!$M$7:$V$7=$A1036)*('W2'!$A$12:$A$112=$B1036))*(SUM(L1016,L1034:L1035))</f>
        <v>-2014.9898862933333</v>
      </c>
      <c r="M1036" s="555" cm="1">
        <f t="array" ref="M1036">SUMPRODUCT('W2'!$M$12:$V$112*('W2'!$M$7:$V$7=$A1036)*('W2'!$A$12:$A$112=$B1036))*(SUM(M1016,M1034:M1035))</f>
        <v>-2122.5868498773334</v>
      </c>
      <c r="N1036" s="555" cm="1">
        <f t="array" ref="N1036">SUMPRODUCT('W2'!$M$12:$V$112*('W2'!$M$7:$V$7=$A1036)*('W2'!$A$12:$A$112=$B1036))*(SUM(N1016,N1034:N1035))</f>
        <v>-2346.8534441493334</v>
      </c>
      <c r="O1036" s="555" cm="1">
        <f t="array" ref="O1036">SUMPRODUCT('W2'!$M$12:$V$112*('W2'!$M$7:$V$7=$A1036)*('W2'!$A$12:$A$112=$B1036))*(SUM(O1016,O1034:O1035))</f>
        <v>-2412.8681504901338</v>
      </c>
      <c r="P1036" s="555" cm="1">
        <f t="array" ref="P1036">SUMPRODUCT('W2'!$M$12:$V$112*('W2'!$M$7:$V$7=$A1036)*('W2'!$A$12:$A$112=$B1036))*(SUM(P1016,P1034:P1035))</f>
        <v>-2482.1835921479737</v>
      </c>
      <c r="Q1036" s="555" cm="1">
        <f t="array" ref="Q1036">SUMPRODUCT('W2'!$M$12:$V$112*('W2'!$M$7:$V$7=$A1036)*('W2'!$A$12:$A$112=$B1036))*(SUM(Q1016,Q1034:Q1035))</f>
        <v>-2554.9648058887055</v>
      </c>
      <c r="R1036" s="555" cm="1">
        <f t="array" ref="R1036">SUMPRODUCT('W2'!$M$12:$V$112*('W2'!$M$7:$V$7=$A1036)*('W2'!$A$12:$A$112=$B1036))*(SUM(R1016,R1034:R1035))</f>
        <v>-2631.3850803164742</v>
      </c>
      <c r="S1036" s="555" cm="1">
        <f t="array" ref="S1036">SUMPRODUCT('W2'!$M$12:$V$112*('W2'!$M$7:$V$7=$A1036)*('W2'!$A$12:$A$112=$B1036))*(SUM(S1016,S1034:S1035))</f>
        <v>-2711.6263684656315</v>
      </c>
      <c r="T1036" s="555" cm="1">
        <f t="array" ref="T1036">SUMPRODUCT('W2'!$M$12:$V$112*('W2'!$M$7:$V$7=$A1036)*('W2'!$A$12:$A$112=$B1036))*(SUM(T1016,T1034:T1035))</f>
        <v>-2795.879721022246</v>
      </c>
      <c r="U1036" s="555" cm="1">
        <f t="array" ref="U1036">SUMPRODUCT('W2'!$M$12:$V$112*('W2'!$M$7:$V$7=$A1036)*('W2'!$A$12:$A$112=$B1036))*(SUM(U1016,U1034:U1035))</f>
        <v>-2884.3457412066919</v>
      </c>
      <c r="V1036" s="555" cm="1">
        <f t="array" ref="V1036">SUMPRODUCT('W2'!$M$12:$V$112*('W2'!$M$7:$V$7=$A1036)*('W2'!$A$12:$A$112=$B1036))*(SUM(V1016,V1034:V1035))</f>
        <v>-2977.2350624003593</v>
      </c>
      <c r="W1036" s="555" cm="1">
        <f t="array" ref="W1036">SUMPRODUCT('W2'!$M$12:$V$112*('W2'!$M$7:$V$7=$A1036)*('W2'!$A$12:$A$112=$B1036))*(SUM(W1016,W1034:W1035))</f>
        <v>-3074.7688496537107</v>
      </c>
      <c r="X1036" s="555" cm="1">
        <f t="array" ref="X1036">SUMPRODUCT('W2'!$M$12:$V$112*('W2'!$M$7:$V$7=$A1036)*('W2'!$A$12:$A$112=$B1036))*(SUM(X1016,X1034:X1035))</f>
        <v>-2174.6799929363965</v>
      </c>
      <c r="Y1036" s="555" cm="1">
        <f t="array" ref="Y1036">SUMPRODUCT('W2'!$M$12:$V$112*('W2'!$M$7:$V$7=$A1036)*('W2'!$A$12:$A$112=$B1036))*(SUM(Y1016,Y1034:Y1035))</f>
        <v>-2282.2109933832162</v>
      </c>
      <c r="Z1036" s="555" cm="1">
        <f t="array" ref="Z1036">SUMPRODUCT('W2'!$M$12:$V$112*('W2'!$M$7:$V$7=$A1036)*('W2'!$A$12:$A$112=$B1036))*(SUM(Z1016,Z1034:Z1035))</f>
        <v>-2395.1185438523776</v>
      </c>
      <c r="AA1036" s="555"/>
      <c r="AB1036" s="555"/>
      <c r="AC1036" s="555"/>
      <c r="AD1036" s="555"/>
      <c r="AE1036" s="555"/>
      <c r="AF1036" s="555"/>
      <c r="AG1036" s="555"/>
      <c r="AH1036" s="555"/>
      <c r="AI1036" s="555"/>
      <c r="AJ1036" s="555"/>
    </row>
    <row r="1037" spans="1:36" x14ac:dyDescent="0.25">
      <c r="A1037" t="s">
        <v>859</v>
      </c>
      <c r="K1037" s="15"/>
      <c r="L1037" s="263"/>
      <c r="M1037" s="15"/>
      <c r="N1037" s="15"/>
      <c r="O1037" s="15"/>
      <c r="P1037" s="15"/>
      <c r="Q1037" s="15"/>
      <c r="R1037" s="15"/>
      <c r="S1037" s="15"/>
      <c r="T1037" s="15"/>
      <c r="U1037" s="15"/>
      <c r="V1037" s="15"/>
      <c r="W1037" s="15"/>
      <c r="X1037" s="15"/>
      <c r="Y1037" s="15"/>
      <c r="Z1037" s="15"/>
      <c r="AA1037" s="15"/>
      <c r="AB1037" s="15"/>
      <c r="AC1037" s="15"/>
      <c r="AD1037" s="15"/>
      <c r="AE1037" s="15"/>
      <c r="AF1037" s="15"/>
      <c r="AG1037" s="15"/>
      <c r="AH1037" s="15"/>
      <c r="AI1037" s="15"/>
      <c r="AJ1037" s="15"/>
    </row>
    <row r="1038" spans="1:36" s="300" customFormat="1" x14ac:dyDescent="0.25">
      <c r="A1038" s="300" t="s">
        <v>859</v>
      </c>
      <c r="H1038" s="301" t="s">
        <v>464</v>
      </c>
      <c r="I1038" s="302" t="str">
        <f>IF($H$9="USD","USD","tr. VND")</f>
        <v>tr. VND</v>
      </c>
      <c r="K1038" s="303">
        <f>K1016+K1026</f>
        <v>0</v>
      </c>
      <c r="L1038" s="303">
        <f t="shared" ref="L1038:AJ1038" si="869">L1016+L1026</f>
        <v>-136144.00223716011</v>
      </c>
      <c r="M1038" s="303">
        <f t="shared" si="869"/>
        <v>-172443.22936775751</v>
      </c>
      <c r="N1038" s="303">
        <f t="shared" si="869"/>
        <v>-231914.83653814293</v>
      </c>
      <c r="O1038" s="303">
        <f t="shared" si="869"/>
        <v>-237088.99513803353</v>
      </c>
      <c r="P1038" s="303">
        <f t="shared" si="869"/>
        <v>-242420.12054562898</v>
      </c>
      <c r="Q1038" s="303">
        <f t="shared" si="869"/>
        <v>-247914.02627886878</v>
      </c>
      <c r="R1038" s="303">
        <f t="shared" si="869"/>
        <v>-253576.77583514043</v>
      </c>
      <c r="S1038" s="303">
        <f t="shared" si="869"/>
        <v>-259414.69437632285</v>
      </c>
      <c r="T1038" s="303">
        <f t="shared" si="869"/>
        <v>-265434.38098180352</v>
      </c>
      <c r="U1038" s="303">
        <f t="shared" si="869"/>
        <v>-271642.72149754228</v>
      </c>
      <c r="V1038" s="303">
        <f t="shared" si="869"/>
        <v>-278046.90201065154</v>
      </c>
      <c r="W1038" s="303">
        <f t="shared" si="869"/>
        <v>-284654.42298043164</v>
      </c>
      <c r="X1038" s="303">
        <f t="shared" si="869"/>
        <v>-265408.13139166962</v>
      </c>
      <c r="Y1038" s="303">
        <f t="shared" si="869"/>
        <v>-272446.16696429788</v>
      </c>
      <c r="Z1038" s="303">
        <f t="shared" si="869"/>
        <v>-279712.08245520247</v>
      </c>
      <c r="AA1038" s="303"/>
      <c r="AB1038" s="303"/>
      <c r="AC1038" s="303"/>
      <c r="AD1038" s="303"/>
      <c r="AE1038" s="303"/>
      <c r="AF1038" s="303"/>
      <c r="AG1038" s="303"/>
      <c r="AH1038" s="303"/>
      <c r="AI1038" s="303"/>
      <c r="AJ1038" s="303"/>
    </row>
    <row r="1039" spans="1:36" x14ac:dyDescent="0.25">
      <c r="A1039" t="s">
        <v>859</v>
      </c>
      <c r="K1039" s="15"/>
      <c r="L1039" s="15"/>
      <c r="M1039" s="15"/>
      <c r="N1039" s="15"/>
      <c r="O1039" s="15"/>
      <c r="P1039" s="15"/>
      <c r="Q1039" s="15"/>
      <c r="R1039" s="15"/>
      <c r="S1039" s="15"/>
      <c r="T1039" s="15"/>
      <c r="U1039" s="15"/>
      <c r="V1039" s="15"/>
      <c r="W1039" s="15"/>
      <c r="X1039" s="15"/>
      <c r="Y1039" s="15"/>
      <c r="Z1039" s="15"/>
      <c r="AA1039" s="15"/>
      <c r="AB1039" s="15"/>
      <c r="AC1039" s="15"/>
      <c r="AD1039" s="15"/>
      <c r="AE1039" s="15"/>
      <c r="AF1039" s="15"/>
      <c r="AG1039" s="15"/>
      <c r="AH1039" s="15"/>
      <c r="AI1039" s="15"/>
      <c r="AJ1039" s="15"/>
    </row>
    <row r="1040" spans="1:36" x14ac:dyDescent="0.25">
      <c r="A1040" t="s">
        <v>859</v>
      </c>
      <c r="B1040" t="s">
        <v>622</v>
      </c>
      <c r="H1040" s="459" t="s">
        <v>166</v>
      </c>
      <c r="I1040" s="493" t="str">
        <f>IF($H$9="USD","USD","tr. VND")</f>
        <v>tr. VND</v>
      </c>
      <c r="K1040" s="461"/>
      <c r="L1040" s="461" cm="1">
        <f t="array" ref="L1040">-SUMPRODUCT('W2'!$M$12:$V$112*('W2'!$M$7:$V$7=$A1040)*('W2'!$A$12:$A$112=$B1040))*L1005*$H$10*POWER(1+Inflation,L$11+1)</f>
        <v>-2752.9666560000001</v>
      </c>
      <c r="M1040" s="461" cm="1">
        <f t="array" ref="M1040">-SUMPRODUCT('W2'!$M$12:$V$112*('W2'!$M$7:$V$7=$A1040)*('W2'!$A$12:$A$112=$B1040))*M1005*$H$10*POWER(1+Inflation,M$11+1)</f>
        <v>-3854.1533183999995</v>
      </c>
      <c r="N1040" s="461" cm="1">
        <f t="array" ref="N1040">-SUMPRODUCT('W2'!$M$12:$V$112*('W2'!$M$7:$V$7=$A1040)*('W2'!$A$12:$A$112=$B1040))*N1005*$H$10*POWER(1+Inflation,N$11+1)</f>
        <v>-5781.2299776</v>
      </c>
      <c r="O1040" s="461" cm="1">
        <f t="array" ref="O1040">-SUMPRODUCT('W2'!$M$12:$V$112*('W2'!$M$7:$V$7=$A1040)*('W2'!$A$12:$A$112=$B1040))*O1005*$H$10*POWER(1+Inflation,O$11+1)</f>
        <v>-6070.2914764800007</v>
      </c>
      <c r="P1040" s="461" cm="1">
        <f t="array" ref="P1040">-SUMPRODUCT('W2'!$M$12:$V$112*('W2'!$M$7:$V$7=$A1040)*('W2'!$A$12:$A$112=$B1040))*P1005*$H$10*POWER(1+Inflation,P$11+1)</f>
        <v>-6373.8060503040006</v>
      </c>
      <c r="Q1040" s="461" cm="1">
        <f t="array" ref="Q1040">-SUMPRODUCT('W2'!$M$12:$V$112*('W2'!$M$7:$V$7=$A1040)*('W2'!$A$12:$A$112=$B1040))*Q1005*$H$10*POWER(1+Inflation,Q$11+1)</f>
        <v>-6692.4963528192002</v>
      </c>
      <c r="R1040" s="461" cm="1">
        <f t="array" ref="R1040">-SUMPRODUCT('W2'!$M$12:$V$112*('W2'!$M$7:$V$7=$A1040)*('W2'!$A$12:$A$112=$B1040))*R1005*$H$10*POWER(1+Inflation,R$11+1)</f>
        <v>-7027.121170460161</v>
      </c>
      <c r="S1040" s="461" cm="1">
        <f t="array" ref="S1040">-SUMPRODUCT('W2'!$M$12:$V$112*('W2'!$M$7:$V$7=$A1040)*('W2'!$A$12:$A$112=$B1040))*S1005*$H$10*POWER(1+Inflation,S$11+1)</f>
        <v>-7378.4772289831681</v>
      </c>
      <c r="T1040" s="461" cm="1">
        <f t="array" ref="T1040">-SUMPRODUCT('W2'!$M$12:$V$112*('W2'!$M$7:$V$7=$A1040)*('W2'!$A$12:$A$112=$B1040))*T1005*$H$10*POWER(1+Inflation,T$11+1)</f>
        <v>-7747.4010904323277</v>
      </c>
      <c r="U1040" s="461" cm="1">
        <f t="array" ref="U1040">-SUMPRODUCT('W2'!$M$12:$V$112*('W2'!$M$7:$V$7=$A1040)*('W2'!$A$12:$A$112=$B1040))*U1005*$H$10*POWER(1+Inflation,U$11+1)</f>
        <v>-8134.7711449539429</v>
      </c>
      <c r="V1040" s="461" cm="1">
        <f t="array" ref="V1040">-SUMPRODUCT('W2'!$M$12:$V$112*('W2'!$M$7:$V$7=$A1040)*('W2'!$A$12:$A$112=$B1040))*V1005*$H$10*POWER(1+Inflation,V$11+1)</f>
        <v>-8541.5097022016416</v>
      </c>
      <c r="W1040" s="461" cm="1">
        <f t="array" ref="W1040">-SUMPRODUCT('W2'!$M$12:$V$112*('W2'!$M$7:$V$7=$A1040)*('W2'!$A$12:$A$112=$B1040))*W1005*$H$10*POWER(1+Inflation,W$11+1)</f>
        <v>-8968.5851873117226</v>
      </c>
      <c r="X1040" s="461" cm="1">
        <f t="array" ref="X1040">-SUMPRODUCT('W2'!$M$12:$V$112*('W2'!$M$7:$V$7=$A1040)*('W2'!$A$12:$A$112=$B1040))*X1005*$H$10*POWER(1+Inflation,X$11+1)</f>
        <v>-9417.014446677309</v>
      </c>
      <c r="Y1040" s="461" cm="1">
        <f t="array" ref="Y1040">-SUMPRODUCT('W2'!$M$12:$V$112*('W2'!$M$7:$V$7=$A1040)*('W2'!$A$12:$A$112=$B1040))*Y1005*$H$10*POWER(1+Inflation,Y$11+1)</f>
        <v>-9887.8651690111747</v>
      </c>
      <c r="Z1040" s="461" cm="1">
        <f t="array" ref="Z1040">-SUMPRODUCT('W2'!$M$12:$V$112*('W2'!$M$7:$V$7=$A1040)*('W2'!$A$12:$A$112=$B1040))*Z1005*$H$10*POWER(1+Inflation,Z$11+1)</f>
        <v>-10382.258427461735</v>
      </c>
      <c r="AA1040" s="461"/>
      <c r="AB1040" s="461"/>
      <c r="AC1040" s="461"/>
      <c r="AD1040" s="461"/>
      <c r="AE1040" s="461"/>
      <c r="AF1040" s="461"/>
      <c r="AG1040" s="461"/>
      <c r="AH1040" s="461"/>
      <c r="AI1040" s="461"/>
      <c r="AJ1040" s="461"/>
    </row>
    <row r="1041" spans="1:39" x14ac:dyDescent="0.25">
      <c r="A1041" t="s">
        <v>859</v>
      </c>
      <c r="B1041" t="s">
        <v>527</v>
      </c>
      <c r="H1041" s="454" t="s">
        <v>469</v>
      </c>
      <c r="I1041" s="496" t="str">
        <f>IF($H$9="USD","USD","tr. VND")</f>
        <v>tr. VND</v>
      </c>
      <c r="K1041" s="457"/>
      <c r="L1041" s="457" cm="1">
        <f t="array" ref="L1041">-SUMPRODUCT('W2'!$M$12:$V$112*('W2'!$M$7:$V$7=$A1041)*('W2'!$A$12:$A$112=$B1041))*L1005*$H$10*POWER(1+Inflation,L$11+1)</f>
        <v>0</v>
      </c>
      <c r="M1041" s="457" cm="1">
        <f t="array" ref="M1041">-SUMPRODUCT('W2'!$M$12:$V$112*('W2'!$M$7:$V$7=$A1041)*('W2'!$A$12:$A$112=$B1041))*M1005*$H$10*POWER(1+Inflation,M$11+1)</f>
        <v>0</v>
      </c>
      <c r="N1041" s="457" cm="1">
        <f t="array" ref="N1041">-SUMPRODUCT('W2'!$M$12:$V$112*('W2'!$M$7:$V$7=$A1041)*('W2'!$A$12:$A$112=$B1041))*N1005*$H$10*POWER(1+Inflation,N$11+1)</f>
        <v>0</v>
      </c>
      <c r="O1041" s="457" cm="1">
        <f t="array" ref="O1041">-SUMPRODUCT('W2'!$M$12:$V$112*('W2'!$M$7:$V$7=$A1041)*('W2'!$A$12:$A$112=$B1041))*O1005*$H$10*POWER(1+Inflation,O$11+1)</f>
        <v>0</v>
      </c>
      <c r="P1041" s="457" cm="1">
        <f t="array" ref="P1041">-SUMPRODUCT('W2'!$M$12:$V$112*('W2'!$M$7:$V$7=$A1041)*('W2'!$A$12:$A$112=$B1041))*P1005*$H$10*POWER(1+Inflation,P$11+1)</f>
        <v>0</v>
      </c>
      <c r="Q1041" s="457" cm="1">
        <f t="array" ref="Q1041">-SUMPRODUCT('W2'!$M$12:$V$112*('W2'!$M$7:$V$7=$A1041)*('W2'!$A$12:$A$112=$B1041))*Q1005*$H$10*POWER(1+Inflation,Q$11+1)</f>
        <v>0</v>
      </c>
      <c r="R1041" s="457" cm="1">
        <f t="array" ref="R1041">-SUMPRODUCT('W2'!$M$12:$V$112*('W2'!$M$7:$V$7=$A1041)*('W2'!$A$12:$A$112=$B1041))*R1005*$H$10*POWER(1+Inflation,R$11+1)</f>
        <v>0</v>
      </c>
      <c r="S1041" s="457" cm="1">
        <f t="array" ref="S1041">-SUMPRODUCT('W2'!$M$12:$V$112*('W2'!$M$7:$V$7=$A1041)*('W2'!$A$12:$A$112=$B1041))*S1005*$H$10*POWER(1+Inflation,S$11+1)</f>
        <v>0</v>
      </c>
      <c r="T1041" s="457" cm="1">
        <f t="array" ref="T1041">-SUMPRODUCT('W2'!$M$12:$V$112*('W2'!$M$7:$V$7=$A1041)*('W2'!$A$12:$A$112=$B1041))*T1005*$H$10*POWER(1+Inflation,T$11+1)</f>
        <v>0</v>
      </c>
      <c r="U1041" s="457" cm="1">
        <f t="array" ref="U1041">-SUMPRODUCT('W2'!$M$12:$V$112*('W2'!$M$7:$V$7=$A1041)*('W2'!$A$12:$A$112=$B1041))*U1005*$H$10*POWER(1+Inflation,U$11+1)</f>
        <v>0</v>
      </c>
      <c r="V1041" s="457" cm="1">
        <f t="array" ref="V1041">-SUMPRODUCT('W2'!$M$12:$V$112*('W2'!$M$7:$V$7=$A1041)*('W2'!$A$12:$A$112=$B1041))*V1005*$H$10*POWER(1+Inflation,V$11+1)</f>
        <v>0</v>
      </c>
      <c r="W1041" s="457" cm="1">
        <f t="array" ref="W1041">-SUMPRODUCT('W2'!$M$12:$V$112*('W2'!$M$7:$V$7=$A1041)*('W2'!$A$12:$A$112=$B1041))*W1005*$H$10*POWER(1+Inflation,W$11+1)</f>
        <v>0</v>
      </c>
      <c r="X1041" s="457" cm="1">
        <f t="array" ref="X1041">-SUMPRODUCT('W2'!$M$12:$V$112*('W2'!$M$7:$V$7=$A1041)*('W2'!$A$12:$A$112=$B1041))*X1005*$H$10*POWER(1+Inflation,X$11+1)</f>
        <v>0</v>
      </c>
      <c r="Y1041" s="457" cm="1">
        <f t="array" ref="Y1041">-SUMPRODUCT('W2'!$M$12:$V$112*('W2'!$M$7:$V$7=$A1041)*('W2'!$A$12:$A$112=$B1041))*Y1005*$H$10*POWER(1+Inflation,Y$11+1)</f>
        <v>0</v>
      </c>
      <c r="Z1041" s="457" cm="1">
        <f t="array" ref="Z1041">-SUMPRODUCT('W2'!$M$12:$V$112*('W2'!$M$7:$V$7=$A1041)*('W2'!$A$12:$A$112=$B1041))*Z1005*$H$10*POWER(1+Inflation,Z$11+1)</f>
        <v>0</v>
      </c>
      <c r="AA1041" s="457"/>
      <c r="AB1041" s="457"/>
      <c r="AC1041" s="457"/>
      <c r="AD1041" s="457"/>
      <c r="AE1041" s="457"/>
      <c r="AF1041" s="457"/>
      <c r="AG1041" s="457"/>
      <c r="AH1041" s="457"/>
      <c r="AI1041" s="457"/>
      <c r="AJ1041" s="457"/>
    </row>
    <row r="1042" spans="1:39" x14ac:dyDescent="0.25">
      <c r="A1042" t="s">
        <v>859</v>
      </c>
      <c r="B1042" t="s">
        <v>522</v>
      </c>
      <c r="H1042" s="454" t="s">
        <v>468</v>
      </c>
      <c r="I1042" s="496" t="str">
        <f>IF($H$9="USD","USD","tr. VND")</f>
        <v>tr. VND</v>
      </c>
      <c r="K1042" s="454"/>
      <c r="L1042" s="457" cm="1">
        <f t="array" ref="L1042">-SUMPRODUCT('W2'!$M$12:$V$112*('W2'!$M$7:$V$7=$A1042)*('W2'!$A$12:$A$112=$B1042))*L1005*$H$10*POWER(1+Inflation,L$11+1)</f>
        <v>0</v>
      </c>
      <c r="M1042" s="457" cm="1">
        <f t="array" ref="M1042">-SUMPRODUCT('W2'!$M$12:$V$112*('W2'!$M$7:$V$7=$A1042)*('W2'!$A$12:$A$112=$B1042))*M1005*$H$10*POWER(1+Inflation,M$11+1)</f>
        <v>0</v>
      </c>
      <c r="N1042" s="457" cm="1">
        <f t="array" ref="N1042">-SUMPRODUCT('W2'!$M$12:$V$112*('W2'!$M$7:$V$7=$A1042)*('W2'!$A$12:$A$112=$B1042))*N1005*$H$10*POWER(1+Inflation,N$11+1)</f>
        <v>0</v>
      </c>
      <c r="O1042" s="457" cm="1">
        <f t="array" ref="O1042">-SUMPRODUCT('W2'!$M$12:$V$112*('W2'!$M$7:$V$7=$A1042)*('W2'!$A$12:$A$112=$B1042))*O1005*$H$10*POWER(1+Inflation,O$11+1)</f>
        <v>0</v>
      </c>
      <c r="P1042" s="457" cm="1">
        <f t="array" ref="P1042">-SUMPRODUCT('W2'!$M$12:$V$112*('W2'!$M$7:$V$7=$A1042)*('W2'!$A$12:$A$112=$B1042))*P1005*$H$10*POWER(1+Inflation,P$11+1)</f>
        <v>0</v>
      </c>
      <c r="Q1042" s="457" cm="1">
        <f t="array" ref="Q1042">-SUMPRODUCT('W2'!$M$12:$V$112*('W2'!$M$7:$V$7=$A1042)*('W2'!$A$12:$A$112=$B1042))*Q1005*$H$10*POWER(1+Inflation,Q$11+1)</f>
        <v>0</v>
      </c>
      <c r="R1042" s="457" cm="1">
        <f t="array" ref="R1042">-SUMPRODUCT('W2'!$M$12:$V$112*('W2'!$M$7:$V$7=$A1042)*('W2'!$A$12:$A$112=$B1042))*R1005*$H$10*POWER(1+Inflation,R$11+1)</f>
        <v>0</v>
      </c>
      <c r="S1042" s="457" cm="1">
        <f t="array" ref="S1042">-SUMPRODUCT('W2'!$M$12:$V$112*('W2'!$M$7:$V$7=$A1042)*('W2'!$A$12:$A$112=$B1042))*S1005*$H$10*POWER(1+Inflation,S$11+1)</f>
        <v>0</v>
      </c>
      <c r="T1042" s="457" cm="1">
        <f t="array" ref="T1042">-SUMPRODUCT('W2'!$M$12:$V$112*('W2'!$M$7:$V$7=$A1042)*('W2'!$A$12:$A$112=$B1042))*T1005*$H$10*POWER(1+Inflation,T$11+1)</f>
        <v>0</v>
      </c>
      <c r="U1042" s="457" cm="1">
        <f t="array" ref="U1042">-SUMPRODUCT('W2'!$M$12:$V$112*('W2'!$M$7:$V$7=$A1042)*('W2'!$A$12:$A$112=$B1042))*U1005*$H$10*POWER(1+Inflation,U$11+1)</f>
        <v>0</v>
      </c>
      <c r="V1042" s="457" cm="1">
        <f t="array" ref="V1042">-SUMPRODUCT('W2'!$M$12:$V$112*('W2'!$M$7:$V$7=$A1042)*('W2'!$A$12:$A$112=$B1042))*V1005*$H$10*POWER(1+Inflation,V$11+1)</f>
        <v>0</v>
      </c>
      <c r="W1042" s="457" cm="1">
        <f t="array" ref="W1042">-SUMPRODUCT('W2'!$M$12:$V$112*('W2'!$M$7:$V$7=$A1042)*('W2'!$A$12:$A$112=$B1042))*W1005*$H$10*POWER(1+Inflation,W$11+1)</f>
        <v>0</v>
      </c>
      <c r="X1042" s="457" cm="1">
        <f t="array" ref="X1042">-SUMPRODUCT('W2'!$M$12:$V$112*('W2'!$M$7:$V$7=$A1042)*('W2'!$A$12:$A$112=$B1042))*X1005*$H$10*POWER(1+Inflation,X$11+1)</f>
        <v>0</v>
      </c>
      <c r="Y1042" s="457" cm="1">
        <f t="array" ref="Y1042">-SUMPRODUCT('W2'!$M$12:$V$112*('W2'!$M$7:$V$7=$A1042)*('W2'!$A$12:$A$112=$B1042))*Y1005*$H$10*POWER(1+Inflation,Y$11+1)</f>
        <v>0</v>
      </c>
      <c r="Z1042" s="457" cm="1">
        <f t="array" ref="Z1042">-SUMPRODUCT('W2'!$M$12:$V$112*('W2'!$M$7:$V$7=$A1042)*('W2'!$A$12:$A$112=$B1042))*Z1005*$H$10*POWER(1+Inflation,Z$11+1)</f>
        <v>0</v>
      </c>
      <c r="AA1042" s="457"/>
      <c r="AB1042" s="457"/>
      <c r="AC1042" s="457"/>
      <c r="AD1042" s="457"/>
      <c r="AE1042" s="457"/>
      <c r="AF1042" s="457"/>
      <c r="AG1042" s="457"/>
      <c r="AH1042" s="457"/>
      <c r="AI1042" s="457"/>
      <c r="AJ1042" s="457"/>
    </row>
    <row r="1043" spans="1:39" x14ac:dyDescent="0.25">
      <c r="A1043" t="s">
        <v>859</v>
      </c>
      <c r="H1043" s="454" t="s">
        <v>470</v>
      </c>
      <c r="I1043" s="496" t="str">
        <f>IF($H$9="USD","USD","tr. VND")</f>
        <v>tr. VND</v>
      </c>
      <c r="K1043" s="454"/>
      <c r="L1043" s="457" cm="1">
        <f t="array" ref="L1043">-SUMPRODUCT('Lãi vay'!$E$5:$AI$54*('Lãi vay'!$A$5:$A$54=$A1043)*('Lãi vay'!$B$5:$B$54="Lãi vay")*('Lãi vay'!$E$3:$AI$3=L$14))*$H$10</f>
        <v>-14736.740200000002</v>
      </c>
      <c r="M1043" s="457" cm="1">
        <f t="array" ref="M1043">-SUMPRODUCT('Lãi vay'!$E$5:$AI$54*('Lãi vay'!$A$5:$A$54=$A1043)*('Lãi vay'!$B$5:$B$54="Lãi vay")*('Lãi vay'!$E$3:$AI$3=M$14))*$H$10</f>
        <v>-14150.297154424765</v>
      </c>
      <c r="N1043" s="457" cm="1">
        <f t="array" ref="N1043">-SUMPRODUCT('Lãi vay'!$E$5:$AI$54*('Lãi vay'!$A$5:$A$54=$A1043)*('Lãi vay'!$B$5:$B$54="Lãi vay")*('Lãi vay'!$E$3:$AI$3=N$14))*$H$10</f>
        <v>-13522.803095659263</v>
      </c>
      <c r="O1043" s="457" cm="1">
        <f t="array" ref="O1043">-SUMPRODUCT('Lãi vay'!$E$5:$AI$54*('Lãi vay'!$A$5:$A$54=$A1043)*('Lãi vay'!$B$5:$B$54="Lãi vay")*('Lãi vay'!$E$3:$AI$3=O$14))*$H$10</f>
        <v>-12851.384452780176</v>
      </c>
      <c r="P1043" s="457" cm="1">
        <f t="array" ref="P1043">-SUMPRODUCT('Lãi vay'!$E$5:$AI$54*('Lãi vay'!$A$5:$A$54=$A1043)*('Lãi vay'!$B$5:$B$54="Lãi vay")*('Lãi vay'!$E$3:$AI$3=P$14))*$H$10</f>
        <v>-12132.96650489955</v>
      </c>
      <c r="Q1043" s="457" cm="1">
        <f t="array" ref="Q1043">-SUMPRODUCT('Lãi vay'!$E$5:$AI$54*('Lãi vay'!$A$5:$A$54=$A1043)*('Lãi vay'!$B$5:$B$54="Lãi vay")*('Lãi vay'!$E$3:$AI$3=Q$14))*$H$10</f>
        <v>-11364.259300667285</v>
      </c>
      <c r="R1043" s="457" cm="1">
        <f t="array" ref="R1043">-SUMPRODUCT('Lãi vay'!$E$5:$AI$54*('Lãi vay'!$A$5:$A$54=$A1043)*('Lãi vay'!$B$5:$B$54="Lãi vay")*('Lãi vay'!$E$3:$AI$3=R$14))*$H$10</f>
        <v>-10541.742592138758</v>
      </c>
      <c r="S1043" s="457" cm="1">
        <f t="array" ref="S1043">-SUMPRODUCT('Lãi vay'!$E$5:$AI$54*('Lãi vay'!$A$5:$A$54=$A1043)*('Lãi vay'!$B$5:$B$54="Lãi vay")*('Lãi vay'!$E$3:$AI$3=S$14))*$H$10</f>
        <v>-9661.649714013236</v>
      </c>
      <c r="T1043" s="457" cm="1">
        <f t="array" ref="T1043">-SUMPRODUCT('Lãi vay'!$E$5:$AI$54*('Lãi vay'!$A$5:$A$54=$A1043)*('Lãi vay'!$B$5:$B$54="Lãi vay")*('Lãi vay'!$E$3:$AI$3=T$14))*$H$10</f>
        <v>-8719.950334418927</v>
      </c>
      <c r="U1043" s="457" cm="1">
        <f t="array" ref="U1043">-SUMPRODUCT('Lãi vay'!$E$5:$AI$54*('Lãi vay'!$A$5:$A$54=$A1043)*('Lãi vay'!$B$5:$B$54="Lãi vay")*('Lãi vay'!$E$3:$AI$3=U$14))*$H$10</f>
        <v>-7712.3319982530165</v>
      </c>
      <c r="V1043" s="457" cm="1">
        <f t="array" ref="V1043">-SUMPRODUCT('Lãi vay'!$E$5:$AI$54*('Lãi vay'!$A$5:$A$54=$A1043)*('Lãi vay'!$B$5:$B$54="Lãi vay")*('Lãi vay'!$E$3:$AI$3=V$14))*$H$10</f>
        <v>-6634.1803785554921</v>
      </c>
      <c r="W1043" s="457" cm="1">
        <f t="array" ref="W1043">-SUMPRODUCT('Lãi vay'!$E$5:$AI$54*('Lãi vay'!$A$5:$A$54=$A1043)*('Lãi vay'!$B$5:$B$54="Lãi vay")*('Lãi vay'!$E$3:$AI$3=W$14))*$H$10</f>
        <v>-5480.55814547914</v>
      </c>
      <c r="X1043" s="457" cm="1">
        <f t="array" ref="X1043">-SUMPRODUCT('Lãi vay'!$E$5:$AI$54*('Lãi vay'!$A$5:$A$54=$A1043)*('Lãi vay'!$B$5:$B$54="Lãi vay")*('Lãi vay'!$E$3:$AI$3=X$14))*$H$10</f>
        <v>-4246.1823560874445</v>
      </c>
      <c r="Y1043" s="457" cm="1">
        <f t="array" ref="Y1043">-SUMPRODUCT('Lãi vay'!$E$5:$AI$54*('Lãi vay'!$A$5:$A$54=$A1043)*('Lãi vay'!$B$5:$B$54="Lãi vay")*('Lãi vay'!$E$3:$AI$3=Y$14))*$H$10</f>
        <v>-2925.4002614383289</v>
      </c>
      <c r="Z1043" s="457" cm="1">
        <f t="array" ref="Z1043">-SUMPRODUCT('Lãi vay'!$E$5:$AI$54*('Lãi vay'!$A$5:$A$54=$A1043)*('Lãi vay'!$B$5:$B$54="Lãi vay")*('Lãi vay'!$E$3:$AI$3=Z$14))*$H$10</f>
        <v>-1512.1634201637758</v>
      </c>
      <c r="AA1043" s="457"/>
      <c r="AB1043" s="457"/>
      <c r="AC1043" s="457"/>
      <c r="AD1043" s="457"/>
      <c r="AE1043" s="457"/>
      <c r="AF1043" s="457"/>
      <c r="AG1043" s="457"/>
      <c r="AH1043" s="457"/>
      <c r="AI1043" s="457"/>
      <c r="AJ1043" s="457"/>
    </row>
    <row r="1044" spans="1:39" x14ac:dyDescent="0.25">
      <c r="A1044" t="s">
        <v>859</v>
      </c>
      <c r="K1044" s="15"/>
      <c r="L1044" s="15"/>
      <c r="M1044" s="15"/>
      <c r="N1044" s="15"/>
      <c r="O1044" s="15"/>
      <c r="P1044" s="15"/>
      <c r="Q1044" s="15"/>
      <c r="R1044" s="15"/>
      <c r="S1044" s="15"/>
      <c r="T1044" s="15"/>
      <c r="U1044" s="15"/>
      <c r="V1044" s="15"/>
      <c r="W1044" s="15"/>
      <c r="X1044" s="15"/>
      <c r="Y1044" s="15"/>
      <c r="Z1044" s="15"/>
      <c r="AA1044" s="15"/>
      <c r="AB1044" s="15"/>
      <c r="AC1044" s="15"/>
      <c r="AD1044" s="15"/>
      <c r="AE1044" s="15"/>
      <c r="AF1044" s="15"/>
      <c r="AG1044" s="15"/>
      <c r="AH1044" s="15"/>
      <c r="AI1044" s="15"/>
      <c r="AJ1044" s="15"/>
    </row>
    <row r="1045" spans="1:39" s="16" customFormat="1" x14ac:dyDescent="0.25">
      <c r="A1045" s="16" t="s">
        <v>859</v>
      </c>
      <c r="H1045" s="270" t="s">
        <v>472</v>
      </c>
      <c r="I1045" s="271" t="str">
        <f>IF($H$9="USD","USD","tr. VND")</f>
        <v>tr. VND</v>
      </c>
      <c r="K1045" s="272">
        <f t="shared" ref="K1045" si="870">K1038+SUM(K1040:K1043)</f>
        <v>0</v>
      </c>
      <c r="L1045" s="272">
        <f>L1038+SUM(L1040:L1043)</f>
        <v>-153633.70909316011</v>
      </c>
      <c r="M1045" s="272">
        <f t="shared" ref="M1045:AJ1045" si="871">M1038+SUM(M1040:M1043)</f>
        <v>-190447.67984058228</v>
      </c>
      <c r="N1045" s="272">
        <f t="shared" si="871"/>
        <v>-251218.86961140219</v>
      </c>
      <c r="O1045" s="272">
        <f t="shared" si="871"/>
        <v>-256010.6710672937</v>
      </c>
      <c r="P1045" s="272">
        <f t="shared" si="871"/>
        <v>-260926.89310083253</v>
      </c>
      <c r="Q1045" s="272">
        <f t="shared" si="871"/>
        <v>-265970.78193235525</v>
      </c>
      <c r="R1045" s="272">
        <f t="shared" si="871"/>
        <v>-271145.63959773933</v>
      </c>
      <c r="S1045" s="272">
        <f t="shared" si="871"/>
        <v>-276454.82131931925</v>
      </c>
      <c r="T1045" s="272">
        <f t="shared" si="871"/>
        <v>-281901.7324066548</v>
      </c>
      <c r="U1045" s="272">
        <f t="shared" si="871"/>
        <v>-287489.82464074926</v>
      </c>
      <c r="V1045" s="272">
        <f t="shared" si="871"/>
        <v>-293222.59209140867</v>
      </c>
      <c r="W1045" s="272">
        <f t="shared" si="871"/>
        <v>-299103.56631322252</v>
      </c>
      <c r="X1045" s="272">
        <f t="shared" si="871"/>
        <v>-279071.32819443441</v>
      </c>
      <c r="Y1045" s="272">
        <f t="shared" si="871"/>
        <v>-285259.43239474739</v>
      </c>
      <c r="Z1045" s="272">
        <f t="shared" si="871"/>
        <v>-291606.50430282799</v>
      </c>
      <c r="AA1045" s="272"/>
      <c r="AB1045" s="272"/>
      <c r="AC1045" s="272"/>
      <c r="AD1045" s="272"/>
      <c r="AE1045" s="272"/>
      <c r="AF1045" s="272"/>
      <c r="AG1045" s="272"/>
      <c r="AH1045" s="272"/>
      <c r="AI1045" s="272"/>
      <c r="AJ1045" s="272"/>
    </row>
    <row r="1046" spans="1:39" x14ac:dyDescent="0.25">
      <c r="A1046" t="s">
        <v>859</v>
      </c>
    </row>
    <row r="1047" spans="1:39" s="24" customFormat="1" ht="17.25" x14ac:dyDescent="0.3">
      <c r="A1047" s="24" t="s">
        <v>859</v>
      </c>
      <c r="H1047" s="643" t="s">
        <v>473</v>
      </c>
      <c r="I1047" s="643"/>
      <c r="K1047" s="643"/>
      <c r="L1047" s="643"/>
      <c r="M1047" s="643"/>
      <c r="N1047" s="643"/>
      <c r="O1047" s="643"/>
      <c r="P1047" s="643"/>
      <c r="Q1047" s="643"/>
      <c r="R1047" s="643"/>
      <c r="S1047" s="643"/>
      <c r="T1047" s="643"/>
      <c r="U1047" s="643"/>
      <c r="V1047" s="643"/>
      <c r="W1047" s="643"/>
      <c r="X1047" s="643"/>
      <c r="Y1047" s="643"/>
      <c r="Z1047" s="643"/>
      <c r="AA1047" s="643"/>
      <c r="AB1047" s="643"/>
      <c r="AC1047" s="643"/>
      <c r="AD1047" s="643"/>
      <c r="AE1047" s="643"/>
      <c r="AF1047" s="643"/>
      <c r="AG1047" s="643"/>
      <c r="AH1047" s="643"/>
      <c r="AI1047" s="643"/>
      <c r="AJ1047" s="643"/>
    </row>
    <row r="1048" spans="1:39" s="1" customFormat="1" x14ac:dyDescent="0.25">
      <c r="A1048" s="1" t="s">
        <v>859</v>
      </c>
      <c r="H1048" s="273" t="s">
        <v>434</v>
      </c>
      <c r="I1048" s="274" t="str">
        <f>IF($H$9="USD","USD/tấn","tr. VND/tấn")</f>
        <v>tr. VND/tấn</v>
      </c>
      <c r="K1048" s="278">
        <f t="shared" ref="K1048" si="872">SUM(K1049:K1050,K1053:K1056,)</f>
        <v>0</v>
      </c>
      <c r="L1048" s="278">
        <f>SUM(L1049:L1050,L1053:L1056,)</f>
        <v>14.093866286457756</v>
      </c>
      <c r="M1048" s="278">
        <f t="shared" ref="M1048:AJ1048" si="873">SUM(M1049:M1050,M1053:M1056,)</f>
        <v>10.067047347469824</v>
      </c>
      <c r="N1048" s="278">
        <f t="shared" si="873"/>
        <v>7.1921175630239942</v>
      </c>
      <c r="O1048" s="278">
        <f t="shared" si="873"/>
        <v>7.3445612038088699</v>
      </c>
      <c r="P1048" s="278">
        <f t="shared" si="873"/>
        <v>7.5046270266329884</v>
      </c>
      <c r="Q1048" s="278">
        <f t="shared" si="873"/>
        <v>7.672696140598311</v>
      </c>
      <c r="R1048" s="278">
        <f t="shared" si="873"/>
        <v>7.8491687102619006</v>
      </c>
      <c r="S1048" s="278">
        <f t="shared" si="873"/>
        <v>8.034464908408669</v>
      </c>
      <c r="T1048" s="278">
        <f t="shared" si="873"/>
        <v>8.2290259164627795</v>
      </c>
      <c r="U1048" s="278">
        <f t="shared" si="873"/>
        <v>8.4333149749195915</v>
      </c>
      <c r="V1048" s="278">
        <f t="shared" si="873"/>
        <v>8.6478184862992435</v>
      </c>
      <c r="W1048" s="278">
        <f t="shared" si="873"/>
        <v>8.8730471732478833</v>
      </c>
      <c r="X1048" s="278">
        <f t="shared" si="873"/>
        <v>5.0633998459829019</v>
      </c>
      <c r="Y1048" s="278">
        <f t="shared" si="873"/>
        <v>5.3117144733437733</v>
      </c>
      <c r="Z1048" s="278">
        <f t="shared" si="873"/>
        <v>5.5724448320726889</v>
      </c>
      <c r="AA1048" s="278"/>
      <c r="AB1048" s="278"/>
      <c r="AC1048" s="278"/>
      <c r="AD1048" s="278"/>
      <c r="AE1048" s="278"/>
      <c r="AF1048" s="278"/>
      <c r="AG1048" s="278"/>
      <c r="AH1048" s="278"/>
      <c r="AI1048" s="278"/>
      <c r="AJ1048" s="278"/>
      <c r="AL1048" s="39"/>
      <c r="AM1048" s="39"/>
    </row>
    <row r="1049" spans="1:39" x14ac:dyDescent="0.25">
      <c r="A1049" t="s">
        <v>859</v>
      </c>
      <c r="C1049" t="s">
        <v>367</v>
      </c>
      <c r="H1049" s="556" t="s">
        <v>190</v>
      </c>
      <c r="I1049" s="557" t="str">
        <f t="shared" ref="I1049:I1082" si="874">IF($H$9="USD","USD/tấn","tr. VND/tấn")</f>
        <v>tr. VND/tấn</v>
      </c>
      <c r="K1049" s="562"/>
      <c r="L1049" s="563">
        <f t="shared" ref="L1049:AJ1049" si="875">-IF($H$9="VND",L1017/L1005/$H$10/10^3,L1017/L1005/$H$10*10^3)</f>
        <v>8.0922748971220972</v>
      </c>
      <c r="M1049" s="563">
        <f t="shared" si="875"/>
        <v>5.7801963550872131</v>
      </c>
      <c r="N1049" s="563">
        <f t="shared" si="875"/>
        <v>4.0461374485610486</v>
      </c>
      <c r="O1049" s="563">
        <f t="shared" si="875"/>
        <v>4.0461374485610486</v>
      </c>
      <c r="P1049" s="563">
        <f t="shared" si="875"/>
        <v>4.0461374485610486</v>
      </c>
      <c r="Q1049" s="563">
        <f t="shared" si="875"/>
        <v>4.0461374485610486</v>
      </c>
      <c r="R1049" s="563">
        <f t="shared" si="875"/>
        <v>4.0461374485610486</v>
      </c>
      <c r="S1049" s="563">
        <f t="shared" si="875"/>
        <v>4.0461374485610486</v>
      </c>
      <c r="T1049" s="563">
        <f t="shared" si="875"/>
        <v>4.0461374485610486</v>
      </c>
      <c r="U1049" s="563">
        <f t="shared" si="875"/>
        <v>4.0461374485610486</v>
      </c>
      <c r="V1049" s="563">
        <f t="shared" si="875"/>
        <v>4.0461374485610486</v>
      </c>
      <c r="W1049" s="563">
        <f t="shared" si="875"/>
        <v>4.0461374485610486</v>
      </c>
      <c r="X1049" s="563">
        <f t="shared" si="875"/>
        <v>0</v>
      </c>
      <c r="Y1049" s="563">
        <f t="shared" si="875"/>
        <v>0</v>
      </c>
      <c r="Z1049" s="563">
        <f t="shared" si="875"/>
        <v>0</v>
      </c>
      <c r="AA1049" s="563"/>
      <c r="AB1049" s="563"/>
      <c r="AC1049" s="563"/>
      <c r="AD1049" s="563"/>
      <c r="AE1049" s="563"/>
      <c r="AF1049" s="563"/>
      <c r="AG1049" s="563"/>
      <c r="AH1049" s="563"/>
      <c r="AI1049" s="563"/>
      <c r="AJ1049" s="563"/>
      <c r="AL1049" s="15"/>
      <c r="AM1049" s="15"/>
    </row>
    <row r="1050" spans="1:39" x14ac:dyDescent="0.25">
      <c r="A1050" t="s">
        <v>859</v>
      </c>
      <c r="H1050" s="558" t="s">
        <v>429</v>
      </c>
      <c r="I1050" s="559" t="str">
        <f t="shared" si="874"/>
        <v>tr. VND/tấn</v>
      </c>
      <c r="K1050" s="564">
        <f>SUM(K1051:K1052)</f>
        <v>0</v>
      </c>
      <c r="L1050" s="564">
        <f t="shared" ref="L1050:AJ1050" si="876">SUM(L1051:L1052)</f>
        <v>1.9410042574812794</v>
      </c>
      <c r="M1050" s="564">
        <f t="shared" si="876"/>
        <v>1.3864316124866283</v>
      </c>
      <c r="N1050" s="564">
        <f t="shared" si="876"/>
        <v>1.0190272351776717</v>
      </c>
      <c r="O1050" s="564">
        <f t="shared" si="876"/>
        <v>1.0699785969365552</v>
      </c>
      <c r="P1050" s="564">
        <f t="shared" si="876"/>
        <v>1.1234775267833832</v>
      </c>
      <c r="Q1050" s="564">
        <f t="shared" si="876"/>
        <v>1.179651403122552</v>
      </c>
      <c r="R1050" s="564">
        <f t="shared" si="876"/>
        <v>1.2386339732786797</v>
      </c>
      <c r="S1050" s="564">
        <f t="shared" si="876"/>
        <v>1.3005656719426137</v>
      </c>
      <c r="T1050" s="564">
        <f t="shared" si="876"/>
        <v>1.3655939555397447</v>
      </c>
      <c r="U1050" s="564">
        <f t="shared" si="876"/>
        <v>1.4338736533167316</v>
      </c>
      <c r="V1050" s="564">
        <f t="shared" si="876"/>
        <v>1.5055673359825681</v>
      </c>
      <c r="W1050" s="564">
        <f t="shared" si="876"/>
        <v>1.5808457027816967</v>
      </c>
      <c r="X1050" s="564">
        <f t="shared" si="876"/>
        <v>1.6598879879207817</v>
      </c>
      <c r="Y1050" s="564">
        <f t="shared" si="876"/>
        <v>1.7428823873168202</v>
      </c>
      <c r="Z1050" s="564">
        <f t="shared" si="876"/>
        <v>1.8300265066826618</v>
      </c>
      <c r="AA1050" s="564"/>
      <c r="AB1050" s="564"/>
      <c r="AC1050" s="564"/>
      <c r="AD1050" s="564"/>
      <c r="AE1050" s="564"/>
      <c r="AF1050" s="564"/>
      <c r="AG1050" s="564"/>
      <c r="AH1050" s="564"/>
      <c r="AI1050" s="564"/>
      <c r="AJ1050" s="564"/>
      <c r="AL1050" s="15"/>
      <c r="AM1050" s="15"/>
    </row>
    <row r="1051" spans="1:39" s="299" customFormat="1" x14ac:dyDescent="0.25">
      <c r="A1051" s="299" t="s">
        <v>859</v>
      </c>
      <c r="C1051" s="299" t="s">
        <v>367</v>
      </c>
      <c r="H1051" s="560" t="s">
        <v>430</v>
      </c>
      <c r="I1051" s="561" t="str">
        <f t="shared" si="874"/>
        <v>tr. VND/tấn</v>
      </c>
      <c r="K1051" s="565"/>
      <c r="L1051" s="565">
        <f t="shared" ref="L1051:AJ1051" si="877">-IF($H$9="VND",L1019/L1005/$H$10/10^3,L1019/L1005/$H$10*10^3)</f>
        <v>0.31733039631846527</v>
      </c>
      <c r="M1051" s="565">
        <f t="shared" si="877"/>
        <v>0.22666456879890379</v>
      </c>
      <c r="N1051" s="565">
        <f t="shared" si="877"/>
        <v>0.16659845806719425</v>
      </c>
      <c r="O1051" s="565">
        <f t="shared" si="877"/>
        <v>0.17492838097055399</v>
      </c>
      <c r="P1051" s="565">
        <f t="shared" si="877"/>
        <v>0.18367480001908168</v>
      </c>
      <c r="Q1051" s="565">
        <f t="shared" si="877"/>
        <v>0.19285854002003575</v>
      </c>
      <c r="R1051" s="565">
        <f t="shared" si="877"/>
        <v>0.20250146702103758</v>
      </c>
      <c r="S1051" s="565">
        <f t="shared" si="877"/>
        <v>0.21262654037208945</v>
      </c>
      <c r="T1051" s="565">
        <f t="shared" si="877"/>
        <v>0.22325786739069392</v>
      </c>
      <c r="U1051" s="565">
        <f t="shared" si="877"/>
        <v>0.23442076076022861</v>
      </c>
      <c r="V1051" s="565">
        <f t="shared" si="877"/>
        <v>0.24614179879824005</v>
      </c>
      <c r="W1051" s="565">
        <f t="shared" si="877"/>
        <v>0.25844888873815203</v>
      </c>
      <c r="X1051" s="565">
        <f t="shared" si="877"/>
        <v>0.27137133317505963</v>
      </c>
      <c r="Y1051" s="565">
        <f t="shared" si="877"/>
        <v>0.28493989983381263</v>
      </c>
      <c r="Z1051" s="565">
        <f t="shared" si="877"/>
        <v>0.29918689482550326</v>
      </c>
      <c r="AA1051" s="565"/>
      <c r="AB1051" s="565"/>
      <c r="AC1051" s="565"/>
      <c r="AD1051" s="565"/>
      <c r="AE1051" s="565"/>
      <c r="AF1051" s="565"/>
      <c r="AG1051" s="565"/>
      <c r="AH1051" s="565"/>
      <c r="AI1051" s="565"/>
      <c r="AJ1051" s="565"/>
      <c r="AL1051" s="876"/>
      <c r="AM1051" s="876"/>
    </row>
    <row r="1052" spans="1:39" s="299" customFormat="1" x14ac:dyDescent="0.25">
      <c r="A1052" s="299" t="s">
        <v>859</v>
      </c>
      <c r="C1052" s="299" t="s">
        <v>367</v>
      </c>
      <c r="H1052" s="560" t="s">
        <v>431</v>
      </c>
      <c r="I1052" s="561" t="str">
        <f t="shared" si="874"/>
        <v>tr. VND/tấn</v>
      </c>
      <c r="K1052" s="565"/>
      <c r="L1052" s="565">
        <f t="shared" ref="L1052:AJ1052" si="878">-IF($H$9="VND",L1020/L1005/$H$10/10^3,L1020/L1005/$H$10*10^3)</f>
        <v>1.6236738611628141</v>
      </c>
      <c r="M1052" s="565">
        <f t="shared" si="878"/>
        <v>1.1597670436877245</v>
      </c>
      <c r="N1052" s="565">
        <f t="shared" si="878"/>
        <v>0.85242877711047738</v>
      </c>
      <c r="O1052" s="565">
        <f t="shared" si="878"/>
        <v>0.89505021596600121</v>
      </c>
      <c r="P1052" s="565">
        <f t="shared" si="878"/>
        <v>0.93980272676430154</v>
      </c>
      <c r="Q1052" s="565">
        <f t="shared" si="878"/>
        <v>0.98679286310251635</v>
      </c>
      <c r="R1052" s="565">
        <f t="shared" si="878"/>
        <v>1.0361325062576421</v>
      </c>
      <c r="S1052" s="565">
        <f t="shared" si="878"/>
        <v>1.0879391315705242</v>
      </c>
      <c r="T1052" s="565">
        <f t="shared" si="878"/>
        <v>1.1423360881490507</v>
      </c>
      <c r="U1052" s="565">
        <f t="shared" si="878"/>
        <v>1.1994528925565029</v>
      </c>
      <c r="V1052" s="565">
        <f t="shared" si="878"/>
        <v>1.2594255371843281</v>
      </c>
      <c r="W1052" s="565">
        <f t="shared" si="878"/>
        <v>1.3223968140435447</v>
      </c>
      <c r="X1052" s="565">
        <f t="shared" si="878"/>
        <v>1.3885166547457222</v>
      </c>
      <c r="Y1052" s="565">
        <f t="shared" si="878"/>
        <v>1.4579424874830076</v>
      </c>
      <c r="Z1052" s="565">
        <f t="shared" si="878"/>
        <v>1.5308396118571586</v>
      </c>
      <c r="AA1052" s="565"/>
      <c r="AB1052" s="565"/>
      <c r="AC1052" s="565"/>
      <c r="AD1052" s="565"/>
      <c r="AE1052" s="565"/>
      <c r="AF1052" s="565"/>
      <c r="AG1052" s="565"/>
      <c r="AH1052" s="565"/>
      <c r="AI1052" s="565"/>
      <c r="AJ1052" s="565"/>
      <c r="AL1052" s="876"/>
      <c r="AM1052" s="876"/>
    </row>
    <row r="1053" spans="1:39" x14ac:dyDescent="0.25">
      <c r="A1053" t="s">
        <v>859</v>
      </c>
      <c r="C1053" t="s">
        <v>367</v>
      </c>
      <c r="H1053" s="558" t="s">
        <v>656</v>
      </c>
      <c r="I1053" s="559" t="str">
        <f t="shared" si="874"/>
        <v>tr. VND/tấn</v>
      </c>
      <c r="K1053" s="564"/>
      <c r="L1053" s="564">
        <f t="shared" ref="L1053:AJ1053" si="879">-IF($H$9="VND",L1021/L1005/$H$10/10^3,L1021/L1005/$H$10*10^3)</f>
        <v>0.77492160273129496</v>
      </c>
      <c r="M1053" s="564">
        <f t="shared" si="879"/>
        <v>0.55351543052235352</v>
      </c>
      <c r="N1053" s="564">
        <f t="shared" si="879"/>
        <v>0.40683384143392981</v>
      </c>
      <c r="O1053" s="564">
        <f t="shared" si="879"/>
        <v>0.42717553350562631</v>
      </c>
      <c r="P1053" s="564">
        <f t="shared" si="879"/>
        <v>0.44853431018090767</v>
      </c>
      <c r="Q1053" s="564">
        <f t="shared" si="879"/>
        <v>0.47096102568995302</v>
      </c>
      <c r="R1053" s="564">
        <f t="shared" si="879"/>
        <v>0.49450907697445079</v>
      </c>
      <c r="S1053" s="564">
        <f t="shared" si="879"/>
        <v>0.51923453082317328</v>
      </c>
      <c r="T1053" s="564">
        <f t="shared" si="879"/>
        <v>0.54519625736433197</v>
      </c>
      <c r="U1053" s="564">
        <f t="shared" si="879"/>
        <v>0.57245607023254841</v>
      </c>
      <c r="V1053" s="564">
        <f t="shared" si="879"/>
        <v>0.60107887374417601</v>
      </c>
      <c r="W1053" s="564">
        <f t="shared" si="879"/>
        <v>0.63113281743138472</v>
      </c>
      <c r="X1053" s="564">
        <f t="shared" si="879"/>
        <v>0.662689458302954</v>
      </c>
      <c r="Y1053" s="564">
        <f t="shared" si="879"/>
        <v>0.69582393121810171</v>
      </c>
      <c r="Z1053" s="564">
        <f t="shared" si="879"/>
        <v>0.73061512777900695</v>
      </c>
      <c r="AA1053" s="564"/>
      <c r="AB1053" s="564"/>
      <c r="AC1053" s="564"/>
      <c r="AD1053" s="564"/>
      <c r="AE1053" s="564"/>
      <c r="AF1053" s="564"/>
      <c r="AG1053" s="564"/>
      <c r="AH1053" s="564"/>
      <c r="AI1053" s="564"/>
      <c r="AJ1053" s="564"/>
      <c r="AL1053" s="15"/>
      <c r="AM1053" s="15"/>
    </row>
    <row r="1054" spans="1:39" x14ac:dyDescent="0.25">
      <c r="A1054" t="s">
        <v>859</v>
      </c>
      <c r="C1054" t="s">
        <v>367</v>
      </c>
      <c r="H1054" s="558" t="s">
        <v>432</v>
      </c>
      <c r="I1054" s="559" t="str">
        <f t="shared" si="874"/>
        <v>tr. VND/tấn</v>
      </c>
      <c r="K1054" s="564"/>
      <c r="L1054" s="564">
        <f t="shared" ref="L1054:AJ1054" si="880">-IF($H$9="VND",L1022/L1005/$H$10/10^3,L1022/L1005/$H$10*10^3)</f>
        <v>2.9132189629639549</v>
      </c>
      <c r="M1054" s="564">
        <f t="shared" si="880"/>
        <v>2.0808706878313963</v>
      </c>
      <c r="N1054" s="564">
        <f t="shared" si="880"/>
        <v>1.5294399555560763</v>
      </c>
      <c r="O1054" s="564">
        <f t="shared" si="880"/>
        <v>1.6059119533338804</v>
      </c>
      <c r="P1054" s="564">
        <f t="shared" si="880"/>
        <v>1.6862075510005743</v>
      </c>
      <c r="Q1054" s="564">
        <f t="shared" si="880"/>
        <v>1.7705179285506027</v>
      </c>
      <c r="R1054" s="564">
        <f t="shared" si="880"/>
        <v>1.8590438249781329</v>
      </c>
      <c r="S1054" s="564">
        <f t="shared" si="880"/>
        <v>1.9519960162270396</v>
      </c>
      <c r="T1054" s="564">
        <f t="shared" si="880"/>
        <v>2.0495958170383921</v>
      </c>
      <c r="U1054" s="564">
        <f t="shared" si="880"/>
        <v>2.1520756078903109</v>
      </c>
      <c r="V1054" s="564">
        <f t="shared" si="880"/>
        <v>2.2596793882848267</v>
      </c>
      <c r="W1054" s="564">
        <f t="shared" si="880"/>
        <v>2.3726633576990679</v>
      </c>
      <c r="X1054" s="564">
        <f t="shared" si="880"/>
        <v>2.4912965255840218</v>
      </c>
      <c r="Y1054" s="564">
        <f t="shared" si="880"/>
        <v>2.6158613518632223</v>
      </c>
      <c r="Z1054" s="564">
        <f t="shared" si="880"/>
        <v>2.7466544194563838</v>
      </c>
      <c r="AA1054" s="564"/>
      <c r="AB1054" s="564"/>
      <c r="AC1054" s="564"/>
      <c r="AD1054" s="564"/>
      <c r="AE1054" s="564"/>
      <c r="AF1054" s="564"/>
      <c r="AG1054" s="564"/>
      <c r="AH1054" s="564"/>
      <c r="AI1054" s="564"/>
      <c r="AJ1054" s="564"/>
      <c r="AL1054" s="15"/>
      <c r="AM1054" s="15"/>
    </row>
    <row r="1055" spans="1:39" x14ac:dyDescent="0.25">
      <c r="A1055" t="s">
        <v>859</v>
      </c>
      <c r="C1055" t="s">
        <v>367</v>
      </c>
      <c r="H1055" s="558" t="s">
        <v>433</v>
      </c>
      <c r="I1055" s="559" t="str">
        <f t="shared" si="874"/>
        <v>tr. VND/tấn</v>
      </c>
      <c r="K1055" s="564"/>
      <c r="L1055" s="564">
        <f t="shared" ref="L1055:AJ1055" si="881">-IF($H$9="VND",L1023/L1005/$H$10/10^3,L1023/L1005/$H$10*10^3)</f>
        <v>0.17823196862819785</v>
      </c>
      <c r="M1055" s="564">
        <f t="shared" si="881"/>
        <v>0.12730854902014133</v>
      </c>
      <c r="N1055" s="564">
        <f t="shared" si="881"/>
        <v>9.3571783529803873E-2</v>
      </c>
      <c r="O1055" s="564">
        <f t="shared" si="881"/>
        <v>9.8250372706294054E-2</v>
      </c>
      <c r="P1055" s="564">
        <f t="shared" si="881"/>
        <v>0.10316289134160876</v>
      </c>
      <c r="Q1055" s="564">
        <f t="shared" si="881"/>
        <v>0.1083210359086892</v>
      </c>
      <c r="R1055" s="564">
        <f t="shared" si="881"/>
        <v>0.11373708770412366</v>
      </c>
      <c r="S1055" s="564">
        <f t="shared" si="881"/>
        <v>0.11942394208932984</v>
      </c>
      <c r="T1055" s="564">
        <f t="shared" si="881"/>
        <v>0.12539513919379636</v>
      </c>
      <c r="U1055" s="564">
        <f t="shared" si="881"/>
        <v>0.13166489615348614</v>
      </c>
      <c r="V1055" s="564">
        <f t="shared" si="881"/>
        <v>0.13824814096116045</v>
      </c>
      <c r="W1055" s="564">
        <f t="shared" si="881"/>
        <v>0.14516054800921852</v>
      </c>
      <c r="X1055" s="564">
        <f t="shared" si="881"/>
        <v>0.15241857540967946</v>
      </c>
      <c r="Y1055" s="564">
        <f t="shared" si="881"/>
        <v>0.16003950418016336</v>
      </c>
      <c r="Z1055" s="564">
        <f t="shared" si="881"/>
        <v>0.16804147938917158</v>
      </c>
      <c r="AA1055" s="564"/>
      <c r="AB1055" s="564"/>
      <c r="AC1055" s="564"/>
      <c r="AD1055" s="564"/>
      <c r="AE1055" s="564"/>
      <c r="AF1055" s="564"/>
      <c r="AG1055" s="564"/>
      <c r="AH1055" s="564"/>
      <c r="AI1055" s="564"/>
      <c r="AJ1055" s="564"/>
      <c r="AL1055" s="15"/>
      <c r="AM1055" s="15"/>
    </row>
    <row r="1056" spans="1:39" x14ac:dyDescent="0.25">
      <c r="A1056" t="s">
        <v>859</v>
      </c>
      <c r="C1056" t="s">
        <v>367</v>
      </c>
      <c r="H1056" s="558" t="s">
        <v>520</v>
      </c>
      <c r="I1056" s="559" t="str">
        <f t="shared" si="874"/>
        <v>tr. VND/tấn</v>
      </c>
      <c r="K1056" s="564"/>
      <c r="L1056" s="564">
        <f t="shared" ref="L1056:AJ1056" si="882">-IF($H$9="VND",L1024/L1005/$H$10/10^3,L1024/L1005/$H$10*10^3)</f>
        <v>0.19421459753093032</v>
      </c>
      <c r="M1056" s="564">
        <f t="shared" si="882"/>
        <v>0.13872471252209312</v>
      </c>
      <c r="N1056" s="564">
        <f t="shared" si="882"/>
        <v>9.7107298765465158E-2</v>
      </c>
      <c r="O1056" s="564">
        <f t="shared" si="882"/>
        <v>9.7107298765465158E-2</v>
      </c>
      <c r="P1056" s="564">
        <f t="shared" si="882"/>
        <v>9.7107298765465158E-2</v>
      </c>
      <c r="Q1056" s="564">
        <f t="shared" si="882"/>
        <v>9.7107298765465158E-2</v>
      </c>
      <c r="R1056" s="564">
        <f t="shared" si="882"/>
        <v>9.7107298765465158E-2</v>
      </c>
      <c r="S1056" s="564">
        <f t="shared" si="882"/>
        <v>9.7107298765465158E-2</v>
      </c>
      <c r="T1056" s="564">
        <f t="shared" si="882"/>
        <v>9.7107298765465158E-2</v>
      </c>
      <c r="U1056" s="564">
        <f t="shared" si="882"/>
        <v>9.7107298765465158E-2</v>
      </c>
      <c r="V1056" s="564">
        <f t="shared" si="882"/>
        <v>9.7107298765465158E-2</v>
      </c>
      <c r="W1056" s="564">
        <f t="shared" si="882"/>
        <v>9.7107298765465158E-2</v>
      </c>
      <c r="X1056" s="564">
        <f t="shared" si="882"/>
        <v>9.7107298765465158E-2</v>
      </c>
      <c r="Y1056" s="564">
        <f t="shared" si="882"/>
        <v>9.7107298765465158E-2</v>
      </c>
      <c r="Z1056" s="564">
        <f t="shared" si="882"/>
        <v>9.7107298765465158E-2</v>
      </c>
      <c r="AA1056" s="564"/>
      <c r="AB1056" s="564"/>
      <c r="AC1056" s="564"/>
      <c r="AD1056" s="564"/>
      <c r="AE1056" s="564"/>
      <c r="AF1056" s="564"/>
      <c r="AG1056" s="564"/>
      <c r="AH1056" s="564"/>
      <c r="AI1056" s="564"/>
      <c r="AJ1056" s="564"/>
      <c r="AL1056" s="15"/>
      <c r="AM1056" s="15"/>
    </row>
    <row r="1057" spans="1:39" x14ac:dyDescent="0.25">
      <c r="A1057" t="s">
        <v>859</v>
      </c>
      <c r="H1057" s="247"/>
      <c r="I1057" s="275"/>
      <c r="K1057" s="279"/>
      <c r="L1057" s="279"/>
      <c r="M1057" s="279"/>
      <c r="N1057" s="279"/>
      <c r="O1057" s="279"/>
      <c r="P1057" s="279"/>
      <c r="Q1057" s="279"/>
      <c r="R1057" s="279"/>
      <c r="S1057" s="279"/>
      <c r="T1057" s="279"/>
      <c r="U1057" s="279"/>
      <c r="V1057" s="279"/>
      <c r="W1057" s="279"/>
      <c r="X1057" s="279"/>
      <c r="Y1057" s="279"/>
      <c r="Z1057" s="279"/>
      <c r="AA1057" s="279"/>
      <c r="AB1057" s="279"/>
      <c r="AC1057" s="279"/>
      <c r="AD1057" s="279"/>
      <c r="AE1057" s="279"/>
      <c r="AF1057" s="279"/>
      <c r="AG1057" s="279"/>
      <c r="AH1057" s="279"/>
      <c r="AI1057" s="279"/>
      <c r="AJ1057" s="279"/>
      <c r="AL1057" s="15"/>
      <c r="AM1057" s="15"/>
    </row>
    <row r="1058" spans="1:39" s="1" customFormat="1" x14ac:dyDescent="0.25">
      <c r="A1058" s="1" t="s">
        <v>859</v>
      </c>
      <c r="H1058" s="273" t="s">
        <v>435</v>
      </c>
      <c r="I1058" s="274" t="str">
        <f t="shared" si="874"/>
        <v>tr. VND/tấn</v>
      </c>
      <c r="K1058" s="280">
        <f>K1059+K1062+K1065</f>
        <v>0</v>
      </c>
      <c r="L1058" s="280">
        <f t="shared" ref="L1058:AJ1058" si="883">L1059+L1062+L1065</f>
        <v>29.864853886822708</v>
      </c>
      <c r="M1058" s="280">
        <f t="shared" si="883"/>
        <v>29.703781129263195</v>
      </c>
      <c r="N1058" s="280">
        <f t="shared" si="883"/>
        <v>30.248677609330997</v>
      </c>
      <c r="O1058" s="280">
        <f t="shared" si="883"/>
        <v>30.931560484173868</v>
      </c>
      <c r="P1058" s="280">
        <f t="shared" si="883"/>
        <v>31.632162212436292</v>
      </c>
      <c r="Q1058" s="280">
        <f t="shared" si="883"/>
        <v>32.351040230982811</v>
      </c>
      <c r="R1058" s="280">
        <f t="shared" si="883"/>
        <v>33.088773278405036</v>
      </c>
      <c r="S1058" s="280">
        <f t="shared" si="883"/>
        <v>33.845962328705731</v>
      </c>
      <c r="T1058" s="280">
        <f t="shared" si="883"/>
        <v>34.623231569038957</v>
      </c>
      <c r="U1058" s="280">
        <f t="shared" si="883"/>
        <v>35.421229423656705</v>
      </c>
      <c r="V1058" s="280">
        <f t="shared" si="883"/>
        <v>36.240629626318551</v>
      </c>
      <c r="W1058" s="280">
        <f t="shared" si="883"/>
        <v>37.082132343532962</v>
      </c>
      <c r="X1058" s="280">
        <f t="shared" si="883"/>
        <v>37.784619853173496</v>
      </c>
      <c r="Y1058" s="280">
        <f t="shared" si="883"/>
        <v>38.672539768733671</v>
      </c>
      <c r="Z1058" s="280">
        <f t="shared" si="883"/>
        <v>39.584833342821817</v>
      </c>
      <c r="AA1058" s="280"/>
      <c r="AB1058" s="280"/>
      <c r="AC1058" s="280"/>
      <c r="AD1058" s="280"/>
      <c r="AE1058" s="280"/>
      <c r="AF1058" s="280"/>
      <c r="AG1058" s="280"/>
      <c r="AH1058" s="280"/>
      <c r="AI1058" s="280"/>
      <c r="AJ1058" s="280"/>
      <c r="AL1058" s="39"/>
      <c r="AM1058" s="39"/>
    </row>
    <row r="1059" spans="1:39" x14ac:dyDescent="0.25">
      <c r="A1059" t="s">
        <v>859</v>
      </c>
      <c r="H1059" s="556" t="s">
        <v>454</v>
      </c>
      <c r="I1059" s="557" t="str">
        <f t="shared" si="874"/>
        <v>tr. VND/tấn</v>
      </c>
      <c r="K1059" s="566">
        <f>SUM(K1060:K1061)</f>
        <v>0</v>
      </c>
      <c r="L1059" s="566">
        <f t="shared" ref="L1059:AJ1059" si="884">SUM(L1060:L1061)</f>
        <v>26.838709677419356</v>
      </c>
      <c r="M1059" s="566">
        <f t="shared" si="884"/>
        <v>26.838709677419359</v>
      </c>
      <c r="N1059" s="566">
        <f t="shared" si="884"/>
        <v>27.375483870967745</v>
      </c>
      <c r="O1059" s="566">
        <f t="shared" si="884"/>
        <v>27.922993548387105</v>
      </c>
      <c r="P1059" s="566">
        <f t="shared" si="884"/>
        <v>28.481453419354843</v>
      </c>
      <c r="Q1059" s="566">
        <f t="shared" si="884"/>
        <v>29.05108248774194</v>
      </c>
      <c r="R1059" s="566">
        <f t="shared" si="884"/>
        <v>29.632104137496778</v>
      </c>
      <c r="S1059" s="566">
        <f t="shared" si="884"/>
        <v>30.224746220246715</v>
      </c>
      <c r="T1059" s="566">
        <f t="shared" si="884"/>
        <v>30.829241144651643</v>
      </c>
      <c r="U1059" s="566">
        <f t="shared" si="884"/>
        <v>31.445825967544675</v>
      </c>
      <c r="V1059" s="566">
        <f t="shared" si="884"/>
        <v>32.074742486895573</v>
      </c>
      <c r="W1059" s="566">
        <f t="shared" si="884"/>
        <v>32.71623733663349</v>
      </c>
      <c r="X1059" s="566">
        <f t="shared" si="884"/>
        <v>33.370562083366146</v>
      </c>
      <c r="Y1059" s="566">
        <f t="shared" si="884"/>
        <v>34.037973325033477</v>
      </c>
      <c r="Z1059" s="566">
        <f t="shared" si="884"/>
        <v>34.718732791534151</v>
      </c>
      <c r="AA1059" s="566"/>
      <c r="AB1059" s="566"/>
      <c r="AC1059" s="566"/>
      <c r="AD1059" s="566"/>
      <c r="AE1059" s="566"/>
      <c r="AF1059" s="566"/>
      <c r="AG1059" s="566"/>
      <c r="AH1059" s="566"/>
      <c r="AI1059" s="566"/>
      <c r="AJ1059" s="566"/>
      <c r="AL1059" s="15"/>
      <c r="AM1059" s="15"/>
    </row>
    <row r="1060" spans="1:39" s="299" customFormat="1" x14ac:dyDescent="0.25">
      <c r="A1060" s="299" t="s">
        <v>859</v>
      </c>
      <c r="C1060" s="299" t="s">
        <v>504</v>
      </c>
      <c r="E1060" s="331"/>
      <c r="F1060" s="331"/>
      <c r="H1060" s="560" t="s">
        <v>167</v>
      </c>
      <c r="I1060" s="561" t="str">
        <f t="shared" si="874"/>
        <v>tr. VND/tấn</v>
      </c>
      <c r="K1060" s="565"/>
      <c r="L1060" s="565">
        <f t="shared" ref="L1060" si="885">-IF($H$9="VND",L1028/L1005/$H$10/10^3,L1028/L1005/$H$10*10^3)</f>
        <v>24.96</v>
      </c>
      <c r="M1060" s="565">
        <f>-IF($H$9="VND",M1028/M1005/$H$10/10^3,M1028/M1005/$H$10*10^3)</f>
        <v>24.96</v>
      </c>
      <c r="N1060" s="565">
        <f t="shared" ref="N1060:AJ1060" si="886">-IF($H$9="VND",N1028/N1005/$H$10/10^3,N1028/N1005/$H$10*10^3)</f>
        <v>25.459199999999999</v>
      </c>
      <c r="O1060" s="565">
        <f t="shared" si="886"/>
        <v>25.968384000000004</v>
      </c>
      <c r="P1060" s="565">
        <f t="shared" si="886"/>
        <v>26.487751680000002</v>
      </c>
      <c r="Q1060" s="565">
        <f t="shared" si="886"/>
        <v>27.017506713600003</v>
      </c>
      <c r="R1060" s="565">
        <f t="shared" si="886"/>
        <v>27.557856847872003</v>
      </c>
      <c r="S1060" s="565">
        <f t="shared" si="886"/>
        <v>28.109013984829442</v>
      </c>
      <c r="T1060" s="565">
        <f t="shared" si="886"/>
        <v>28.671194264526026</v>
      </c>
      <c r="U1060" s="565">
        <f t="shared" si="886"/>
        <v>29.244618149816546</v>
      </c>
      <c r="V1060" s="565">
        <f t="shared" si="886"/>
        <v>29.829510512812881</v>
      </c>
      <c r="W1060" s="565">
        <f t="shared" si="886"/>
        <v>30.426100723069144</v>
      </c>
      <c r="X1060" s="565">
        <f t="shared" si="886"/>
        <v>31.034622737530515</v>
      </c>
      <c r="Y1060" s="565">
        <f t="shared" si="886"/>
        <v>31.655315192281126</v>
      </c>
      <c r="Z1060" s="565">
        <f t="shared" si="886"/>
        <v>32.288421496126759</v>
      </c>
      <c r="AA1060" s="565"/>
      <c r="AB1060" s="565"/>
      <c r="AC1060" s="565"/>
      <c r="AD1060" s="565"/>
      <c r="AE1060" s="565"/>
      <c r="AF1060" s="565"/>
      <c r="AG1060" s="565"/>
      <c r="AH1060" s="565"/>
      <c r="AI1060" s="565"/>
      <c r="AJ1060" s="565"/>
      <c r="AL1060" s="876"/>
      <c r="AM1060" s="876"/>
    </row>
    <row r="1061" spans="1:39" s="299" customFormat="1" x14ac:dyDescent="0.25">
      <c r="A1061" s="299" t="s">
        <v>859</v>
      </c>
      <c r="C1061" s="299" t="s">
        <v>387</v>
      </c>
      <c r="E1061" s="331"/>
      <c r="F1061" s="331"/>
      <c r="H1061" s="640" t="s">
        <v>203</v>
      </c>
      <c r="I1061" s="641" t="str">
        <f t="shared" si="874"/>
        <v>tr. VND/tấn</v>
      </c>
      <c r="K1061" s="642"/>
      <c r="L1061" s="642">
        <f t="shared" ref="L1061:AJ1061" si="887">-IF($H$9="VND",L1029/L1005/$H$10/10^3,L1029/L1005/$H$10*10^3)</f>
        <v>1.8787096774193559</v>
      </c>
      <c r="M1061" s="642">
        <f t="shared" si="887"/>
        <v>1.8787096774193583</v>
      </c>
      <c r="N1061" s="642">
        <f t="shared" si="887"/>
        <v>1.9162838709677454</v>
      </c>
      <c r="O1061" s="642">
        <f t="shared" si="887"/>
        <v>1.9546095483871007</v>
      </c>
      <c r="P1061" s="642">
        <f t="shared" si="887"/>
        <v>1.9937017393548417</v>
      </c>
      <c r="Q1061" s="642">
        <f t="shared" si="887"/>
        <v>2.0335757741419362</v>
      </c>
      <c r="R1061" s="642">
        <f t="shared" si="887"/>
        <v>2.0742472896247759</v>
      </c>
      <c r="S1061" s="642">
        <f t="shared" si="887"/>
        <v>2.1157322354172718</v>
      </c>
      <c r="T1061" s="642">
        <f t="shared" si="887"/>
        <v>2.1580468801256183</v>
      </c>
      <c r="U1061" s="642">
        <f t="shared" si="887"/>
        <v>2.2012078177281285</v>
      </c>
      <c r="V1061" s="642">
        <f t="shared" si="887"/>
        <v>2.2452319740826931</v>
      </c>
      <c r="W1061" s="642">
        <f t="shared" si="887"/>
        <v>2.2901366135643446</v>
      </c>
      <c r="X1061" s="642">
        <f t="shared" si="887"/>
        <v>2.3359393458356301</v>
      </c>
      <c r="Y1061" s="642">
        <f t="shared" si="887"/>
        <v>2.3826581327523475</v>
      </c>
      <c r="Z1061" s="642">
        <f t="shared" si="887"/>
        <v>2.430311295407392</v>
      </c>
      <c r="AA1061" s="642"/>
      <c r="AB1061" s="642"/>
      <c r="AC1061" s="642"/>
      <c r="AD1061" s="642"/>
      <c r="AE1061" s="642"/>
      <c r="AF1061" s="642"/>
      <c r="AG1061" s="642"/>
      <c r="AH1061" s="642"/>
      <c r="AI1061" s="642"/>
      <c r="AJ1061" s="642"/>
      <c r="AL1061" s="876"/>
      <c r="AM1061" s="876"/>
    </row>
    <row r="1062" spans="1:39" x14ac:dyDescent="0.25">
      <c r="A1062" t="s">
        <v>859</v>
      </c>
      <c r="H1062" s="558" t="s">
        <v>676</v>
      </c>
      <c r="I1062" s="559" t="str">
        <f t="shared" si="874"/>
        <v>tr. VND/tấn</v>
      </c>
      <c r="K1062" s="567">
        <f>SUM(K1063:K1064)</f>
        <v>0</v>
      </c>
      <c r="L1062" s="567">
        <f t="shared" ref="L1062:AJ1062" si="888">SUM(L1063:L1064)</f>
        <v>0.20420258064516131</v>
      </c>
      <c r="M1062" s="567">
        <f t="shared" si="888"/>
        <v>0.20420258064516134</v>
      </c>
      <c r="N1062" s="567">
        <f t="shared" si="888"/>
        <v>0.21441270967741941</v>
      </c>
      <c r="O1062" s="567">
        <f t="shared" si="888"/>
        <v>0.22513334516129035</v>
      </c>
      <c r="P1062" s="567">
        <f t="shared" si="888"/>
        <v>0.23639001241935489</v>
      </c>
      <c r="Q1062" s="567">
        <f t="shared" si="888"/>
        <v>0.24820951304032263</v>
      </c>
      <c r="R1062" s="567">
        <f t="shared" si="888"/>
        <v>0.26061998869233877</v>
      </c>
      <c r="S1062" s="567">
        <f t="shared" si="888"/>
        <v>0.27365098812695565</v>
      </c>
      <c r="T1062" s="567">
        <f t="shared" si="888"/>
        <v>0.28733353753330354</v>
      </c>
      <c r="U1062" s="567">
        <f t="shared" si="888"/>
        <v>0.30170021440996864</v>
      </c>
      <c r="V1062" s="567">
        <f t="shared" si="888"/>
        <v>0.31678522513046709</v>
      </c>
      <c r="W1062" s="567">
        <f t="shared" si="888"/>
        <v>0.33262448638699044</v>
      </c>
      <c r="X1062" s="567">
        <f t="shared" si="888"/>
        <v>0.34925571070633998</v>
      </c>
      <c r="Y1062" s="567">
        <f t="shared" si="888"/>
        <v>0.36671849624165698</v>
      </c>
      <c r="Z1062" s="567">
        <f t="shared" si="888"/>
        <v>0.38505442105373988</v>
      </c>
      <c r="AA1062" s="567"/>
      <c r="AB1062" s="567"/>
      <c r="AC1062" s="567"/>
      <c r="AD1062" s="567"/>
      <c r="AE1062" s="567"/>
      <c r="AF1062" s="567"/>
      <c r="AG1062" s="567"/>
      <c r="AH1062" s="567"/>
      <c r="AI1062" s="567"/>
      <c r="AJ1062" s="567"/>
      <c r="AL1062" s="15"/>
      <c r="AM1062" s="15"/>
    </row>
    <row r="1063" spans="1:39" s="299" customFormat="1" x14ac:dyDescent="0.25">
      <c r="A1063" s="299" t="s">
        <v>859</v>
      </c>
      <c r="C1063" s="299" t="s">
        <v>367</v>
      </c>
      <c r="E1063" s="331"/>
      <c r="F1063" s="331"/>
      <c r="H1063" s="560" t="s">
        <v>673</v>
      </c>
      <c r="I1063" s="561" t="str">
        <f t="shared" si="874"/>
        <v>tr. VND/tấn</v>
      </c>
      <c r="K1063" s="565"/>
      <c r="L1063" s="565">
        <f>-IF($H$9="VND",L1031/L1005/$H$10/10^3,L1031/L1005/$H$10*10^3)</f>
        <v>0.20420258064516131</v>
      </c>
      <c r="M1063" s="565">
        <f t="shared" ref="M1063:AJ1063" si="889">-IF($H$9="VND",M1031/M1005/$H$10/10^3,M1031/M1005/$H$10*10^3)</f>
        <v>0.20420258064516134</v>
      </c>
      <c r="N1063" s="565">
        <f t="shared" si="889"/>
        <v>0.21441270967741941</v>
      </c>
      <c r="O1063" s="565">
        <f t="shared" si="889"/>
        <v>0.22513334516129035</v>
      </c>
      <c r="P1063" s="565">
        <f t="shared" si="889"/>
        <v>0.23639001241935489</v>
      </c>
      <c r="Q1063" s="565">
        <f t="shared" si="889"/>
        <v>0.24820951304032263</v>
      </c>
      <c r="R1063" s="565">
        <f t="shared" si="889"/>
        <v>0.26061998869233877</v>
      </c>
      <c r="S1063" s="565">
        <f t="shared" si="889"/>
        <v>0.27365098812695565</v>
      </c>
      <c r="T1063" s="565">
        <f t="shared" si="889"/>
        <v>0.28733353753330354</v>
      </c>
      <c r="U1063" s="565">
        <f t="shared" si="889"/>
        <v>0.30170021440996864</v>
      </c>
      <c r="V1063" s="565">
        <f t="shared" si="889"/>
        <v>0.31678522513046709</v>
      </c>
      <c r="W1063" s="565">
        <f t="shared" si="889"/>
        <v>0.33262448638699044</v>
      </c>
      <c r="X1063" s="565">
        <f t="shared" si="889"/>
        <v>0.34925571070633998</v>
      </c>
      <c r="Y1063" s="565">
        <f t="shared" si="889"/>
        <v>0.36671849624165698</v>
      </c>
      <c r="Z1063" s="565">
        <f t="shared" si="889"/>
        <v>0.38505442105373988</v>
      </c>
      <c r="AA1063" s="565"/>
      <c r="AB1063" s="565"/>
      <c r="AC1063" s="565"/>
      <c r="AD1063" s="565"/>
      <c r="AE1063" s="565"/>
      <c r="AF1063" s="565"/>
      <c r="AG1063" s="565"/>
      <c r="AH1063" s="565"/>
      <c r="AI1063" s="565"/>
      <c r="AJ1063" s="565"/>
      <c r="AL1063" s="876"/>
      <c r="AM1063" s="876"/>
    </row>
    <row r="1064" spans="1:39" s="299" customFormat="1" x14ac:dyDescent="0.25">
      <c r="A1064" s="299" t="s">
        <v>859</v>
      </c>
      <c r="C1064" s="299" t="s">
        <v>367</v>
      </c>
      <c r="E1064" s="331"/>
      <c r="F1064" s="331"/>
      <c r="H1064" s="560" t="s">
        <v>674</v>
      </c>
      <c r="I1064" s="561" t="str">
        <f t="shared" si="874"/>
        <v>tr. VND/tấn</v>
      </c>
      <c r="K1064" s="565"/>
      <c r="L1064" s="565">
        <f>-IF($H$9="VND",L1032/L1005/$H$10/10^3,L1032/L1005/$H$10*10^3)</f>
        <v>0</v>
      </c>
      <c r="M1064" s="565">
        <f t="shared" ref="M1064:AJ1064" si="890">-IF($H$9="VND",M1032/M1005/$H$10/10^3,M1032/M1005/$H$10*10^3)</f>
        <v>0</v>
      </c>
      <c r="N1064" s="565">
        <f t="shared" si="890"/>
        <v>0</v>
      </c>
      <c r="O1064" s="565">
        <f t="shared" si="890"/>
        <v>0</v>
      </c>
      <c r="P1064" s="565">
        <f t="shared" si="890"/>
        <v>0</v>
      </c>
      <c r="Q1064" s="565">
        <f t="shared" si="890"/>
        <v>0</v>
      </c>
      <c r="R1064" s="565">
        <f t="shared" si="890"/>
        <v>0</v>
      </c>
      <c r="S1064" s="565">
        <f t="shared" si="890"/>
        <v>0</v>
      </c>
      <c r="T1064" s="565">
        <f t="shared" si="890"/>
        <v>0</v>
      </c>
      <c r="U1064" s="565">
        <f t="shared" si="890"/>
        <v>0</v>
      </c>
      <c r="V1064" s="565">
        <f t="shared" si="890"/>
        <v>0</v>
      </c>
      <c r="W1064" s="565">
        <f t="shared" si="890"/>
        <v>0</v>
      </c>
      <c r="X1064" s="565">
        <f t="shared" si="890"/>
        <v>0</v>
      </c>
      <c r="Y1064" s="565">
        <f t="shared" si="890"/>
        <v>0</v>
      </c>
      <c r="Z1064" s="565">
        <f t="shared" si="890"/>
        <v>0</v>
      </c>
      <c r="AA1064" s="565"/>
      <c r="AB1064" s="565"/>
      <c r="AC1064" s="565"/>
      <c r="AD1064" s="565"/>
      <c r="AE1064" s="565"/>
      <c r="AF1064" s="565"/>
      <c r="AG1064" s="565"/>
      <c r="AH1064" s="565"/>
      <c r="AI1064" s="565"/>
      <c r="AJ1064" s="565"/>
      <c r="AL1064" s="876"/>
      <c r="AM1064" s="876"/>
    </row>
    <row r="1065" spans="1:39" x14ac:dyDescent="0.25">
      <c r="A1065" t="s">
        <v>859</v>
      </c>
      <c r="H1065" s="558" t="s">
        <v>180</v>
      </c>
      <c r="I1065" s="559" t="str">
        <f t="shared" si="874"/>
        <v>tr. VND/tấn</v>
      </c>
      <c r="K1065" s="567">
        <f>SUM(K1066:K1068)</f>
        <v>0</v>
      </c>
      <c r="L1065" s="567">
        <f>SUM(L1066:L1068)</f>
        <v>2.8219416287581907</v>
      </c>
      <c r="M1065" s="567">
        <f t="shared" ref="M1065:AJ1065" si="891">SUM(M1066:M1068)</f>
        <v>2.660868871198673</v>
      </c>
      <c r="N1065" s="567">
        <f t="shared" si="891"/>
        <v>2.6587810286858344</v>
      </c>
      <c r="O1065" s="567">
        <f t="shared" si="891"/>
        <v>2.7834335906254735</v>
      </c>
      <c r="P1065" s="567">
        <f t="shared" si="891"/>
        <v>2.9143187806620943</v>
      </c>
      <c r="Q1065" s="567">
        <f t="shared" si="891"/>
        <v>3.0517482302005461</v>
      </c>
      <c r="R1065" s="567">
        <f t="shared" si="891"/>
        <v>3.1960491522159202</v>
      </c>
      <c r="S1065" s="567">
        <f t="shared" si="891"/>
        <v>3.3475651203320633</v>
      </c>
      <c r="T1065" s="567">
        <f t="shared" si="891"/>
        <v>3.5066568868540129</v>
      </c>
      <c r="U1065" s="567">
        <f t="shared" si="891"/>
        <v>3.6737032417020608</v>
      </c>
      <c r="V1065" s="567">
        <f t="shared" si="891"/>
        <v>3.8491019142925103</v>
      </c>
      <c r="W1065" s="567">
        <f t="shared" si="891"/>
        <v>4.0332705205124837</v>
      </c>
      <c r="X1065" s="567">
        <f t="shared" si="891"/>
        <v>4.0648020591010132</v>
      </c>
      <c r="Y1065" s="567">
        <f t="shared" si="891"/>
        <v>4.2678479474585318</v>
      </c>
      <c r="Z1065" s="567">
        <f t="shared" si="891"/>
        <v>4.4810461302339286</v>
      </c>
      <c r="AA1065" s="567"/>
      <c r="AB1065" s="567"/>
      <c r="AC1065" s="567"/>
      <c r="AD1065" s="567"/>
      <c r="AE1065" s="567"/>
      <c r="AF1065" s="567"/>
      <c r="AG1065" s="567"/>
      <c r="AH1065" s="567"/>
      <c r="AI1065" s="567"/>
      <c r="AJ1065" s="567"/>
      <c r="AL1065" s="15"/>
      <c r="AM1065" s="15"/>
    </row>
    <row r="1066" spans="1:39" s="299" customFormat="1" x14ac:dyDescent="0.25">
      <c r="A1066" s="299" t="s">
        <v>859</v>
      </c>
      <c r="C1066" s="299" t="s">
        <v>367</v>
      </c>
      <c r="H1066" s="560" t="s">
        <v>73</v>
      </c>
      <c r="I1066" s="561" t="str">
        <f t="shared" si="874"/>
        <v>tr. VND/tấn</v>
      </c>
      <c r="K1066" s="565"/>
      <c r="L1066" s="565">
        <f t="shared" ref="L1066:AJ1066" si="892">-IF($H$9="VND",L1034/L1005/$H$10/10^3,L1034/L1005/$H$10*10^3)</f>
        <v>1.8565188172043012</v>
      </c>
      <c r="M1066" s="565">
        <f t="shared" si="892"/>
        <v>1.8565188172043008</v>
      </c>
      <c r="N1066" s="565">
        <f t="shared" si="892"/>
        <v>1.949344758064516</v>
      </c>
      <c r="O1066" s="565">
        <f t="shared" si="892"/>
        <v>2.046811995967742</v>
      </c>
      <c r="P1066" s="565">
        <f t="shared" si="892"/>
        <v>2.1491525957661293</v>
      </c>
      <c r="Q1066" s="565">
        <f t="shared" si="892"/>
        <v>2.2566102255544358</v>
      </c>
      <c r="R1066" s="565">
        <f t="shared" si="892"/>
        <v>2.3694407368321579</v>
      </c>
      <c r="S1066" s="565">
        <f t="shared" si="892"/>
        <v>2.4879127736737656</v>
      </c>
      <c r="T1066" s="565">
        <f t="shared" si="892"/>
        <v>2.6123084123574536</v>
      </c>
      <c r="U1066" s="565">
        <f t="shared" si="892"/>
        <v>2.7429238329753267</v>
      </c>
      <c r="V1066" s="565">
        <f t="shared" si="892"/>
        <v>2.8800700246240925</v>
      </c>
      <c r="W1066" s="565">
        <f t="shared" si="892"/>
        <v>3.0240735258552975</v>
      </c>
      <c r="X1066" s="565">
        <f t="shared" si="892"/>
        <v>3.1752772021480626</v>
      </c>
      <c r="Y1066" s="565">
        <f t="shared" si="892"/>
        <v>3.3340410622554648</v>
      </c>
      <c r="Z1066" s="565">
        <f t="shared" si="892"/>
        <v>3.5007431153682393</v>
      </c>
      <c r="AA1066" s="565"/>
      <c r="AB1066" s="565"/>
      <c r="AC1066" s="565"/>
      <c r="AD1066" s="565"/>
      <c r="AE1066" s="565"/>
      <c r="AF1066" s="565"/>
      <c r="AG1066" s="565"/>
      <c r="AH1066" s="565"/>
      <c r="AI1066" s="565"/>
      <c r="AJ1066" s="565"/>
      <c r="AL1066" s="876"/>
      <c r="AM1066" s="876"/>
    </row>
    <row r="1067" spans="1:39" s="299" customFormat="1" x14ac:dyDescent="0.25">
      <c r="A1067" s="299" t="s">
        <v>859</v>
      </c>
      <c r="C1067" s="299" t="s">
        <v>370</v>
      </c>
      <c r="H1067" s="560" t="s">
        <v>192</v>
      </c>
      <c r="I1067" s="561" t="str">
        <f t="shared" si="874"/>
        <v>tr. VND/tấn</v>
      </c>
      <c r="K1067" s="565"/>
      <c r="L1067" s="565">
        <f t="shared" ref="L1067:AJ1067" si="893">-IF($H$9="VND",L1035/L1005/$H$10/10^3,L1035/L1005/$H$10*10^3)</f>
        <v>0.31481481481481483</v>
      </c>
      <c r="M1067" s="565">
        <f t="shared" si="893"/>
        <v>0.31481481481481483</v>
      </c>
      <c r="N1067" s="565">
        <f t="shared" si="893"/>
        <v>0.3305555555555556</v>
      </c>
      <c r="O1067" s="565">
        <f t="shared" si="893"/>
        <v>0.34708333333333335</v>
      </c>
      <c r="P1067" s="565">
        <f t="shared" si="893"/>
        <v>0.36443750000000008</v>
      </c>
      <c r="Q1067" s="565">
        <f t="shared" si="893"/>
        <v>0.38265937500000002</v>
      </c>
      <c r="R1067" s="565">
        <f t="shared" si="893"/>
        <v>0.40179234375000006</v>
      </c>
      <c r="S1067" s="565">
        <f t="shared" si="893"/>
        <v>0.42188196093749997</v>
      </c>
      <c r="T1067" s="565">
        <f t="shared" si="893"/>
        <v>0.44297605898437514</v>
      </c>
      <c r="U1067" s="565">
        <f t="shared" si="893"/>
        <v>0.46512486193359376</v>
      </c>
      <c r="V1067" s="565">
        <f t="shared" si="893"/>
        <v>0.48838110503027343</v>
      </c>
      <c r="W1067" s="565">
        <f t="shared" si="893"/>
        <v>0.51280016028178721</v>
      </c>
      <c r="X1067" s="565">
        <f t="shared" si="893"/>
        <v>0.5384401682958766</v>
      </c>
      <c r="Y1067" s="565">
        <f t="shared" si="893"/>
        <v>0.56536217671067035</v>
      </c>
      <c r="Z1067" s="565">
        <f t="shared" si="893"/>
        <v>0.5936302855462039</v>
      </c>
      <c r="AA1067" s="565"/>
      <c r="AB1067" s="565"/>
      <c r="AC1067" s="565"/>
      <c r="AD1067" s="565"/>
      <c r="AE1067" s="565"/>
      <c r="AF1067" s="565"/>
      <c r="AG1067" s="565"/>
      <c r="AH1067" s="565"/>
      <c r="AI1067" s="565"/>
      <c r="AJ1067" s="565"/>
      <c r="AL1067" s="876"/>
      <c r="AM1067" s="876"/>
    </row>
    <row r="1068" spans="1:39" s="299" customFormat="1" x14ac:dyDescent="0.25">
      <c r="A1068" s="299" t="s">
        <v>859</v>
      </c>
      <c r="C1068" s="299" t="s">
        <v>367</v>
      </c>
      <c r="H1068" s="560" t="s">
        <v>175</v>
      </c>
      <c r="I1068" s="561" t="str">
        <f t="shared" si="874"/>
        <v>tr. VND/tấn</v>
      </c>
      <c r="K1068" s="565"/>
      <c r="L1068" s="565">
        <f>-IF($H$9="VND",L1036/L1005/$H$10/10^3,L1036/L1005/$H$10*10^3)</f>
        <v>0.65060799673907488</v>
      </c>
      <c r="M1068" s="565">
        <f t="shared" ref="M1068:AJ1068" si="894">-IF($H$9="VND",M1036/M1005/$H$10/10^3,M1036/M1005/$H$10*10^3)</f>
        <v>0.48953523917955771</v>
      </c>
      <c r="N1068" s="565">
        <f t="shared" si="894"/>
        <v>0.37888071506576265</v>
      </c>
      <c r="O1068" s="565">
        <f t="shared" si="894"/>
        <v>0.38953826132439784</v>
      </c>
      <c r="P1068" s="565">
        <f t="shared" si="894"/>
        <v>0.40072868489596469</v>
      </c>
      <c r="Q1068" s="565">
        <f t="shared" si="894"/>
        <v>0.41247862964610993</v>
      </c>
      <c r="R1068" s="565">
        <f t="shared" si="894"/>
        <v>0.42481607163376234</v>
      </c>
      <c r="S1068" s="565">
        <f t="shared" si="894"/>
        <v>0.43777038572079757</v>
      </c>
      <c r="T1068" s="565">
        <f t="shared" si="894"/>
        <v>0.45137241551218432</v>
      </c>
      <c r="U1068" s="565">
        <f t="shared" si="894"/>
        <v>0.4656545467931405</v>
      </c>
      <c r="V1068" s="565">
        <f t="shared" si="894"/>
        <v>0.48065078463814442</v>
      </c>
      <c r="W1068" s="565">
        <f t="shared" si="894"/>
        <v>0.49639683437539861</v>
      </c>
      <c r="X1068" s="565">
        <f t="shared" si="894"/>
        <v>0.35108468865707365</v>
      </c>
      <c r="Y1068" s="565">
        <f t="shared" si="894"/>
        <v>0.36844470849239641</v>
      </c>
      <c r="Z1068" s="565">
        <f t="shared" si="894"/>
        <v>0.38667272931948538</v>
      </c>
      <c r="AA1068" s="565"/>
      <c r="AB1068" s="565"/>
      <c r="AC1068" s="565"/>
      <c r="AD1068" s="565"/>
      <c r="AE1068" s="565"/>
      <c r="AF1068" s="565"/>
      <c r="AG1068" s="565"/>
      <c r="AH1068" s="565"/>
      <c r="AI1068" s="565"/>
      <c r="AJ1068" s="565"/>
      <c r="AL1068" s="876"/>
      <c r="AM1068" s="876"/>
    </row>
    <row r="1069" spans="1:39" x14ac:dyDescent="0.25">
      <c r="A1069" t="s">
        <v>859</v>
      </c>
      <c r="H1069" s="247"/>
      <c r="I1069" s="275"/>
      <c r="K1069" s="281"/>
      <c r="L1069" s="282"/>
      <c r="M1069" s="281"/>
      <c r="N1069" s="281"/>
      <c r="O1069" s="281"/>
      <c r="P1069" s="281"/>
      <c r="Q1069" s="281"/>
      <c r="R1069" s="281"/>
      <c r="S1069" s="281"/>
      <c r="T1069" s="281"/>
      <c r="U1069" s="281"/>
      <c r="V1069" s="281"/>
      <c r="W1069" s="281"/>
      <c r="X1069" s="281"/>
      <c r="Y1069" s="281"/>
      <c r="Z1069" s="281"/>
      <c r="AA1069" s="281"/>
      <c r="AB1069" s="281"/>
      <c r="AC1069" s="281"/>
      <c r="AD1069" s="281"/>
      <c r="AE1069" s="281"/>
      <c r="AF1069" s="281"/>
      <c r="AG1069" s="281"/>
      <c r="AH1069" s="281"/>
      <c r="AI1069" s="281"/>
      <c r="AJ1069" s="281"/>
      <c r="AL1069" s="15"/>
      <c r="AM1069" s="15"/>
    </row>
    <row r="1070" spans="1:39" s="16" customFormat="1" x14ac:dyDescent="0.25">
      <c r="A1070" s="16" t="s">
        <v>859</v>
      </c>
      <c r="H1070" s="276" t="s">
        <v>464</v>
      </c>
      <c r="I1070" s="277" t="str">
        <f t="shared" si="874"/>
        <v>tr. VND/tấn</v>
      </c>
      <c r="K1070" s="283">
        <f>K1048+K1058</f>
        <v>0</v>
      </c>
      <c r="L1070" s="283">
        <f t="shared" ref="L1070:AJ1070" si="895">L1048+L1058</f>
        <v>43.958720173280462</v>
      </c>
      <c r="M1070" s="283">
        <f t="shared" si="895"/>
        <v>39.770828476733016</v>
      </c>
      <c r="N1070" s="283">
        <f t="shared" si="895"/>
        <v>37.440795172354989</v>
      </c>
      <c r="O1070" s="283">
        <f t="shared" si="895"/>
        <v>38.276121687982737</v>
      </c>
      <c r="P1070" s="283">
        <f t="shared" si="895"/>
        <v>39.13678923906928</v>
      </c>
      <c r="Q1070" s="283">
        <f t="shared" si="895"/>
        <v>40.023736371581123</v>
      </c>
      <c r="R1070" s="283">
        <f t="shared" si="895"/>
        <v>40.937941988666935</v>
      </c>
      <c r="S1070" s="283">
        <f t="shared" si="895"/>
        <v>41.880427237114404</v>
      </c>
      <c r="T1070" s="283">
        <f t="shared" si="895"/>
        <v>42.852257485501738</v>
      </c>
      <c r="U1070" s="283">
        <f t="shared" si="895"/>
        <v>43.854544398576294</v>
      </c>
      <c r="V1070" s="283">
        <f t="shared" si="895"/>
        <v>44.888448112617795</v>
      </c>
      <c r="W1070" s="283">
        <f t="shared" si="895"/>
        <v>45.955179516780845</v>
      </c>
      <c r="X1070" s="283">
        <f t="shared" si="895"/>
        <v>42.848019699156396</v>
      </c>
      <c r="Y1070" s="283">
        <f t="shared" si="895"/>
        <v>43.984254242077441</v>
      </c>
      <c r="Z1070" s="283">
        <f t="shared" si="895"/>
        <v>45.157278174894508</v>
      </c>
      <c r="AA1070" s="283"/>
      <c r="AB1070" s="283"/>
      <c r="AC1070" s="283"/>
      <c r="AD1070" s="283"/>
      <c r="AE1070" s="283"/>
      <c r="AF1070" s="283"/>
      <c r="AG1070" s="283"/>
      <c r="AH1070" s="283"/>
      <c r="AI1070" s="283"/>
      <c r="AJ1070" s="283"/>
      <c r="AL1070" s="29"/>
      <c r="AM1070" s="29"/>
    </row>
    <row r="1071" spans="1:39" x14ac:dyDescent="0.25">
      <c r="A1071" t="s">
        <v>859</v>
      </c>
      <c r="H1071" s="247"/>
      <c r="I1071" s="275"/>
      <c r="K1071" s="281"/>
      <c r="L1071" s="281"/>
      <c r="M1071" s="281"/>
      <c r="N1071" s="281"/>
      <c r="O1071" s="281"/>
      <c r="P1071" s="281"/>
      <c r="Q1071" s="281"/>
      <c r="R1071" s="281"/>
      <c r="S1071" s="281"/>
      <c r="T1071" s="281"/>
      <c r="U1071" s="281"/>
      <c r="V1071" s="281"/>
      <c r="W1071" s="281"/>
      <c r="X1071" s="281"/>
      <c r="Y1071" s="281"/>
      <c r="Z1071" s="281"/>
      <c r="AA1071" s="281"/>
      <c r="AB1071" s="281"/>
      <c r="AC1071" s="281"/>
      <c r="AD1071" s="281"/>
      <c r="AE1071" s="281"/>
      <c r="AF1071" s="281"/>
      <c r="AG1071" s="281"/>
      <c r="AH1071" s="281"/>
      <c r="AI1071" s="281"/>
      <c r="AJ1071" s="281"/>
      <c r="AL1071" s="15"/>
      <c r="AM1071" s="15"/>
    </row>
    <row r="1072" spans="1:39" x14ac:dyDescent="0.25">
      <c r="A1072" t="s">
        <v>859</v>
      </c>
      <c r="C1072" t="s">
        <v>367</v>
      </c>
      <c r="H1072" s="568" t="s">
        <v>166</v>
      </c>
      <c r="I1072" s="569" t="str">
        <f t="shared" si="874"/>
        <v>tr. VND/tấn</v>
      </c>
      <c r="K1072" s="570"/>
      <c r="L1072" s="570">
        <f>-IF($H$9="VND",L1040/L1005/$H$10/10^3,L1040/L1005/$H$10*10^3)</f>
        <v>0.88888888888888906</v>
      </c>
      <c r="M1072" s="570">
        <f t="shared" ref="M1072:AJ1072" si="896">-IF($H$9="VND",M1040/M1005/$H$10/10^3,M1040/M1005/$H$10*10^3)</f>
        <v>0.88888888888888895</v>
      </c>
      <c r="N1072" s="570">
        <f t="shared" si="896"/>
        <v>0.93333333333333335</v>
      </c>
      <c r="O1072" s="570">
        <f t="shared" si="896"/>
        <v>0.9800000000000002</v>
      </c>
      <c r="P1072" s="570">
        <f t="shared" si="896"/>
        <v>1.0290000000000001</v>
      </c>
      <c r="Q1072" s="570">
        <f t="shared" si="896"/>
        <v>1.0804500000000004</v>
      </c>
      <c r="R1072" s="570">
        <f t="shared" si="896"/>
        <v>1.1344725000000002</v>
      </c>
      <c r="S1072" s="570">
        <f t="shared" si="896"/>
        <v>1.1911961249999998</v>
      </c>
      <c r="T1072" s="570">
        <f t="shared" si="896"/>
        <v>1.2507559312500003</v>
      </c>
      <c r="U1072" s="570">
        <f t="shared" si="896"/>
        <v>1.3132937278125001</v>
      </c>
      <c r="V1072" s="570">
        <f t="shared" si="896"/>
        <v>1.3789584142031253</v>
      </c>
      <c r="W1072" s="570">
        <f t="shared" si="896"/>
        <v>1.4479063349132817</v>
      </c>
      <c r="X1072" s="570">
        <f t="shared" si="896"/>
        <v>1.5203016516589456</v>
      </c>
      <c r="Y1072" s="570">
        <f t="shared" si="896"/>
        <v>1.5963167342418931</v>
      </c>
      <c r="Z1072" s="570">
        <f t="shared" si="896"/>
        <v>1.6761325709539878</v>
      </c>
      <c r="AA1072" s="570"/>
      <c r="AB1072" s="570"/>
      <c r="AC1072" s="570"/>
      <c r="AD1072" s="570"/>
      <c r="AE1072" s="570"/>
      <c r="AF1072" s="570"/>
      <c r="AG1072" s="570"/>
      <c r="AH1072" s="570"/>
      <c r="AI1072" s="570"/>
      <c r="AJ1072" s="570"/>
      <c r="AL1072" s="15"/>
      <c r="AM1072" s="15"/>
    </row>
    <row r="1073" spans="1:39" x14ac:dyDescent="0.25">
      <c r="A1073" t="s">
        <v>859</v>
      </c>
      <c r="C1073" t="s">
        <v>367</v>
      </c>
      <c r="H1073" s="558" t="s">
        <v>469</v>
      </c>
      <c r="I1073" s="559" t="str">
        <f t="shared" si="874"/>
        <v>tr. VND/tấn</v>
      </c>
      <c r="K1073" s="571"/>
      <c r="L1073" s="571">
        <f t="shared" ref="L1073:AJ1073" si="897">-IF($H$9="VND",L1041/L1005/$H$10/10^3,L1041/L1005/$H$10*10^3)</f>
        <v>0</v>
      </c>
      <c r="M1073" s="571">
        <f t="shared" si="897"/>
        <v>0</v>
      </c>
      <c r="N1073" s="571">
        <f t="shared" si="897"/>
        <v>0</v>
      </c>
      <c r="O1073" s="571">
        <f t="shared" si="897"/>
        <v>0</v>
      </c>
      <c r="P1073" s="571">
        <f t="shared" si="897"/>
        <v>0</v>
      </c>
      <c r="Q1073" s="571">
        <f t="shared" si="897"/>
        <v>0</v>
      </c>
      <c r="R1073" s="571">
        <f t="shared" si="897"/>
        <v>0</v>
      </c>
      <c r="S1073" s="571">
        <f t="shared" si="897"/>
        <v>0</v>
      </c>
      <c r="T1073" s="571">
        <f t="shared" si="897"/>
        <v>0</v>
      </c>
      <c r="U1073" s="571">
        <f t="shared" si="897"/>
        <v>0</v>
      </c>
      <c r="V1073" s="571">
        <f t="shared" si="897"/>
        <v>0</v>
      </c>
      <c r="W1073" s="571">
        <f t="shared" si="897"/>
        <v>0</v>
      </c>
      <c r="X1073" s="571">
        <f t="shared" si="897"/>
        <v>0</v>
      </c>
      <c r="Y1073" s="571">
        <f t="shared" si="897"/>
        <v>0</v>
      </c>
      <c r="Z1073" s="571">
        <f t="shared" si="897"/>
        <v>0</v>
      </c>
      <c r="AA1073" s="571"/>
      <c r="AB1073" s="571"/>
      <c r="AC1073" s="571"/>
      <c r="AD1073" s="571"/>
      <c r="AE1073" s="571"/>
      <c r="AF1073" s="571"/>
      <c r="AG1073" s="571"/>
      <c r="AH1073" s="571"/>
      <c r="AI1073" s="571"/>
      <c r="AJ1073" s="571"/>
      <c r="AL1073" s="15"/>
      <c r="AM1073" s="15"/>
    </row>
    <row r="1074" spans="1:39" x14ac:dyDescent="0.25">
      <c r="A1074" t="s">
        <v>859</v>
      </c>
      <c r="C1074" t="s">
        <v>367</v>
      </c>
      <c r="H1074" s="558" t="s">
        <v>468</v>
      </c>
      <c r="I1074" s="559" t="str">
        <f t="shared" si="874"/>
        <v>tr. VND/tấn</v>
      </c>
      <c r="K1074" s="558"/>
      <c r="L1074" s="571">
        <f t="shared" ref="L1074:AJ1074" si="898">-IF($H$9="VND",L1042/L1005/$H$10/10^3,L1042/L1005/$H$10*10^3)</f>
        <v>0</v>
      </c>
      <c r="M1074" s="571">
        <f t="shared" si="898"/>
        <v>0</v>
      </c>
      <c r="N1074" s="571">
        <f t="shared" si="898"/>
        <v>0</v>
      </c>
      <c r="O1074" s="571">
        <f t="shared" si="898"/>
        <v>0</v>
      </c>
      <c r="P1074" s="571">
        <f t="shared" si="898"/>
        <v>0</v>
      </c>
      <c r="Q1074" s="571">
        <f t="shared" si="898"/>
        <v>0</v>
      </c>
      <c r="R1074" s="571">
        <f t="shared" si="898"/>
        <v>0</v>
      </c>
      <c r="S1074" s="571">
        <f t="shared" si="898"/>
        <v>0</v>
      </c>
      <c r="T1074" s="571">
        <f t="shared" si="898"/>
        <v>0</v>
      </c>
      <c r="U1074" s="571">
        <f t="shared" si="898"/>
        <v>0</v>
      </c>
      <c r="V1074" s="571">
        <f t="shared" si="898"/>
        <v>0</v>
      </c>
      <c r="W1074" s="571">
        <f t="shared" si="898"/>
        <v>0</v>
      </c>
      <c r="X1074" s="571">
        <f t="shared" si="898"/>
        <v>0</v>
      </c>
      <c r="Y1074" s="571">
        <f t="shared" si="898"/>
        <v>0</v>
      </c>
      <c r="Z1074" s="571">
        <f t="shared" si="898"/>
        <v>0</v>
      </c>
      <c r="AA1074" s="571"/>
      <c r="AB1074" s="571"/>
      <c r="AC1074" s="571"/>
      <c r="AD1074" s="571"/>
      <c r="AE1074" s="571"/>
      <c r="AF1074" s="571"/>
      <c r="AG1074" s="571"/>
      <c r="AH1074" s="571"/>
      <c r="AI1074" s="571"/>
      <c r="AJ1074" s="571"/>
      <c r="AL1074" s="15"/>
      <c r="AM1074" s="15"/>
    </row>
    <row r="1075" spans="1:39" x14ac:dyDescent="0.25">
      <c r="A1075" t="s">
        <v>859</v>
      </c>
      <c r="C1075" t="s">
        <v>367</v>
      </c>
      <c r="H1075" s="558" t="s">
        <v>470</v>
      </c>
      <c r="I1075" s="559" t="str">
        <f t="shared" si="874"/>
        <v>tr. VND/tấn</v>
      </c>
      <c r="K1075" s="558"/>
      <c r="L1075" s="571">
        <f t="shared" ref="L1075:AJ1075" si="899">-IF($H$9="VND",L1043/L1005/$H$10/10^3,L1043/L1005/$H$10*10^3)</f>
        <v>4.7582576395077938</v>
      </c>
      <c r="M1075" s="571">
        <f t="shared" si="899"/>
        <v>3.2635032589377744</v>
      </c>
      <c r="N1075" s="571">
        <f t="shared" si="899"/>
        <v>2.1831483850641651</v>
      </c>
      <c r="O1075" s="571">
        <f t="shared" si="899"/>
        <v>2.0747532161384292</v>
      </c>
      <c r="P1075" s="571">
        <f t="shared" si="899"/>
        <v>1.9587703853878913</v>
      </c>
      <c r="Q1075" s="571">
        <f t="shared" si="899"/>
        <v>1.8346687564848161</v>
      </c>
      <c r="R1075" s="571">
        <f t="shared" si="899"/>
        <v>1.7018800135585255</v>
      </c>
      <c r="S1075" s="571">
        <f t="shared" si="899"/>
        <v>1.5597960586273947</v>
      </c>
      <c r="T1075" s="571">
        <f t="shared" si="899"/>
        <v>1.4077662268510847</v>
      </c>
      <c r="U1075" s="571">
        <f t="shared" si="899"/>
        <v>1.245094306850433</v>
      </c>
      <c r="V1075" s="571">
        <f t="shared" si="899"/>
        <v>1.0710353524497356</v>
      </c>
      <c r="W1075" s="571">
        <f t="shared" si="899"/>
        <v>0.88479227124098925</v>
      </c>
      <c r="X1075" s="571">
        <f t="shared" si="899"/>
        <v>0.68551217434763101</v>
      </c>
      <c r="Y1075" s="571">
        <f t="shared" si="899"/>
        <v>0.47228247067173734</v>
      </c>
      <c r="Z1075" s="571">
        <f t="shared" si="899"/>
        <v>0.24412668773853119</v>
      </c>
      <c r="AA1075" s="571"/>
      <c r="AB1075" s="571"/>
      <c r="AC1075" s="571"/>
      <c r="AD1075" s="571"/>
      <c r="AE1075" s="571"/>
      <c r="AF1075" s="571"/>
      <c r="AG1075" s="571"/>
      <c r="AH1075" s="571"/>
      <c r="AI1075" s="571"/>
      <c r="AJ1075" s="571"/>
      <c r="AL1075" s="15"/>
      <c r="AM1075" s="15"/>
    </row>
    <row r="1076" spans="1:39" x14ac:dyDescent="0.25">
      <c r="A1076" t="s">
        <v>859</v>
      </c>
      <c r="H1076" s="247"/>
      <c r="I1076" s="275"/>
      <c r="K1076" s="247"/>
      <c r="L1076" s="247"/>
      <c r="M1076" s="247"/>
      <c r="N1076" s="247"/>
      <c r="O1076" s="247"/>
      <c r="P1076" s="247"/>
      <c r="Q1076" s="247"/>
      <c r="R1076" s="247"/>
      <c r="S1076" s="247"/>
      <c r="T1076" s="247"/>
      <c r="U1076" s="247"/>
      <c r="V1076" s="247"/>
      <c r="W1076" s="247"/>
      <c r="X1076" s="247"/>
      <c r="Y1076" s="247"/>
      <c r="Z1076" s="247"/>
      <c r="AA1076" s="247"/>
      <c r="AB1076" s="247"/>
      <c r="AC1076" s="247"/>
      <c r="AD1076" s="247"/>
      <c r="AE1076" s="247"/>
      <c r="AF1076" s="247"/>
      <c r="AG1076" s="247"/>
      <c r="AH1076" s="247"/>
      <c r="AI1076" s="247"/>
      <c r="AJ1076" s="247"/>
      <c r="AL1076" s="15"/>
      <c r="AM1076" s="15"/>
    </row>
    <row r="1077" spans="1:39" s="16" customFormat="1" x14ac:dyDescent="0.25">
      <c r="A1077" s="16" t="s">
        <v>859</v>
      </c>
      <c r="H1077" s="276" t="s">
        <v>474</v>
      </c>
      <c r="I1077" s="277" t="str">
        <f t="shared" si="874"/>
        <v>tr. VND/tấn</v>
      </c>
      <c r="K1077" s="283">
        <f t="shared" ref="K1077" si="900">K1070+SUM(K1072:K1075)</f>
        <v>0</v>
      </c>
      <c r="L1077" s="283">
        <f>L1070+SUM(L1072:L1075)</f>
        <v>49.605866701677144</v>
      </c>
      <c r="M1077" s="283">
        <f t="shared" ref="M1077:AJ1077" si="901">M1070+SUM(M1072:M1075)</f>
        <v>43.923220624559676</v>
      </c>
      <c r="N1077" s="283">
        <f t="shared" si="901"/>
        <v>40.55727689075249</v>
      </c>
      <c r="O1077" s="283">
        <f t="shared" si="901"/>
        <v>41.330874904121167</v>
      </c>
      <c r="P1077" s="283">
        <f t="shared" si="901"/>
        <v>42.12455962445717</v>
      </c>
      <c r="Q1077" s="283">
        <f t="shared" si="901"/>
        <v>42.938855128065939</v>
      </c>
      <c r="R1077" s="283">
        <f t="shared" si="901"/>
        <v>43.774294502225459</v>
      </c>
      <c r="S1077" s="283">
        <f t="shared" si="901"/>
        <v>44.6314194207418</v>
      </c>
      <c r="T1077" s="283">
        <f t="shared" si="901"/>
        <v>45.510779643602824</v>
      </c>
      <c r="U1077" s="283">
        <f t="shared" si="901"/>
        <v>46.412932433239227</v>
      </c>
      <c r="V1077" s="283">
        <f t="shared" si="901"/>
        <v>47.338441879270654</v>
      </c>
      <c r="W1077" s="283">
        <f t="shared" si="901"/>
        <v>48.287878122935119</v>
      </c>
      <c r="X1077" s="283">
        <f t="shared" si="901"/>
        <v>45.053833525162972</v>
      </c>
      <c r="Y1077" s="283">
        <f t="shared" si="901"/>
        <v>46.052853446991072</v>
      </c>
      <c r="Z1077" s="283">
        <f t="shared" si="901"/>
        <v>47.077537433587025</v>
      </c>
      <c r="AA1077" s="283"/>
      <c r="AB1077" s="283"/>
      <c r="AC1077" s="283"/>
      <c r="AD1077" s="283"/>
      <c r="AE1077" s="283"/>
      <c r="AF1077" s="283"/>
      <c r="AG1077" s="283"/>
      <c r="AH1077" s="283"/>
      <c r="AI1077" s="283"/>
      <c r="AJ1077" s="283"/>
      <c r="AL1077" s="29"/>
      <c r="AM1077" s="29"/>
    </row>
    <row r="1078" spans="1:39" x14ac:dyDescent="0.25">
      <c r="A1078" t="s">
        <v>859</v>
      </c>
    </row>
    <row r="1079" spans="1:39" x14ac:dyDescent="0.25">
      <c r="A1079" t="s">
        <v>859</v>
      </c>
      <c r="H1079" s="568" t="s">
        <v>361</v>
      </c>
      <c r="I1079" s="569" t="str">
        <f t="shared" si="874"/>
        <v>tr. VND/tấn</v>
      </c>
      <c r="K1079" s="568"/>
      <c r="L1079" s="589">
        <f>INDEX('Cover Page'!$H$12:$AJ$12,MATCH($A1079,'Cover Page'!$H$5:$AJ$5,0))</f>
        <v>6.6666666666666666E-2</v>
      </c>
      <c r="M1079" s="589">
        <f>INDEX('Cover Page'!$H$12:$AJ$12,MATCH($A1079,'Cover Page'!$H$5:$AJ$5,0))</f>
        <v>6.6666666666666666E-2</v>
      </c>
      <c r="N1079" s="589">
        <f>INDEX('Cover Page'!$H$12:$AJ$12,MATCH($A1079,'Cover Page'!$H$5:$AJ$5,0))</f>
        <v>6.6666666666666666E-2</v>
      </c>
      <c r="O1079" s="589">
        <f>INDEX('Cover Page'!$H$12:$AJ$12,MATCH($A1079,'Cover Page'!$H$5:$AJ$5,0))</f>
        <v>6.6666666666666666E-2</v>
      </c>
      <c r="P1079" s="589">
        <f>INDEX('Cover Page'!$H$12:$AJ$12,MATCH($A1079,'Cover Page'!$H$5:$AJ$5,0))</f>
        <v>6.6666666666666666E-2</v>
      </c>
      <c r="Q1079" s="589">
        <f>INDEX('Cover Page'!$H$12:$AJ$12,MATCH($A1079,'Cover Page'!$H$5:$AJ$5,0))</f>
        <v>6.6666666666666666E-2</v>
      </c>
      <c r="R1079" s="589">
        <f>INDEX('Cover Page'!$H$12:$AJ$12,MATCH($A1079,'Cover Page'!$H$5:$AJ$5,0))</f>
        <v>6.6666666666666666E-2</v>
      </c>
      <c r="S1079" s="589">
        <f>INDEX('Cover Page'!$H$12:$AJ$12,MATCH($A1079,'Cover Page'!$H$5:$AJ$5,0))</f>
        <v>6.6666666666666666E-2</v>
      </c>
      <c r="T1079" s="589">
        <f>INDEX('Cover Page'!$H$12:$AJ$12,MATCH($A1079,'Cover Page'!$H$5:$AJ$5,0))</f>
        <v>6.6666666666666666E-2</v>
      </c>
      <c r="U1079" s="589">
        <f>INDEX('Cover Page'!$H$12:$AJ$12,MATCH($A1079,'Cover Page'!$H$5:$AJ$5,0))</f>
        <v>6.6666666666666666E-2</v>
      </c>
      <c r="V1079" s="589">
        <f>INDEX('Cover Page'!$H$12:$AJ$12,MATCH($A1079,'Cover Page'!$H$5:$AJ$5,0))</f>
        <v>6.6666666666666666E-2</v>
      </c>
      <c r="W1079" s="589">
        <f>INDEX('Cover Page'!$H$12:$AJ$12,MATCH($A1079,'Cover Page'!$H$5:$AJ$5,0))</f>
        <v>6.6666666666666666E-2</v>
      </c>
      <c r="X1079" s="589">
        <f>INDEX('Cover Page'!$H$12:$AJ$12,MATCH($A1079,'Cover Page'!$H$5:$AJ$5,0))</f>
        <v>6.6666666666666666E-2</v>
      </c>
      <c r="Y1079" s="589">
        <f>INDEX('Cover Page'!$H$12:$AJ$12,MATCH($A1079,'Cover Page'!$H$5:$AJ$5,0))</f>
        <v>6.6666666666666666E-2</v>
      </c>
      <c r="Z1079" s="589">
        <f>INDEX('Cover Page'!$H$12:$AJ$12,MATCH($A1079,'Cover Page'!$H$5:$AJ$5,0))</f>
        <v>6.6666666666666666E-2</v>
      </c>
      <c r="AA1079" s="589"/>
      <c r="AB1079" s="589"/>
      <c r="AC1079" s="589"/>
      <c r="AD1079" s="589"/>
      <c r="AE1079" s="589"/>
      <c r="AF1079" s="589"/>
      <c r="AG1079" s="589"/>
      <c r="AH1079" s="589"/>
      <c r="AI1079" s="589"/>
      <c r="AJ1079" s="589"/>
    </row>
    <row r="1080" spans="1:39" s="1" customFormat="1" x14ac:dyDescent="0.25">
      <c r="A1080" s="1" t="s">
        <v>859</v>
      </c>
      <c r="H1080" s="585" t="s">
        <v>490</v>
      </c>
      <c r="I1080" s="586" t="str">
        <f t="shared" si="874"/>
        <v>tr. VND/tấn</v>
      </c>
      <c r="K1080" s="585"/>
      <c r="L1080" s="590">
        <f t="shared" ref="L1080:AJ1080" si="902">L1077*(1+L1079)</f>
        <v>52.912924481788956</v>
      </c>
      <c r="M1080" s="590">
        <f t="shared" si="902"/>
        <v>46.851435332863652</v>
      </c>
      <c r="N1080" s="590">
        <f t="shared" si="902"/>
        <v>43.261095350135989</v>
      </c>
      <c r="O1080" s="590">
        <f t="shared" si="902"/>
        <v>44.086266564395913</v>
      </c>
      <c r="P1080" s="590">
        <f t="shared" si="902"/>
        <v>44.932863599420983</v>
      </c>
      <c r="Q1080" s="590">
        <f t="shared" si="902"/>
        <v>45.801445469937001</v>
      </c>
      <c r="R1080" s="590">
        <f t="shared" si="902"/>
        <v>46.692580802373826</v>
      </c>
      <c r="S1080" s="590">
        <f t="shared" si="902"/>
        <v>47.606847382124585</v>
      </c>
      <c r="T1080" s="590">
        <f t="shared" si="902"/>
        <v>48.544831619843009</v>
      </c>
      <c r="U1080" s="590">
        <f t="shared" si="902"/>
        <v>49.507127928788506</v>
      </c>
      <c r="V1080" s="590">
        <f t="shared" si="902"/>
        <v>50.494338004555367</v>
      </c>
      <c r="W1080" s="590">
        <f t="shared" si="902"/>
        <v>51.507069997797458</v>
      </c>
      <c r="X1080" s="590">
        <f t="shared" si="902"/>
        <v>48.057422426840503</v>
      </c>
      <c r="Y1080" s="590">
        <f t="shared" si="902"/>
        <v>49.123043676790473</v>
      </c>
      <c r="Z1080" s="590">
        <f t="shared" si="902"/>
        <v>50.216039929159493</v>
      </c>
      <c r="AA1080" s="590"/>
      <c r="AB1080" s="590"/>
      <c r="AC1080" s="590"/>
      <c r="AD1080" s="590"/>
      <c r="AE1080" s="590"/>
      <c r="AF1080" s="590"/>
      <c r="AG1080" s="590"/>
      <c r="AH1080" s="590"/>
      <c r="AI1080" s="590"/>
      <c r="AJ1080" s="590"/>
    </row>
    <row r="1081" spans="1:39" x14ac:dyDescent="0.25">
      <c r="A1081" t="s">
        <v>859</v>
      </c>
      <c r="H1081" s="558" t="s">
        <v>292</v>
      </c>
      <c r="I1081" s="559" t="str">
        <f t="shared" si="874"/>
        <v>tr. VND/tấn</v>
      </c>
      <c r="K1081" s="558"/>
      <c r="L1081" s="591">
        <f t="shared" ref="L1081:AJ1081" si="903">Tax_rate</f>
        <v>0.2</v>
      </c>
      <c r="M1081" s="591">
        <f t="shared" si="903"/>
        <v>0.2</v>
      </c>
      <c r="N1081" s="591">
        <f t="shared" si="903"/>
        <v>0.2</v>
      </c>
      <c r="O1081" s="591">
        <f t="shared" si="903"/>
        <v>0.2</v>
      </c>
      <c r="P1081" s="591">
        <f t="shared" si="903"/>
        <v>0.2</v>
      </c>
      <c r="Q1081" s="591">
        <f t="shared" si="903"/>
        <v>0.2</v>
      </c>
      <c r="R1081" s="591">
        <f t="shared" si="903"/>
        <v>0.2</v>
      </c>
      <c r="S1081" s="591">
        <f t="shared" si="903"/>
        <v>0.2</v>
      </c>
      <c r="T1081" s="591">
        <f t="shared" si="903"/>
        <v>0.2</v>
      </c>
      <c r="U1081" s="591">
        <f t="shared" si="903"/>
        <v>0.2</v>
      </c>
      <c r="V1081" s="591">
        <f t="shared" si="903"/>
        <v>0.2</v>
      </c>
      <c r="W1081" s="591">
        <f t="shared" si="903"/>
        <v>0.2</v>
      </c>
      <c r="X1081" s="591">
        <f t="shared" si="903"/>
        <v>0.2</v>
      </c>
      <c r="Y1081" s="591">
        <f t="shared" si="903"/>
        <v>0.2</v>
      </c>
      <c r="Z1081" s="591">
        <f t="shared" si="903"/>
        <v>0.2</v>
      </c>
      <c r="AA1081" s="591"/>
      <c r="AB1081" s="591"/>
      <c r="AC1081" s="591"/>
      <c r="AD1081" s="591"/>
      <c r="AE1081" s="591"/>
      <c r="AF1081" s="591"/>
      <c r="AG1081" s="591"/>
      <c r="AH1081" s="591"/>
      <c r="AI1081" s="591"/>
      <c r="AJ1081" s="591"/>
    </row>
    <row r="1082" spans="1:39" s="1" customFormat="1" x14ac:dyDescent="0.25">
      <c r="A1082" s="1" t="s">
        <v>859</v>
      </c>
      <c r="H1082" s="585" t="s">
        <v>491</v>
      </c>
      <c r="I1082" s="586" t="str">
        <f t="shared" si="874"/>
        <v>tr. VND/tấn</v>
      </c>
      <c r="K1082" s="585"/>
      <c r="L1082" s="590">
        <f>(L1080-L1077)*(1-L1081)</f>
        <v>2.6456462240894498</v>
      </c>
      <c r="M1082" s="590">
        <f t="shared" ref="M1082:AJ1082" si="904">(M1080-M1077)*(1-M1081)</f>
        <v>2.3425717666431809</v>
      </c>
      <c r="N1082" s="590">
        <f t="shared" si="904"/>
        <v>2.1630547675067988</v>
      </c>
      <c r="O1082" s="590">
        <f t="shared" si="904"/>
        <v>2.2043133282197971</v>
      </c>
      <c r="P1082" s="590">
        <f t="shared" si="904"/>
        <v>2.2466431799710507</v>
      </c>
      <c r="Q1082" s="590">
        <f t="shared" si="904"/>
        <v>2.2900722734968499</v>
      </c>
      <c r="R1082" s="590">
        <f t="shared" si="904"/>
        <v>2.3346290401186933</v>
      </c>
      <c r="S1082" s="590">
        <f t="shared" si="904"/>
        <v>2.380342369106228</v>
      </c>
      <c r="T1082" s="590">
        <f t="shared" si="904"/>
        <v>2.4272415809921486</v>
      </c>
      <c r="U1082" s="590">
        <f t="shared" si="904"/>
        <v>2.4753563964394232</v>
      </c>
      <c r="V1082" s="590">
        <f t="shared" si="904"/>
        <v>2.5247169002277703</v>
      </c>
      <c r="W1082" s="590">
        <f t="shared" si="904"/>
        <v>2.5753534998898715</v>
      </c>
      <c r="X1082" s="590">
        <f t="shared" si="904"/>
        <v>2.4028711213420255</v>
      </c>
      <c r="Y1082" s="590">
        <f t="shared" si="904"/>
        <v>2.4561521838395208</v>
      </c>
      <c r="Z1082" s="590">
        <f t="shared" si="904"/>
        <v>2.5108019964579742</v>
      </c>
      <c r="AA1082" s="590"/>
      <c r="AB1082" s="590"/>
      <c r="AC1082" s="590"/>
      <c r="AD1082" s="590"/>
      <c r="AE1082" s="590"/>
      <c r="AF1082" s="590"/>
      <c r="AG1082" s="590"/>
      <c r="AH1082" s="590"/>
      <c r="AI1082" s="590"/>
      <c r="AJ1082" s="590"/>
    </row>
    <row r="1083" spans="1:39" s="146" customFormat="1" x14ac:dyDescent="0.25">
      <c r="A1083" s="146" t="s">
        <v>859</v>
      </c>
      <c r="H1083" s="587" t="s">
        <v>492</v>
      </c>
      <c r="I1083" s="588"/>
      <c r="K1083" s="587"/>
      <c r="L1083" s="592">
        <f>IFERROR(L1082/L1080,0)</f>
        <v>5.0000000000000037E-2</v>
      </c>
      <c r="M1083" s="592">
        <f>IFERROR(M1082/M1080,0)</f>
        <v>4.9999999999999961E-2</v>
      </c>
      <c r="N1083" s="592">
        <f t="shared" ref="N1083:AJ1083" si="905">IFERROR(N1082/N1080,0)</f>
        <v>4.9999999999999989E-2</v>
      </c>
      <c r="O1083" s="592">
        <f t="shared" si="905"/>
        <v>5.0000000000000031E-2</v>
      </c>
      <c r="P1083" s="592">
        <f t="shared" si="905"/>
        <v>5.0000000000000031E-2</v>
      </c>
      <c r="Q1083" s="592">
        <f t="shared" si="905"/>
        <v>4.9999999999999996E-2</v>
      </c>
      <c r="R1083" s="592">
        <f t="shared" si="905"/>
        <v>5.0000000000000044E-2</v>
      </c>
      <c r="S1083" s="592">
        <f t="shared" si="905"/>
        <v>4.9999999999999975E-2</v>
      </c>
      <c r="T1083" s="592">
        <f t="shared" si="905"/>
        <v>4.9999999999999961E-2</v>
      </c>
      <c r="U1083" s="592">
        <f t="shared" si="905"/>
        <v>4.9999999999999954E-2</v>
      </c>
      <c r="V1083" s="592">
        <f t="shared" si="905"/>
        <v>5.0000000000000037E-2</v>
      </c>
      <c r="W1083" s="592">
        <f t="shared" si="905"/>
        <v>4.9999999999999975E-2</v>
      </c>
      <c r="X1083" s="592">
        <f t="shared" si="905"/>
        <v>5.000000000000001E-2</v>
      </c>
      <c r="Y1083" s="592">
        <f t="shared" si="905"/>
        <v>4.999999999999994E-2</v>
      </c>
      <c r="Z1083" s="592">
        <f t="shared" si="905"/>
        <v>4.9999999999999989E-2</v>
      </c>
      <c r="AA1083" s="592"/>
      <c r="AB1083" s="592"/>
      <c r="AC1083" s="592"/>
      <c r="AD1083" s="592"/>
      <c r="AE1083" s="592"/>
      <c r="AF1083" s="592"/>
      <c r="AG1083" s="592"/>
      <c r="AH1083" s="592"/>
      <c r="AI1083" s="592"/>
      <c r="AJ1083" s="592"/>
    </row>
    <row r="1084" spans="1:39" x14ac:dyDescent="0.25">
      <c r="A1084" t="s">
        <v>859</v>
      </c>
    </row>
    <row r="1085" spans="1:39" s="24" customFormat="1" ht="17.25" x14ac:dyDescent="0.3">
      <c r="A1085" s="24" t="s">
        <v>859</v>
      </c>
      <c r="H1085" s="644" t="s">
        <v>476</v>
      </c>
      <c r="I1085" s="644"/>
      <c r="K1085" s="644"/>
      <c r="L1085" s="644"/>
      <c r="M1085" s="644"/>
      <c r="N1085" s="644"/>
      <c r="O1085" s="644"/>
      <c r="P1085" s="644"/>
      <c r="Q1085" s="644"/>
      <c r="R1085" s="644"/>
      <c r="S1085" s="644"/>
      <c r="T1085" s="644"/>
      <c r="U1085" s="644"/>
      <c r="V1085" s="644"/>
      <c r="W1085" s="644"/>
      <c r="X1085" s="644"/>
      <c r="Y1085" s="644"/>
      <c r="Z1085" s="644"/>
      <c r="AA1085" s="644"/>
      <c r="AB1085" s="644"/>
      <c r="AC1085" s="644"/>
      <c r="AD1085" s="644"/>
      <c r="AE1085" s="644"/>
      <c r="AF1085" s="644"/>
      <c r="AG1085" s="644"/>
      <c r="AH1085" s="644"/>
      <c r="AI1085" s="644"/>
      <c r="AJ1085" s="644"/>
    </row>
    <row r="1086" spans="1:39" s="1" customFormat="1" x14ac:dyDescent="0.25">
      <c r="A1086" s="1" t="s">
        <v>859</v>
      </c>
      <c r="H1086" s="287" t="s">
        <v>434</v>
      </c>
      <c r="I1086" s="288" t="str">
        <f>IF($H$9="USD","USD/1.000 phôi","VND/phôi")</f>
        <v>VND/phôi</v>
      </c>
      <c r="K1086" s="293">
        <f t="shared" ref="K1086" si="906">SUM(K1087:K1088,K1091:K1094,)</f>
        <v>0</v>
      </c>
      <c r="L1086" s="293">
        <f>SUM(L1087:L1088,L1091:L1094,)</f>
        <v>211.40799429686629</v>
      </c>
      <c r="M1086" s="293">
        <f t="shared" ref="M1086:AJ1086" si="907">SUM(M1087:M1088,M1091:M1094,)</f>
        <v>151.00571021204738</v>
      </c>
      <c r="N1086" s="293">
        <f t="shared" si="907"/>
        <v>107.88176344535992</v>
      </c>
      <c r="O1086" s="293">
        <f t="shared" si="907"/>
        <v>110.16841805713301</v>
      </c>
      <c r="P1086" s="293">
        <f t="shared" si="907"/>
        <v>112.5694053994948</v>
      </c>
      <c r="Q1086" s="293">
        <f t="shared" si="907"/>
        <v>115.09044210897466</v>
      </c>
      <c r="R1086" s="293">
        <f t="shared" si="907"/>
        <v>117.7375306539285</v>
      </c>
      <c r="S1086" s="293">
        <f t="shared" si="907"/>
        <v>120.51697362613004</v>
      </c>
      <c r="T1086" s="293">
        <f t="shared" si="907"/>
        <v>123.43538874694165</v>
      </c>
      <c r="U1086" s="293">
        <f t="shared" si="907"/>
        <v>126.49972462379385</v>
      </c>
      <c r="V1086" s="293">
        <f t="shared" si="907"/>
        <v>129.71727729448867</v>
      </c>
      <c r="W1086" s="293">
        <f t="shared" si="907"/>
        <v>133.09570759871826</v>
      </c>
      <c r="X1086" s="293">
        <f t="shared" si="907"/>
        <v>75.950997689743517</v>
      </c>
      <c r="Y1086" s="293">
        <f t="shared" si="907"/>
        <v>79.675717100156589</v>
      </c>
      <c r="Z1086" s="293">
        <f t="shared" si="907"/>
        <v>83.586672481090332</v>
      </c>
      <c r="AA1086" s="293"/>
      <c r="AB1086" s="293"/>
      <c r="AC1086" s="293"/>
      <c r="AD1086" s="293"/>
      <c r="AE1086" s="293"/>
      <c r="AF1086" s="293"/>
      <c r="AG1086" s="293"/>
      <c r="AH1086" s="293"/>
      <c r="AI1086" s="293"/>
      <c r="AJ1086" s="293"/>
    </row>
    <row r="1087" spans="1:39" x14ac:dyDescent="0.25">
      <c r="A1087" t="s">
        <v>859</v>
      </c>
      <c r="E1087" t="s">
        <v>173</v>
      </c>
      <c r="H1087" s="572" t="s">
        <v>190</v>
      </c>
      <c r="I1087" s="573" t="str">
        <f t="shared" ref="I1087:I1094" si="908">IF($H$9="USD","USD/1.000 phôi","VND/phôi")</f>
        <v>VND/phôi</v>
      </c>
      <c r="K1087" s="578"/>
      <c r="L1087" s="579">
        <f t="shared" ref="L1087:AJ1087" si="909">-IF($H$9="USD",L1017/L1006/$H$10*10^3,L1017/L1006/$H$10)</f>
        <v>121.38412345683145</v>
      </c>
      <c r="M1087" s="579">
        <f t="shared" si="909"/>
        <v>86.702945326308182</v>
      </c>
      <c r="N1087" s="579">
        <f t="shared" si="909"/>
        <v>60.692061728415723</v>
      </c>
      <c r="O1087" s="579">
        <f t="shared" si="909"/>
        <v>60.692061728415723</v>
      </c>
      <c r="P1087" s="579">
        <f t="shared" si="909"/>
        <v>60.692061728415723</v>
      </c>
      <c r="Q1087" s="579">
        <f t="shared" si="909"/>
        <v>60.692061728415723</v>
      </c>
      <c r="R1087" s="579">
        <f t="shared" si="909"/>
        <v>60.692061728415723</v>
      </c>
      <c r="S1087" s="579">
        <f t="shared" si="909"/>
        <v>60.692061728415723</v>
      </c>
      <c r="T1087" s="579">
        <f t="shared" si="909"/>
        <v>60.692061728415723</v>
      </c>
      <c r="U1087" s="579">
        <f t="shared" si="909"/>
        <v>60.692061728415723</v>
      </c>
      <c r="V1087" s="579">
        <f t="shared" si="909"/>
        <v>60.692061728415723</v>
      </c>
      <c r="W1087" s="579">
        <f t="shared" si="909"/>
        <v>60.692061728415723</v>
      </c>
      <c r="X1087" s="579">
        <f t="shared" si="909"/>
        <v>0</v>
      </c>
      <c r="Y1087" s="579">
        <f t="shared" si="909"/>
        <v>0</v>
      </c>
      <c r="Z1087" s="579">
        <f t="shared" si="909"/>
        <v>0</v>
      </c>
      <c r="AA1087" s="579"/>
      <c r="AB1087" s="579"/>
      <c r="AC1087" s="579"/>
      <c r="AD1087" s="579"/>
      <c r="AE1087" s="579"/>
      <c r="AF1087" s="579"/>
      <c r="AG1087" s="579"/>
      <c r="AH1087" s="579"/>
      <c r="AI1087" s="579"/>
      <c r="AJ1087" s="579"/>
    </row>
    <row r="1088" spans="1:39" x14ac:dyDescent="0.25">
      <c r="A1088" t="s">
        <v>859</v>
      </c>
      <c r="H1088" s="574" t="s">
        <v>429</v>
      </c>
      <c r="I1088" s="575" t="str">
        <f t="shared" si="908"/>
        <v>VND/phôi</v>
      </c>
      <c r="K1088" s="580">
        <f>SUM(K1089:K1090)</f>
        <v>0</v>
      </c>
      <c r="L1088" s="580">
        <f t="shared" ref="L1088:AJ1088" si="910">SUM(L1089:L1090)</f>
        <v>29.115063862219181</v>
      </c>
      <c r="M1088" s="580">
        <f t="shared" si="910"/>
        <v>20.79647418729942</v>
      </c>
      <c r="N1088" s="580">
        <f t="shared" si="910"/>
        <v>15.285408527665071</v>
      </c>
      <c r="O1088" s="580">
        <f t="shared" si="910"/>
        <v>16.049678954048325</v>
      </c>
      <c r="P1088" s="580">
        <f t="shared" si="910"/>
        <v>16.852162901750745</v>
      </c>
      <c r="Q1088" s="580">
        <f t="shared" si="910"/>
        <v>17.69477104683828</v>
      </c>
      <c r="R1088" s="580">
        <f t="shared" si="910"/>
        <v>18.579509599180195</v>
      </c>
      <c r="S1088" s="580">
        <f t="shared" si="910"/>
        <v>19.508485079139202</v>
      </c>
      <c r="T1088" s="580">
        <f t="shared" si="910"/>
        <v>20.483909333096165</v>
      </c>
      <c r="U1088" s="580">
        <f t="shared" si="910"/>
        <v>21.508104799750974</v>
      </c>
      <c r="V1088" s="580">
        <f t="shared" si="910"/>
        <v>22.58351003973852</v>
      </c>
      <c r="W1088" s="580">
        <f t="shared" si="910"/>
        <v>23.712685541725449</v>
      </c>
      <c r="X1088" s="580">
        <f t="shared" si="910"/>
        <v>24.898319818811725</v>
      </c>
      <c r="Y1088" s="580">
        <f t="shared" si="910"/>
        <v>26.143235809752301</v>
      </c>
      <c r="Z1088" s="580">
        <f t="shared" si="910"/>
        <v>27.450397600239924</v>
      </c>
      <c r="AA1088" s="580"/>
      <c r="AB1088" s="580"/>
      <c r="AC1088" s="580"/>
      <c r="AD1088" s="580"/>
      <c r="AE1088" s="580"/>
      <c r="AF1088" s="580"/>
      <c r="AG1088" s="580"/>
      <c r="AH1088" s="580"/>
      <c r="AI1088" s="580"/>
      <c r="AJ1088" s="580"/>
    </row>
    <row r="1089" spans="1:36" s="299" customFormat="1" x14ac:dyDescent="0.25">
      <c r="A1089" s="299" t="s">
        <v>859</v>
      </c>
      <c r="E1089" s="299" t="s">
        <v>171</v>
      </c>
      <c r="H1089" s="576" t="s">
        <v>430</v>
      </c>
      <c r="I1089" s="577" t="str">
        <f t="shared" si="908"/>
        <v>VND/phôi</v>
      </c>
      <c r="K1089" s="581"/>
      <c r="L1089" s="581">
        <f t="shared" ref="L1089:AJ1089" si="911">-IF($H$9="USD",L1019/L1006/$H$10*10^3,L1019/L1006/$H$10)</f>
        <v>4.7599559447769781</v>
      </c>
      <c r="M1089" s="581">
        <f t="shared" si="911"/>
        <v>3.3999685319835566</v>
      </c>
      <c r="N1089" s="581">
        <f t="shared" si="911"/>
        <v>2.4989768710079137</v>
      </c>
      <c r="O1089" s="581">
        <f t="shared" si="911"/>
        <v>2.6239257145583097</v>
      </c>
      <c r="P1089" s="581">
        <f t="shared" si="911"/>
        <v>2.7551220002862253</v>
      </c>
      <c r="Q1089" s="581">
        <f t="shared" si="911"/>
        <v>2.8928781003005359</v>
      </c>
      <c r="R1089" s="581">
        <f t="shared" si="911"/>
        <v>3.0375220053155632</v>
      </c>
      <c r="S1089" s="581">
        <f t="shared" si="911"/>
        <v>3.1893981055813412</v>
      </c>
      <c r="T1089" s="581">
        <f t="shared" si="911"/>
        <v>3.3488680108604085</v>
      </c>
      <c r="U1089" s="581">
        <f t="shared" si="911"/>
        <v>3.5163114114034286</v>
      </c>
      <c r="V1089" s="581">
        <f t="shared" si="911"/>
        <v>3.6921269819736002</v>
      </c>
      <c r="W1089" s="581">
        <f t="shared" si="911"/>
        <v>3.8767333310722805</v>
      </c>
      <c r="X1089" s="581">
        <f t="shared" si="911"/>
        <v>4.0705699976258947</v>
      </c>
      <c r="Y1089" s="581">
        <f t="shared" si="911"/>
        <v>4.2740984975071887</v>
      </c>
      <c r="Z1089" s="581">
        <f t="shared" si="911"/>
        <v>4.4878034223825489</v>
      </c>
      <c r="AA1089" s="581"/>
      <c r="AB1089" s="581"/>
      <c r="AC1089" s="581"/>
      <c r="AD1089" s="581"/>
      <c r="AE1089" s="581"/>
      <c r="AF1089" s="581"/>
      <c r="AG1089" s="581"/>
      <c r="AH1089" s="581"/>
      <c r="AI1089" s="581"/>
      <c r="AJ1089" s="581"/>
    </row>
    <row r="1090" spans="1:36" s="299" customFormat="1" x14ac:dyDescent="0.25">
      <c r="A1090" s="299" t="s">
        <v>859</v>
      </c>
      <c r="E1090" s="299" t="s">
        <v>171</v>
      </c>
      <c r="H1090" s="576" t="s">
        <v>431</v>
      </c>
      <c r="I1090" s="577" t="str">
        <f t="shared" si="908"/>
        <v>VND/phôi</v>
      </c>
      <c r="K1090" s="581"/>
      <c r="L1090" s="581">
        <f t="shared" ref="L1090:AJ1090" si="912">-IF($H$9="USD",L1020/L1006/$H$10*10^3,L1020/L1006/$H$10)</f>
        <v>24.355107917442204</v>
      </c>
      <c r="M1090" s="581">
        <f t="shared" si="912"/>
        <v>17.396505655315863</v>
      </c>
      <c r="N1090" s="581">
        <f t="shared" si="912"/>
        <v>12.786431656657157</v>
      </c>
      <c r="O1090" s="581">
        <f t="shared" si="912"/>
        <v>13.425753239490016</v>
      </c>
      <c r="P1090" s="581">
        <f t="shared" si="912"/>
        <v>14.097040901464521</v>
      </c>
      <c r="Q1090" s="581">
        <f t="shared" si="912"/>
        <v>14.801892946537743</v>
      </c>
      <c r="R1090" s="581">
        <f t="shared" si="912"/>
        <v>15.541987593864631</v>
      </c>
      <c r="S1090" s="581">
        <f t="shared" si="912"/>
        <v>16.319086973557862</v>
      </c>
      <c r="T1090" s="581">
        <f t="shared" si="912"/>
        <v>17.135041322235757</v>
      </c>
      <c r="U1090" s="581">
        <f t="shared" si="912"/>
        <v>17.991793388347546</v>
      </c>
      <c r="V1090" s="581">
        <f t="shared" si="912"/>
        <v>18.891383057764919</v>
      </c>
      <c r="W1090" s="581">
        <f t="shared" si="912"/>
        <v>19.835952210653168</v>
      </c>
      <c r="X1090" s="581">
        <f t="shared" si="912"/>
        <v>20.827749821185829</v>
      </c>
      <c r="Y1090" s="581">
        <f t="shared" si="912"/>
        <v>21.869137312245112</v>
      </c>
      <c r="Z1090" s="581">
        <f t="shared" si="912"/>
        <v>22.962594177857376</v>
      </c>
      <c r="AA1090" s="581"/>
      <c r="AB1090" s="581"/>
      <c r="AC1090" s="581"/>
      <c r="AD1090" s="581"/>
      <c r="AE1090" s="581"/>
      <c r="AF1090" s="581"/>
      <c r="AG1090" s="581"/>
      <c r="AH1090" s="581"/>
      <c r="AI1090" s="581"/>
      <c r="AJ1090" s="581"/>
    </row>
    <row r="1091" spans="1:36" x14ac:dyDescent="0.25">
      <c r="A1091" t="s">
        <v>859</v>
      </c>
      <c r="E1091" t="s">
        <v>172</v>
      </c>
      <c r="H1091" s="574" t="s">
        <v>656</v>
      </c>
      <c r="I1091" s="575" t="str">
        <f t="shared" si="908"/>
        <v>VND/phôi</v>
      </c>
      <c r="K1091" s="580"/>
      <c r="L1091" s="580">
        <f t="shared" ref="L1091:AJ1091" si="913">-IF($H$9="USD",L1021/L1006/$H$10*10^3,L1021/L1006/$H$10)</f>
        <v>11.623824040969422</v>
      </c>
      <c r="M1091" s="580">
        <f t="shared" si="913"/>
        <v>8.3027314578353018</v>
      </c>
      <c r="N1091" s="580">
        <f t="shared" si="913"/>
        <v>6.1025076215089467</v>
      </c>
      <c r="O1091" s="580">
        <f t="shared" si="913"/>
        <v>6.4076330025843937</v>
      </c>
      <c r="P1091" s="580">
        <f t="shared" si="913"/>
        <v>6.7280146527136147</v>
      </c>
      <c r="Q1091" s="580">
        <f t="shared" si="913"/>
        <v>7.064415385349295</v>
      </c>
      <c r="R1091" s="580">
        <f t="shared" si="913"/>
        <v>7.4176361546167602</v>
      </c>
      <c r="S1091" s="580">
        <f t="shared" si="913"/>
        <v>7.7885179623475977</v>
      </c>
      <c r="T1091" s="580">
        <f t="shared" si="913"/>
        <v>8.1779438604649783</v>
      </c>
      <c r="U1091" s="580">
        <f t="shared" si="913"/>
        <v>8.5868410534882269</v>
      </c>
      <c r="V1091" s="580">
        <f t="shared" si="913"/>
        <v>9.0161831061626376</v>
      </c>
      <c r="W1091" s="580">
        <f t="shared" si="913"/>
        <v>9.4669922614707716</v>
      </c>
      <c r="X1091" s="580">
        <f t="shared" si="913"/>
        <v>9.9403418745443091</v>
      </c>
      <c r="Y1091" s="580">
        <f t="shared" si="913"/>
        <v>10.437358968271525</v>
      </c>
      <c r="Z1091" s="580">
        <f t="shared" si="913"/>
        <v>10.959226916685102</v>
      </c>
      <c r="AA1091" s="580"/>
      <c r="AB1091" s="580"/>
      <c r="AC1091" s="580"/>
      <c r="AD1091" s="580"/>
      <c r="AE1091" s="580"/>
      <c r="AF1091" s="580"/>
      <c r="AG1091" s="580"/>
      <c r="AH1091" s="580"/>
      <c r="AI1091" s="580"/>
      <c r="AJ1091" s="580"/>
    </row>
    <row r="1092" spans="1:36" x14ac:dyDescent="0.25">
      <c r="A1092" t="s">
        <v>859</v>
      </c>
      <c r="E1092" t="s">
        <v>172</v>
      </c>
      <c r="H1092" s="574" t="s">
        <v>432</v>
      </c>
      <c r="I1092" s="575" t="str">
        <f t="shared" si="908"/>
        <v>VND/phôi</v>
      </c>
      <c r="K1092" s="580"/>
      <c r="L1092" s="580">
        <f t="shared" ref="L1092:AJ1092" si="914">-IF($H$9="USD",L1022/L1006/$H$10*10^3,L1022/L1006/$H$10)</f>
        <v>43.698284444459318</v>
      </c>
      <c r="M1092" s="580">
        <f t="shared" si="914"/>
        <v>31.213060317470944</v>
      </c>
      <c r="N1092" s="580">
        <f t="shared" si="914"/>
        <v>22.941599333341141</v>
      </c>
      <c r="O1092" s="580">
        <f t="shared" si="914"/>
        <v>24.088679300008199</v>
      </c>
      <c r="P1092" s="580">
        <f t="shared" si="914"/>
        <v>25.293113265008611</v>
      </c>
      <c r="Q1092" s="580">
        <f t="shared" si="914"/>
        <v>26.557768928259037</v>
      </c>
      <c r="R1092" s="580">
        <f t="shared" si="914"/>
        <v>27.88565737467199</v>
      </c>
      <c r="S1092" s="580">
        <f t="shared" si="914"/>
        <v>29.279940243405587</v>
      </c>
      <c r="T1092" s="580">
        <f t="shared" si="914"/>
        <v>30.743937255575872</v>
      </c>
      <c r="U1092" s="580">
        <f t="shared" si="914"/>
        <v>32.281134118354665</v>
      </c>
      <c r="V1092" s="580">
        <f t="shared" si="914"/>
        <v>33.895190824272397</v>
      </c>
      <c r="W1092" s="580">
        <f t="shared" si="914"/>
        <v>35.589950365486018</v>
      </c>
      <c r="X1092" s="580">
        <f t="shared" si="914"/>
        <v>37.369447883760323</v>
      </c>
      <c r="Y1092" s="580">
        <f t="shared" si="914"/>
        <v>39.237920277948334</v>
      </c>
      <c r="Z1092" s="580">
        <f t="shared" si="914"/>
        <v>41.199816291845757</v>
      </c>
      <c r="AA1092" s="580"/>
      <c r="AB1092" s="580"/>
      <c r="AC1092" s="580"/>
      <c r="AD1092" s="580"/>
      <c r="AE1092" s="580"/>
      <c r="AF1092" s="580"/>
      <c r="AG1092" s="580"/>
      <c r="AH1092" s="580"/>
      <c r="AI1092" s="580"/>
      <c r="AJ1092" s="580"/>
    </row>
    <row r="1093" spans="1:36" x14ac:dyDescent="0.25">
      <c r="A1093" t="s">
        <v>859</v>
      </c>
      <c r="E1093" t="s">
        <v>172</v>
      </c>
      <c r="H1093" s="574" t="s">
        <v>433</v>
      </c>
      <c r="I1093" s="575" t="str">
        <f t="shared" si="908"/>
        <v>VND/phôi</v>
      </c>
      <c r="K1093" s="580"/>
      <c r="L1093" s="580">
        <f t="shared" ref="L1093:AJ1093" si="915">-IF($H$9="USD",L1023/L1006/$H$10*10^3,L1023/L1006/$H$10)</f>
        <v>2.6734795294229672</v>
      </c>
      <c r="M1093" s="580">
        <f t="shared" si="915"/>
        <v>1.9096282353021197</v>
      </c>
      <c r="N1093" s="580">
        <f t="shared" si="915"/>
        <v>1.4035767529470577</v>
      </c>
      <c r="O1093" s="580">
        <f t="shared" si="915"/>
        <v>1.4737555905944109</v>
      </c>
      <c r="P1093" s="580">
        <f t="shared" si="915"/>
        <v>1.5474433701241312</v>
      </c>
      <c r="Q1093" s="580">
        <f t="shared" si="915"/>
        <v>1.624815538630338</v>
      </c>
      <c r="R1093" s="580">
        <f t="shared" si="915"/>
        <v>1.7060563155618549</v>
      </c>
      <c r="S1093" s="580">
        <f t="shared" si="915"/>
        <v>1.7913591313399475</v>
      </c>
      <c r="T1093" s="580">
        <f t="shared" si="915"/>
        <v>1.8809270879069451</v>
      </c>
      <c r="U1093" s="580">
        <f t="shared" si="915"/>
        <v>1.9749734423022924</v>
      </c>
      <c r="V1093" s="580">
        <f t="shared" si="915"/>
        <v>2.0737221144174067</v>
      </c>
      <c r="W1093" s="580">
        <f t="shared" si="915"/>
        <v>2.1774082201382772</v>
      </c>
      <c r="X1093" s="580">
        <f t="shared" si="915"/>
        <v>2.2862786311451915</v>
      </c>
      <c r="Y1093" s="580">
        <f t="shared" si="915"/>
        <v>2.4005925627024505</v>
      </c>
      <c r="Z1093" s="580">
        <f t="shared" si="915"/>
        <v>2.5206221908375732</v>
      </c>
      <c r="AA1093" s="580"/>
      <c r="AB1093" s="580"/>
      <c r="AC1093" s="580"/>
      <c r="AD1093" s="580"/>
      <c r="AE1093" s="580"/>
      <c r="AF1093" s="580"/>
      <c r="AG1093" s="580"/>
      <c r="AH1093" s="580"/>
      <c r="AI1093" s="580"/>
      <c r="AJ1093" s="580"/>
    </row>
    <row r="1094" spans="1:36" x14ac:dyDescent="0.25">
      <c r="A1094" t="s">
        <v>859</v>
      </c>
      <c r="E1094" t="s">
        <v>172</v>
      </c>
      <c r="H1094" s="574" t="s">
        <v>520</v>
      </c>
      <c r="I1094" s="575" t="str">
        <f t="shared" si="908"/>
        <v>VND/phôi</v>
      </c>
      <c r="K1094" s="580"/>
      <c r="L1094" s="580">
        <f t="shared" ref="L1094:AJ1094" si="916">-IF($H$9="USD",L1024/L1006/$H$10*10^3,L1024/L1006/$H$10)</f>
        <v>2.9132189629639549</v>
      </c>
      <c r="M1094" s="580">
        <f t="shared" si="916"/>
        <v>2.0808706878313963</v>
      </c>
      <c r="N1094" s="580">
        <f t="shared" si="916"/>
        <v>1.4566094814819774</v>
      </c>
      <c r="O1094" s="580">
        <f t="shared" si="916"/>
        <v>1.4566094814819774</v>
      </c>
      <c r="P1094" s="580">
        <f t="shared" si="916"/>
        <v>1.4566094814819774</v>
      </c>
      <c r="Q1094" s="580">
        <f t="shared" si="916"/>
        <v>1.4566094814819774</v>
      </c>
      <c r="R1094" s="580">
        <f t="shared" si="916"/>
        <v>1.4566094814819774</v>
      </c>
      <c r="S1094" s="580">
        <f t="shared" si="916"/>
        <v>1.4566094814819774</v>
      </c>
      <c r="T1094" s="580">
        <f t="shared" si="916"/>
        <v>1.4566094814819774</v>
      </c>
      <c r="U1094" s="580">
        <f t="shared" si="916"/>
        <v>1.4566094814819774</v>
      </c>
      <c r="V1094" s="580">
        <f t="shared" si="916"/>
        <v>1.4566094814819774</v>
      </c>
      <c r="W1094" s="580">
        <f t="shared" si="916"/>
        <v>1.4566094814819774</v>
      </c>
      <c r="X1094" s="580">
        <f t="shared" si="916"/>
        <v>1.4566094814819774</v>
      </c>
      <c r="Y1094" s="580">
        <f t="shared" si="916"/>
        <v>1.4566094814819774</v>
      </c>
      <c r="Z1094" s="580">
        <f t="shared" si="916"/>
        <v>1.4566094814819774</v>
      </c>
      <c r="AA1094" s="580"/>
      <c r="AB1094" s="580"/>
      <c r="AC1094" s="580"/>
      <c r="AD1094" s="580"/>
      <c r="AE1094" s="580"/>
      <c r="AF1094" s="580"/>
      <c r="AG1094" s="580"/>
      <c r="AH1094" s="580"/>
      <c r="AI1094" s="580"/>
      <c r="AJ1094" s="580"/>
    </row>
    <row r="1095" spans="1:36" x14ac:dyDescent="0.25">
      <c r="A1095" t="s">
        <v>859</v>
      </c>
      <c r="H1095" s="289"/>
      <c r="I1095" s="290"/>
      <c r="K1095" s="294"/>
      <c r="L1095" s="294"/>
      <c r="M1095" s="294"/>
      <c r="N1095" s="294"/>
      <c r="O1095" s="294"/>
      <c r="P1095" s="294"/>
      <c r="Q1095" s="294"/>
      <c r="R1095" s="294"/>
      <c r="S1095" s="294"/>
      <c r="T1095" s="294"/>
      <c r="U1095" s="294"/>
      <c r="V1095" s="294"/>
      <c r="W1095" s="294"/>
      <c r="X1095" s="294"/>
      <c r="Y1095" s="294"/>
      <c r="Z1095" s="294"/>
      <c r="AA1095" s="294"/>
      <c r="AB1095" s="294"/>
      <c r="AC1095" s="294"/>
      <c r="AD1095" s="294"/>
      <c r="AE1095" s="294"/>
      <c r="AF1095" s="294"/>
      <c r="AG1095" s="294"/>
      <c r="AH1095" s="294"/>
      <c r="AI1095" s="294"/>
      <c r="AJ1095" s="294"/>
    </row>
    <row r="1096" spans="1:36" s="1" customFormat="1" x14ac:dyDescent="0.25">
      <c r="A1096" s="1" t="s">
        <v>859</v>
      </c>
      <c r="H1096" s="287" t="s">
        <v>435</v>
      </c>
      <c r="I1096" s="288" t="str">
        <f t="shared" ref="I1096:I1120" si="917">IF($H$9="USD","USD/1.000 phôi","VND/phôi")</f>
        <v>VND/phôi</v>
      </c>
      <c r="K1096" s="295">
        <f>K1097+K1100+K1103</f>
        <v>0</v>
      </c>
      <c r="L1096" s="295">
        <f t="shared" ref="L1096:AJ1096" si="918">L1097+L1100+L1103</f>
        <v>447.97280830234058</v>
      </c>
      <c r="M1096" s="295">
        <f t="shared" si="918"/>
        <v>445.55671693894794</v>
      </c>
      <c r="N1096" s="295">
        <f t="shared" si="918"/>
        <v>453.73016413996498</v>
      </c>
      <c r="O1096" s="295">
        <f t="shared" si="918"/>
        <v>463.97340726260791</v>
      </c>
      <c r="P1096" s="295">
        <f t="shared" si="918"/>
        <v>474.48243318654426</v>
      </c>
      <c r="Q1096" s="295">
        <f t="shared" si="918"/>
        <v>485.26560346474207</v>
      </c>
      <c r="R1096" s="295">
        <f t="shared" si="918"/>
        <v>496.33159917607549</v>
      </c>
      <c r="S1096" s="295">
        <f t="shared" si="918"/>
        <v>507.68943493058595</v>
      </c>
      <c r="T1096" s="295">
        <f t="shared" si="918"/>
        <v>519.34847353558439</v>
      </c>
      <c r="U1096" s="295">
        <f t="shared" si="918"/>
        <v>531.31844135485039</v>
      </c>
      <c r="V1096" s="295">
        <f t="shared" si="918"/>
        <v>543.60944439477828</v>
      </c>
      <c r="W1096" s="295">
        <f t="shared" si="918"/>
        <v>556.2319851529943</v>
      </c>
      <c r="X1096" s="295">
        <f t="shared" si="918"/>
        <v>566.76929779760246</v>
      </c>
      <c r="Y1096" s="295">
        <f t="shared" si="918"/>
        <v>580.08809653100502</v>
      </c>
      <c r="Z1096" s="295">
        <f t="shared" si="918"/>
        <v>593.77250014232709</v>
      </c>
      <c r="AA1096" s="295"/>
      <c r="AB1096" s="295"/>
      <c r="AC1096" s="295"/>
      <c r="AD1096" s="295"/>
      <c r="AE1096" s="295"/>
      <c r="AF1096" s="295"/>
      <c r="AG1096" s="295"/>
      <c r="AH1096" s="295"/>
      <c r="AI1096" s="295"/>
      <c r="AJ1096" s="295"/>
    </row>
    <row r="1097" spans="1:36" x14ac:dyDescent="0.25">
      <c r="A1097" t="s">
        <v>859</v>
      </c>
      <c r="H1097" s="572" t="s">
        <v>454</v>
      </c>
      <c r="I1097" s="573" t="str">
        <f t="shared" si="917"/>
        <v>VND/phôi</v>
      </c>
      <c r="K1097" s="582">
        <f>SUM(K1098:K1099)</f>
        <v>0</v>
      </c>
      <c r="L1097" s="582">
        <f t="shared" ref="L1097:AJ1097" si="919">SUM(L1098:L1099)</f>
        <v>402.58064516129031</v>
      </c>
      <c r="M1097" s="582">
        <f t="shared" si="919"/>
        <v>402.58064516129042</v>
      </c>
      <c r="N1097" s="582">
        <f t="shared" si="919"/>
        <v>410.63225806451618</v>
      </c>
      <c r="O1097" s="582">
        <f t="shared" si="919"/>
        <v>418.84490322580649</v>
      </c>
      <c r="P1097" s="582">
        <f t="shared" si="919"/>
        <v>427.22180129032256</v>
      </c>
      <c r="Q1097" s="582">
        <f t="shared" si="919"/>
        <v>435.76623731612904</v>
      </c>
      <c r="R1097" s="582">
        <f t="shared" si="919"/>
        <v>444.48156206245164</v>
      </c>
      <c r="S1097" s="582">
        <f t="shared" si="919"/>
        <v>453.37119330370069</v>
      </c>
      <c r="T1097" s="582">
        <f t="shared" si="919"/>
        <v>462.4386171697746</v>
      </c>
      <c r="U1097" s="582">
        <f t="shared" si="919"/>
        <v>471.68738951317005</v>
      </c>
      <c r="V1097" s="582">
        <f t="shared" si="919"/>
        <v>481.12113730343356</v>
      </c>
      <c r="W1097" s="582">
        <f t="shared" si="919"/>
        <v>490.74356004950221</v>
      </c>
      <c r="X1097" s="582">
        <f t="shared" si="919"/>
        <v>500.55843125049216</v>
      </c>
      <c r="Y1097" s="582">
        <f t="shared" si="919"/>
        <v>510.56959987550215</v>
      </c>
      <c r="Z1097" s="582">
        <f t="shared" si="919"/>
        <v>520.78099187301211</v>
      </c>
      <c r="AA1097" s="582"/>
      <c r="AB1097" s="582"/>
      <c r="AC1097" s="582"/>
      <c r="AD1097" s="582"/>
      <c r="AE1097" s="582"/>
      <c r="AF1097" s="582"/>
      <c r="AG1097" s="582"/>
      <c r="AH1097" s="582"/>
      <c r="AI1097" s="582"/>
      <c r="AJ1097" s="582"/>
    </row>
    <row r="1098" spans="1:36" s="299" customFormat="1" x14ac:dyDescent="0.25">
      <c r="A1098" s="299" t="s">
        <v>859</v>
      </c>
      <c r="E1098" s="299" t="s">
        <v>536</v>
      </c>
      <c r="H1098" s="576" t="s">
        <v>167</v>
      </c>
      <c r="I1098" s="577" t="str">
        <f t="shared" si="917"/>
        <v>VND/phôi</v>
      </c>
      <c r="K1098" s="581"/>
      <c r="L1098" s="581">
        <f>-IF($H$9="USD",L1028/L1006/$H$10*10^3,L1028/L1006/$H$10)</f>
        <v>374.4</v>
      </c>
      <c r="M1098" s="581">
        <f t="shared" ref="M1098:AJ1098" si="920">-IF($H$9="USD",M1028/M1006/$H$10*10^3,M1028/M1006/$H$10)</f>
        <v>374.40000000000003</v>
      </c>
      <c r="N1098" s="581">
        <f t="shared" si="920"/>
        <v>381.88799999999998</v>
      </c>
      <c r="O1098" s="581">
        <f t="shared" si="920"/>
        <v>389.52575999999999</v>
      </c>
      <c r="P1098" s="581">
        <f t="shared" si="920"/>
        <v>397.31627519999995</v>
      </c>
      <c r="Q1098" s="581">
        <f t="shared" si="920"/>
        <v>405.26260070400002</v>
      </c>
      <c r="R1098" s="581">
        <f t="shared" si="920"/>
        <v>413.36785271808003</v>
      </c>
      <c r="S1098" s="581">
        <f t="shared" si="920"/>
        <v>421.63520977244161</v>
      </c>
      <c r="T1098" s="581">
        <f t="shared" si="920"/>
        <v>430.06791396789032</v>
      </c>
      <c r="U1098" s="581">
        <f t="shared" si="920"/>
        <v>438.66927224724816</v>
      </c>
      <c r="V1098" s="581">
        <f t="shared" si="920"/>
        <v>447.44265769219317</v>
      </c>
      <c r="W1098" s="581">
        <f t="shared" si="920"/>
        <v>456.39151084603702</v>
      </c>
      <c r="X1098" s="581">
        <f t="shared" si="920"/>
        <v>465.51934106295772</v>
      </c>
      <c r="Y1098" s="581">
        <f t="shared" si="920"/>
        <v>474.82972788421694</v>
      </c>
      <c r="Z1098" s="581">
        <f t="shared" si="920"/>
        <v>484.32632244190125</v>
      </c>
      <c r="AA1098" s="581"/>
      <c r="AB1098" s="581"/>
      <c r="AC1098" s="581"/>
      <c r="AD1098" s="581"/>
      <c r="AE1098" s="581"/>
      <c r="AF1098" s="581"/>
      <c r="AG1098" s="581"/>
      <c r="AH1098" s="581"/>
      <c r="AI1098" s="581"/>
      <c r="AJ1098" s="581"/>
    </row>
    <row r="1099" spans="1:36" s="299" customFormat="1" x14ac:dyDescent="0.25">
      <c r="A1099" s="299" t="s">
        <v>859</v>
      </c>
      <c r="E1099" s="299" t="s">
        <v>537</v>
      </c>
      <c r="H1099" s="645" t="s">
        <v>203</v>
      </c>
      <c r="I1099" s="646" t="str">
        <f t="shared" si="917"/>
        <v>VND/phôi</v>
      </c>
      <c r="K1099" s="647"/>
      <c r="L1099" s="647">
        <f>-IF($H$9="USD",L1029/L1006/$H$10*10^3,L1029/L1006/$H$10)</f>
        <v>28.180645161290336</v>
      </c>
      <c r="M1099" s="647">
        <f t="shared" ref="M1099:AJ1099" si="921">-IF($H$9="USD",M1029/M1006/$H$10*10^3,M1029/M1006/$H$10)</f>
        <v>28.180645161290371</v>
      </c>
      <c r="N1099" s="647">
        <f t="shared" si="921"/>
        <v>28.744258064516178</v>
      </c>
      <c r="O1099" s="647">
        <f t="shared" si="921"/>
        <v>29.319143225806506</v>
      </c>
      <c r="P1099" s="647">
        <f t="shared" si="921"/>
        <v>29.905526090322624</v>
      </c>
      <c r="Q1099" s="647">
        <f t="shared" si="921"/>
        <v>30.503636612129036</v>
      </c>
      <c r="R1099" s="647">
        <f t="shared" si="921"/>
        <v>31.113709344371639</v>
      </c>
      <c r="S1099" s="647">
        <f t="shared" si="921"/>
        <v>31.735983531259077</v>
      </c>
      <c r="T1099" s="647">
        <f t="shared" si="921"/>
        <v>32.370703201884282</v>
      </c>
      <c r="U1099" s="647">
        <f t="shared" si="921"/>
        <v>33.018117265921916</v>
      </c>
      <c r="V1099" s="647">
        <f t="shared" si="921"/>
        <v>33.678479611240391</v>
      </c>
      <c r="W1099" s="647">
        <f t="shared" si="921"/>
        <v>34.352049203465171</v>
      </c>
      <c r="X1099" s="647">
        <f t="shared" si="921"/>
        <v>35.039090187534455</v>
      </c>
      <c r="Y1099" s="647">
        <f t="shared" si="921"/>
        <v>35.739871991285206</v>
      </c>
      <c r="Z1099" s="647">
        <f t="shared" si="921"/>
        <v>36.454669431110879</v>
      </c>
      <c r="AA1099" s="647"/>
      <c r="AB1099" s="647"/>
      <c r="AC1099" s="647"/>
      <c r="AD1099" s="647"/>
      <c r="AE1099" s="647"/>
      <c r="AF1099" s="647"/>
      <c r="AG1099" s="647"/>
      <c r="AH1099" s="647"/>
      <c r="AI1099" s="647"/>
      <c r="AJ1099" s="647"/>
    </row>
    <row r="1100" spans="1:36" x14ac:dyDescent="0.25">
      <c r="A1100" t="s">
        <v>859</v>
      </c>
      <c r="E1100" t="s">
        <v>177</v>
      </c>
      <c r="H1100" s="574" t="s">
        <v>676</v>
      </c>
      <c r="I1100" s="575" t="str">
        <f t="shared" si="917"/>
        <v>VND/phôi</v>
      </c>
      <c r="K1100" s="583">
        <f>SUM(K1101:K1102)</f>
        <v>0</v>
      </c>
      <c r="L1100" s="583">
        <f t="shared" ref="L1100:AJ1100" si="922">SUM(L1101:L1102)</f>
        <v>3.0630387096774192</v>
      </c>
      <c r="M1100" s="583">
        <f t="shared" si="922"/>
        <v>3.0630387096774196</v>
      </c>
      <c r="N1100" s="583">
        <f t="shared" si="922"/>
        <v>3.2161906451612912</v>
      </c>
      <c r="O1100" s="583">
        <f t="shared" si="922"/>
        <v>3.377000177419355</v>
      </c>
      <c r="P1100" s="583">
        <f t="shared" si="922"/>
        <v>3.5458501862903229</v>
      </c>
      <c r="Q1100" s="583">
        <f t="shared" si="922"/>
        <v>3.7231426956048392</v>
      </c>
      <c r="R1100" s="583">
        <f t="shared" si="922"/>
        <v>3.9092998303850814</v>
      </c>
      <c r="S1100" s="583">
        <f t="shared" si="922"/>
        <v>4.1047648219043342</v>
      </c>
      <c r="T1100" s="583">
        <f t="shared" si="922"/>
        <v>4.3100030629995523</v>
      </c>
      <c r="U1100" s="583">
        <f t="shared" si="922"/>
        <v>4.525503216149529</v>
      </c>
      <c r="V1100" s="583">
        <f t="shared" si="922"/>
        <v>4.7517783769570059</v>
      </c>
      <c r="W1100" s="583">
        <f t="shared" si="922"/>
        <v>4.9893672958048558</v>
      </c>
      <c r="X1100" s="583">
        <f t="shared" si="922"/>
        <v>5.2388356605950994</v>
      </c>
      <c r="Y1100" s="583">
        <f t="shared" si="922"/>
        <v>5.5007774436248544</v>
      </c>
      <c r="Z1100" s="583">
        <f t="shared" si="922"/>
        <v>5.7758163158060976</v>
      </c>
      <c r="AA1100" s="583"/>
      <c r="AB1100" s="583"/>
      <c r="AC1100" s="583"/>
      <c r="AD1100" s="583"/>
      <c r="AE1100" s="583"/>
      <c r="AF1100" s="583"/>
      <c r="AG1100" s="583"/>
      <c r="AH1100" s="583"/>
      <c r="AI1100" s="583"/>
      <c r="AJ1100" s="583"/>
    </row>
    <row r="1101" spans="1:36" s="299" customFormat="1" x14ac:dyDescent="0.25">
      <c r="A1101" s="299" t="s">
        <v>859</v>
      </c>
      <c r="H1101" s="576" t="s">
        <v>673</v>
      </c>
      <c r="I1101" s="577" t="str">
        <f t="shared" si="917"/>
        <v>VND/phôi</v>
      </c>
      <c r="K1101" s="581"/>
      <c r="L1101" s="581">
        <f>-IF($H$9="USD",L1031/L1006/$H$10*10^3,L1031/L1006/$H$10)</f>
        <v>3.0630387096774192</v>
      </c>
      <c r="M1101" s="581">
        <f t="shared" ref="M1101:AJ1101" si="923">-IF($H$9="USD",M1031/M1006/$H$10*10^3,M1031/M1006/$H$10)</f>
        <v>3.0630387096774196</v>
      </c>
      <c r="N1101" s="581">
        <f t="shared" si="923"/>
        <v>3.2161906451612912</v>
      </c>
      <c r="O1101" s="581">
        <f t="shared" si="923"/>
        <v>3.377000177419355</v>
      </c>
      <c r="P1101" s="581">
        <f t="shared" si="923"/>
        <v>3.5458501862903229</v>
      </c>
      <c r="Q1101" s="581">
        <f t="shared" si="923"/>
        <v>3.7231426956048392</v>
      </c>
      <c r="R1101" s="581">
        <f t="shared" si="923"/>
        <v>3.9092998303850814</v>
      </c>
      <c r="S1101" s="581">
        <f t="shared" si="923"/>
        <v>4.1047648219043342</v>
      </c>
      <c r="T1101" s="581">
        <f t="shared" si="923"/>
        <v>4.3100030629995523</v>
      </c>
      <c r="U1101" s="581">
        <f t="shared" si="923"/>
        <v>4.525503216149529</v>
      </c>
      <c r="V1101" s="581">
        <f t="shared" si="923"/>
        <v>4.7517783769570059</v>
      </c>
      <c r="W1101" s="581">
        <f t="shared" si="923"/>
        <v>4.9893672958048558</v>
      </c>
      <c r="X1101" s="581">
        <f t="shared" si="923"/>
        <v>5.2388356605950994</v>
      </c>
      <c r="Y1101" s="581">
        <f t="shared" si="923"/>
        <v>5.5007774436248544</v>
      </c>
      <c r="Z1101" s="581">
        <f t="shared" si="923"/>
        <v>5.7758163158060976</v>
      </c>
      <c r="AA1101" s="581"/>
      <c r="AB1101" s="581"/>
      <c r="AC1101" s="581"/>
      <c r="AD1101" s="581"/>
      <c r="AE1101" s="581"/>
      <c r="AF1101" s="581"/>
      <c r="AG1101" s="581"/>
      <c r="AH1101" s="581"/>
      <c r="AI1101" s="581"/>
      <c r="AJ1101" s="581"/>
    </row>
    <row r="1102" spans="1:36" s="299" customFormat="1" x14ac:dyDescent="0.25">
      <c r="A1102" s="299" t="s">
        <v>859</v>
      </c>
      <c r="H1102" s="576" t="s">
        <v>674</v>
      </c>
      <c r="I1102" s="577" t="str">
        <f t="shared" si="917"/>
        <v>VND/phôi</v>
      </c>
      <c r="K1102" s="581"/>
      <c r="L1102" s="581">
        <f>-IF($H$9="USD",L1032/L1006/$H$10*10^3,L1032/L1006/$H$10)</f>
        <v>0</v>
      </c>
      <c r="M1102" s="581">
        <f t="shared" ref="M1102:AJ1102" si="924">-IF($H$9="USD",M1032/M1006/$H$10*10^3,M1032/M1006/$H$10)</f>
        <v>0</v>
      </c>
      <c r="N1102" s="581">
        <f t="shared" si="924"/>
        <v>0</v>
      </c>
      <c r="O1102" s="581">
        <f t="shared" si="924"/>
        <v>0</v>
      </c>
      <c r="P1102" s="581">
        <f t="shared" si="924"/>
        <v>0</v>
      </c>
      <c r="Q1102" s="581">
        <f t="shared" si="924"/>
        <v>0</v>
      </c>
      <c r="R1102" s="581">
        <f t="shared" si="924"/>
        <v>0</v>
      </c>
      <c r="S1102" s="581">
        <f t="shared" si="924"/>
        <v>0</v>
      </c>
      <c r="T1102" s="581">
        <f t="shared" si="924"/>
        <v>0</v>
      </c>
      <c r="U1102" s="581">
        <f t="shared" si="924"/>
        <v>0</v>
      </c>
      <c r="V1102" s="581">
        <f t="shared" si="924"/>
        <v>0</v>
      </c>
      <c r="W1102" s="581">
        <f t="shared" si="924"/>
        <v>0</v>
      </c>
      <c r="X1102" s="581">
        <f t="shared" si="924"/>
        <v>0</v>
      </c>
      <c r="Y1102" s="581">
        <f t="shared" si="924"/>
        <v>0</v>
      </c>
      <c r="Z1102" s="581">
        <f t="shared" si="924"/>
        <v>0</v>
      </c>
      <c r="AA1102" s="581"/>
      <c r="AB1102" s="581"/>
      <c r="AC1102" s="581"/>
      <c r="AD1102" s="581"/>
      <c r="AE1102" s="581"/>
      <c r="AF1102" s="581"/>
      <c r="AG1102" s="581"/>
      <c r="AH1102" s="581"/>
      <c r="AI1102" s="581"/>
      <c r="AJ1102" s="581"/>
    </row>
    <row r="1103" spans="1:36" x14ac:dyDescent="0.25">
      <c r="A1103" t="s">
        <v>859</v>
      </c>
      <c r="H1103" s="574" t="s">
        <v>180</v>
      </c>
      <c r="I1103" s="575" t="str">
        <f t="shared" si="917"/>
        <v>VND/phôi</v>
      </c>
      <c r="K1103" s="583">
        <f>SUM(K1104:K1106)</f>
        <v>0</v>
      </c>
      <c r="L1103" s="583">
        <f>SUM(L1104:L1106)</f>
        <v>42.329124431372861</v>
      </c>
      <c r="M1103" s="583">
        <f t="shared" ref="M1103:AJ1103" si="925">SUM(M1104:M1106)</f>
        <v>39.913033067980095</v>
      </c>
      <c r="N1103" s="583">
        <f t="shared" si="925"/>
        <v>39.881715430287514</v>
      </c>
      <c r="O1103" s="583">
        <f t="shared" si="925"/>
        <v>41.75150385938209</v>
      </c>
      <c r="P1103" s="583">
        <f t="shared" si="925"/>
        <v>43.714781709931408</v>
      </c>
      <c r="Q1103" s="583">
        <f t="shared" si="925"/>
        <v>45.776223453008171</v>
      </c>
      <c r="R1103" s="583">
        <f t="shared" si="925"/>
        <v>47.940737283238796</v>
      </c>
      <c r="S1103" s="583">
        <f t="shared" si="925"/>
        <v>50.213476804980935</v>
      </c>
      <c r="T1103" s="583">
        <f t="shared" si="925"/>
        <v>52.599853302810196</v>
      </c>
      <c r="U1103" s="583">
        <f t="shared" si="925"/>
        <v>55.105548625530901</v>
      </c>
      <c r="V1103" s="583">
        <f t="shared" si="925"/>
        <v>57.736528714387653</v>
      </c>
      <c r="W1103" s="583">
        <f t="shared" si="925"/>
        <v>60.499057807687244</v>
      </c>
      <c r="X1103" s="583">
        <f t="shared" si="925"/>
        <v>60.972030886515178</v>
      </c>
      <c r="Y1103" s="583">
        <f t="shared" si="925"/>
        <v>64.01771921187796</v>
      </c>
      <c r="Z1103" s="583">
        <f t="shared" si="925"/>
        <v>67.215691953508923</v>
      </c>
      <c r="AA1103" s="583"/>
      <c r="AB1103" s="583"/>
      <c r="AC1103" s="583"/>
      <c r="AD1103" s="583"/>
      <c r="AE1103" s="583"/>
      <c r="AF1103" s="583"/>
      <c r="AG1103" s="583"/>
      <c r="AH1103" s="583"/>
      <c r="AI1103" s="583"/>
      <c r="AJ1103" s="583"/>
    </row>
    <row r="1104" spans="1:36" s="299" customFormat="1" x14ac:dyDescent="0.25">
      <c r="A1104" s="299" t="s">
        <v>859</v>
      </c>
      <c r="E1104" s="299" t="s">
        <v>174</v>
      </c>
      <c r="H1104" s="576" t="s">
        <v>73</v>
      </c>
      <c r="I1104" s="577" t="str">
        <f t="shared" si="917"/>
        <v>VND/phôi</v>
      </c>
      <c r="K1104" s="581"/>
      <c r="L1104" s="581">
        <f t="shared" ref="L1104:AJ1104" si="926">-IF($H$9="USD",L1034/L1006/$H$10*10^3,L1034/L1006/$H$10)</f>
        <v>27.847782258064516</v>
      </c>
      <c r="M1104" s="581">
        <f t="shared" si="926"/>
        <v>27.847782258064512</v>
      </c>
      <c r="N1104" s="581">
        <f t="shared" si="926"/>
        <v>29.24017137096774</v>
      </c>
      <c r="O1104" s="581">
        <f t="shared" si="926"/>
        <v>30.702179939516128</v>
      </c>
      <c r="P1104" s="581">
        <f t="shared" si="926"/>
        <v>32.237288936491936</v>
      </c>
      <c r="Q1104" s="581">
        <f t="shared" si="926"/>
        <v>33.849153383316526</v>
      </c>
      <c r="R1104" s="581">
        <f t="shared" si="926"/>
        <v>35.541611052482359</v>
      </c>
      <c r="S1104" s="581">
        <f t="shared" si="926"/>
        <v>37.318691605106473</v>
      </c>
      <c r="T1104" s="581">
        <f t="shared" si="926"/>
        <v>39.1846261853618</v>
      </c>
      <c r="U1104" s="581">
        <f t="shared" si="926"/>
        <v>41.143857494629891</v>
      </c>
      <c r="V1104" s="581">
        <f t="shared" si="926"/>
        <v>43.201050369361383</v>
      </c>
      <c r="W1104" s="581">
        <f t="shared" si="926"/>
        <v>45.36110288782946</v>
      </c>
      <c r="X1104" s="581">
        <f t="shared" si="926"/>
        <v>47.629158032220928</v>
      </c>
      <c r="Y1104" s="581">
        <f t="shared" si="926"/>
        <v>50.010615933831971</v>
      </c>
      <c r="Z1104" s="581">
        <f t="shared" si="926"/>
        <v>52.511146730523578</v>
      </c>
      <c r="AA1104" s="581"/>
      <c r="AB1104" s="581"/>
      <c r="AC1104" s="581"/>
      <c r="AD1104" s="581"/>
      <c r="AE1104" s="581"/>
      <c r="AF1104" s="581"/>
      <c r="AG1104" s="581"/>
      <c r="AH1104" s="581"/>
      <c r="AI1104" s="581"/>
      <c r="AJ1104" s="581"/>
    </row>
    <row r="1105" spans="1:36" s="299" customFormat="1" x14ac:dyDescent="0.25">
      <c r="A1105" s="299" t="s">
        <v>859</v>
      </c>
      <c r="E1105" s="299" t="s">
        <v>306</v>
      </c>
      <c r="H1105" s="576" t="s">
        <v>192</v>
      </c>
      <c r="I1105" s="577" t="str">
        <f t="shared" si="917"/>
        <v>VND/phôi</v>
      </c>
      <c r="K1105" s="581"/>
      <c r="L1105" s="581">
        <f t="shared" ref="L1105:AJ1105" si="927">-IF($H$9="USD",L1035/L1006/$H$10*10^3,L1035/L1006/$H$10)</f>
        <v>4.7222222222222214</v>
      </c>
      <c r="M1105" s="581">
        <f t="shared" si="927"/>
        <v>4.7222222222222214</v>
      </c>
      <c r="N1105" s="581">
        <f t="shared" si="927"/>
        <v>4.958333333333333</v>
      </c>
      <c r="O1105" s="581">
        <f t="shared" si="927"/>
        <v>5.2062499999999998</v>
      </c>
      <c r="P1105" s="581">
        <f t="shared" si="927"/>
        <v>5.4665624999999993</v>
      </c>
      <c r="Q1105" s="581">
        <f t="shared" si="927"/>
        <v>5.7398906249999992</v>
      </c>
      <c r="R1105" s="581">
        <f t="shared" si="927"/>
        <v>6.0268851562500005</v>
      </c>
      <c r="S1105" s="581">
        <f t="shared" si="927"/>
        <v>6.3282294140624984</v>
      </c>
      <c r="T1105" s="581">
        <f t="shared" si="927"/>
        <v>6.6446408847656251</v>
      </c>
      <c r="U1105" s="581">
        <f t="shared" si="927"/>
        <v>6.976872929003906</v>
      </c>
      <c r="V1105" s="581">
        <f t="shared" si="927"/>
        <v>7.3257165754541012</v>
      </c>
      <c r="W1105" s="581">
        <f t="shared" si="927"/>
        <v>7.6920024042268071</v>
      </c>
      <c r="X1105" s="581">
        <f t="shared" si="927"/>
        <v>8.0766025244381474</v>
      </c>
      <c r="Y1105" s="581">
        <f t="shared" si="927"/>
        <v>8.4804326506600525</v>
      </c>
      <c r="Z1105" s="581">
        <f t="shared" si="927"/>
        <v>8.9044542831930595</v>
      </c>
      <c r="AA1105" s="581"/>
      <c r="AB1105" s="581"/>
      <c r="AC1105" s="581"/>
      <c r="AD1105" s="581"/>
      <c r="AE1105" s="581"/>
      <c r="AF1105" s="581"/>
      <c r="AG1105" s="581"/>
      <c r="AH1105" s="581"/>
      <c r="AI1105" s="581"/>
      <c r="AJ1105" s="581"/>
    </row>
    <row r="1106" spans="1:36" s="299" customFormat="1" x14ac:dyDescent="0.25">
      <c r="A1106" s="299" t="s">
        <v>859</v>
      </c>
      <c r="E1106" s="299" t="s">
        <v>172</v>
      </c>
      <c r="H1106" s="576" t="s">
        <v>175</v>
      </c>
      <c r="I1106" s="577" t="str">
        <f t="shared" si="917"/>
        <v>VND/phôi</v>
      </c>
      <c r="K1106" s="581"/>
      <c r="L1106" s="581">
        <f t="shared" ref="L1106:AJ1106" si="928">-IF($H$9="USD",L1036/L1006/$H$10*10^3,L1036/L1006/$H$10)</f>
        <v>9.7591199510861202</v>
      </c>
      <c r="M1106" s="581">
        <f t="shared" si="928"/>
        <v>7.3430285876933645</v>
      </c>
      <c r="N1106" s="581">
        <f t="shared" si="928"/>
        <v>5.6832107259864406</v>
      </c>
      <c r="O1106" s="581">
        <f t="shared" si="928"/>
        <v>5.8430739198659678</v>
      </c>
      <c r="P1106" s="581">
        <f t="shared" si="928"/>
        <v>6.0109302734394703</v>
      </c>
      <c r="Q1106" s="581">
        <f t="shared" si="928"/>
        <v>6.1871794446916475</v>
      </c>
      <c r="R1106" s="581">
        <f t="shared" si="928"/>
        <v>6.3722410745064346</v>
      </c>
      <c r="S1106" s="581">
        <f t="shared" si="928"/>
        <v>6.5665557858119614</v>
      </c>
      <c r="T1106" s="581">
        <f t="shared" si="928"/>
        <v>6.7705862326827644</v>
      </c>
      <c r="U1106" s="581">
        <f t="shared" si="928"/>
        <v>6.9848182018971068</v>
      </c>
      <c r="V1106" s="581">
        <f t="shared" si="928"/>
        <v>7.2097617695721654</v>
      </c>
      <c r="W1106" s="581">
        <f t="shared" si="928"/>
        <v>7.4459525156309789</v>
      </c>
      <c r="X1106" s="581">
        <f t="shared" si="928"/>
        <v>5.2662703298561038</v>
      </c>
      <c r="Y1106" s="581">
        <f t="shared" si="928"/>
        <v>5.5266706273859452</v>
      </c>
      <c r="Z1106" s="581">
        <f t="shared" si="928"/>
        <v>5.8000909397922804</v>
      </c>
      <c r="AA1106" s="581"/>
      <c r="AB1106" s="581"/>
      <c r="AC1106" s="581"/>
      <c r="AD1106" s="581"/>
      <c r="AE1106" s="581"/>
      <c r="AF1106" s="581"/>
      <c r="AG1106" s="581"/>
      <c r="AH1106" s="581"/>
      <c r="AI1106" s="581"/>
      <c r="AJ1106" s="581"/>
    </row>
    <row r="1107" spans="1:36" x14ac:dyDescent="0.25">
      <c r="A1107" t="s">
        <v>859</v>
      </c>
      <c r="H1107" s="289"/>
      <c r="I1107" s="290"/>
      <c r="K1107" s="296"/>
      <c r="L1107" s="297"/>
      <c r="M1107" s="296"/>
      <c r="N1107" s="296"/>
      <c r="O1107" s="296"/>
      <c r="P1107" s="296"/>
      <c r="Q1107" s="296"/>
      <c r="R1107" s="296"/>
      <c r="S1107" s="296"/>
      <c r="T1107" s="296"/>
      <c r="U1107" s="296"/>
      <c r="V1107" s="296"/>
      <c r="W1107" s="296"/>
      <c r="X1107" s="296"/>
      <c r="Y1107" s="296"/>
      <c r="Z1107" s="296"/>
      <c r="AA1107" s="296"/>
      <c r="AB1107" s="296"/>
      <c r="AC1107" s="296"/>
      <c r="AD1107" s="296"/>
      <c r="AE1107" s="296"/>
      <c r="AF1107" s="296"/>
      <c r="AG1107" s="296"/>
      <c r="AH1107" s="296"/>
      <c r="AI1107" s="296"/>
      <c r="AJ1107" s="296"/>
    </row>
    <row r="1108" spans="1:36" s="16" customFormat="1" x14ac:dyDescent="0.25">
      <c r="A1108" s="16" t="s">
        <v>859</v>
      </c>
      <c r="H1108" s="291" t="s">
        <v>464</v>
      </c>
      <c r="I1108" s="292" t="str">
        <f t="shared" si="917"/>
        <v>VND/phôi</v>
      </c>
      <c r="K1108" s="298">
        <f>K1086+K1096</f>
        <v>0</v>
      </c>
      <c r="L1108" s="298">
        <f t="shared" ref="L1108:AJ1108" si="929">L1086+L1096</f>
        <v>659.38080259920685</v>
      </c>
      <c r="M1108" s="298">
        <f t="shared" si="929"/>
        <v>596.56242715099529</v>
      </c>
      <c r="N1108" s="298">
        <f t="shared" si="929"/>
        <v>561.61192758532491</v>
      </c>
      <c r="O1108" s="298">
        <f t="shared" si="929"/>
        <v>574.14182531974097</v>
      </c>
      <c r="P1108" s="298">
        <f t="shared" si="929"/>
        <v>587.05183858603903</v>
      </c>
      <c r="Q1108" s="298">
        <f t="shared" si="929"/>
        <v>600.35604557371676</v>
      </c>
      <c r="R1108" s="298">
        <f t="shared" si="929"/>
        <v>614.06912983000393</v>
      </c>
      <c r="S1108" s="298">
        <f t="shared" si="929"/>
        <v>628.20640855671604</v>
      </c>
      <c r="T1108" s="298">
        <f t="shared" si="929"/>
        <v>642.783862282526</v>
      </c>
      <c r="U1108" s="298">
        <f t="shared" si="929"/>
        <v>657.81816597864429</v>
      </c>
      <c r="V1108" s="298">
        <f t="shared" si="929"/>
        <v>673.32672168926695</v>
      </c>
      <c r="W1108" s="298">
        <f t="shared" si="929"/>
        <v>689.32769275171256</v>
      </c>
      <c r="X1108" s="298">
        <f t="shared" si="929"/>
        <v>642.72029548734599</v>
      </c>
      <c r="Y1108" s="298">
        <f t="shared" si="929"/>
        <v>659.76381363116161</v>
      </c>
      <c r="Z1108" s="298">
        <f t="shared" si="929"/>
        <v>677.35917262341741</v>
      </c>
      <c r="AA1108" s="298"/>
      <c r="AB1108" s="298"/>
      <c r="AC1108" s="298"/>
      <c r="AD1108" s="298"/>
      <c r="AE1108" s="298"/>
      <c r="AF1108" s="298"/>
      <c r="AG1108" s="298"/>
      <c r="AH1108" s="298"/>
      <c r="AI1108" s="298"/>
      <c r="AJ1108" s="298"/>
    </row>
    <row r="1109" spans="1:36" x14ac:dyDescent="0.25">
      <c r="A1109" t="s">
        <v>859</v>
      </c>
      <c r="H1109" s="289"/>
      <c r="I1109" s="290"/>
      <c r="K1109" s="296"/>
      <c r="L1109" s="296"/>
      <c r="M1109" s="296"/>
      <c r="N1109" s="296"/>
      <c r="O1109" s="296"/>
      <c r="P1109" s="296"/>
      <c r="Q1109" s="296"/>
      <c r="R1109" s="296"/>
      <c r="S1109" s="296"/>
      <c r="T1109" s="296"/>
      <c r="U1109" s="296"/>
      <c r="V1109" s="296"/>
      <c r="W1109" s="296"/>
      <c r="X1109" s="296"/>
      <c r="Y1109" s="296"/>
      <c r="Z1109" s="296"/>
      <c r="AA1109" s="296"/>
      <c r="AB1109" s="296"/>
      <c r="AC1109" s="296"/>
      <c r="AD1109" s="296"/>
      <c r="AE1109" s="296"/>
      <c r="AF1109" s="296"/>
      <c r="AG1109" s="296"/>
      <c r="AH1109" s="296"/>
      <c r="AI1109" s="296"/>
      <c r="AJ1109" s="296"/>
    </row>
    <row r="1110" spans="1:36" x14ac:dyDescent="0.25">
      <c r="A1110" t="s">
        <v>859</v>
      </c>
      <c r="E1110" t="s">
        <v>172</v>
      </c>
      <c r="H1110" s="593" t="s">
        <v>166</v>
      </c>
      <c r="I1110" s="594" t="str">
        <f t="shared" si="917"/>
        <v>VND/phôi</v>
      </c>
      <c r="K1110" s="604"/>
      <c r="L1110" s="604">
        <f>-IF($H$9="USD",L1040/L1006/$H$10*10^3,L1040/L1006/$H$10)</f>
        <v>13.333333333333334</v>
      </c>
      <c r="M1110" s="604">
        <f t="shared" ref="M1110:AJ1110" si="930">-IF($H$9="USD",M1040/M1006/$H$10*10^3,M1040/M1006/$H$10)</f>
        <v>13.333333333333332</v>
      </c>
      <c r="N1110" s="604">
        <f t="shared" si="930"/>
        <v>13.999999999999998</v>
      </c>
      <c r="O1110" s="604">
        <f t="shared" si="930"/>
        <v>14.700000000000001</v>
      </c>
      <c r="P1110" s="604">
        <f t="shared" si="930"/>
        <v>15.435</v>
      </c>
      <c r="Q1110" s="604">
        <f t="shared" si="930"/>
        <v>16.20675</v>
      </c>
      <c r="R1110" s="604">
        <f t="shared" si="930"/>
        <v>17.017087500000002</v>
      </c>
      <c r="S1110" s="604">
        <f t="shared" si="930"/>
        <v>17.867941875</v>
      </c>
      <c r="T1110" s="604">
        <f t="shared" si="930"/>
        <v>18.761338968750003</v>
      </c>
      <c r="U1110" s="604">
        <f t="shared" si="930"/>
        <v>19.699405917187502</v>
      </c>
      <c r="V1110" s="604">
        <f t="shared" si="930"/>
        <v>20.684376213046878</v>
      </c>
      <c r="W1110" s="604">
        <f t="shared" si="930"/>
        <v>21.718595023699219</v>
      </c>
      <c r="X1110" s="604">
        <f t="shared" si="930"/>
        <v>22.804524774884179</v>
      </c>
      <c r="Y1110" s="604">
        <f t="shared" si="930"/>
        <v>23.944751013628391</v>
      </c>
      <c r="Z1110" s="604">
        <f t="shared" si="930"/>
        <v>25.141988564309816</v>
      </c>
      <c r="AA1110" s="604"/>
      <c r="AB1110" s="604"/>
      <c r="AC1110" s="604"/>
      <c r="AD1110" s="604"/>
      <c r="AE1110" s="604"/>
      <c r="AF1110" s="604"/>
      <c r="AG1110" s="604"/>
      <c r="AH1110" s="604"/>
      <c r="AI1110" s="604"/>
      <c r="AJ1110" s="604"/>
    </row>
    <row r="1111" spans="1:36" x14ac:dyDescent="0.25">
      <c r="A1111" t="s">
        <v>859</v>
      </c>
      <c r="E1111" t="s">
        <v>171</v>
      </c>
      <c r="H1111" s="574" t="s">
        <v>469</v>
      </c>
      <c r="I1111" s="575" t="str">
        <f t="shared" si="917"/>
        <v>VND/phôi</v>
      </c>
      <c r="K1111" s="584"/>
      <c r="L1111" s="584">
        <f t="shared" ref="L1111:AJ1111" si="931">-IF($H$9="USD",L1041/L1006/$H$10*10^3,L1041/L1006/$H$10)</f>
        <v>0</v>
      </c>
      <c r="M1111" s="584">
        <f t="shared" si="931"/>
        <v>0</v>
      </c>
      <c r="N1111" s="584">
        <f t="shared" si="931"/>
        <v>0</v>
      </c>
      <c r="O1111" s="584">
        <f t="shared" si="931"/>
        <v>0</v>
      </c>
      <c r="P1111" s="584">
        <f t="shared" si="931"/>
        <v>0</v>
      </c>
      <c r="Q1111" s="584">
        <f t="shared" si="931"/>
        <v>0</v>
      </c>
      <c r="R1111" s="584">
        <f t="shared" si="931"/>
        <v>0</v>
      </c>
      <c r="S1111" s="584">
        <f t="shared" si="931"/>
        <v>0</v>
      </c>
      <c r="T1111" s="584">
        <f t="shared" si="931"/>
        <v>0</v>
      </c>
      <c r="U1111" s="584">
        <f t="shared" si="931"/>
        <v>0</v>
      </c>
      <c r="V1111" s="584">
        <f t="shared" si="931"/>
        <v>0</v>
      </c>
      <c r="W1111" s="584">
        <f t="shared" si="931"/>
        <v>0</v>
      </c>
      <c r="X1111" s="584">
        <f t="shared" si="931"/>
        <v>0</v>
      </c>
      <c r="Y1111" s="584">
        <f t="shared" si="931"/>
        <v>0</v>
      </c>
      <c r="Z1111" s="584">
        <f t="shared" si="931"/>
        <v>0</v>
      </c>
      <c r="AA1111" s="584"/>
      <c r="AB1111" s="584"/>
      <c r="AC1111" s="584"/>
      <c r="AD1111" s="584"/>
      <c r="AE1111" s="584"/>
      <c r="AF1111" s="584"/>
      <c r="AG1111" s="584"/>
      <c r="AH1111" s="584"/>
      <c r="AI1111" s="584"/>
      <c r="AJ1111" s="584"/>
    </row>
    <row r="1112" spans="1:36" x14ac:dyDescent="0.25">
      <c r="A1112" t="s">
        <v>859</v>
      </c>
      <c r="E1112" t="s">
        <v>182</v>
      </c>
      <c r="H1112" s="574" t="s">
        <v>468</v>
      </c>
      <c r="I1112" s="575" t="str">
        <f t="shared" si="917"/>
        <v>VND/phôi</v>
      </c>
      <c r="K1112" s="574"/>
      <c r="L1112" s="584">
        <f t="shared" ref="L1112:AJ1112" si="932">-IF($H$9="USD",L1042/L1006/$H$10*10^3,L1042/L1006/$H$10)</f>
        <v>0</v>
      </c>
      <c r="M1112" s="584">
        <f t="shared" si="932"/>
        <v>0</v>
      </c>
      <c r="N1112" s="584">
        <f t="shared" si="932"/>
        <v>0</v>
      </c>
      <c r="O1112" s="584">
        <f t="shared" si="932"/>
        <v>0</v>
      </c>
      <c r="P1112" s="584">
        <f t="shared" si="932"/>
        <v>0</v>
      </c>
      <c r="Q1112" s="584">
        <f t="shared" si="932"/>
        <v>0</v>
      </c>
      <c r="R1112" s="584">
        <f t="shared" si="932"/>
        <v>0</v>
      </c>
      <c r="S1112" s="584">
        <f t="shared" si="932"/>
        <v>0</v>
      </c>
      <c r="T1112" s="584">
        <f t="shared" si="932"/>
        <v>0</v>
      </c>
      <c r="U1112" s="584">
        <f t="shared" si="932"/>
        <v>0</v>
      </c>
      <c r="V1112" s="584">
        <f t="shared" si="932"/>
        <v>0</v>
      </c>
      <c r="W1112" s="584">
        <f t="shared" si="932"/>
        <v>0</v>
      </c>
      <c r="X1112" s="584">
        <f t="shared" si="932"/>
        <v>0</v>
      </c>
      <c r="Y1112" s="584">
        <f t="shared" si="932"/>
        <v>0</v>
      </c>
      <c r="Z1112" s="584">
        <f t="shared" si="932"/>
        <v>0</v>
      </c>
      <c r="AA1112" s="584"/>
      <c r="AB1112" s="584"/>
      <c r="AC1112" s="584"/>
      <c r="AD1112" s="584"/>
      <c r="AE1112" s="584"/>
      <c r="AF1112" s="584"/>
      <c r="AG1112" s="584"/>
      <c r="AH1112" s="584"/>
      <c r="AI1112" s="584"/>
      <c r="AJ1112" s="584"/>
    </row>
    <row r="1113" spans="1:36" x14ac:dyDescent="0.25">
      <c r="A1113" t="s">
        <v>859</v>
      </c>
      <c r="E1113" t="s">
        <v>182</v>
      </c>
      <c r="H1113" s="574" t="s">
        <v>470</v>
      </c>
      <c r="I1113" s="575" t="str">
        <f t="shared" si="917"/>
        <v>VND/phôi</v>
      </c>
      <c r="K1113" s="574"/>
      <c r="L1113" s="584">
        <f>-IF($H$9="USD",L1043/L1006/$H$10*10^3,L1043/L1006/$H$10)</f>
        <v>71.373864592616897</v>
      </c>
      <c r="M1113" s="584">
        <f t="shared" ref="M1113:AJ1113" si="933">-IF($H$9="USD",M1043/M1006/$H$10*10^3,M1043/M1006/$H$10)</f>
        <v>48.952548884066616</v>
      </c>
      <c r="N1113" s="584">
        <f t="shared" si="933"/>
        <v>32.74722577596247</v>
      </c>
      <c r="O1113" s="584">
        <f t="shared" si="933"/>
        <v>31.121298242076431</v>
      </c>
      <c r="P1113" s="584">
        <f t="shared" si="933"/>
        <v>29.381555780818363</v>
      </c>
      <c r="Q1113" s="584">
        <f t="shared" si="933"/>
        <v>27.520031347272241</v>
      </c>
      <c r="R1113" s="584">
        <f t="shared" si="933"/>
        <v>25.528200203377882</v>
      </c>
      <c r="S1113" s="584">
        <f t="shared" si="933"/>
        <v>23.396940879410916</v>
      </c>
      <c r="T1113" s="584">
        <f t="shared" si="933"/>
        <v>21.116493402766267</v>
      </c>
      <c r="U1113" s="584">
        <f t="shared" si="933"/>
        <v>18.676414602756491</v>
      </c>
      <c r="V1113" s="584">
        <f t="shared" si="933"/>
        <v>16.065530286746032</v>
      </c>
      <c r="W1113" s="584">
        <f t="shared" si="933"/>
        <v>13.271884068614838</v>
      </c>
      <c r="X1113" s="584">
        <f t="shared" si="933"/>
        <v>10.282682615214464</v>
      </c>
      <c r="Y1113" s="584">
        <f t="shared" si="933"/>
        <v>7.0842370600760587</v>
      </c>
      <c r="Z1113" s="584">
        <f t="shared" si="933"/>
        <v>3.6619003160779675</v>
      </c>
      <c r="AA1113" s="584"/>
      <c r="AB1113" s="584"/>
      <c r="AC1113" s="584"/>
      <c r="AD1113" s="584"/>
      <c r="AE1113" s="584"/>
      <c r="AF1113" s="584"/>
      <c r="AG1113" s="584"/>
      <c r="AH1113" s="584"/>
      <c r="AI1113" s="584"/>
      <c r="AJ1113" s="584"/>
    </row>
    <row r="1114" spans="1:36" x14ac:dyDescent="0.25">
      <c r="A1114" t="s">
        <v>859</v>
      </c>
      <c r="H1114" s="289"/>
      <c r="I1114" s="290"/>
      <c r="K1114" s="289"/>
      <c r="L1114" s="289"/>
      <c r="M1114" s="289"/>
      <c r="N1114" s="289"/>
      <c r="O1114" s="289"/>
      <c r="P1114" s="289"/>
      <c r="Q1114" s="289"/>
      <c r="R1114" s="289"/>
      <c r="S1114" s="289"/>
      <c r="T1114" s="289"/>
      <c r="U1114" s="289"/>
      <c r="V1114" s="289"/>
      <c r="W1114" s="289"/>
      <c r="X1114" s="289"/>
      <c r="Y1114" s="289"/>
      <c r="Z1114" s="289"/>
      <c r="AA1114" s="289"/>
      <c r="AB1114" s="289"/>
      <c r="AC1114" s="289"/>
      <c r="AD1114" s="289"/>
      <c r="AE1114" s="289"/>
      <c r="AF1114" s="289"/>
      <c r="AG1114" s="289"/>
      <c r="AH1114" s="289"/>
      <c r="AI1114" s="289"/>
      <c r="AJ1114" s="289"/>
    </row>
    <row r="1115" spans="1:36" s="16" customFormat="1" x14ac:dyDescent="0.25">
      <c r="A1115" s="16" t="s">
        <v>859</v>
      </c>
      <c r="H1115" s="291" t="s">
        <v>487</v>
      </c>
      <c r="I1115" s="292" t="str">
        <f t="shared" si="917"/>
        <v>VND/phôi</v>
      </c>
      <c r="K1115" s="298">
        <f>K1108+SUM(K1110:K1113)</f>
        <v>0</v>
      </c>
      <c r="L1115" s="298">
        <f t="shared" ref="L1115:AJ1115" si="934">L1108+SUM(L1110:L1113)</f>
        <v>744.0880005251571</v>
      </c>
      <c r="M1115" s="298">
        <f t="shared" si="934"/>
        <v>658.84830936839523</v>
      </c>
      <c r="N1115" s="298">
        <f t="shared" si="934"/>
        <v>608.35915336128733</v>
      </c>
      <c r="O1115" s="298">
        <f t="shared" si="934"/>
        <v>619.96312356181738</v>
      </c>
      <c r="P1115" s="298">
        <f t="shared" si="934"/>
        <v>631.86839436685739</v>
      </c>
      <c r="Q1115" s="298">
        <f t="shared" si="934"/>
        <v>644.08282692098896</v>
      </c>
      <c r="R1115" s="298">
        <f t="shared" si="934"/>
        <v>656.61441753338181</v>
      </c>
      <c r="S1115" s="298">
        <f t="shared" si="934"/>
        <v>669.47129131112695</v>
      </c>
      <c r="T1115" s="298">
        <f t="shared" si="934"/>
        <v>682.66169465404232</v>
      </c>
      <c r="U1115" s="298">
        <f t="shared" si="934"/>
        <v>696.19398649858829</v>
      </c>
      <c r="V1115" s="298">
        <f t="shared" si="934"/>
        <v>710.07662818905987</v>
      </c>
      <c r="W1115" s="298">
        <f t="shared" si="934"/>
        <v>724.31817184402666</v>
      </c>
      <c r="X1115" s="298">
        <f t="shared" si="934"/>
        <v>675.80750287744468</v>
      </c>
      <c r="Y1115" s="298">
        <f t="shared" si="934"/>
        <v>690.79280170486606</v>
      </c>
      <c r="Z1115" s="298">
        <f t="shared" si="934"/>
        <v>706.16306150380524</v>
      </c>
      <c r="AA1115" s="298"/>
      <c r="AB1115" s="298"/>
      <c r="AC1115" s="298"/>
      <c r="AD1115" s="298"/>
      <c r="AE1115" s="298"/>
      <c r="AF1115" s="298"/>
      <c r="AG1115" s="298"/>
      <c r="AH1115" s="298"/>
      <c r="AI1115" s="298"/>
      <c r="AJ1115" s="298"/>
    </row>
    <row r="1116" spans="1:36" x14ac:dyDescent="0.25">
      <c r="A1116" t="s">
        <v>859</v>
      </c>
    </row>
    <row r="1117" spans="1:36" x14ac:dyDescent="0.25">
      <c r="A1117" t="s">
        <v>859</v>
      </c>
      <c r="H1117" s="593" t="s">
        <v>361</v>
      </c>
      <c r="I1117" s="594" t="str">
        <f t="shared" si="917"/>
        <v>VND/phôi</v>
      </c>
      <c r="K1117" s="593"/>
      <c r="L1117" s="599">
        <f>INDEX('Cover Page'!$H$12:$AJ$12,MATCH($A1117,'Cover Page'!$H$5:$AJ$5,0))</f>
        <v>6.6666666666666666E-2</v>
      </c>
      <c r="M1117" s="599">
        <f>INDEX('Cover Page'!$H$12:$AJ$12,MATCH($A1117,'Cover Page'!$H$5:$AJ$5,0))</f>
        <v>6.6666666666666666E-2</v>
      </c>
      <c r="N1117" s="599">
        <f>INDEX('Cover Page'!$H$12:$AJ$12,MATCH($A1117,'Cover Page'!$H$5:$AJ$5,0))</f>
        <v>6.6666666666666666E-2</v>
      </c>
      <c r="O1117" s="599">
        <f>INDEX('Cover Page'!$H$12:$AJ$12,MATCH($A1117,'Cover Page'!$H$5:$AJ$5,0))</f>
        <v>6.6666666666666666E-2</v>
      </c>
      <c r="P1117" s="599">
        <f>INDEX('Cover Page'!$H$12:$AJ$12,MATCH($A1117,'Cover Page'!$H$5:$AJ$5,0))</f>
        <v>6.6666666666666666E-2</v>
      </c>
      <c r="Q1117" s="599">
        <f>INDEX('Cover Page'!$H$12:$AJ$12,MATCH($A1117,'Cover Page'!$H$5:$AJ$5,0))</f>
        <v>6.6666666666666666E-2</v>
      </c>
      <c r="R1117" s="599">
        <f>INDEX('Cover Page'!$H$12:$AJ$12,MATCH($A1117,'Cover Page'!$H$5:$AJ$5,0))</f>
        <v>6.6666666666666666E-2</v>
      </c>
      <c r="S1117" s="599">
        <f>INDEX('Cover Page'!$H$12:$AJ$12,MATCH($A1117,'Cover Page'!$H$5:$AJ$5,0))</f>
        <v>6.6666666666666666E-2</v>
      </c>
      <c r="T1117" s="599">
        <f>INDEX('Cover Page'!$H$12:$AJ$12,MATCH($A1117,'Cover Page'!$H$5:$AJ$5,0))</f>
        <v>6.6666666666666666E-2</v>
      </c>
      <c r="U1117" s="599">
        <f>INDEX('Cover Page'!$H$12:$AJ$12,MATCH($A1117,'Cover Page'!$H$5:$AJ$5,0))</f>
        <v>6.6666666666666666E-2</v>
      </c>
      <c r="V1117" s="599">
        <f>INDEX('Cover Page'!$H$12:$AJ$12,MATCH($A1117,'Cover Page'!$H$5:$AJ$5,0))</f>
        <v>6.6666666666666666E-2</v>
      </c>
      <c r="W1117" s="599">
        <f>INDEX('Cover Page'!$H$12:$AJ$12,MATCH($A1117,'Cover Page'!$H$5:$AJ$5,0))</f>
        <v>6.6666666666666666E-2</v>
      </c>
      <c r="X1117" s="599">
        <f>INDEX('Cover Page'!$H$12:$AJ$12,MATCH($A1117,'Cover Page'!$H$5:$AJ$5,0))</f>
        <v>6.6666666666666666E-2</v>
      </c>
      <c r="Y1117" s="599">
        <f>INDEX('Cover Page'!$H$12:$AJ$12,MATCH($A1117,'Cover Page'!$H$5:$AJ$5,0))</f>
        <v>6.6666666666666666E-2</v>
      </c>
      <c r="Z1117" s="599">
        <f>INDEX('Cover Page'!$H$12:$AJ$12,MATCH($A1117,'Cover Page'!$H$5:$AJ$5,0))</f>
        <v>6.6666666666666666E-2</v>
      </c>
      <c r="AA1117" s="599"/>
      <c r="AB1117" s="599"/>
      <c r="AC1117" s="599"/>
      <c r="AD1117" s="599"/>
      <c r="AE1117" s="599"/>
      <c r="AF1117" s="599"/>
      <c r="AG1117" s="599"/>
      <c r="AH1117" s="599"/>
      <c r="AI1117" s="599"/>
      <c r="AJ1117" s="599"/>
    </row>
    <row r="1118" spans="1:36" s="1" customFormat="1" x14ac:dyDescent="0.25">
      <c r="A1118" s="1" t="s">
        <v>859</v>
      </c>
      <c r="H1118" s="595" t="s">
        <v>490</v>
      </c>
      <c r="I1118" s="596" t="str">
        <f t="shared" si="917"/>
        <v>VND/phôi</v>
      </c>
      <c r="K1118" s="595"/>
      <c r="L1118" s="600">
        <f>L1115*(1+L1117)</f>
        <v>793.69386722683419</v>
      </c>
      <c r="M1118" s="600">
        <f t="shared" ref="M1118:AJ1118" si="935">M1115*(1+M1117)</f>
        <v>702.77152999295492</v>
      </c>
      <c r="N1118" s="600">
        <f t="shared" si="935"/>
        <v>648.91643025203985</v>
      </c>
      <c r="O1118" s="600">
        <f t="shared" si="935"/>
        <v>661.29399846593856</v>
      </c>
      <c r="P1118" s="600">
        <f t="shared" si="935"/>
        <v>673.99295399131449</v>
      </c>
      <c r="Q1118" s="600">
        <f t="shared" si="935"/>
        <v>687.0216820490549</v>
      </c>
      <c r="R1118" s="600">
        <f t="shared" si="935"/>
        <v>700.38871203560723</v>
      </c>
      <c r="S1118" s="600">
        <f t="shared" si="935"/>
        <v>714.10271073186868</v>
      </c>
      <c r="T1118" s="600">
        <f t="shared" si="935"/>
        <v>728.17247429764518</v>
      </c>
      <c r="U1118" s="600">
        <f t="shared" si="935"/>
        <v>742.60691893182752</v>
      </c>
      <c r="V1118" s="600">
        <f t="shared" si="935"/>
        <v>757.41507006833058</v>
      </c>
      <c r="W1118" s="600">
        <f t="shared" si="935"/>
        <v>772.60604996696179</v>
      </c>
      <c r="X1118" s="600">
        <f t="shared" si="935"/>
        <v>720.86133640260766</v>
      </c>
      <c r="Y1118" s="600">
        <f t="shared" si="935"/>
        <v>736.84565515185716</v>
      </c>
      <c r="Z1118" s="600">
        <f t="shared" si="935"/>
        <v>753.24059893739229</v>
      </c>
      <c r="AA1118" s="600"/>
      <c r="AB1118" s="600"/>
      <c r="AC1118" s="600"/>
      <c r="AD1118" s="600"/>
      <c r="AE1118" s="600"/>
      <c r="AF1118" s="600"/>
      <c r="AG1118" s="600"/>
      <c r="AH1118" s="600"/>
      <c r="AI1118" s="600"/>
      <c r="AJ1118" s="600"/>
    </row>
    <row r="1119" spans="1:36" x14ac:dyDescent="0.25">
      <c r="A1119" t="s">
        <v>859</v>
      </c>
      <c r="H1119" s="574" t="s">
        <v>292</v>
      </c>
      <c r="I1119" s="575" t="str">
        <f t="shared" si="917"/>
        <v>VND/phôi</v>
      </c>
      <c r="K1119" s="574"/>
      <c r="L1119" s="601">
        <f t="shared" ref="L1119:AJ1119" si="936">Tax_rate</f>
        <v>0.2</v>
      </c>
      <c r="M1119" s="601">
        <f t="shared" si="936"/>
        <v>0.2</v>
      </c>
      <c r="N1119" s="601">
        <f t="shared" si="936"/>
        <v>0.2</v>
      </c>
      <c r="O1119" s="601">
        <f t="shared" si="936"/>
        <v>0.2</v>
      </c>
      <c r="P1119" s="601">
        <f t="shared" si="936"/>
        <v>0.2</v>
      </c>
      <c r="Q1119" s="601">
        <f t="shared" si="936"/>
        <v>0.2</v>
      </c>
      <c r="R1119" s="601">
        <f t="shared" si="936"/>
        <v>0.2</v>
      </c>
      <c r="S1119" s="601">
        <f t="shared" si="936"/>
        <v>0.2</v>
      </c>
      <c r="T1119" s="601">
        <f t="shared" si="936"/>
        <v>0.2</v>
      </c>
      <c r="U1119" s="601">
        <f t="shared" si="936"/>
        <v>0.2</v>
      </c>
      <c r="V1119" s="601">
        <f t="shared" si="936"/>
        <v>0.2</v>
      </c>
      <c r="W1119" s="601">
        <f t="shared" si="936"/>
        <v>0.2</v>
      </c>
      <c r="X1119" s="601">
        <f t="shared" si="936"/>
        <v>0.2</v>
      </c>
      <c r="Y1119" s="601">
        <f t="shared" si="936"/>
        <v>0.2</v>
      </c>
      <c r="Z1119" s="601">
        <f t="shared" si="936"/>
        <v>0.2</v>
      </c>
      <c r="AA1119" s="601"/>
      <c r="AB1119" s="601"/>
      <c r="AC1119" s="601"/>
      <c r="AD1119" s="601"/>
      <c r="AE1119" s="601"/>
      <c r="AF1119" s="601"/>
      <c r="AG1119" s="601"/>
      <c r="AH1119" s="601"/>
      <c r="AI1119" s="601"/>
      <c r="AJ1119" s="601"/>
    </row>
    <row r="1120" spans="1:36" s="1" customFormat="1" x14ac:dyDescent="0.25">
      <c r="A1120" s="1" t="s">
        <v>859</v>
      </c>
      <c r="H1120" s="595" t="s">
        <v>491</v>
      </c>
      <c r="I1120" s="596" t="str">
        <f t="shared" si="917"/>
        <v>VND/phôi</v>
      </c>
      <c r="K1120" s="595"/>
      <c r="L1120" s="600">
        <f>(L1118-L1115)*(1-L1119)</f>
        <v>39.684693361341672</v>
      </c>
      <c r="M1120" s="600">
        <f t="shared" ref="M1120:AJ1120" si="937">(M1118-M1115)*(1-M1119)</f>
        <v>35.138576499647755</v>
      </c>
      <c r="N1120" s="600">
        <f t="shared" si="937"/>
        <v>32.445821512602016</v>
      </c>
      <c r="O1120" s="600">
        <f t="shared" si="937"/>
        <v>33.064699923296942</v>
      </c>
      <c r="P1120" s="600">
        <f t="shared" si="937"/>
        <v>33.699647699565688</v>
      </c>
      <c r="Q1120" s="600">
        <f t="shared" si="937"/>
        <v>34.351084102452752</v>
      </c>
      <c r="R1120" s="600">
        <f t="shared" si="937"/>
        <v>35.019435601780337</v>
      </c>
      <c r="S1120" s="600">
        <f t="shared" si="937"/>
        <v>35.705135536593389</v>
      </c>
      <c r="T1120" s="600">
        <f t="shared" si="937"/>
        <v>36.408623714882289</v>
      </c>
      <c r="U1120" s="600">
        <f t="shared" si="937"/>
        <v>37.13034594659139</v>
      </c>
      <c r="V1120" s="600">
        <f t="shared" si="937"/>
        <v>37.870753503416566</v>
      </c>
      <c r="W1120" s="600">
        <f t="shared" si="937"/>
        <v>38.630302498348101</v>
      </c>
      <c r="X1120" s="600">
        <f t="shared" si="937"/>
        <v>36.043066820130392</v>
      </c>
      <c r="Y1120" s="600">
        <f t="shared" si="937"/>
        <v>36.842282757592876</v>
      </c>
      <c r="Z1120" s="600">
        <f t="shared" si="937"/>
        <v>37.662029946869644</v>
      </c>
      <c r="AA1120" s="600"/>
      <c r="AB1120" s="600"/>
      <c r="AC1120" s="600"/>
      <c r="AD1120" s="600"/>
      <c r="AE1120" s="600"/>
      <c r="AF1120" s="600"/>
      <c r="AG1120" s="600"/>
      <c r="AH1120" s="600"/>
      <c r="AI1120" s="600"/>
      <c r="AJ1120" s="600"/>
    </row>
    <row r="1121" spans="1:36" s="146" customFormat="1" x14ac:dyDescent="0.25">
      <c r="A1121" s="146" t="s">
        <v>859</v>
      </c>
      <c r="H1121" s="597" t="s">
        <v>492</v>
      </c>
      <c r="I1121" s="598"/>
      <c r="K1121" s="597"/>
      <c r="L1121" s="602">
        <f>IFERROR(L1120/L1118,0)</f>
        <v>4.9999999999999954E-2</v>
      </c>
      <c r="M1121" s="602">
        <f>IFERROR(M1120/M1118,0)</f>
        <v>5.000000000000001E-2</v>
      </c>
      <c r="N1121" s="602">
        <f t="shared" ref="N1121:AJ1121" si="938">IFERROR(N1120/N1118,0)</f>
        <v>5.0000000000000037E-2</v>
      </c>
      <c r="O1121" s="602">
        <f t="shared" si="938"/>
        <v>5.0000000000000024E-2</v>
      </c>
      <c r="P1121" s="602">
        <f t="shared" si="938"/>
        <v>4.9999999999999947E-2</v>
      </c>
      <c r="Q1121" s="602">
        <f t="shared" si="938"/>
        <v>5.000000000000001E-2</v>
      </c>
      <c r="R1121" s="602">
        <f t="shared" si="938"/>
        <v>4.9999999999999968E-2</v>
      </c>
      <c r="S1121" s="602">
        <f t="shared" si="938"/>
        <v>4.9999999999999933E-2</v>
      </c>
      <c r="T1121" s="602">
        <f t="shared" si="938"/>
        <v>5.0000000000000044E-2</v>
      </c>
      <c r="U1121" s="602">
        <f t="shared" si="938"/>
        <v>5.0000000000000017E-2</v>
      </c>
      <c r="V1121" s="602">
        <f t="shared" si="938"/>
        <v>5.0000000000000051E-2</v>
      </c>
      <c r="W1121" s="602">
        <f t="shared" si="938"/>
        <v>5.0000000000000017E-2</v>
      </c>
      <c r="X1121" s="602">
        <f t="shared" si="938"/>
        <v>5.000000000000001E-2</v>
      </c>
      <c r="Y1121" s="602">
        <f t="shared" si="938"/>
        <v>5.0000000000000024E-2</v>
      </c>
      <c r="Z1121" s="602">
        <f t="shared" si="938"/>
        <v>5.0000000000000037E-2</v>
      </c>
      <c r="AA1121" s="602"/>
      <c r="AB1121" s="602"/>
      <c r="AC1121" s="602"/>
      <c r="AD1121" s="602"/>
      <c r="AE1121" s="602"/>
      <c r="AF1121" s="602"/>
      <c r="AG1121" s="602"/>
      <c r="AH1121" s="602"/>
      <c r="AI1121" s="602"/>
      <c r="AJ1121" s="602"/>
    </row>
    <row r="1122" spans="1:36" x14ac:dyDescent="0.25">
      <c r="A1122" t="s">
        <v>859</v>
      </c>
      <c r="L1122" s="64"/>
    </row>
    <row r="1123" spans="1:36" x14ac:dyDescent="0.25">
      <c r="A1123" t="s">
        <v>859</v>
      </c>
      <c r="H1123" s="1" t="s">
        <v>493</v>
      </c>
    </row>
    <row r="1124" spans="1:36" x14ac:dyDescent="0.25">
      <c r="A1124" t="s">
        <v>859</v>
      </c>
      <c r="H1124" t="s">
        <v>493</v>
      </c>
      <c r="I1124" s="65" t="s">
        <v>475</v>
      </c>
      <c r="K1124" s="15"/>
      <c r="L1124" s="15">
        <f t="shared" ref="L1124:AJ1124" si="939">L1125*PHOI_KG*10^3/10^6</f>
        <v>39.065014417139011</v>
      </c>
      <c r="M1124" s="15">
        <f t="shared" si="939"/>
        <v>39.846314705481788</v>
      </c>
      <c r="N1124" s="15">
        <f t="shared" si="939"/>
        <v>40.643240999591427</v>
      </c>
      <c r="O1124" s="15">
        <f t="shared" si="939"/>
        <v>41.45610581958325</v>
      </c>
      <c r="P1124" s="15">
        <f t="shared" si="939"/>
        <v>42.285227935974916</v>
      </c>
      <c r="Q1124" s="15">
        <f t="shared" si="939"/>
        <v>43.13093249469442</v>
      </c>
      <c r="R1124" s="15">
        <f t="shared" si="939"/>
        <v>43.993551144588302</v>
      </c>
      <c r="S1124" s="15">
        <f t="shared" si="939"/>
        <v>44.873422167480065</v>
      </c>
      <c r="T1124" s="15">
        <f t="shared" si="939"/>
        <v>45.770890610829667</v>
      </c>
      <c r="U1124" s="15">
        <f t="shared" si="939"/>
        <v>46.686308423046263</v>
      </c>
      <c r="V1124" s="15">
        <f t="shared" si="939"/>
        <v>47.620034591507192</v>
      </c>
      <c r="W1124" s="15">
        <f t="shared" si="939"/>
        <v>48.572435283337327</v>
      </c>
      <c r="X1124" s="15">
        <f t="shared" si="939"/>
        <v>49.543883989004073</v>
      </c>
      <c r="Y1124" s="15">
        <f t="shared" si="939"/>
        <v>50.534761668784157</v>
      </c>
      <c r="Z1124" s="15">
        <f t="shared" si="939"/>
        <v>51.545456902159849</v>
      </c>
      <c r="AA1124" s="15"/>
      <c r="AB1124" s="15"/>
      <c r="AC1124" s="15"/>
      <c r="AD1124" s="15"/>
      <c r="AE1124" s="15"/>
      <c r="AF1124" s="15"/>
      <c r="AG1124" s="15"/>
      <c r="AH1124" s="15"/>
      <c r="AI1124" s="15"/>
      <c r="AJ1124" s="15"/>
    </row>
    <row r="1125" spans="1:36" x14ac:dyDescent="0.25">
      <c r="A1125" t="s">
        <v>859</v>
      </c>
      <c r="F1125" t="s">
        <v>570</v>
      </c>
      <c r="H1125" t="s">
        <v>493</v>
      </c>
      <c r="I1125" s="65" t="s">
        <v>368</v>
      </c>
      <c r="K1125" s="27"/>
      <c r="L1125" s="27">
        <f>INDEX('Cover Page'!$H$14:$AJ$14,MATCH($A1125,'Cover Page'!$H$5:$AJ$5,0))*POWER(1+INDEX('Cover Page'!$H$17:$AJ$17,MATCH($A1125,'Cover Page'!$H$5:$AJ$5,0)),L$12+1)</f>
        <v>585.97521625708509</v>
      </c>
      <c r="M1125" s="27">
        <f>INDEX('Cover Page'!$H$14:$AJ$14,MATCH($A1125,'Cover Page'!$H$5:$AJ$5,0))*POWER(1+INDEX('Cover Page'!$H$17:$AJ$17,MATCH($A1125,'Cover Page'!$H$5:$AJ$5,0)),M$12+1)</f>
        <v>597.69472058222675</v>
      </c>
      <c r="N1125" s="27">
        <f>INDEX('Cover Page'!$H$14:$AJ$14,MATCH($A1125,'Cover Page'!$H$5:$AJ$5,0))*POWER(1+INDEX('Cover Page'!$H$17:$AJ$17,MATCH($A1125,'Cover Page'!$H$5:$AJ$5,0)),N$12+1)</f>
        <v>609.64861499387132</v>
      </c>
      <c r="O1125" s="27">
        <f>INDEX('Cover Page'!$H$14:$AJ$14,MATCH($A1125,'Cover Page'!$H$5:$AJ$5,0))*POWER(1+INDEX('Cover Page'!$H$17:$AJ$17,MATCH($A1125,'Cover Page'!$H$5:$AJ$5,0)),O$12+1)</f>
        <v>621.84158729374872</v>
      </c>
      <c r="P1125" s="27">
        <f>INDEX('Cover Page'!$H$14:$AJ$14,MATCH($A1125,'Cover Page'!$H$5:$AJ$5,0))*POWER(1+INDEX('Cover Page'!$H$17:$AJ$17,MATCH($A1125,'Cover Page'!$H$5:$AJ$5,0)),P$12+1)</f>
        <v>634.27841903962371</v>
      </c>
      <c r="Q1125" s="27">
        <f>INDEX('Cover Page'!$H$14:$AJ$14,MATCH($A1125,'Cover Page'!$H$5:$AJ$5,0))*POWER(1+INDEX('Cover Page'!$H$17:$AJ$17,MATCH($A1125,'Cover Page'!$H$5:$AJ$5,0)),Q$12+1)</f>
        <v>646.96398742041617</v>
      </c>
      <c r="R1125" s="27">
        <f>INDEX('Cover Page'!$H$14:$AJ$14,MATCH($A1125,'Cover Page'!$H$5:$AJ$5,0))*POWER(1+INDEX('Cover Page'!$H$17:$AJ$17,MATCH($A1125,'Cover Page'!$H$5:$AJ$5,0)),R$12+1)</f>
        <v>659.90326716882453</v>
      </c>
      <c r="S1125" s="27">
        <f>INDEX('Cover Page'!$H$14:$AJ$14,MATCH($A1125,'Cover Page'!$H$5:$AJ$5,0))*POWER(1+INDEX('Cover Page'!$H$17:$AJ$17,MATCH($A1125,'Cover Page'!$H$5:$AJ$5,0)),S$12+1)</f>
        <v>673.10133251220088</v>
      </c>
      <c r="T1125" s="27">
        <f>INDEX('Cover Page'!$H$14:$AJ$14,MATCH($A1125,'Cover Page'!$H$5:$AJ$5,0))*POWER(1+INDEX('Cover Page'!$H$17:$AJ$17,MATCH($A1125,'Cover Page'!$H$5:$AJ$5,0)),T$12+1)</f>
        <v>686.56335916244495</v>
      </c>
      <c r="U1125" s="27">
        <f>INDEX('Cover Page'!$H$14:$AJ$14,MATCH($A1125,'Cover Page'!$H$5:$AJ$5,0))*POWER(1+INDEX('Cover Page'!$H$17:$AJ$17,MATCH($A1125,'Cover Page'!$H$5:$AJ$5,0)),U$12+1)</f>
        <v>700.29462634569393</v>
      </c>
      <c r="V1125" s="27">
        <f>INDEX('Cover Page'!$H$14:$AJ$14,MATCH($A1125,'Cover Page'!$H$5:$AJ$5,0))*POWER(1+INDEX('Cover Page'!$H$17:$AJ$17,MATCH($A1125,'Cover Page'!$H$5:$AJ$5,0)),V$12+1)</f>
        <v>714.30051887260777</v>
      </c>
      <c r="W1125" s="27">
        <f>INDEX('Cover Page'!$H$14:$AJ$14,MATCH($A1125,'Cover Page'!$H$5:$AJ$5,0))*POWER(1+INDEX('Cover Page'!$H$17:$AJ$17,MATCH($A1125,'Cover Page'!$H$5:$AJ$5,0)),W$12+1)</f>
        <v>728.58652925005981</v>
      </c>
      <c r="X1125" s="27">
        <f>INDEX('Cover Page'!$H$14:$AJ$14,MATCH($A1125,'Cover Page'!$H$5:$AJ$5,0))*POWER(1+INDEX('Cover Page'!$H$17:$AJ$17,MATCH($A1125,'Cover Page'!$H$5:$AJ$5,0)),X$12+1)</f>
        <v>743.15825983506113</v>
      </c>
      <c r="Y1125" s="27">
        <f>INDEX('Cover Page'!$H$14:$AJ$14,MATCH($A1125,'Cover Page'!$H$5:$AJ$5,0))*POWER(1+INDEX('Cover Page'!$H$17:$AJ$17,MATCH($A1125,'Cover Page'!$H$5:$AJ$5,0)),Y$12+1)</f>
        <v>758.02142503176231</v>
      </c>
      <c r="Z1125" s="27">
        <f>INDEX('Cover Page'!$H$14:$AJ$14,MATCH($A1125,'Cover Page'!$H$5:$AJ$5,0))*POWER(1+INDEX('Cover Page'!$H$17:$AJ$17,MATCH($A1125,'Cover Page'!$H$5:$AJ$5,0)),Z$12+1)</f>
        <v>773.18185353239767</v>
      </c>
      <c r="AA1125" s="27"/>
      <c r="AB1125" s="27"/>
      <c r="AC1125" s="27"/>
      <c r="AD1125" s="27"/>
      <c r="AE1125" s="27"/>
      <c r="AF1125" s="27"/>
      <c r="AG1125" s="27"/>
      <c r="AH1125" s="27"/>
      <c r="AI1125" s="27"/>
      <c r="AJ1125" s="27"/>
    </row>
    <row r="1126" spans="1:36" x14ac:dyDescent="0.25">
      <c r="A1126" t="s">
        <v>859</v>
      </c>
      <c r="H1126" t="s">
        <v>493</v>
      </c>
      <c r="I1126" s="65" t="s">
        <v>369</v>
      </c>
      <c r="K1126" s="15"/>
      <c r="L1126" s="15">
        <f t="shared" ref="L1126:AJ1126" si="940">L1124/EXR*10^6</f>
        <v>1502.5005545053466</v>
      </c>
      <c r="M1126" s="15">
        <f t="shared" si="940"/>
        <v>1532.5505655954535</v>
      </c>
      <c r="N1126" s="15">
        <f t="shared" si="940"/>
        <v>1563.2015769073626</v>
      </c>
      <c r="O1126" s="15">
        <f t="shared" si="940"/>
        <v>1594.4656084455096</v>
      </c>
      <c r="P1126" s="15">
        <f t="shared" si="940"/>
        <v>1626.3549206144198</v>
      </c>
      <c r="Q1126" s="15">
        <f t="shared" si="940"/>
        <v>1658.8820190267086</v>
      </c>
      <c r="R1126" s="15">
        <f t="shared" si="940"/>
        <v>1692.0596594072424</v>
      </c>
      <c r="S1126" s="15">
        <f t="shared" si="940"/>
        <v>1725.9008525953871</v>
      </c>
      <c r="T1126" s="15">
        <f t="shared" si="940"/>
        <v>1760.4188696472947</v>
      </c>
      <c r="U1126" s="15">
        <f t="shared" si="940"/>
        <v>1795.6272470402409</v>
      </c>
      <c r="V1126" s="15">
        <f t="shared" si="940"/>
        <v>1831.5397919810459</v>
      </c>
      <c r="W1126" s="15">
        <f t="shared" si="940"/>
        <v>1868.1705878206665</v>
      </c>
      <c r="X1126" s="15">
        <f t="shared" si="940"/>
        <v>1905.5339995770798</v>
      </c>
      <c r="Y1126" s="15">
        <f t="shared" si="940"/>
        <v>1943.6446795686215</v>
      </c>
      <c r="Z1126" s="15">
        <f t="shared" si="940"/>
        <v>1982.5175731599943</v>
      </c>
      <c r="AA1126" s="15"/>
      <c r="AB1126" s="15"/>
      <c r="AC1126" s="15"/>
      <c r="AD1126" s="15"/>
      <c r="AE1126" s="15"/>
      <c r="AF1126" s="15"/>
      <c r="AG1126" s="15"/>
      <c r="AH1126" s="15"/>
      <c r="AI1126" s="15"/>
      <c r="AJ1126" s="15"/>
    </row>
    <row r="1127" spans="1:36" x14ac:dyDescent="0.25">
      <c r="A1127" t="s">
        <v>859</v>
      </c>
      <c r="H1127" t="s">
        <v>493</v>
      </c>
      <c r="I1127" s="65" t="s">
        <v>494</v>
      </c>
      <c r="K1127" s="15"/>
      <c r="L1127" s="15">
        <f t="shared" ref="L1127:AJ1127" si="941">L1125*1000/EXR</f>
        <v>22.537508317580198</v>
      </c>
      <c r="M1127" s="15">
        <f t="shared" si="941"/>
        <v>22.988258483931798</v>
      </c>
      <c r="N1127" s="15">
        <f t="shared" si="941"/>
        <v>23.448023653610434</v>
      </c>
      <c r="O1127" s="15">
        <f t="shared" si="941"/>
        <v>23.916984126682642</v>
      </c>
      <c r="P1127" s="15">
        <f t="shared" si="941"/>
        <v>24.395323809216297</v>
      </c>
      <c r="Q1127" s="15">
        <f t="shared" si="941"/>
        <v>24.883230285400622</v>
      </c>
      <c r="R1127" s="15">
        <f t="shared" si="941"/>
        <v>25.380894891108635</v>
      </c>
      <c r="S1127" s="15">
        <f t="shared" si="941"/>
        <v>25.888512788930804</v>
      </c>
      <c r="T1127" s="15">
        <f t="shared" si="941"/>
        <v>26.406283044709422</v>
      </c>
      <c r="U1127" s="15">
        <f t="shared" si="941"/>
        <v>26.934408705603612</v>
      </c>
      <c r="V1127" s="15">
        <f t="shared" si="941"/>
        <v>27.473096879715683</v>
      </c>
      <c r="W1127" s="15">
        <f t="shared" si="941"/>
        <v>28.022558817309996</v>
      </c>
      <c r="X1127" s="15">
        <f t="shared" si="941"/>
        <v>28.583009993656198</v>
      </c>
      <c r="Y1127" s="15">
        <f t="shared" si="941"/>
        <v>29.15467019352932</v>
      </c>
      <c r="Z1127" s="15">
        <f t="shared" si="941"/>
        <v>29.737763597399908</v>
      </c>
      <c r="AA1127" s="15"/>
      <c r="AB1127" s="15"/>
      <c r="AC1127" s="15"/>
      <c r="AD1127" s="15"/>
      <c r="AE1127" s="15"/>
      <c r="AF1127" s="15"/>
      <c r="AG1127" s="15"/>
      <c r="AH1127" s="15"/>
      <c r="AI1127" s="15"/>
      <c r="AJ1127" s="15"/>
    </row>
    <row r="1128" spans="1:36" x14ac:dyDescent="0.25">
      <c r="A1128" t="s">
        <v>859</v>
      </c>
    </row>
    <row r="1129" spans="1:36" s="16" customFormat="1" x14ac:dyDescent="0.25">
      <c r="A1129" s="16" t="s">
        <v>859</v>
      </c>
      <c r="D1129" s="16" t="s">
        <v>722</v>
      </c>
      <c r="H1129" s="270" t="s">
        <v>497</v>
      </c>
      <c r="I1129" s="271" t="str">
        <f>IF($H$9="USD","USD","tr. VND")</f>
        <v>tr. VND</v>
      </c>
      <c r="K1129" s="270"/>
      <c r="L1129" s="272">
        <f t="shared" ref="L1129:AJ1129" si="942">IF($H$9="USD",L1126*L1005/10^3,L1124*L1005/10^3)</f>
        <v>120987.76736986084</v>
      </c>
      <c r="M1129" s="272">
        <f t="shared" si="942"/>
        <v>172770.53180416126</v>
      </c>
      <c r="N1129" s="272">
        <f t="shared" si="942"/>
        <v>251751.34634320645</v>
      </c>
      <c r="O1129" s="272">
        <f t="shared" si="942"/>
        <v>256786.37327007053</v>
      </c>
      <c r="P1129" s="272">
        <f t="shared" si="942"/>
        <v>261922.10073547193</v>
      </c>
      <c r="Q1129" s="272">
        <f t="shared" si="942"/>
        <v>267160.5427501814</v>
      </c>
      <c r="R1129" s="272">
        <f t="shared" si="942"/>
        <v>272503.75360518502</v>
      </c>
      <c r="S1129" s="272">
        <f t="shared" si="942"/>
        <v>277953.82867728872</v>
      </c>
      <c r="T1129" s="272">
        <f t="shared" si="942"/>
        <v>283512.90525083448</v>
      </c>
      <c r="U1129" s="272">
        <f t="shared" si="942"/>
        <v>289183.1633558512</v>
      </c>
      <c r="V1129" s="272">
        <f t="shared" si="942"/>
        <v>294966.82662296819</v>
      </c>
      <c r="W1129" s="272">
        <f t="shared" si="942"/>
        <v>300866.16315542749</v>
      </c>
      <c r="X1129" s="272">
        <f t="shared" si="942"/>
        <v>306883.48641853605</v>
      </c>
      <c r="Y1129" s="272">
        <f t="shared" si="942"/>
        <v>313021.15614690678</v>
      </c>
      <c r="Z1129" s="272">
        <f t="shared" si="942"/>
        <v>319281.57926984498</v>
      </c>
      <c r="AA1129" s="272"/>
      <c r="AB1129" s="272"/>
      <c r="AC1129" s="272"/>
      <c r="AD1129" s="272"/>
      <c r="AE1129" s="272"/>
      <c r="AF1129" s="272"/>
      <c r="AG1129" s="272"/>
      <c r="AH1129" s="272"/>
      <c r="AI1129" s="272"/>
      <c r="AJ1129" s="272"/>
    </row>
    <row r="1130" spans="1:36" x14ac:dyDescent="0.25">
      <c r="A1130" t="s">
        <v>859</v>
      </c>
    </row>
    <row r="1131" spans="1:36" s="1" customFormat="1" x14ac:dyDescent="0.25">
      <c r="A1131" s="1" t="s">
        <v>859</v>
      </c>
      <c r="H1131" s="266" t="s">
        <v>495</v>
      </c>
      <c r="I1131" s="267" t="str">
        <f>IF($H$9="USD","USD","tr. VND")</f>
        <v>tr. VND</v>
      </c>
      <c r="K1131" s="266"/>
      <c r="L1131" s="269">
        <f>L1129+L1045</f>
        <v>-32645.941723299271</v>
      </c>
      <c r="M1131" s="269">
        <f t="shared" ref="M1131:AJ1131" si="943">M1129+M1045</f>
        <v>-17677.148036421015</v>
      </c>
      <c r="N1131" s="269">
        <f t="shared" si="943"/>
        <v>532.47673180425772</v>
      </c>
      <c r="O1131" s="269">
        <f t="shared" si="943"/>
        <v>775.70220277682529</v>
      </c>
      <c r="P1131" s="269">
        <f t="shared" si="943"/>
        <v>995.20763463940239</v>
      </c>
      <c r="Q1131" s="269">
        <f t="shared" si="943"/>
        <v>1189.7608178261435</v>
      </c>
      <c r="R1131" s="269">
        <f t="shared" si="943"/>
        <v>1358.1140074456926</v>
      </c>
      <c r="S1131" s="269">
        <f t="shared" si="943"/>
        <v>1499.0073579694727</v>
      </c>
      <c r="T1131" s="269">
        <f t="shared" si="943"/>
        <v>1611.1728441796731</v>
      </c>
      <c r="U1131" s="269">
        <f t="shared" si="943"/>
        <v>1693.3387151019415</v>
      </c>
      <c r="V1131" s="269">
        <f t="shared" si="943"/>
        <v>1744.2345315595157</v>
      </c>
      <c r="W1131" s="269">
        <f t="shared" si="943"/>
        <v>1762.5968422049773</v>
      </c>
      <c r="X1131" s="269">
        <f t="shared" si="943"/>
        <v>27812.158224101644</v>
      </c>
      <c r="Y1131" s="269">
        <f t="shared" si="943"/>
        <v>27761.723752159392</v>
      </c>
      <c r="Z1131" s="269">
        <f t="shared" si="943"/>
        <v>27675.07496701699</v>
      </c>
      <c r="AA1131" s="269"/>
      <c r="AB1131" s="269"/>
      <c r="AC1131" s="269"/>
      <c r="AD1131" s="269"/>
      <c r="AE1131" s="269"/>
      <c r="AF1131" s="269"/>
      <c r="AG1131" s="269"/>
      <c r="AH1131" s="269"/>
      <c r="AI1131" s="269"/>
      <c r="AJ1131" s="269"/>
    </row>
    <row r="1132" spans="1:36" s="146" customFormat="1" x14ac:dyDescent="0.25">
      <c r="A1132" s="146" t="s">
        <v>859</v>
      </c>
      <c r="H1132" s="146" t="s">
        <v>496</v>
      </c>
      <c r="I1132" s="144"/>
      <c r="L1132" s="147">
        <f>IFERROR(L1131/L1129,0)</f>
        <v>-0.26982844987543486</v>
      </c>
      <c r="M1132" s="147">
        <f t="shared" ref="M1132:AJ1132" si="944">IFERROR(M1131/M1129,0)</f>
        <v>-0.10231575866455284</v>
      </c>
      <c r="N1132" s="147">
        <f t="shared" si="944"/>
        <v>2.1150899073180932E-3</v>
      </c>
      <c r="O1132" s="147">
        <f t="shared" si="944"/>
        <v>3.0208075019658234E-3</v>
      </c>
      <c r="P1132" s="147">
        <f t="shared" si="944"/>
        <v>3.7996321495776019E-3</v>
      </c>
      <c r="Q1132" s="147">
        <f t="shared" si="944"/>
        <v>4.4533552955784888E-3</v>
      </c>
      <c r="R1132" s="147">
        <f t="shared" si="944"/>
        <v>4.9838359636446908E-3</v>
      </c>
      <c r="S1132" s="147">
        <f t="shared" si="944"/>
        <v>5.3930084903052629E-3</v>
      </c>
      <c r="T1132" s="147">
        <f t="shared" si="944"/>
        <v>5.682890670370748E-3</v>
      </c>
      <c r="U1132" s="147">
        <f t="shared" si="944"/>
        <v>5.8555923361908241E-3</v>
      </c>
      <c r="V1132" s="147">
        <f t="shared" si="944"/>
        <v>5.9133243949124727E-3</v>
      </c>
      <c r="W1132" s="147">
        <f t="shared" si="944"/>
        <v>5.8584083491449966E-3</v>
      </c>
      <c r="X1132" s="147">
        <f t="shared" si="944"/>
        <v>9.0627744583723427E-2</v>
      </c>
      <c r="Y1132" s="147">
        <f t="shared" si="944"/>
        <v>8.8689608376279483E-2</v>
      </c>
      <c r="Z1132" s="147">
        <f t="shared" si="944"/>
        <v>8.6679209712963237E-2</v>
      </c>
      <c r="AA1132" s="147"/>
      <c r="AB1132" s="147"/>
      <c r="AC1132" s="147"/>
      <c r="AD1132" s="147"/>
      <c r="AE1132" s="147"/>
      <c r="AF1132" s="147"/>
      <c r="AG1132" s="147"/>
      <c r="AH1132" s="147"/>
      <c r="AI1132" s="147"/>
      <c r="AJ1132" s="147"/>
    </row>
    <row r="1133" spans="1:36" x14ac:dyDescent="0.25">
      <c r="A1133" t="s">
        <v>859</v>
      </c>
    </row>
    <row r="1134" spans="1:36" s="16" customFormat="1" x14ac:dyDescent="0.25">
      <c r="A1134" s="16" t="s">
        <v>859</v>
      </c>
      <c r="D1134" s="16" t="s">
        <v>488</v>
      </c>
      <c r="H1134" s="270" t="s">
        <v>488</v>
      </c>
      <c r="I1134" s="271" t="str">
        <f>IF($H$9="USD","USD","tr. VND")</f>
        <v>tr. VND</v>
      </c>
      <c r="K1134" s="270"/>
      <c r="L1134" s="272">
        <f t="shared" ref="L1134:AJ1134" si="945">L1131*(1-Tax_rate)</f>
        <v>-26116.75337863942</v>
      </c>
      <c r="M1134" s="272">
        <f t="shared" si="945"/>
        <v>-14141.718429136812</v>
      </c>
      <c r="N1134" s="272">
        <f t="shared" si="945"/>
        <v>425.98138544340623</v>
      </c>
      <c r="O1134" s="272">
        <f t="shared" si="945"/>
        <v>620.5617622214603</v>
      </c>
      <c r="P1134" s="272">
        <f t="shared" si="945"/>
        <v>796.16610771152193</v>
      </c>
      <c r="Q1134" s="272">
        <f t="shared" si="945"/>
        <v>951.80865426091486</v>
      </c>
      <c r="R1134" s="272">
        <f t="shared" si="945"/>
        <v>1086.491205956554</v>
      </c>
      <c r="S1134" s="272">
        <f t="shared" si="945"/>
        <v>1199.2058863755781</v>
      </c>
      <c r="T1134" s="272">
        <f t="shared" si="945"/>
        <v>1288.9382753437385</v>
      </c>
      <c r="U1134" s="272">
        <f t="shared" si="945"/>
        <v>1354.6709720815534</v>
      </c>
      <c r="V1134" s="272">
        <f t="shared" si="945"/>
        <v>1395.3876252476127</v>
      </c>
      <c r="W1134" s="272">
        <f t="shared" si="945"/>
        <v>1410.077473763982</v>
      </c>
      <c r="X1134" s="272">
        <f t="shared" si="945"/>
        <v>22249.726579281316</v>
      </c>
      <c r="Y1134" s="272">
        <f t="shared" si="945"/>
        <v>22209.379001727517</v>
      </c>
      <c r="Z1134" s="272">
        <f t="shared" si="945"/>
        <v>22140.059973613592</v>
      </c>
      <c r="AA1134" s="272"/>
      <c r="AB1134" s="272"/>
      <c r="AC1134" s="272"/>
      <c r="AD1134" s="272"/>
      <c r="AE1134" s="272"/>
      <c r="AF1134" s="272"/>
      <c r="AG1134" s="272"/>
      <c r="AH1134" s="272"/>
      <c r="AI1134" s="272"/>
      <c r="AJ1134" s="272"/>
    </row>
    <row r="1135" spans="1:36" s="146" customFormat="1" x14ac:dyDescent="0.25">
      <c r="A1135" s="146" t="s">
        <v>859</v>
      </c>
      <c r="H1135" s="146" t="s">
        <v>489</v>
      </c>
      <c r="I1135" s="144"/>
      <c r="L1135" s="147">
        <f>IFERROR(L1134/L1129,0)</f>
        <v>-0.21586275990034792</v>
      </c>
      <c r="M1135" s="147">
        <f t="shared" ref="M1135:AJ1135" si="946">IFERROR(M1134/M1129,0)</f>
        <v>-8.1852606931642272E-2</v>
      </c>
      <c r="N1135" s="147">
        <f t="shared" si="946"/>
        <v>1.6920719258544748E-3</v>
      </c>
      <c r="O1135" s="147">
        <f t="shared" si="946"/>
        <v>2.4166460015726593E-3</v>
      </c>
      <c r="P1135" s="147">
        <f t="shared" si="946"/>
        <v>3.0397057196620814E-3</v>
      </c>
      <c r="Q1135" s="147">
        <f t="shared" si="946"/>
        <v>3.5626842364627912E-3</v>
      </c>
      <c r="R1135" s="147">
        <f t="shared" si="946"/>
        <v>3.9870687709157521E-3</v>
      </c>
      <c r="S1135" s="147">
        <f t="shared" si="946"/>
        <v>4.3144067922442101E-3</v>
      </c>
      <c r="T1135" s="147">
        <f t="shared" si="946"/>
        <v>4.5463125362965985E-3</v>
      </c>
      <c r="U1135" s="147">
        <f t="shared" si="946"/>
        <v>4.6844738689526605E-3</v>
      </c>
      <c r="V1135" s="147">
        <f t="shared" si="946"/>
        <v>4.7306595159299792E-3</v>
      </c>
      <c r="W1135" s="147">
        <f t="shared" si="946"/>
        <v>4.686726679315998E-3</v>
      </c>
      <c r="X1135" s="147">
        <f t="shared" si="946"/>
        <v>7.2502195666978742E-2</v>
      </c>
      <c r="Y1135" s="147">
        <f t="shared" si="946"/>
        <v>7.09516867010236E-2</v>
      </c>
      <c r="Z1135" s="147">
        <f t="shared" si="946"/>
        <v>6.934336777037059E-2</v>
      </c>
      <c r="AA1135" s="147"/>
      <c r="AB1135" s="147"/>
      <c r="AC1135" s="147"/>
      <c r="AD1135" s="147"/>
      <c r="AE1135" s="147"/>
      <c r="AF1135" s="147"/>
      <c r="AG1135" s="147"/>
      <c r="AH1135" s="147"/>
      <c r="AI1135" s="147"/>
      <c r="AJ1135" s="147"/>
    </row>
    <row r="1136" spans="1:36" x14ac:dyDescent="0.25">
      <c r="A1136" t="s">
        <v>859</v>
      </c>
    </row>
    <row r="1137" spans="1:36" s="16" customFormat="1" x14ac:dyDescent="0.25">
      <c r="A1137" s="16" t="s">
        <v>859</v>
      </c>
      <c r="H1137" s="270" t="s">
        <v>477</v>
      </c>
      <c r="I1137" s="271" t="str">
        <f>IF($H$9="USD","USD","tr. VND")</f>
        <v>tr. VND</v>
      </c>
      <c r="K1137" s="272">
        <f>SUM(K1139:K1142)</f>
        <v>-300749.80000000005</v>
      </c>
      <c r="L1137" s="272">
        <f t="shared" ref="L1137:AJ1137" si="947">SUM(L1139:L1142)</f>
        <v>0</v>
      </c>
      <c r="M1137" s="272">
        <f t="shared" si="947"/>
        <v>0</v>
      </c>
      <c r="N1137" s="272">
        <f t="shared" si="947"/>
        <v>0</v>
      </c>
      <c r="O1137" s="272">
        <f t="shared" si="947"/>
        <v>0</v>
      </c>
      <c r="P1137" s="272">
        <f t="shared" si="947"/>
        <v>0</v>
      </c>
      <c r="Q1137" s="272">
        <f t="shared" si="947"/>
        <v>0</v>
      </c>
      <c r="R1137" s="272">
        <f t="shared" si="947"/>
        <v>0</v>
      </c>
      <c r="S1137" s="272">
        <f t="shared" si="947"/>
        <v>0</v>
      </c>
      <c r="T1137" s="272">
        <f t="shared" si="947"/>
        <v>0</v>
      </c>
      <c r="U1137" s="272">
        <f t="shared" si="947"/>
        <v>0</v>
      </c>
      <c r="V1137" s="272">
        <f t="shared" si="947"/>
        <v>0</v>
      </c>
      <c r="W1137" s="272">
        <f t="shared" si="947"/>
        <v>0</v>
      </c>
      <c r="X1137" s="272">
        <f t="shared" si="947"/>
        <v>0</v>
      </c>
      <c r="Y1137" s="272">
        <f t="shared" si="947"/>
        <v>0</v>
      </c>
      <c r="Z1137" s="272">
        <f t="shared" si="947"/>
        <v>0</v>
      </c>
      <c r="AA1137" s="272"/>
      <c r="AB1137" s="272"/>
      <c r="AC1137" s="272"/>
      <c r="AD1137" s="272"/>
      <c r="AE1137" s="272"/>
      <c r="AF1137" s="272"/>
      <c r="AG1137" s="272"/>
      <c r="AH1137" s="272"/>
      <c r="AI1137" s="272"/>
      <c r="AJ1137" s="272"/>
    </row>
    <row r="1138" spans="1:36" x14ac:dyDescent="0.25">
      <c r="A1138" t="s">
        <v>859</v>
      </c>
    </row>
    <row r="1139" spans="1:36" x14ac:dyDescent="0.25">
      <c r="A1139" t="s">
        <v>859</v>
      </c>
      <c r="B1139" t="s">
        <v>480</v>
      </c>
      <c r="H1139" s="459" t="s">
        <v>30</v>
      </c>
      <c r="I1139" s="493" t="str">
        <f t="shared" ref="I1139:I1142" si="948">IF($H$9="USD","USD","tr. VND")</f>
        <v>tr. VND</v>
      </c>
      <c r="K1139" s="461" cm="1">
        <f t="array" ref="K1139">-SUMPRODUCT('W1'!$H$10:$BC$60*('W1'!$A$10:$A$60=$B1139)*('W1'!$H$7:$BC$7="Giá trị đầu tư")*('W1'!$H$6:$BC$6=$A1139))*$H$10</f>
        <v>-246389.00000000003</v>
      </c>
      <c r="L1139" s="461"/>
      <c r="M1139" s="461"/>
      <c r="N1139" s="461"/>
      <c r="O1139" s="461"/>
      <c r="P1139" s="461"/>
      <c r="Q1139" s="461"/>
      <c r="R1139" s="461"/>
      <c r="S1139" s="461"/>
      <c r="T1139" s="461"/>
      <c r="U1139" s="461"/>
      <c r="V1139" s="461"/>
      <c r="W1139" s="461"/>
      <c r="X1139" s="461"/>
      <c r="Y1139" s="461"/>
      <c r="Z1139" s="461"/>
      <c r="AA1139" s="461"/>
      <c r="AB1139" s="461"/>
      <c r="AC1139" s="461"/>
      <c r="AD1139" s="461"/>
      <c r="AE1139" s="461"/>
      <c r="AF1139" s="461"/>
      <c r="AG1139" s="461"/>
      <c r="AH1139" s="461"/>
      <c r="AI1139" s="461"/>
      <c r="AJ1139" s="461"/>
    </row>
    <row r="1140" spans="1:36" x14ac:dyDescent="0.25">
      <c r="A1140" t="s">
        <v>859</v>
      </c>
      <c r="B1140" t="s">
        <v>481</v>
      </c>
      <c r="H1140" s="454" t="s">
        <v>32</v>
      </c>
      <c r="I1140" s="496" t="str">
        <f t="shared" si="948"/>
        <v>tr. VND</v>
      </c>
      <c r="K1140" s="457" cm="1">
        <f t="array" ref="K1140">-SUMPRODUCT('W1'!$H$10:$BC$60*('W1'!$A$10:$A$60=$B1140)*('W1'!$H$7:$BC$7="Giá trị đầu tư")*('W1'!$H$6:$BC$6=$A1140))*$H$10</f>
        <v>-38110.799999999996</v>
      </c>
      <c r="L1140" s="457"/>
      <c r="M1140" s="457"/>
      <c r="N1140" s="457"/>
      <c r="O1140" s="457"/>
      <c r="P1140" s="457"/>
      <c r="Q1140" s="457"/>
      <c r="R1140" s="457"/>
      <c r="S1140" s="457"/>
      <c r="T1140" s="457"/>
      <c r="U1140" s="457"/>
      <c r="V1140" s="457"/>
      <c r="W1140" s="457"/>
      <c r="X1140" s="457"/>
      <c r="Y1140" s="457"/>
      <c r="Z1140" s="457"/>
      <c r="AA1140" s="457"/>
      <c r="AB1140" s="457"/>
      <c r="AC1140" s="457"/>
      <c r="AD1140" s="457"/>
      <c r="AE1140" s="457"/>
      <c r="AF1140" s="457"/>
      <c r="AG1140" s="457"/>
      <c r="AH1140" s="457"/>
      <c r="AI1140" s="457"/>
      <c r="AJ1140" s="457"/>
    </row>
    <row r="1141" spans="1:36" x14ac:dyDescent="0.25">
      <c r="A1141" t="s">
        <v>859</v>
      </c>
      <c r="B1141" t="s">
        <v>482</v>
      </c>
      <c r="H1141" s="454" t="s">
        <v>478</v>
      </c>
      <c r="I1141" s="496" t="str">
        <f t="shared" si="948"/>
        <v>tr. VND</v>
      </c>
      <c r="K1141" s="457" cm="1">
        <f t="array" ref="K1141">-SUMPRODUCT('W1'!$H$10:$BC$60*('W1'!$A$10:$A$60=$B1141)*('W1'!$H$7:$BC$7="Giá trị đầu tư")*('W1'!$H$6:$BC$6=$A1141))*$H$10</f>
        <v>0</v>
      </c>
      <c r="L1141" s="457"/>
      <c r="M1141" s="457"/>
      <c r="N1141" s="457"/>
      <c r="O1141" s="457"/>
      <c r="P1141" s="457"/>
      <c r="Q1141" s="457"/>
      <c r="R1141" s="457"/>
      <c r="S1141" s="457"/>
      <c r="T1141" s="457"/>
      <c r="U1141" s="457"/>
      <c r="V1141" s="457"/>
      <c r="W1141" s="457"/>
      <c r="X1141" s="457"/>
      <c r="Y1141" s="457"/>
      <c r="Z1141" s="457"/>
      <c r="AA1141" s="457"/>
      <c r="AB1141" s="457"/>
      <c r="AC1141" s="457"/>
      <c r="AD1141" s="457"/>
      <c r="AE1141" s="457"/>
      <c r="AF1141" s="457"/>
      <c r="AG1141" s="457"/>
      <c r="AH1141" s="457"/>
      <c r="AI1141" s="457"/>
      <c r="AJ1141" s="457"/>
    </row>
    <row r="1142" spans="1:36" x14ac:dyDescent="0.25">
      <c r="A1142" t="s">
        <v>859</v>
      </c>
      <c r="B1142" t="s">
        <v>483</v>
      </c>
      <c r="H1142" s="454" t="s">
        <v>479</v>
      </c>
      <c r="I1142" s="496" t="str">
        <f t="shared" si="948"/>
        <v>tr. VND</v>
      </c>
      <c r="K1142" s="457" cm="1">
        <f t="array" ref="K1142">-SUMPRODUCT('W1'!$H$10:$BC$60*('W1'!$A$10:$A$60=$B1142)*('W1'!$H$7:$BC$7="Giá trị đầu tư")*('W1'!$H$6:$BC$6=$A1142))*$H$10</f>
        <v>-16250</v>
      </c>
      <c r="L1142" s="457"/>
      <c r="M1142" s="457"/>
      <c r="N1142" s="457"/>
      <c r="O1142" s="457"/>
      <c r="P1142" s="457"/>
      <c r="Q1142" s="457"/>
      <c r="R1142" s="457"/>
      <c r="S1142" s="457"/>
      <c r="T1142" s="457"/>
      <c r="U1142" s="457"/>
      <c r="V1142" s="457"/>
      <c r="W1142" s="457"/>
      <c r="X1142" s="457"/>
      <c r="Y1142" s="457"/>
      <c r="Z1142" s="457"/>
      <c r="AA1142" s="457"/>
      <c r="AB1142" s="457"/>
      <c r="AC1142" s="457"/>
      <c r="AD1142" s="457"/>
      <c r="AE1142" s="457"/>
      <c r="AF1142" s="457"/>
      <c r="AG1142" s="457"/>
      <c r="AH1142" s="457"/>
      <c r="AI1142" s="457"/>
      <c r="AJ1142" s="457"/>
    </row>
    <row r="1143" spans="1:36" x14ac:dyDescent="0.25">
      <c r="A1143" t="s">
        <v>859</v>
      </c>
      <c r="K1143" s="15"/>
      <c r="L1143" s="15"/>
      <c r="M1143" s="15"/>
      <c r="N1143" s="15"/>
      <c r="O1143" s="15"/>
      <c r="P1143" s="15"/>
      <c r="Q1143" s="15"/>
      <c r="R1143" s="15"/>
      <c r="S1143" s="15"/>
      <c r="T1143" s="15"/>
      <c r="U1143" s="15"/>
      <c r="V1143" s="15"/>
      <c r="W1143" s="15"/>
      <c r="X1143" s="15"/>
      <c r="Y1143" s="15"/>
      <c r="Z1143" s="15"/>
      <c r="AA1143" s="15"/>
      <c r="AB1143" s="15"/>
      <c r="AC1143" s="15"/>
      <c r="AD1143" s="15"/>
      <c r="AE1143" s="15"/>
      <c r="AF1143" s="15"/>
      <c r="AG1143" s="15"/>
      <c r="AH1143" s="15"/>
      <c r="AI1143" s="15"/>
      <c r="AJ1143" s="15"/>
    </row>
    <row r="1144" spans="1:36" s="16" customFormat="1" x14ac:dyDescent="0.25">
      <c r="A1144" s="16" t="s">
        <v>859</v>
      </c>
      <c r="H1144" s="270" t="s">
        <v>498</v>
      </c>
      <c r="I1144" s="271" t="str">
        <f>IF($H$9="USD","USD","tr. VND")</f>
        <v>tr. VND</v>
      </c>
      <c r="K1144" s="272">
        <f>K1137</f>
        <v>-300749.80000000005</v>
      </c>
      <c r="L1144" s="272">
        <f t="shared" ref="L1144:AJ1144" si="949">L1129+L1045-(L1017+L1043)</f>
        <v>7153.2818100340664</v>
      </c>
      <c r="M1144" s="272">
        <f t="shared" si="949"/>
        <v>21535.632451337086</v>
      </c>
      <c r="N1144" s="272">
        <f t="shared" si="949"/>
        <v>39117.763160796851</v>
      </c>
      <c r="O1144" s="272">
        <f t="shared" si="949"/>
        <v>38689.569988890333</v>
      </c>
      <c r="P1144" s="272">
        <f t="shared" si="949"/>
        <v>38190.657472872284</v>
      </c>
      <c r="Q1144" s="272">
        <f t="shared" si="949"/>
        <v>37616.503451826764</v>
      </c>
      <c r="R1144" s="272">
        <f t="shared" si="949"/>
        <v>36962.339932917785</v>
      </c>
      <c r="S1144" s="272">
        <f t="shared" si="949"/>
        <v>36223.140405316044</v>
      </c>
      <c r="T1144" s="272">
        <f t="shared" si="949"/>
        <v>35393.606511931932</v>
      </c>
      <c r="U1144" s="272">
        <f t="shared" si="949"/>
        <v>34468.154046688294</v>
      </c>
      <c r="V1144" s="272">
        <f t="shared" si="949"/>
        <v>33440.898243448341</v>
      </c>
      <c r="W1144" s="272">
        <f t="shared" si="949"/>
        <v>32305.63832101745</v>
      </c>
      <c r="X1144" s="272">
        <f t="shared" si="949"/>
        <v>32058.340580189088</v>
      </c>
      <c r="Y1144" s="272">
        <f t="shared" si="949"/>
        <v>30687.12401359772</v>
      </c>
      <c r="Z1144" s="272">
        <f t="shared" si="949"/>
        <v>29187.238387180765</v>
      </c>
      <c r="AA1144" s="272"/>
      <c r="AB1144" s="272"/>
      <c r="AC1144" s="272"/>
      <c r="AD1144" s="272"/>
      <c r="AE1144" s="272"/>
      <c r="AF1144" s="272"/>
      <c r="AG1144" s="272"/>
      <c r="AH1144" s="272"/>
      <c r="AI1144" s="272"/>
      <c r="AJ1144" s="272"/>
    </row>
    <row r="1145" spans="1:36" x14ac:dyDescent="0.25">
      <c r="A1145" t="s">
        <v>859</v>
      </c>
      <c r="H1145" t="s">
        <v>292</v>
      </c>
      <c r="I1145" s="65" t="str">
        <f t="shared" ref="I1145:I1152" si="950">IF($H$9="USD","USD","tr. VND")</f>
        <v>tr. VND</v>
      </c>
      <c r="L1145" s="15">
        <f>-(L1144+L1017)*Tax_rate</f>
        <v>3581.8403046598537</v>
      </c>
      <c r="M1145" s="15">
        <f t="shared" ref="M1145:AJ1145" si="951">-(M1144+M1017)*Tax_rate</f>
        <v>705.37017639924966</v>
      </c>
      <c r="N1145" s="15">
        <f t="shared" si="951"/>
        <v>-2811.0559654927038</v>
      </c>
      <c r="O1145" s="15">
        <f t="shared" si="951"/>
        <v>-2725.4173311114</v>
      </c>
      <c r="P1145" s="15">
        <f t="shared" si="951"/>
        <v>-2625.6348279077902</v>
      </c>
      <c r="Q1145" s="15">
        <f t="shared" si="951"/>
        <v>-2510.8040236986863</v>
      </c>
      <c r="R1145" s="15">
        <f t="shared" si="951"/>
        <v>-2379.9713199168905</v>
      </c>
      <c r="S1145" s="15">
        <f t="shared" si="951"/>
        <v>-2232.1314143965424</v>
      </c>
      <c r="T1145" s="15">
        <f t="shared" si="951"/>
        <v>-2066.2246357197196</v>
      </c>
      <c r="U1145" s="15">
        <f t="shared" si="951"/>
        <v>-1881.1341426709923</v>
      </c>
      <c r="V1145" s="15">
        <f t="shared" si="951"/>
        <v>-1675.6829820230014</v>
      </c>
      <c r="W1145" s="15">
        <f t="shared" si="951"/>
        <v>-1448.6309975368233</v>
      </c>
      <c r="X1145" s="15">
        <f t="shared" si="951"/>
        <v>-6411.6681160378175</v>
      </c>
      <c r="Y1145" s="15">
        <f t="shared" si="951"/>
        <v>-6137.4248027195445</v>
      </c>
      <c r="Z1145" s="15">
        <f t="shared" si="951"/>
        <v>-5837.4476774361538</v>
      </c>
      <c r="AA1145" s="15"/>
      <c r="AB1145" s="15"/>
      <c r="AC1145" s="15"/>
      <c r="AD1145" s="15"/>
      <c r="AE1145" s="15"/>
      <c r="AF1145" s="15"/>
      <c r="AG1145" s="15"/>
      <c r="AH1145" s="15"/>
      <c r="AI1145" s="15"/>
      <c r="AJ1145" s="15"/>
    </row>
    <row r="1146" spans="1:36" s="16" customFormat="1" x14ac:dyDescent="0.25">
      <c r="A1146" s="16" t="s">
        <v>859</v>
      </c>
      <c r="H1146" s="270" t="s">
        <v>499</v>
      </c>
      <c r="I1146" s="271" t="str">
        <f t="shared" si="950"/>
        <v>tr. VND</v>
      </c>
      <c r="K1146" s="272">
        <f>K1144+K1145</f>
        <v>-300749.80000000005</v>
      </c>
      <c r="L1146" s="272">
        <f t="shared" ref="L1146:AJ1146" si="952">L1144+L1145</f>
        <v>10735.122114693921</v>
      </c>
      <c r="M1146" s="272">
        <f t="shared" si="952"/>
        <v>22241.002627736336</v>
      </c>
      <c r="N1146" s="272">
        <f t="shared" si="952"/>
        <v>36306.707195304145</v>
      </c>
      <c r="O1146" s="272">
        <f t="shared" si="952"/>
        <v>35964.152657778934</v>
      </c>
      <c r="P1146" s="272">
        <f t="shared" si="952"/>
        <v>35565.022644964498</v>
      </c>
      <c r="Q1146" s="272">
        <f t="shared" si="952"/>
        <v>35105.699428128079</v>
      </c>
      <c r="R1146" s="272">
        <f t="shared" si="952"/>
        <v>34582.368613000894</v>
      </c>
      <c r="S1146" s="272">
        <f t="shared" si="952"/>
        <v>33991.008990919501</v>
      </c>
      <c r="T1146" s="272">
        <f t="shared" si="952"/>
        <v>33327.38187621221</v>
      </c>
      <c r="U1146" s="272">
        <f t="shared" si="952"/>
        <v>32587.019904017303</v>
      </c>
      <c r="V1146" s="272">
        <f t="shared" si="952"/>
        <v>31765.215261425339</v>
      </c>
      <c r="W1146" s="272">
        <f t="shared" si="952"/>
        <v>30857.007323480626</v>
      </c>
      <c r="X1146" s="272">
        <f t="shared" si="952"/>
        <v>25646.67246415127</v>
      </c>
      <c r="Y1146" s="272">
        <f t="shared" si="952"/>
        <v>24549.699210878178</v>
      </c>
      <c r="Z1146" s="272">
        <f t="shared" si="952"/>
        <v>23349.790709744611</v>
      </c>
      <c r="AA1146" s="272"/>
      <c r="AB1146" s="272"/>
      <c r="AC1146" s="272"/>
      <c r="AD1146" s="272"/>
      <c r="AE1146" s="272"/>
      <c r="AF1146" s="272"/>
      <c r="AG1146" s="272"/>
      <c r="AH1146" s="272"/>
      <c r="AI1146" s="272"/>
      <c r="AJ1146" s="272"/>
    </row>
    <row r="1147" spans="1:36" x14ac:dyDescent="0.25">
      <c r="A1147" t="s">
        <v>859</v>
      </c>
      <c r="H1147" t="s">
        <v>500</v>
      </c>
      <c r="K1147" s="95">
        <f>INDEX('Cover Page'!$H$23:$AJ$23,MATCH($A1147,'Cover Page'!$H$5:$AJ$5,0))</f>
        <v>7.2660000000000016E-2</v>
      </c>
    </row>
    <row r="1148" spans="1:36" s="16" customFormat="1" x14ac:dyDescent="0.25">
      <c r="A1148" s="16" t="s">
        <v>859</v>
      </c>
      <c r="D1148" s="16" t="s">
        <v>515</v>
      </c>
      <c r="H1148" s="270" t="s">
        <v>501</v>
      </c>
      <c r="I1148" s="271" t="str">
        <f t="shared" si="950"/>
        <v>tr. VND</v>
      </c>
      <c r="K1148" s="272">
        <f>K1146/POWER(1+$K1147,K$14)</f>
        <v>-300749.80000000005</v>
      </c>
      <c r="L1148" s="272">
        <f t="shared" ref="L1148:AJ1148" si="953">L1146/POWER(1+$K1147,L$14)</f>
        <v>10007.944842442079</v>
      </c>
      <c r="M1148" s="272">
        <f t="shared" si="953"/>
        <v>19329.925920693106</v>
      </c>
      <c r="N1148" s="272">
        <f t="shared" si="953"/>
        <v>29417.150685151235</v>
      </c>
      <c r="O1148" s="272">
        <f t="shared" si="953"/>
        <v>27165.736819303529</v>
      </c>
      <c r="P1148" s="272">
        <f t="shared" si="953"/>
        <v>25044.516983891077</v>
      </c>
      <c r="Q1148" s="272">
        <f t="shared" si="953"/>
        <v>23046.507167698037</v>
      </c>
      <c r="R1148" s="272">
        <f t="shared" si="953"/>
        <v>21165.090727278108</v>
      </c>
      <c r="S1148" s="272">
        <f t="shared" si="953"/>
        <v>19393.999022164131</v>
      </c>
      <c r="T1148" s="272">
        <f t="shared" si="953"/>
        <v>17727.293083845143</v>
      </c>
      <c r="U1148" s="272">
        <f t="shared" si="953"/>
        <v>16159.346262279238</v>
      </c>
      <c r="V1148" s="272">
        <f t="shared" si="953"/>
        <v>14684.827796838848</v>
      </c>
      <c r="W1148" s="272">
        <f t="shared" si="953"/>
        <v>13298.687261535579</v>
      </c>
      <c r="X1148" s="272">
        <f t="shared" si="953"/>
        <v>10304.428473910282</v>
      </c>
      <c r="Y1148" s="272">
        <f t="shared" si="953"/>
        <v>9195.5343941094179</v>
      </c>
      <c r="Z1148" s="272">
        <f t="shared" si="953"/>
        <v>8153.6432202565729</v>
      </c>
      <c r="AA1148" s="272"/>
      <c r="AB1148" s="272"/>
      <c r="AC1148" s="272"/>
      <c r="AD1148" s="272"/>
      <c r="AE1148" s="272"/>
      <c r="AF1148" s="272"/>
      <c r="AG1148" s="272"/>
      <c r="AH1148" s="272"/>
      <c r="AI1148" s="272"/>
      <c r="AJ1148" s="272"/>
    </row>
    <row r="1149" spans="1:36" x14ac:dyDescent="0.25">
      <c r="A1149" t="s">
        <v>859</v>
      </c>
      <c r="H1149" t="s">
        <v>503</v>
      </c>
      <c r="I1149" s="65" t="str">
        <f t="shared" si="950"/>
        <v>tr. VND</v>
      </c>
      <c r="K1149" s="15">
        <f>SUM($K1148:K1148)</f>
        <v>-300749.80000000005</v>
      </c>
      <c r="L1149" s="15">
        <f>SUM($K1148:L1148)</f>
        <v>-290741.85515755799</v>
      </c>
      <c r="M1149" s="15">
        <f>SUM($K1148:M1148)</f>
        <v>-271411.9292368649</v>
      </c>
      <c r="N1149" s="15">
        <f>SUM($K1148:N1148)</f>
        <v>-241994.77855171368</v>
      </c>
      <c r="O1149" s="15">
        <f>SUM($K1148:O1148)</f>
        <v>-214829.04173241014</v>
      </c>
      <c r="P1149" s="15">
        <f>SUM($K1148:P1148)</f>
        <v>-189784.52474851906</v>
      </c>
      <c r="Q1149" s="15">
        <f>SUM($K1148:Q1148)</f>
        <v>-166738.01758082103</v>
      </c>
      <c r="R1149" s="15">
        <f>SUM($K1148:R1148)</f>
        <v>-145572.92685354291</v>
      </c>
      <c r="S1149" s="15">
        <f>SUM($K1148:S1148)</f>
        <v>-126178.92783137878</v>
      </c>
      <c r="T1149" s="15">
        <f>SUM($K1148:T1148)</f>
        <v>-108451.63474753364</v>
      </c>
      <c r="U1149" s="15">
        <f>SUM($K1148:U1148)</f>
        <v>-92292.288485254394</v>
      </c>
      <c r="V1149" s="15">
        <f>SUM($K1148:V1148)</f>
        <v>-77607.460688415551</v>
      </c>
      <c r="W1149" s="15">
        <f>SUM($K1148:W1148)</f>
        <v>-64308.773426879969</v>
      </c>
      <c r="X1149" s="15">
        <f>SUM($K1148:X1148)</f>
        <v>-54004.344952969688</v>
      </c>
      <c r="Y1149" s="15">
        <f>SUM($K1148:Y1148)</f>
        <v>-44808.81055886027</v>
      </c>
      <c r="Z1149" s="15">
        <f>SUM($K1148:Z1148)</f>
        <v>-36655.1673386037</v>
      </c>
      <c r="AA1149" s="15"/>
      <c r="AB1149" s="15"/>
      <c r="AC1149" s="15"/>
      <c r="AD1149" s="15"/>
      <c r="AE1149" s="15"/>
      <c r="AF1149" s="15"/>
      <c r="AG1149" s="15"/>
      <c r="AH1149" s="15"/>
      <c r="AI1149" s="15"/>
      <c r="AJ1149" s="15"/>
    </row>
    <row r="1150" spans="1:36" x14ac:dyDescent="0.25">
      <c r="A1150" t="s">
        <v>859</v>
      </c>
    </row>
    <row r="1151" spans="1:36" ht="15.75" thickBot="1" x14ac:dyDescent="0.3">
      <c r="A1151" t="s">
        <v>859</v>
      </c>
    </row>
    <row r="1152" spans="1:36" x14ac:dyDescent="0.25">
      <c r="A1152" t="s">
        <v>859</v>
      </c>
      <c r="D1152" t="s">
        <v>544</v>
      </c>
      <c r="H1152" s="96" t="s">
        <v>401</v>
      </c>
      <c r="I1152" s="310" t="str">
        <f t="shared" si="950"/>
        <v>tr. VND</v>
      </c>
      <c r="J1152" s="311"/>
      <c r="K1152" s="97">
        <f>SUM(K1148:AJ1148)</f>
        <v>-36655.1673386037</v>
      </c>
      <c r="L1152" s="263"/>
      <c r="M1152" s="70"/>
      <c r="N1152" s="70"/>
    </row>
    <row r="1153" spans="1:36" x14ac:dyDescent="0.25">
      <c r="A1153" t="s">
        <v>859</v>
      </c>
      <c r="D1153" t="s">
        <v>516</v>
      </c>
      <c r="H1153" s="212" t="s">
        <v>402</v>
      </c>
      <c r="I1153" s="255"/>
      <c r="J1153" s="48"/>
      <c r="K1153" s="314">
        <f>IFERROR(IRR(K1146:AJ1146),0)</f>
        <v>5.3201942211057229E-2</v>
      </c>
    </row>
    <row r="1154" spans="1:36" ht="15.75" thickBot="1" x14ac:dyDescent="0.3">
      <c r="A1154" t="s">
        <v>859</v>
      </c>
      <c r="D1154" t="s">
        <v>517</v>
      </c>
      <c r="H1154" s="98" t="s">
        <v>403</v>
      </c>
      <c r="I1154" s="312" t="s">
        <v>290</v>
      </c>
      <c r="J1154" s="313"/>
      <c r="K1154" s="315" cm="1">
        <f t="array" ref="K1154">ROUNDUP(IF(K1152&lt;0,0,INDEX(K$14:AJ$14,,MATCH(_xlfn.MINIFS(K1149:AJ1149,K1149:AJ1149,"&gt;"&amp;0),K1149:AJ1149))-1-INDEX(K1149:AJ1149,,MATCH(_xlfn.MINIFS(K1149:AJ1149,K1149:AJ1149,"&gt;"&amp;0),K1149:AJ1149)-1)/INDEX(K1148:AJ1148,,MATCH(_xlfn.MINIFS(K1149:AJ1149,K1149:AJ1149,"&gt;"&amp;0),K1149:AJ1149))),1)</f>
        <v>0</v>
      </c>
    </row>
    <row r="1155" spans="1:36" x14ac:dyDescent="0.25">
      <c r="A1155" t="s">
        <v>859</v>
      </c>
      <c r="H1155" s="316" t="str">
        <f>INT(K1154)&amp;" năm"&amp;IF(MOD(K1154,1)*12=0,," "&amp;TEXT(MOD(K1154,1)*12,"00")&amp;" tháng")</f>
        <v>0 năm</v>
      </c>
    </row>
    <row r="1156" spans="1:36" x14ac:dyDescent="0.25">
      <c r="A1156" t="s">
        <v>859</v>
      </c>
    </row>
    <row r="1157" spans="1:36" x14ac:dyDescent="0.25">
      <c r="A1157" t="s">
        <v>859</v>
      </c>
    </row>
    <row r="1158" spans="1:36" s="304" customFormat="1" x14ac:dyDescent="0.25">
      <c r="I1158" s="305"/>
    </row>
    <row r="1159" spans="1:36" s="631" customFormat="1" ht="19.5" x14ac:dyDescent="0.3">
      <c r="A1159" s="631" t="s">
        <v>860</v>
      </c>
      <c r="H1159" s="632" t="s">
        <v>860</v>
      </c>
      <c r="K1159" s="633"/>
      <c r="L1159" s="633"/>
      <c r="M1159" s="633"/>
      <c r="N1159" s="633"/>
      <c r="O1159" s="633"/>
      <c r="P1159" s="633"/>
      <c r="Q1159" s="633"/>
      <c r="R1159" s="633"/>
      <c r="S1159" s="633"/>
      <c r="T1159" s="633"/>
      <c r="U1159" s="633"/>
      <c r="V1159" s="633"/>
      <c r="W1159" s="633"/>
      <c r="X1159" s="633"/>
      <c r="Y1159" s="633"/>
      <c r="Z1159" s="633"/>
      <c r="AA1159" s="633"/>
      <c r="AB1159" s="633"/>
      <c r="AC1159" s="633"/>
      <c r="AD1159" s="633"/>
      <c r="AE1159" s="633"/>
      <c r="AF1159" s="633"/>
      <c r="AG1159" s="633"/>
      <c r="AH1159" s="633"/>
      <c r="AI1159" s="633"/>
      <c r="AJ1159" s="633"/>
    </row>
    <row r="1160" spans="1:36" x14ac:dyDescent="0.25">
      <c r="A1160" t="s">
        <v>860</v>
      </c>
      <c r="K1160" s="20"/>
      <c r="L1160" s="20"/>
      <c r="M1160" s="20"/>
      <c r="N1160" s="20"/>
      <c r="O1160" s="20"/>
      <c r="P1160" s="20"/>
      <c r="Q1160" s="20"/>
      <c r="R1160" s="20"/>
      <c r="S1160" s="20"/>
      <c r="T1160" s="20"/>
      <c r="U1160" s="20"/>
      <c r="V1160" s="20"/>
      <c r="W1160" s="20"/>
      <c r="X1160" s="20"/>
      <c r="Y1160" s="20"/>
      <c r="Z1160" s="20"/>
      <c r="AA1160" s="20"/>
      <c r="AB1160" s="20"/>
      <c r="AC1160" s="20"/>
      <c r="AD1160" s="20"/>
      <c r="AE1160" s="20"/>
      <c r="AF1160" s="20"/>
      <c r="AG1160" s="20"/>
      <c r="AH1160" s="20"/>
      <c r="AI1160" s="20"/>
      <c r="AJ1160" s="20"/>
    </row>
    <row r="1161" spans="1:36" s="24" customFormat="1" ht="17.25" x14ac:dyDescent="0.3">
      <c r="A1161" s="24" t="s">
        <v>860</v>
      </c>
      <c r="H1161" s="24" t="s">
        <v>669</v>
      </c>
      <c r="K1161" s="634"/>
      <c r="L1161" s="634"/>
      <c r="M1161" s="634"/>
      <c r="N1161" s="634"/>
      <c r="O1161" s="634"/>
      <c r="P1161" s="634"/>
      <c r="Q1161" s="634"/>
      <c r="R1161" s="634"/>
      <c r="S1161" s="634"/>
      <c r="T1161" s="634"/>
      <c r="U1161" s="634"/>
      <c r="V1161" s="634"/>
      <c r="W1161" s="634"/>
      <c r="X1161" s="634"/>
      <c r="Y1161" s="634"/>
      <c r="Z1161" s="634"/>
      <c r="AA1161" s="634"/>
      <c r="AB1161" s="634"/>
      <c r="AC1161" s="634"/>
      <c r="AD1161" s="634"/>
      <c r="AE1161" s="634"/>
      <c r="AF1161" s="634"/>
      <c r="AG1161" s="634"/>
      <c r="AH1161" s="634"/>
      <c r="AI1161" s="634"/>
      <c r="AJ1161" s="634"/>
    </row>
    <row r="1162" spans="1:36" x14ac:dyDescent="0.25">
      <c r="A1162" t="s">
        <v>860</v>
      </c>
      <c r="H1162" s="459" t="s">
        <v>427</v>
      </c>
      <c r="I1162" s="493" t="s">
        <v>436</v>
      </c>
      <c r="K1162" s="548"/>
      <c r="L1162" s="548">
        <f t="shared" ref="L1162:AA1163" si="954">Capacity*24*365</f>
        <v>7568640</v>
      </c>
      <c r="M1162" s="548">
        <f t="shared" si="954"/>
        <v>7568640</v>
      </c>
      <c r="N1162" s="548">
        <f t="shared" si="954"/>
        <v>7568640</v>
      </c>
      <c r="O1162" s="548">
        <f t="shared" si="954"/>
        <v>7568640</v>
      </c>
      <c r="P1162" s="548">
        <f t="shared" si="954"/>
        <v>7568640</v>
      </c>
      <c r="Q1162" s="548">
        <f t="shared" si="954"/>
        <v>7568640</v>
      </c>
      <c r="R1162" s="548">
        <f t="shared" si="954"/>
        <v>7568640</v>
      </c>
      <c r="S1162" s="548">
        <f t="shared" si="954"/>
        <v>7568640</v>
      </c>
      <c r="T1162" s="548">
        <f t="shared" si="954"/>
        <v>7568640</v>
      </c>
      <c r="U1162" s="548">
        <f t="shared" si="954"/>
        <v>7568640</v>
      </c>
      <c r="V1162" s="548">
        <f t="shared" si="954"/>
        <v>7568640</v>
      </c>
      <c r="W1162" s="548">
        <f t="shared" si="954"/>
        <v>7568640</v>
      </c>
      <c r="X1162" s="548">
        <f t="shared" si="954"/>
        <v>7568640</v>
      </c>
      <c r="Y1162" s="548">
        <f t="shared" si="954"/>
        <v>7568640</v>
      </c>
      <c r="Z1162" s="548">
        <f t="shared" si="954"/>
        <v>7568640</v>
      </c>
      <c r="AA1162" s="548"/>
      <c r="AB1162" s="548"/>
      <c r="AC1162" s="548"/>
      <c r="AD1162" s="548"/>
      <c r="AE1162" s="548"/>
      <c r="AF1162" s="548"/>
      <c r="AG1162" s="548"/>
      <c r="AH1162" s="548"/>
      <c r="AI1162" s="548"/>
      <c r="AJ1162" s="548"/>
    </row>
    <row r="1163" spans="1:36" x14ac:dyDescent="0.25">
      <c r="A1163" t="s">
        <v>860</v>
      </c>
      <c r="H1163" s="454" t="s">
        <v>427</v>
      </c>
      <c r="I1163" s="496" t="s">
        <v>320</v>
      </c>
      <c r="K1163" s="549"/>
      <c r="L1163" s="549">
        <f t="shared" si="954"/>
        <v>7568640</v>
      </c>
      <c r="M1163" s="549">
        <f t="shared" si="954"/>
        <v>7568640</v>
      </c>
      <c r="N1163" s="549">
        <f t="shared" si="954"/>
        <v>7568640</v>
      </c>
      <c r="O1163" s="549">
        <f t="shared" si="954"/>
        <v>7568640</v>
      </c>
      <c r="P1163" s="549">
        <f t="shared" si="954"/>
        <v>7568640</v>
      </c>
      <c r="Q1163" s="549">
        <f t="shared" si="954"/>
        <v>7568640</v>
      </c>
      <c r="R1163" s="549">
        <f t="shared" si="954"/>
        <v>7568640</v>
      </c>
      <c r="S1163" s="549">
        <f t="shared" si="954"/>
        <v>7568640</v>
      </c>
      <c r="T1163" s="549">
        <f t="shared" si="954"/>
        <v>7568640</v>
      </c>
      <c r="U1163" s="549">
        <f t="shared" si="954"/>
        <v>7568640</v>
      </c>
      <c r="V1163" s="549">
        <f t="shared" si="954"/>
        <v>7568640</v>
      </c>
      <c r="W1163" s="549">
        <f t="shared" si="954"/>
        <v>7568640</v>
      </c>
      <c r="X1163" s="549">
        <f t="shared" si="954"/>
        <v>7568640</v>
      </c>
      <c r="Y1163" s="549">
        <f t="shared" si="954"/>
        <v>7568640</v>
      </c>
      <c r="Z1163" s="549">
        <f t="shared" si="954"/>
        <v>7568640</v>
      </c>
      <c r="AA1163" s="549"/>
      <c r="AB1163" s="549"/>
      <c r="AC1163" s="549"/>
      <c r="AD1163" s="549"/>
      <c r="AE1163" s="549"/>
      <c r="AF1163" s="549"/>
      <c r="AG1163" s="549"/>
      <c r="AH1163" s="549"/>
      <c r="AI1163" s="549"/>
      <c r="AJ1163" s="549"/>
    </row>
    <row r="1164" spans="1:36" s="250" customFormat="1" x14ac:dyDescent="0.25">
      <c r="A1164" s="250" t="s">
        <v>860</v>
      </c>
      <c r="H1164" s="536" t="s">
        <v>460</v>
      </c>
      <c r="I1164" s="547"/>
      <c r="K1164" s="550"/>
      <c r="L1164" s="551">
        <v>0.88</v>
      </c>
      <c r="M1164" s="551">
        <v>0.88</v>
      </c>
      <c r="N1164" s="551">
        <v>0.88</v>
      </c>
      <c r="O1164" s="551">
        <v>0.88</v>
      </c>
      <c r="P1164" s="551">
        <v>0.88</v>
      </c>
      <c r="Q1164" s="551">
        <v>0.88</v>
      </c>
      <c r="R1164" s="551">
        <v>0.88</v>
      </c>
      <c r="S1164" s="551">
        <v>0.88</v>
      </c>
      <c r="T1164" s="551">
        <v>0.88</v>
      </c>
      <c r="U1164" s="551">
        <v>0.88</v>
      </c>
      <c r="V1164" s="551">
        <v>0.88</v>
      </c>
      <c r="W1164" s="551">
        <v>0.88</v>
      </c>
      <c r="X1164" s="551">
        <v>0.88</v>
      </c>
      <c r="Y1164" s="551">
        <v>0.88</v>
      </c>
      <c r="Z1164" s="551">
        <v>0.88</v>
      </c>
      <c r="AA1164" s="551"/>
      <c r="AB1164" s="551"/>
      <c r="AC1164" s="551"/>
      <c r="AD1164" s="551"/>
      <c r="AE1164" s="551"/>
      <c r="AF1164" s="551"/>
      <c r="AG1164" s="551"/>
      <c r="AH1164" s="551"/>
      <c r="AI1164" s="551"/>
      <c r="AJ1164" s="551"/>
    </row>
    <row r="1165" spans="1:36" s="250" customFormat="1" x14ac:dyDescent="0.25">
      <c r="A1165" s="250" t="s">
        <v>860</v>
      </c>
      <c r="H1165" s="536" t="s">
        <v>461</v>
      </c>
      <c r="I1165" s="547"/>
      <c r="K1165" s="550"/>
      <c r="L1165" s="551">
        <v>0.5</v>
      </c>
      <c r="M1165" s="551">
        <v>0.7</v>
      </c>
      <c r="N1165" s="551">
        <v>1</v>
      </c>
      <c r="O1165" s="551">
        <v>1</v>
      </c>
      <c r="P1165" s="551">
        <v>1</v>
      </c>
      <c r="Q1165" s="551">
        <v>1</v>
      </c>
      <c r="R1165" s="551">
        <v>1</v>
      </c>
      <c r="S1165" s="551">
        <v>1</v>
      </c>
      <c r="T1165" s="551">
        <v>1</v>
      </c>
      <c r="U1165" s="551">
        <v>1</v>
      </c>
      <c r="V1165" s="551">
        <v>1</v>
      </c>
      <c r="W1165" s="551">
        <v>1</v>
      </c>
      <c r="X1165" s="551">
        <v>1</v>
      </c>
      <c r="Y1165" s="551">
        <v>1</v>
      </c>
      <c r="Z1165" s="551">
        <v>1</v>
      </c>
      <c r="AA1165" s="551"/>
      <c r="AB1165" s="551"/>
      <c r="AC1165" s="551"/>
      <c r="AD1165" s="551"/>
      <c r="AE1165" s="551"/>
      <c r="AF1165" s="551"/>
      <c r="AG1165" s="551"/>
      <c r="AH1165" s="551"/>
      <c r="AI1165" s="551"/>
      <c r="AJ1165" s="551"/>
    </row>
    <row r="1166" spans="1:36" x14ac:dyDescent="0.25">
      <c r="A1166" t="s">
        <v>860</v>
      </c>
      <c r="B1166" t="s">
        <v>437</v>
      </c>
      <c r="H1166" s="454" t="s">
        <v>70</v>
      </c>
      <c r="I1166" s="496"/>
      <c r="K1166" s="549"/>
      <c r="L1166" s="552" cm="1">
        <f t="array" ref="L1166">SUMPRODUCT('W2'!$M$12:$V$112*('W2'!$M$7:$V$7=$A1166)*('W2'!$A$12:$A$112=$B1166))</f>
        <v>7.0000000000000007E-2</v>
      </c>
      <c r="M1166" s="552">
        <f>L1166</f>
        <v>7.0000000000000007E-2</v>
      </c>
      <c r="N1166" s="552">
        <f t="shared" ref="N1166" si="955">M1166</f>
        <v>7.0000000000000007E-2</v>
      </c>
      <c r="O1166" s="552">
        <f t="shared" ref="O1166" si="956">N1166</f>
        <v>7.0000000000000007E-2</v>
      </c>
      <c r="P1166" s="552">
        <f t="shared" ref="P1166" si="957">O1166</f>
        <v>7.0000000000000007E-2</v>
      </c>
      <c r="Q1166" s="552">
        <f t="shared" ref="Q1166" si="958">P1166</f>
        <v>7.0000000000000007E-2</v>
      </c>
      <c r="R1166" s="552">
        <f t="shared" ref="R1166" si="959">Q1166</f>
        <v>7.0000000000000007E-2</v>
      </c>
      <c r="S1166" s="552">
        <f t="shared" ref="S1166" si="960">R1166</f>
        <v>7.0000000000000007E-2</v>
      </c>
      <c r="T1166" s="552">
        <f t="shared" ref="T1166" si="961">S1166</f>
        <v>7.0000000000000007E-2</v>
      </c>
      <c r="U1166" s="552">
        <f t="shared" ref="U1166" si="962">T1166</f>
        <v>7.0000000000000007E-2</v>
      </c>
      <c r="V1166" s="552">
        <f t="shared" ref="V1166" si="963">U1166</f>
        <v>7.0000000000000007E-2</v>
      </c>
      <c r="W1166" s="552">
        <f t="shared" ref="W1166" si="964">V1166</f>
        <v>7.0000000000000007E-2</v>
      </c>
      <c r="X1166" s="552">
        <f t="shared" ref="X1166" si="965">W1166</f>
        <v>7.0000000000000007E-2</v>
      </c>
      <c r="Y1166" s="552">
        <f t="shared" ref="Y1166" si="966">X1166</f>
        <v>7.0000000000000007E-2</v>
      </c>
      <c r="Z1166" s="552">
        <f t="shared" ref="Z1166" si="967">Y1166</f>
        <v>7.0000000000000007E-2</v>
      </c>
      <c r="AA1166" s="552"/>
      <c r="AB1166" s="552"/>
      <c r="AC1166" s="552"/>
      <c r="AD1166" s="552"/>
      <c r="AE1166" s="552"/>
      <c r="AF1166" s="552"/>
      <c r="AG1166" s="552"/>
      <c r="AH1166" s="552"/>
      <c r="AI1166" s="552"/>
      <c r="AJ1166" s="552"/>
    </row>
    <row r="1167" spans="1:36" x14ac:dyDescent="0.25">
      <c r="A1167" t="s">
        <v>860</v>
      </c>
      <c r="H1167" s="454" t="s">
        <v>59</v>
      </c>
      <c r="I1167" s="496"/>
      <c r="K1167" s="549"/>
      <c r="L1167" s="549">
        <f>365*L1164*L1165</f>
        <v>160.6</v>
      </c>
      <c r="M1167" s="549">
        <f t="shared" ref="M1167:AJ1167" si="968">365*M1164*M1165</f>
        <v>224.83999999999997</v>
      </c>
      <c r="N1167" s="549">
        <f t="shared" si="968"/>
        <v>321.2</v>
      </c>
      <c r="O1167" s="549">
        <f t="shared" si="968"/>
        <v>321.2</v>
      </c>
      <c r="P1167" s="549">
        <f t="shared" si="968"/>
        <v>321.2</v>
      </c>
      <c r="Q1167" s="549">
        <f t="shared" si="968"/>
        <v>321.2</v>
      </c>
      <c r="R1167" s="549">
        <f t="shared" si="968"/>
        <v>321.2</v>
      </c>
      <c r="S1167" s="549">
        <f t="shared" si="968"/>
        <v>321.2</v>
      </c>
      <c r="T1167" s="549">
        <f t="shared" si="968"/>
        <v>321.2</v>
      </c>
      <c r="U1167" s="549">
        <f t="shared" si="968"/>
        <v>321.2</v>
      </c>
      <c r="V1167" s="549">
        <f t="shared" si="968"/>
        <v>321.2</v>
      </c>
      <c r="W1167" s="549">
        <f t="shared" si="968"/>
        <v>321.2</v>
      </c>
      <c r="X1167" s="549">
        <f t="shared" si="968"/>
        <v>321.2</v>
      </c>
      <c r="Y1167" s="549">
        <f t="shared" si="968"/>
        <v>321.2</v>
      </c>
      <c r="Z1167" s="549">
        <f t="shared" si="968"/>
        <v>321.2</v>
      </c>
      <c r="AA1167" s="549"/>
      <c r="AB1167" s="549"/>
      <c r="AC1167" s="549"/>
      <c r="AD1167" s="549"/>
      <c r="AE1167" s="549"/>
      <c r="AF1167" s="549"/>
      <c r="AG1167" s="549"/>
      <c r="AH1167" s="549"/>
      <c r="AI1167" s="549"/>
      <c r="AJ1167" s="549"/>
    </row>
    <row r="1168" spans="1:36" x14ac:dyDescent="0.25">
      <c r="A1168" t="s">
        <v>860</v>
      </c>
      <c r="C1168" t="s">
        <v>574</v>
      </c>
      <c r="H1168" s="454" t="s">
        <v>202</v>
      </c>
      <c r="I1168" s="496" t="s">
        <v>436</v>
      </c>
      <c r="K1168" s="549"/>
      <c r="L1168" s="549">
        <f>L1162*L1164*(1-L1166)*L1165</f>
        <v>3097087.4879999999</v>
      </c>
      <c r="M1168" s="549">
        <f t="shared" ref="M1168:AJ1168" si="969">M1162*M1164*(1-M1166)*M1165</f>
        <v>4335922.4831999997</v>
      </c>
      <c r="N1168" s="549">
        <f t="shared" si="969"/>
        <v>6194174.9759999998</v>
      </c>
      <c r="O1168" s="549">
        <f t="shared" si="969"/>
        <v>6194174.9759999998</v>
      </c>
      <c r="P1168" s="549">
        <f t="shared" si="969"/>
        <v>6194174.9759999998</v>
      </c>
      <c r="Q1168" s="549">
        <f t="shared" si="969"/>
        <v>6194174.9759999998</v>
      </c>
      <c r="R1168" s="549">
        <f t="shared" si="969"/>
        <v>6194174.9759999998</v>
      </c>
      <c r="S1168" s="549">
        <f t="shared" si="969"/>
        <v>6194174.9759999998</v>
      </c>
      <c r="T1168" s="549">
        <f t="shared" si="969"/>
        <v>6194174.9759999998</v>
      </c>
      <c r="U1168" s="549">
        <f t="shared" si="969"/>
        <v>6194174.9759999998</v>
      </c>
      <c r="V1168" s="549">
        <f t="shared" si="969"/>
        <v>6194174.9759999998</v>
      </c>
      <c r="W1168" s="549">
        <f t="shared" si="969"/>
        <v>6194174.9759999998</v>
      </c>
      <c r="X1168" s="549">
        <f t="shared" si="969"/>
        <v>6194174.9759999998</v>
      </c>
      <c r="Y1168" s="549">
        <f t="shared" si="969"/>
        <v>6194174.9759999998</v>
      </c>
      <c r="Z1168" s="549">
        <f t="shared" si="969"/>
        <v>6194174.9759999998</v>
      </c>
      <c r="AA1168" s="549"/>
      <c r="AB1168" s="549"/>
      <c r="AC1168" s="549"/>
      <c r="AD1168" s="549"/>
      <c r="AE1168" s="549"/>
      <c r="AF1168" s="549"/>
      <c r="AG1168" s="549"/>
      <c r="AH1168" s="549"/>
      <c r="AI1168" s="549"/>
      <c r="AJ1168" s="549"/>
    </row>
    <row r="1169" spans="1:36" x14ac:dyDescent="0.25">
      <c r="A1169" t="s">
        <v>860</v>
      </c>
      <c r="C1169" t="s">
        <v>575</v>
      </c>
      <c r="H1169" s="454" t="s">
        <v>202</v>
      </c>
      <c r="I1169" s="496" t="s">
        <v>320</v>
      </c>
      <c r="K1169" s="549"/>
      <c r="L1169" s="549">
        <f t="shared" ref="L1169:AJ1169" si="970">L1168*PHOI_KG</f>
        <v>206472499.20000002</v>
      </c>
      <c r="M1169" s="549">
        <f t="shared" si="970"/>
        <v>289061498.88</v>
      </c>
      <c r="N1169" s="549">
        <f t="shared" si="970"/>
        <v>412944998.40000004</v>
      </c>
      <c r="O1169" s="549">
        <f t="shared" si="970"/>
        <v>412944998.40000004</v>
      </c>
      <c r="P1169" s="549">
        <f t="shared" si="970"/>
        <v>412944998.40000004</v>
      </c>
      <c r="Q1169" s="549">
        <f t="shared" si="970"/>
        <v>412944998.40000004</v>
      </c>
      <c r="R1169" s="549">
        <f t="shared" si="970"/>
        <v>412944998.40000004</v>
      </c>
      <c r="S1169" s="549">
        <f t="shared" si="970"/>
        <v>412944998.40000004</v>
      </c>
      <c r="T1169" s="549">
        <f t="shared" si="970"/>
        <v>412944998.40000004</v>
      </c>
      <c r="U1169" s="549">
        <f t="shared" si="970"/>
        <v>412944998.40000004</v>
      </c>
      <c r="V1169" s="549">
        <f t="shared" si="970"/>
        <v>412944998.40000004</v>
      </c>
      <c r="W1169" s="549">
        <f t="shared" si="970"/>
        <v>412944998.40000004</v>
      </c>
      <c r="X1169" s="549">
        <f t="shared" si="970"/>
        <v>412944998.40000004</v>
      </c>
      <c r="Y1169" s="549">
        <f t="shared" si="970"/>
        <v>412944998.40000004</v>
      </c>
      <c r="Z1169" s="549">
        <f t="shared" si="970"/>
        <v>412944998.40000004</v>
      </c>
      <c r="AA1169" s="549"/>
      <c r="AB1169" s="549"/>
      <c r="AC1169" s="549"/>
      <c r="AD1169" s="549"/>
      <c r="AE1169" s="549"/>
      <c r="AF1169" s="549"/>
      <c r="AG1169" s="549"/>
      <c r="AH1169" s="549"/>
      <c r="AI1169" s="549"/>
      <c r="AJ1169" s="549"/>
    </row>
    <row r="1170" spans="1:36" x14ac:dyDescent="0.25">
      <c r="A1170" t="s">
        <v>860</v>
      </c>
      <c r="K1170" s="243"/>
      <c r="L1170" s="243"/>
      <c r="M1170" s="243"/>
      <c r="N1170" s="243"/>
      <c r="O1170" s="243"/>
      <c r="P1170" s="243"/>
      <c r="Q1170" s="243"/>
      <c r="R1170" s="243"/>
      <c r="S1170" s="243"/>
      <c r="T1170" s="243"/>
      <c r="U1170" s="243"/>
      <c r="V1170" s="243"/>
      <c r="W1170" s="243"/>
      <c r="X1170" s="243"/>
      <c r="Y1170" s="243"/>
      <c r="Z1170" s="243"/>
      <c r="AA1170" s="243"/>
      <c r="AB1170" s="243"/>
      <c r="AC1170" s="243"/>
      <c r="AD1170" s="243"/>
      <c r="AE1170" s="243"/>
      <c r="AF1170" s="243"/>
      <c r="AG1170" s="243"/>
      <c r="AH1170" s="243"/>
      <c r="AI1170" s="243"/>
      <c r="AJ1170" s="243"/>
    </row>
    <row r="1171" spans="1:36" s="24" customFormat="1" ht="17.25" x14ac:dyDescent="0.3">
      <c r="A1171" s="24" t="s">
        <v>860</v>
      </c>
      <c r="H1171" s="24" t="s">
        <v>670</v>
      </c>
      <c r="K1171" s="635"/>
      <c r="L1171" s="635"/>
      <c r="M1171" s="635"/>
      <c r="N1171" s="635"/>
      <c r="O1171" s="635"/>
      <c r="P1171" s="635"/>
      <c r="Q1171" s="635"/>
      <c r="R1171" s="635"/>
      <c r="S1171" s="635"/>
      <c r="T1171" s="635"/>
      <c r="U1171" s="635"/>
      <c r="V1171" s="635"/>
      <c r="W1171" s="635"/>
      <c r="X1171" s="635"/>
      <c r="Y1171" s="635"/>
      <c r="Z1171" s="635"/>
      <c r="AA1171" s="635"/>
      <c r="AB1171" s="635"/>
      <c r="AC1171" s="635"/>
      <c r="AD1171" s="635"/>
      <c r="AE1171" s="635"/>
      <c r="AF1171" s="635"/>
      <c r="AG1171" s="635"/>
      <c r="AH1171" s="635"/>
      <c r="AI1171" s="635"/>
      <c r="AJ1171" s="635"/>
    </row>
    <row r="1172" spans="1:36" s="250" customFormat="1" x14ac:dyDescent="0.25">
      <c r="A1172" s="250" t="s">
        <v>860</v>
      </c>
      <c r="B1172" s="250" t="s">
        <v>665</v>
      </c>
      <c r="H1172" s="625" t="s">
        <v>663</v>
      </c>
      <c r="I1172" s="626" t="s">
        <v>71</v>
      </c>
      <c r="K1172" s="627"/>
      <c r="L1172" s="630" cm="1">
        <f t="array" ref="L1172">SUMPRODUCT('W2'!$M$12:$V$112*('W2'!$M$7:$V$7=$A1172)*('W2'!$A$12:$A$112=$B1172))</f>
        <v>2.0000000000000001E-4</v>
      </c>
      <c r="M1172" s="629">
        <f>L1172</f>
        <v>2.0000000000000001E-4</v>
      </c>
      <c r="N1172" s="629">
        <f t="shared" ref="N1172:N1173" si="971">M1172</f>
        <v>2.0000000000000001E-4</v>
      </c>
      <c r="O1172" s="629">
        <f t="shared" ref="O1172:O1173" si="972">N1172</f>
        <v>2.0000000000000001E-4</v>
      </c>
      <c r="P1172" s="629">
        <f t="shared" ref="P1172:P1173" si="973">O1172</f>
        <v>2.0000000000000001E-4</v>
      </c>
      <c r="Q1172" s="629">
        <f t="shared" ref="Q1172:Q1173" si="974">P1172</f>
        <v>2.0000000000000001E-4</v>
      </c>
      <c r="R1172" s="629">
        <f t="shared" ref="R1172:R1173" si="975">Q1172</f>
        <v>2.0000000000000001E-4</v>
      </c>
      <c r="S1172" s="629">
        <f t="shared" ref="S1172:S1173" si="976">R1172</f>
        <v>2.0000000000000001E-4</v>
      </c>
      <c r="T1172" s="629">
        <f t="shared" ref="T1172:T1173" si="977">S1172</f>
        <v>2.0000000000000001E-4</v>
      </c>
      <c r="U1172" s="629">
        <f t="shared" ref="U1172:U1173" si="978">T1172</f>
        <v>2.0000000000000001E-4</v>
      </c>
      <c r="V1172" s="629">
        <f t="shared" ref="V1172:V1173" si="979">U1172</f>
        <v>2.0000000000000001E-4</v>
      </c>
      <c r="W1172" s="629">
        <f t="shared" ref="W1172:W1173" si="980">V1172</f>
        <v>2.0000000000000001E-4</v>
      </c>
      <c r="X1172" s="629">
        <f t="shared" ref="X1172:X1173" si="981">W1172</f>
        <v>2.0000000000000001E-4</v>
      </c>
      <c r="Y1172" s="629">
        <f t="shared" ref="Y1172:Y1173" si="982">X1172</f>
        <v>2.0000000000000001E-4</v>
      </c>
      <c r="Z1172" s="629">
        <f t="shared" ref="Z1172:Z1173" si="983">Y1172</f>
        <v>2.0000000000000001E-4</v>
      </c>
      <c r="AA1172" s="629"/>
      <c r="AB1172" s="629"/>
      <c r="AC1172" s="629"/>
      <c r="AD1172" s="629"/>
      <c r="AE1172" s="629"/>
      <c r="AF1172" s="629"/>
      <c r="AG1172" s="629"/>
      <c r="AH1172" s="629"/>
      <c r="AI1172" s="629"/>
      <c r="AJ1172" s="629"/>
    </row>
    <row r="1173" spans="1:36" s="250" customFormat="1" x14ac:dyDescent="0.25">
      <c r="A1173" s="250" t="s">
        <v>860</v>
      </c>
      <c r="B1173" s="250" t="s">
        <v>666</v>
      </c>
      <c r="H1173" s="536" t="s">
        <v>664</v>
      </c>
      <c r="I1173" s="547" t="s">
        <v>71</v>
      </c>
      <c r="K1173" s="628"/>
      <c r="L1173" s="630" cm="1">
        <f t="array" ref="L1173">SUMPRODUCT('W2'!$M$12:$V$112*('W2'!$M$7:$V$7=$A1173)*('W2'!$A$12:$A$112=$B1173))</f>
        <v>0</v>
      </c>
      <c r="M1173" s="629">
        <f>L1173</f>
        <v>0</v>
      </c>
      <c r="N1173" s="629">
        <f t="shared" si="971"/>
        <v>0</v>
      </c>
      <c r="O1173" s="629">
        <f t="shared" si="972"/>
        <v>0</v>
      </c>
      <c r="P1173" s="629">
        <f t="shared" si="973"/>
        <v>0</v>
      </c>
      <c r="Q1173" s="629">
        <f t="shared" si="974"/>
        <v>0</v>
      </c>
      <c r="R1173" s="629">
        <f t="shared" si="975"/>
        <v>0</v>
      </c>
      <c r="S1173" s="629">
        <f t="shared" si="976"/>
        <v>0</v>
      </c>
      <c r="T1173" s="629">
        <f t="shared" si="977"/>
        <v>0</v>
      </c>
      <c r="U1173" s="629">
        <f t="shared" si="978"/>
        <v>0</v>
      </c>
      <c r="V1173" s="629">
        <f t="shared" si="979"/>
        <v>0</v>
      </c>
      <c r="W1173" s="629">
        <f t="shared" si="980"/>
        <v>0</v>
      </c>
      <c r="X1173" s="629">
        <f t="shared" si="981"/>
        <v>0</v>
      </c>
      <c r="Y1173" s="629">
        <f t="shared" si="982"/>
        <v>0</v>
      </c>
      <c r="Z1173" s="629">
        <f t="shared" si="983"/>
        <v>0</v>
      </c>
      <c r="AA1173" s="629"/>
      <c r="AB1173" s="629"/>
      <c r="AC1173" s="629"/>
      <c r="AD1173" s="629"/>
      <c r="AE1173" s="629"/>
      <c r="AF1173" s="629"/>
      <c r="AG1173" s="629"/>
      <c r="AH1173" s="629"/>
      <c r="AI1173" s="629"/>
      <c r="AJ1173" s="629"/>
    </row>
    <row r="1174" spans="1:36" x14ac:dyDescent="0.25">
      <c r="A1174" t="s">
        <v>860</v>
      </c>
      <c r="H1174" s="454" t="s">
        <v>671</v>
      </c>
      <c r="I1174" s="496" t="s">
        <v>436</v>
      </c>
      <c r="K1174" s="549"/>
      <c r="L1174" s="549">
        <f>L1172*L1168/(1-L1166)</f>
        <v>666.04032000000007</v>
      </c>
      <c r="M1174" s="549">
        <f>M1172*M1168/(1-M1166)</f>
        <v>932.45644800000014</v>
      </c>
      <c r="N1174" s="549">
        <f t="shared" ref="N1174:AJ1174" si="984">N1172*N1168/(1-N1166)</f>
        <v>1332.0806400000001</v>
      </c>
      <c r="O1174" s="549">
        <f t="shared" si="984"/>
        <v>1332.0806400000001</v>
      </c>
      <c r="P1174" s="549">
        <f t="shared" si="984"/>
        <v>1332.0806400000001</v>
      </c>
      <c r="Q1174" s="549">
        <f t="shared" si="984"/>
        <v>1332.0806400000001</v>
      </c>
      <c r="R1174" s="549">
        <f t="shared" si="984"/>
        <v>1332.0806400000001</v>
      </c>
      <c r="S1174" s="549">
        <f t="shared" si="984"/>
        <v>1332.0806400000001</v>
      </c>
      <c r="T1174" s="549">
        <f t="shared" si="984"/>
        <v>1332.0806400000001</v>
      </c>
      <c r="U1174" s="549">
        <f t="shared" si="984"/>
        <v>1332.0806400000001</v>
      </c>
      <c r="V1174" s="549">
        <f t="shared" si="984"/>
        <v>1332.0806400000001</v>
      </c>
      <c r="W1174" s="549">
        <f t="shared" si="984"/>
        <v>1332.0806400000001</v>
      </c>
      <c r="X1174" s="549">
        <f t="shared" si="984"/>
        <v>1332.0806400000001</v>
      </c>
      <c r="Y1174" s="549">
        <f t="shared" si="984"/>
        <v>1332.0806400000001</v>
      </c>
      <c r="Z1174" s="549">
        <f t="shared" si="984"/>
        <v>1332.0806400000001</v>
      </c>
      <c r="AA1174" s="549"/>
      <c r="AB1174" s="549"/>
      <c r="AC1174" s="549"/>
      <c r="AD1174" s="549"/>
      <c r="AE1174" s="549"/>
      <c r="AF1174" s="549"/>
      <c r="AG1174" s="549"/>
      <c r="AH1174" s="549"/>
      <c r="AI1174" s="549"/>
      <c r="AJ1174" s="549"/>
    </row>
    <row r="1175" spans="1:36" x14ac:dyDescent="0.25">
      <c r="A1175" t="s">
        <v>860</v>
      </c>
      <c r="H1175" s="454" t="s">
        <v>675</v>
      </c>
      <c r="I1175" s="496" t="s">
        <v>436</v>
      </c>
      <c r="K1175" s="549"/>
      <c r="L1175" s="549">
        <f>L1173*L1168/(1-L1166)</f>
        <v>0</v>
      </c>
      <c r="M1175" s="549">
        <f t="shared" ref="M1175:AJ1175" si="985">M1173*M1168/(1-M1166)</f>
        <v>0</v>
      </c>
      <c r="N1175" s="549">
        <f t="shared" si="985"/>
        <v>0</v>
      </c>
      <c r="O1175" s="549">
        <f t="shared" si="985"/>
        <v>0</v>
      </c>
      <c r="P1175" s="549">
        <f t="shared" si="985"/>
        <v>0</v>
      </c>
      <c r="Q1175" s="549">
        <f t="shared" si="985"/>
        <v>0</v>
      </c>
      <c r="R1175" s="549">
        <f t="shared" si="985"/>
        <v>0</v>
      </c>
      <c r="S1175" s="549">
        <f t="shared" si="985"/>
        <v>0</v>
      </c>
      <c r="T1175" s="549">
        <f t="shared" si="985"/>
        <v>0</v>
      </c>
      <c r="U1175" s="549">
        <f t="shared" si="985"/>
        <v>0</v>
      </c>
      <c r="V1175" s="549">
        <f t="shared" si="985"/>
        <v>0</v>
      </c>
      <c r="W1175" s="549">
        <f t="shared" si="985"/>
        <v>0</v>
      </c>
      <c r="X1175" s="549">
        <f t="shared" si="985"/>
        <v>0</v>
      </c>
      <c r="Y1175" s="549">
        <f t="shared" si="985"/>
        <v>0</v>
      </c>
      <c r="Z1175" s="549">
        <f t="shared" si="985"/>
        <v>0</v>
      </c>
      <c r="AA1175" s="549"/>
      <c r="AB1175" s="549"/>
      <c r="AC1175" s="549"/>
      <c r="AD1175" s="549"/>
      <c r="AE1175" s="549"/>
      <c r="AF1175" s="549"/>
      <c r="AG1175" s="549"/>
      <c r="AH1175" s="549"/>
      <c r="AI1175" s="549"/>
      <c r="AJ1175" s="549"/>
    </row>
    <row r="1176" spans="1:36" x14ac:dyDescent="0.25">
      <c r="A1176" t="s">
        <v>860</v>
      </c>
      <c r="K1176" s="243"/>
      <c r="L1176" s="243"/>
      <c r="M1176" s="243"/>
      <c r="N1176" s="243"/>
      <c r="O1176" s="243"/>
      <c r="P1176" s="243"/>
      <c r="Q1176" s="243"/>
      <c r="R1176" s="243"/>
      <c r="S1176" s="243"/>
      <c r="T1176" s="243"/>
      <c r="U1176" s="243"/>
      <c r="V1176" s="243"/>
      <c r="W1176" s="243"/>
      <c r="X1176" s="243"/>
      <c r="Y1176" s="243"/>
      <c r="Z1176" s="243"/>
      <c r="AA1176" s="243"/>
      <c r="AB1176" s="243"/>
      <c r="AC1176" s="243"/>
      <c r="AD1176" s="243"/>
      <c r="AE1176" s="243"/>
      <c r="AF1176" s="243"/>
      <c r="AG1176" s="243"/>
      <c r="AH1176" s="243"/>
      <c r="AI1176" s="243"/>
      <c r="AJ1176" s="243"/>
    </row>
    <row r="1177" spans="1:36" x14ac:dyDescent="0.25">
      <c r="A1177" t="s">
        <v>860</v>
      </c>
      <c r="K1177" s="243"/>
      <c r="L1177" s="243"/>
      <c r="M1177" s="243"/>
      <c r="N1177" s="243"/>
      <c r="O1177" s="243"/>
      <c r="P1177" s="243"/>
      <c r="Q1177" s="243"/>
      <c r="R1177" s="243"/>
      <c r="S1177" s="243"/>
      <c r="T1177" s="243"/>
      <c r="U1177" s="243"/>
      <c r="V1177" s="243"/>
      <c r="W1177" s="243"/>
      <c r="X1177" s="243"/>
      <c r="Y1177" s="243"/>
      <c r="Z1177" s="243"/>
      <c r="AA1177" s="243"/>
      <c r="AB1177" s="243"/>
      <c r="AC1177" s="243"/>
      <c r="AD1177" s="243"/>
      <c r="AE1177" s="243"/>
      <c r="AF1177" s="243"/>
      <c r="AG1177" s="243"/>
      <c r="AH1177" s="243"/>
      <c r="AI1177" s="243"/>
      <c r="AJ1177" s="243"/>
    </row>
    <row r="1178" spans="1:36" x14ac:dyDescent="0.25">
      <c r="A1178" t="s">
        <v>860</v>
      </c>
      <c r="K1178" s="243"/>
      <c r="L1178" s="243"/>
      <c r="M1178" s="243"/>
      <c r="N1178" s="243"/>
      <c r="O1178" s="243"/>
      <c r="P1178" s="243"/>
      <c r="Q1178" s="243"/>
      <c r="R1178" s="243"/>
      <c r="S1178" s="243"/>
      <c r="T1178" s="243"/>
      <c r="U1178" s="243"/>
      <c r="V1178" s="243"/>
      <c r="W1178" s="243"/>
      <c r="X1178" s="243"/>
      <c r="Y1178" s="243"/>
      <c r="Z1178" s="243"/>
      <c r="AA1178" s="243"/>
      <c r="AB1178" s="243"/>
      <c r="AC1178" s="243"/>
      <c r="AD1178" s="243"/>
      <c r="AE1178" s="243"/>
      <c r="AF1178" s="243"/>
      <c r="AG1178" s="243"/>
      <c r="AH1178" s="243"/>
      <c r="AI1178" s="243"/>
      <c r="AJ1178" s="243"/>
    </row>
    <row r="1179" spans="1:36" s="1" customFormat="1" x14ac:dyDescent="0.25">
      <c r="A1179" s="1" t="s">
        <v>860</v>
      </c>
      <c r="H1179" s="266" t="s">
        <v>434</v>
      </c>
      <c r="I1179" s="267" t="str">
        <f t="shared" ref="I1179:I1187" si="986">IF($H$9="USD","USD","tr. VND")</f>
        <v>tr. VND</v>
      </c>
      <c r="K1179" s="268">
        <f t="shared" ref="K1179" si="987">SUM(K1180:K1181,K1184:K1187,)</f>
        <v>0</v>
      </c>
      <c r="L1179" s="268">
        <f>SUM(L1180:L1181,L1184:L1187,)</f>
        <v>-49949.936933333338</v>
      </c>
      <c r="M1179" s="268">
        <f t="shared" ref="M1179:AJ1179" si="988">SUM(M1180:M1181,M1184:M1187,)</f>
        <v>-49949.936933333338</v>
      </c>
      <c r="N1179" s="268">
        <f t="shared" si="988"/>
        <v>-50849.234633333333</v>
      </c>
      <c r="O1179" s="268">
        <f t="shared" si="988"/>
        <v>-51793.497218333338</v>
      </c>
      <c r="P1179" s="268">
        <f t="shared" si="988"/>
        <v>-52784.97293258334</v>
      </c>
      <c r="Q1179" s="268">
        <f t="shared" si="988"/>
        <v>-53826.022432545833</v>
      </c>
      <c r="R1179" s="268">
        <f t="shared" si="988"/>
        <v>-54919.124407506461</v>
      </c>
      <c r="S1179" s="268">
        <f t="shared" si="988"/>
        <v>-56066.881481215125</v>
      </c>
      <c r="T1179" s="268">
        <f t="shared" si="988"/>
        <v>-57272.026408609207</v>
      </c>
      <c r="U1179" s="268">
        <f t="shared" si="988"/>
        <v>-58537.428582373002</v>
      </c>
      <c r="V1179" s="268">
        <f t="shared" si="988"/>
        <v>-59866.100864824984</v>
      </c>
      <c r="W1179" s="268">
        <f t="shared" si="988"/>
        <v>-61261.20676139956</v>
      </c>
      <c r="X1179" s="268">
        <f t="shared" si="988"/>
        <v>-37663.584619469548</v>
      </c>
      <c r="Y1179" s="268">
        <f t="shared" si="988"/>
        <v>-39201.688870443017</v>
      </c>
      <c r="Z1179" s="268">
        <f t="shared" si="988"/>
        <v>-40816.698333965178</v>
      </c>
      <c r="AA1179" s="268"/>
      <c r="AB1179" s="268"/>
      <c r="AC1179" s="268"/>
      <c r="AD1179" s="268"/>
      <c r="AE1179" s="268"/>
      <c r="AF1179" s="268"/>
      <c r="AG1179" s="268"/>
      <c r="AH1179" s="268"/>
      <c r="AI1179" s="268"/>
      <c r="AJ1179" s="268"/>
    </row>
    <row r="1180" spans="1:36" x14ac:dyDescent="0.25">
      <c r="A1180" t="s">
        <v>860</v>
      </c>
      <c r="B1180" t="s">
        <v>173</v>
      </c>
      <c r="H1180" s="459" t="s">
        <v>190</v>
      </c>
      <c r="I1180" s="493" t="str">
        <f t="shared" si="986"/>
        <v>tr. VND</v>
      </c>
      <c r="K1180" s="492"/>
      <c r="L1180" s="548" cm="1">
        <f t="array" ref="L1180">-SUMPRODUCT('W1'!$BI$10:$NE$60*('W1'!$BI$7:$NE$7=$A1180)*('W1'!$BI$8:$NE$8=L$14)*('W1'!$A$10:$A$60=$B1180))*$H$10</f>
        <v>-31062.483333333334</v>
      </c>
      <c r="M1180" s="548" cm="1">
        <f t="array" ref="M1180">-SUMPRODUCT('W1'!$BI$10:$NE$60*('W1'!$BI$7:$NE$7=$A1180)*('W1'!$BI$8:$NE$8=M$14)*('W1'!$A$10:$A$60=$B1180))*$H$10</f>
        <v>-31062.483333333334</v>
      </c>
      <c r="N1180" s="548" cm="1">
        <f t="array" ref="N1180">-SUMPRODUCT('W1'!$BI$10:$NE$60*('W1'!$BI$7:$NE$7=$A1180)*('W1'!$BI$8:$NE$8=N$14)*('W1'!$A$10:$A$60=$B1180))*$H$10</f>
        <v>-31062.483333333334</v>
      </c>
      <c r="O1180" s="548" cm="1">
        <f t="array" ref="O1180">-SUMPRODUCT('W1'!$BI$10:$NE$60*('W1'!$BI$7:$NE$7=$A1180)*('W1'!$BI$8:$NE$8=O$14)*('W1'!$A$10:$A$60=$B1180))*$H$10</f>
        <v>-31062.483333333334</v>
      </c>
      <c r="P1180" s="548" cm="1">
        <f t="array" ref="P1180">-SUMPRODUCT('W1'!$BI$10:$NE$60*('W1'!$BI$7:$NE$7=$A1180)*('W1'!$BI$8:$NE$8=P$14)*('W1'!$A$10:$A$60=$B1180))*$H$10</f>
        <v>-31062.483333333334</v>
      </c>
      <c r="Q1180" s="548" cm="1">
        <f t="array" ref="Q1180">-SUMPRODUCT('W1'!$BI$10:$NE$60*('W1'!$BI$7:$NE$7=$A1180)*('W1'!$BI$8:$NE$8=Q$14)*('W1'!$A$10:$A$60=$B1180))*$H$10</f>
        <v>-31062.483333333334</v>
      </c>
      <c r="R1180" s="548" cm="1">
        <f t="array" ref="R1180">-SUMPRODUCT('W1'!$BI$10:$NE$60*('W1'!$BI$7:$NE$7=$A1180)*('W1'!$BI$8:$NE$8=R$14)*('W1'!$A$10:$A$60=$B1180))*$H$10</f>
        <v>-31062.483333333334</v>
      </c>
      <c r="S1180" s="548" cm="1">
        <f t="array" ref="S1180">-SUMPRODUCT('W1'!$BI$10:$NE$60*('W1'!$BI$7:$NE$7=$A1180)*('W1'!$BI$8:$NE$8=S$14)*('W1'!$A$10:$A$60=$B1180))*$H$10</f>
        <v>-31062.483333333334</v>
      </c>
      <c r="T1180" s="548" cm="1">
        <f t="array" ref="T1180">-SUMPRODUCT('W1'!$BI$10:$NE$60*('W1'!$BI$7:$NE$7=$A1180)*('W1'!$BI$8:$NE$8=T$14)*('W1'!$A$10:$A$60=$B1180))*$H$10</f>
        <v>-31062.483333333334</v>
      </c>
      <c r="U1180" s="548" cm="1">
        <f t="array" ref="U1180">-SUMPRODUCT('W1'!$BI$10:$NE$60*('W1'!$BI$7:$NE$7=$A1180)*('W1'!$BI$8:$NE$8=U$14)*('W1'!$A$10:$A$60=$B1180))*$H$10</f>
        <v>-31062.483333333334</v>
      </c>
      <c r="V1180" s="548" cm="1">
        <f t="array" ref="V1180">-SUMPRODUCT('W1'!$BI$10:$NE$60*('W1'!$BI$7:$NE$7=$A1180)*('W1'!$BI$8:$NE$8=V$14)*('W1'!$A$10:$A$60=$B1180))*$H$10</f>
        <v>-31062.483333333334</v>
      </c>
      <c r="W1180" s="548" cm="1">
        <f t="array" ref="W1180">-SUMPRODUCT('W1'!$BI$10:$NE$60*('W1'!$BI$7:$NE$7=$A1180)*('W1'!$BI$8:$NE$8=W$14)*('W1'!$A$10:$A$60=$B1180))*$H$10</f>
        <v>-31062.483333333334</v>
      </c>
      <c r="X1180" s="548" cm="1">
        <f t="array" ref="X1180">-SUMPRODUCT('W1'!$BI$10:$NE$60*('W1'!$BI$7:$NE$7=$A1180)*('W1'!$BI$8:$NE$8=X$14)*('W1'!$A$10:$A$60=$B1180))*$H$10</f>
        <v>-6000</v>
      </c>
      <c r="Y1180" s="548" cm="1">
        <f t="array" ref="Y1180">-SUMPRODUCT('W1'!$BI$10:$NE$60*('W1'!$BI$7:$NE$7=$A1180)*('W1'!$BI$8:$NE$8=Y$14)*('W1'!$A$10:$A$60=$B1180))*$H$10</f>
        <v>-6000</v>
      </c>
      <c r="Z1180" s="548" cm="1">
        <f t="array" ref="Z1180">-SUMPRODUCT('W1'!$BI$10:$NE$60*('W1'!$BI$7:$NE$7=$A1180)*('W1'!$BI$8:$NE$8=Z$14)*('W1'!$A$10:$A$60=$B1180))*$H$10</f>
        <v>-6000</v>
      </c>
      <c r="AA1180" s="548"/>
      <c r="AB1180" s="548"/>
      <c r="AC1180" s="548"/>
      <c r="AD1180" s="548"/>
      <c r="AE1180" s="548"/>
      <c r="AF1180" s="548"/>
      <c r="AG1180" s="548"/>
      <c r="AH1180" s="548"/>
      <c r="AI1180" s="548"/>
      <c r="AJ1180" s="548"/>
    </row>
    <row r="1181" spans="1:36" x14ac:dyDescent="0.25">
      <c r="A1181" t="s">
        <v>860</v>
      </c>
      <c r="H1181" s="454" t="s">
        <v>429</v>
      </c>
      <c r="I1181" s="496" t="str">
        <f t="shared" si="986"/>
        <v>tr. VND</v>
      </c>
      <c r="K1181" s="549">
        <f>SUM(K1182:K1183)</f>
        <v>0</v>
      </c>
      <c r="L1181" s="549">
        <f t="shared" ref="L1181:AJ1181" si="989">SUM(L1182:L1183)</f>
        <v>-6011.46</v>
      </c>
      <c r="M1181" s="549">
        <f t="shared" si="989"/>
        <v>-6011.46</v>
      </c>
      <c r="N1181" s="549">
        <f t="shared" si="989"/>
        <v>-6312.0329999999994</v>
      </c>
      <c r="O1181" s="549">
        <f t="shared" si="989"/>
        <v>-6627.63465</v>
      </c>
      <c r="P1181" s="549">
        <f t="shared" si="989"/>
        <v>-6959.0163825000009</v>
      </c>
      <c r="Q1181" s="549">
        <f t="shared" si="989"/>
        <v>-7306.9672016249997</v>
      </c>
      <c r="R1181" s="549">
        <f t="shared" si="989"/>
        <v>-7672.3155617062503</v>
      </c>
      <c r="S1181" s="549">
        <f t="shared" si="989"/>
        <v>-8055.931339791563</v>
      </c>
      <c r="T1181" s="549">
        <f t="shared" si="989"/>
        <v>-8458.7279067811414</v>
      </c>
      <c r="U1181" s="549">
        <f t="shared" si="989"/>
        <v>-8881.664302120198</v>
      </c>
      <c r="V1181" s="549">
        <f t="shared" si="989"/>
        <v>-9325.7475172262075</v>
      </c>
      <c r="W1181" s="549">
        <f t="shared" si="989"/>
        <v>-9792.0348930875189</v>
      </c>
      <c r="X1181" s="549">
        <f t="shared" si="989"/>
        <v>-10281.636637741896</v>
      </c>
      <c r="Y1181" s="549">
        <f t="shared" si="989"/>
        <v>-10795.718469628988</v>
      </c>
      <c r="Z1181" s="549">
        <f t="shared" si="989"/>
        <v>-11335.504393110441</v>
      </c>
      <c r="AA1181" s="549"/>
      <c r="AB1181" s="549"/>
      <c r="AC1181" s="549"/>
      <c r="AD1181" s="549"/>
      <c r="AE1181" s="549"/>
      <c r="AF1181" s="549"/>
      <c r="AG1181" s="549"/>
      <c r="AH1181" s="549"/>
      <c r="AI1181" s="549"/>
      <c r="AJ1181" s="549"/>
    </row>
    <row r="1182" spans="1:36" s="299" customFormat="1" x14ac:dyDescent="0.25">
      <c r="A1182" s="299" t="s">
        <v>860</v>
      </c>
      <c r="B1182" s="299" t="s">
        <v>449</v>
      </c>
      <c r="H1182" s="553" t="s">
        <v>430</v>
      </c>
      <c r="I1182" s="554" t="str">
        <f t="shared" si="986"/>
        <v>tr. VND</v>
      </c>
      <c r="K1182" s="555"/>
      <c r="L1182" s="555" cm="1">
        <f t="array" ref="L1182">-SUMPRODUCT('W2'!$M$12:$V$112*('W2'!$M$7:$V$7=$A1182)*('W2'!$A$12:$A$112=$B1182))*$H$10*POWER(1+Inflation,L$11+1)</f>
        <v>-982.8</v>
      </c>
      <c r="M1182" s="555" cm="1">
        <f t="array" ref="M1182">-SUMPRODUCT('W2'!$M$12:$V$112*('W2'!$M$7:$V$7=$A1182)*('W2'!$A$12:$A$112=$B1182))*$H$10*POWER(1+Inflation,M$11+1)</f>
        <v>-982.8</v>
      </c>
      <c r="N1182" s="555" cm="1">
        <f t="array" ref="N1182">-SUMPRODUCT('W2'!$M$12:$V$112*('W2'!$M$7:$V$7=$A1182)*('W2'!$A$12:$A$112=$B1182))*$H$10*POWER(1+Inflation,N$11+1)</f>
        <v>-1031.94</v>
      </c>
      <c r="O1182" s="555" cm="1">
        <f t="array" ref="O1182">-SUMPRODUCT('W2'!$M$12:$V$112*('W2'!$M$7:$V$7=$A1182)*('W2'!$A$12:$A$112=$B1182))*$H$10*POWER(1+Inflation,O$11+1)</f>
        <v>-1083.537</v>
      </c>
      <c r="P1182" s="555" cm="1">
        <f t="array" ref="P1182">-SUMPRODUCT('W2'!$M$12:$V$112*('W2'!$M$7:$V$7=$A1182)*('W2'!$A$12:$A$112=$B1182))*$H$10*POWER(1+Inflation,P$11+1)</f>
        <v>-1137.7138500000001</v>
      </c>
      <c r="Q1182" s="555" cm="1">
        <f t="array" ref="Q1182">-SUMPRODUCT('W2'!$M$12:$V$112*('W2'!$M$7:$V$7=$A1182)*('W2'!$A$12:$A$112=$B1182))*$H$10*POWER(1+Inflation,Q$11+1)</f>
        <v>-1194.5995424999999</v>
      </c>
      <c r="R1182" s="555" cm="1">
        <f t="array" ref="R1182">-SUMPRODUCT('W2'!$M$12:$V$112*('W2'!$M$7:$V$7=$A1182)*('W2'!$A$12:$A$112=$B1182))*$H$10*POWER(1+Inflation,R$11+1)</f>
        <v>-1254.3295196250001</v>
      </c>
      <c r="S1182" s="555" cm="1">
        <f t="array" ref="S1182">-SUMPRODUCT('W2'!$M$12:$V$112*('W2'!$M$7:$V$7=$A1182)*('W2'!$A$12:$A$112=$B1182))*$H$10*POWER(1+Inflation,S$11+1)</f>
        <v>-1317.04599560625</v>
      </c>
      <c r="T1182" s="555" cm="1">
        <f t="array" ref="T1182">-SUMPRODUCT('W2'!$M$12:$V$112*('W2'!$M$7:$V$7=$A1182)*('W2'!$A$12:$A$112=$B1182))*$H$10*POWER(1+Inflation,T$11+1)</f>
        <v>-1382.8982953865627</v>
      </c>
      <c r="U1182" s="555" cm="1">
        <f t="array" ref="U1182">-SUMPRODUCT('W2'!$M$12:$V$112*('W2'!$M$7:$V$7=$A1182)*('W2'!$A$12:$A$112=$B1182))*$H$10*POWER(1+Inflation,U$11+1)</f>
        <v>-1452.0432101558906</v>
      </c>
      <c r="V1182" s="555" cm="1">
        <f t="array" ref="V1182">-SUMPRODUCT('W2'!$M$12:$V$112*('W2'!$M$7:$V$7=$A1182)*('W2'!$A$12:$A$112=$B1182))*$H$10*POWER(1+Inflation,V$11+1)</f>
        <v>-1524.6453706636853</v>
      </c>
      <c r="W1182" s="555" cm="1">
        <f t="array" ref="W1182">-SUMPRODUCT('W2'!$M$12:$V$112*('W2'!$M$7:$V$7=$A1182)*('W2'!$A$12:$A$112=$B1182))*$H$10*POWER(1+Inflation,W$11+1)</f>
        <v>-1600.8776391968695</v>
      </c>
      <c r="X1182" s="555" cm="1">
        <f t="array" ref="X1182">-SUMPRODUCT('W2'!$M$12:$V$112*('W2'!$M$7:$V$7=$A1182)*('W2'!$A$12:$A$112=$B1182))*$H$10*POWER(1+Inflation,X$11+1)</f>
        <v>-1680.9215211567132</v>
      </c>
      <c r="Y1182" s="555" cm="1">
        <f t="array" ref="Y1182">-SUMPRODUCT('W2'!$M$12:$V$112*('W2'!$M$7:$V$7=$A1182)*('W2'!$A$12:$A$112=$B1182))*$H$10*POWER(1+Inflation,Y$11+1)</f>
        <v>-1764.9675972145485</v>
      </c>
      <c r="Z1182" s="555" cm="1">
        <f t="array" ref="Z1182">-SUMPRODUCT('W2'!$M$12:$V$112*('W2'!$M$7:$V$7=$A1182)*('W2'!$A$12:$A$112=$B1182))*$H$10*POWER(1+Inflation,Z$11+1)</f>
        <v>-1853.2159770752762</v>
      </c>
      <c r="AA1182" s="555"/>
      <c r="AB1182" s="555"/>
      <c r="AC1182" s="555"/>
      <c r="AD1182" s="555"/>
      <c r="AE1182" s="555"/>
      <c r="AF1182" s="555"/>
      <c r="AG1182" s="555"/>
      <c r="AH1182" s="555"/>
      <c r="AI1182" s="555"/>
      <c r="AJ1182" s="555"/>
    </row>
    <row r="1183" spans="1:36" s="299" customFormat="1" x14ac:dyDescent="0.25">
      <c r="A1183" s="299" t="s">
        <v>860</v>
      </c>
      <c r="B1183" s="299" t="s">
        <v>450</v>
      </c>
      <c r="H1183" s="553" t="s">
        <v>431</v>
      </c>
      <c r="I1183" s="554" t="str">
        <f t="shared" si="986"/>
        <v>tr. VND</v>
      </c>
      <c r="K1183" s="555"/>
      <c r="L1183" s="555" cm="1">
        <f t="array" ref="L1183">-SUMPRODUCT('W2'!$M$12:$V$112*('W2'!$M$7:$V$7=$A1183)*('W2'!$A$12:$A$112=$B1183))*$H$10*POWER(1+Inflation,L$11+1)</f>
        <v>-5028.66</v>
      </c>
      <c r="M1183" s="555" cm="1">
        <f t="array" ref="M1183">-SUMPRODUCT('W2'!$M$12:$V$112*('W2'!$M$7:$V$7=$A1183)*('W2'!$A$12:$A$112=$B1183))*$H$10*POWER(1+Inflation,M$11+1)</f>
        <v>-5028.66</v>
      </c>
      <c r="N1183" s="555" cm="1">
        <f t="array" ref="N1183">-SUMPRODUCT('W2'!$M$12:$V$112*('W2'!$M$7:$V$7=$A1183)*('W2'!$A$12:$A$112=$B1183))*$H$10*POWER(1+Inflation,N$11+1)</f>
        <v>-5280.0929999999998</v>
      </c>
      <c r="O1183" s="555" cm="1">
        <f t="array" ref="O1183">-SUMPRODUCT('W2'!$M$12:$V$112*('W2'!$M$7:$V$7=$A1183)*('W2'!$A$12:$A$112=$B1183))*$H$10*POWER(1+Inflation,O$11+1)</f>
        <v>-5544.0976499999997</v>
      </c>
      <c r="P1183" s="555" cm="1">
        <f t="array" ref="P1183">-SUMPRODUCT('W2'!$M$12:$V$112*('W2'!$M$7:$V$7=$A1183)*('W2'!$A$12:$A$112=$B1183))*$H$10*POWER(1+Inflation,P$11+1)</f>
        <v>-5821.3025325000008</v>
      </c>
      <c r="Q1183" s="555" cm="1">
        <f t="array" ref="Q1183">-SUMPRODUCT('W2'!$M$12:$V$112*('W2'!$M$7:$V$7=$A1183)*('W2'!$A$12:$A$112=$B1183))*$H$10*POWER(1+Inflation,Q$11+1)</f>
        <v>-6112.3676591249996</v>
      </c>
      <c r="R1183" s="555" cm="1">
        <f t="array" ref="R1183">-SUMPRODUCT('W2'!$M$12:$V$112*('W2'!$M$7:$V$7=$A1183)*('W2'!$A$12:$A$112=$B1183))*$H$10*POWER(1+Inflation,R$11+1)</f>
        <v>-6417.9860420812502</v>
      </c>
      <c r="S1183" s="555" cm="1">
        <f t="array" ref="S1183">-SUMPRODUCT('W2'!$M$12:$V$112*('W2'!$M$7:$V$7=$A1183)*('W2'!$A$12:$A$112=$B1183))*$H$10*POWER(1+Inflation,S$11+1)</f>
        <v>-6738.8853441853125</v>
      </c>
      <c r="T1183" s="555" cm="1">
        <f t="array" ref="T1183">-SUMPRODUCT('W2'!$M$12:$V$112*('W2'!$M$7:$V$7=$A1183)*('W2'!$A$12:$A$112=$B1183))*$H$10*POWER(1+Inflation,T$11+1)</f>
        <v>-7075.8296113945789</v>
      </c>
      <c r="U1183" s="555" cm="1">
        <f t="array" ref="U1183">-SUMPRODUCT('W2'!$M$12:$V$112*('W2'!$M$7:$V$7=$A1183)*('W2'!$A$12:$A$112=$B1183))*$H$10*POWER(1+Inflation,U$11+1)</f>
        <v>-7429.6210919643072</v>
      </c>
      <c r="V1183" s="555" cm="1">
        <f t="array" ref="V1183">-SUMPRODUCT('W2'!$M$12:$V$112*('W2'!$M$7:$V$7=$A1183)*('W2'!$A$12:$A$112=$B1183))*$H$10*POWER(1+Inflation,V$11+1)</f>
        <v>-7801.1021465625226</v>
      </c>
      <c r="W1183" s="555" cm="1">
        <f t="array" ref="W1183">-SUMPRODUCT('W2'!$M$12:$V$112*('W2'!$M$7:$V$7=$A1183)*('W2'!$A$12:$A$112=$B1183))*$H$10*POWER(1+Inflation,W$11+1)</f>
        <v>-8191.1572538906494</v>
      </c>
      <c r="X1183" s="555" cm="1">
        <f t="array" ref="X1183">-SUMPRODUCT('W2'!$M$12:$V$112*('W2'!$M$7:$V$7=$A1183)*('W2'!$A$12:$A$112=$B1183))*$H$10*POWER(1+Inflation,X$11+1)</f>
        <v>-8600.7151165851828</v>
      </c>
      <c r="Y1183" s="555" cm="1">
        <f t="array" ref="Y1183">-SUMPRODUCT('W2'!$M$12:$V$112*('W2'!$M$7:$V$7=$A1183)*('W2'!$A$12:$A$112=$B1183))*$H$10*POWER(1+Inflation,Y$11+1)</f>
        <v>-9030.7508724144391</v>
      </c>
      <c r="Z1183" s="555" cm="1">
        <f t="array" ref="Z1183">-SUMPRODUCT('W2'!$M$12:$V$112*('W2'!$M$7:$V$7=$A1183)*('W2'!$A$12:$A$112=$B1183))*$H$10*POWER(1+Inflation,Z$11+1)</f>
        <v>-9482.2884160351641</v>
      </c>
      <c r="AA1183" s="555"/>
      <c r="AB1183" s="555"/>
      <c r="AC1183" s="555"/>
      <c r="AD1183" s="555"/>
      <c r="AE1183" s="555"/>
      <c r="AF1183" s="555"/>
      <c r="AG1183" s="555"/>
      <c r="AH1183" s="555"/>
      <c r="AI1183" s="555"/>
      <c r="AJ1183" s="555"/>
    </row>
    <row r="1184" spans="1:36" x14ac:dyDescent="0.25">
      <c r="A1184" t="s">
        <v>860</v>
      </c>
      <c r="B1184" t="s">
        <v>451</v>
      </c>
      <c r="H1184" s="454" t="s">
        <v>656</v>
      </c>
      <c r="I1184" s="496" t="str">
        <f t="shared" si="986"/>
        <v>tr. VND</v>
      </c>
      <c r="K1184" s="549"/>
      <c r="L1184" s="549" cm="1">
        <f t="array" ref="L1184">-SUMPRODUCT('W2'!$M$12:$V$112*('W2'!$M$7:$V$7=$A1184)*('W2'!$A$12:$A$112=$B1184))*$H$10*POWER(1+Inflation,L$11+1)</f>
        <v>-2400</v>
      </c>
      <c r="M1184" s="549" cm="1">
        <f t="array" ref="M1184">-SUMPRODUCT('W2'!$M$12:$V$112*('W2'!$M$7:$V$7=$A1184)*('W2'!$A$12:$A$112=$B1184))*$H$10*POWER(1+Inflation,M$11+1)</f>
        <v>-2400</v>
      </c>
      <c r="N1184" s="549" cm="1">
        <f t="array" ref="N1184">-SUMPRODUCT('W2'!$M$12:$V$112*('W2'!$M$7:$V$7=$A1184)*('W2'!$A$12:$A$112=$B1184))*$H$10*POWER(1+Inflation,N$11+1)</f>
        <v>-2520</v>
      </c>
      <c r="O1184" s="549" cm="1">
        <f t="array" ref="O1184">-SUMPRODUCT('W2'!$M$12:$V$112*('W2'!$M$7:$V$7=$A1184)*('W2'!$A$12:$A$112=$B1184))*$H$10*POWER(1+Inflation,O$11+1)</f>
        <v>-2646</v>
      </c>
      <c r="P1184" s="549" cm="1">
        <f t="array" ref="P1184">-SUMPRODUCT('W2'!$M$12:$V$112*('W2'!$M$7:$V$7=$A1184)*('W2'!$A$12:$A$112=$B1184))*$H$10*POWER(1+Inflation,P$11+1)</f>
        <v>-2778.3</v>
      </c>
      <c r="Q1184" s="549" cm="1">
        <f t="array" ref="Q1184">-SUMPRODUCT('W2'!$M$12:$V$112*('W2'!$M$7:$V$7=$A1184)*('W2'!$A$12:$A$112=$B1184))*$H$10*POWER(1+Inflation,Q$11+1)</f>
        <v>-2917.2150000000001</v>
      </c>
      <c r="R1184" s="549" cm="1">
        <f t="array" ref="R1184">-SUMPRODUCT('W2'!$M$12:$V$112*('W2'!$M$7:$V$7=$A1184)*('W2'!$A$12:$A$112=$B1184))*$H$10*POWER(1+Inflation,R$11+1)</f>
        <v>-3063.0757500000004</v>
      </c>
      <c r="S1184" s="549" cm="1">
        <f t="array" ref="S1184">-SUMPRODUCT('W2'!$M$12:$V$112*('W2'!$M$7:$V$7=$A1184)*('W2'!$A$12:$A$112=$B1184))*$H$10*POWER(1+Inflation,S$11+1)</f>
        <v>-3216.2295374999999</v>
      </c>
      <c r="T1184" s="549" cm="1">
        <f t="array" ref="T1184">-SUMPRODUCT('W2'!$M$12:$V$112*('W2'!$M$7:$V$7=$A1184)*('W2'!$A$12:$A$112=$B1184))*$H$10*POWER(1+Inflation,T$11+1)</f>
        <v>-3377.0410143750005</v>
      </c>
      <c r="U1184" s="549" cm="1">
        <f t="array" ref="U1184">-SUMPRODUCT('W2'!$M$12:$V$112*('W2'!$M$7:$V$7=$A1184)*('W2'!$A$12:$A$112=$B1184))*$H$10*POWER(1+Inflation,U$11+1)</f>
        <v>-3545.89306509375</v>
      </c>
      <c r="V1184" s="549" cm="1">
        <f t="array" ref="V1184">-SUMPRODUCT('W2'!$M$12:$V$112*('W2'!$M$7:$V$7=$A1184)*('W2'!$A$12:$A$112=$B1184))*$H$10*POWER(1+Inflation,V$11+1)</f>
        <v>-3723.187718348438</v>
      </c>
      <c r="W1184" s="549" cm="1">
        <f t="array" ref="W1184">-SUMPRODUCT('W2'!$M$12:$V$112*('W2'!$M$7:$V$7=$A1184)*('W2'!$A$12:$A$112=$B1184))*$H$10*POWER(1+Inflation,W$11+1)</f>
        <v>-3909.3471042658598</v>
      </c>
      <c r="X1184" s="549" cm="1">
        <f t="array" ref="X1184">-SUMPRODUCT('W2'!$M$12:$V$112*('W2'!$M$7:$V$7=$A1184)*('W2'!$A$12:$A$112=$B1184))*$H$10*POWER(1+Inflation,X$11+1)</f>
        <v>-4104.8144594791529</v>
      </c>
      <c r="Y1184" s="549" cm="1">
        <f t="array" ref="Y1184">-SUMPRODUCT('W2'!$M$12:$V$112*('W2'!$M$7:$V$7=$A1184)*('W2'!$A$12:$A$112=$B1184))*$H$10*POWER(1+Inflation,Y$11+1)</f>
        <v>-4310.0551824531103</v>
      </c>
      <c r="Z1184" s="549" cm="1">
        <f t="array" ref="Z1184">-SUMPRODUCT('W2'!$M$12:$V$112*('W2'!$M$7:$V$7=$A1184)*('W2'!$A$12:$A$112=$B1184))*$H$10*POWER(1+Inflation,Z$11+1)</f>
        <v>-4525.5579415757666</v>
      </c>
      <c r="AA1184" s="549"/>
      <c r="AB1184" s="549"/>
      <c r="AC1184" s="549"/>
      <c r="AD1184" s="549"/>
      <c r="AE1184" s="549"/>
      <c r="AF1184" s="549"/>
      <c r="AG1184" s="549"/>
      <c r="AH1184" s="549"/>
      <c r="AI1184" s="549"/>
      <c r="AJ1184" s="549"/>
    </row>
    <row r="1185" spans="1:36" x14ac:dyDescent="0.25">
      <c r="A1185" t="s">
        <v>860</v>
      </c>
      <c r="B1185" t="s">
        <v>452</v>
      </c>
      <c r="H1185" s="454" t="s">
        <v>432</v>
      </c>
      <c r="I1185" s="496" t="str">
        <f t="shared" si="986"/>
        <v>tr. VND</v>
      </c>
      <c r="K1185" s="549"/>
      <c r="L1185" s="549" cm="1">
        <f t="array" ref="L1185">-SUMPRODUCT('W2'!$M$12:$V$112*('W2'!$M$7:$V$7=$A1185)*('W2'!$A$12:$A$112=$B1185))*$H$10*POWER(1+Inflation,L$11+1)</f>
        <v>-9022.4939999999988</v>
      </c>
      <c r="M1185" s="549" cm="1">
        <f t="array" ref="M1185">-SUMPRODUCT('W2'!$M$12:$V$112*('W2'!$M$7:$V$7=$A1185)*('W2'!$A$12:$A$112=$B1185))*$H$10*POWER(1+Inflation,M$11+1)</f>
        <v>-9022.4939999999988</v>
      </c>
      <c r="N1185" s="549" cm="1">
        <f t="array" ref="N1185">-SUMPRODUCT('W2'!$M$12:$V$112*('W2'!$M$7:$V$7=$A1185)*('W2'!$A$12:$A$112=$B1185))*$H$10*POWER(1+Inflation,N$11+1)</f>
        <v>-9473.6186999999991</v>
      </c>
      <c r="O1185" s="549" cm="1">
        <f t="array" ref="O1185">-SUMPRODUCT('W2'!$M$12:$V$112*('W2'!$M$7:$V$7=$A1185)*('W2'!$A$12:$A$112=$B1185))*$H$10*POWER(1+Inflation,O$11+1)</f>
        <v>-9947.2996349999994</v>
      </c>
      <c r="P1185" s="549" cm="1">
        <f t="array" ref="P1185">-SUMPRODUCT('W2'!$M$12:$V$112*('W2'!$M$7:$V$7=$A1185)*('W2'!$A$12:$A$112=$B1185))*$H$10*POWER(1+Inflation,P$11+1)</f>
        <v>-10444.66461675</v>
      </c>
      <c r="Q1185" s="549" cm="1">
        <f t="array" ref="Q1185">-SUMPRODUCT('W2'!$M$12:$V$112*('W2'!$M$7:$V$7=$A1185)*('W2'!$A$12:$A$112=$B1185))*$H$10*POWER(1+Inflation,Q$11+1)</f>
        <v>-10966.897847587499</v>
      </c>
      <c r="R1185" s="549" cm="1">
        <f t="array" ref="R1185">-SUMPRODUCT('W2'!$M$12:$V$112*('W2'!$M$7:$V$7=$A1185)*('W2'!$A$12:$A$112=$B1185))*$H$10*POWER(1+Inflation,R$11+1)</f>
        <v>-11515.242739966874</v>
      </c>
      <c r="S1185" s="549" cm="1">
        <f t="array" ref="S1185">-SUMPRODUCT('W2'!$M$12:$V$112*('W2'!$M$7:$V$7=$A1185)*('W2'!$A$12:$A$112=$B1185))*$H$10*POWER(1+Inflation,S$11+1)</f>
        <v>-12091.004876965217</v>
      </c>
      <c r="T1185" s="549" cm="1">
        <f t="array" ref="T1185">-SUMPRODUCT('W2'!$M$12:$V$112*('W2'!$M$7:$V$7=$A1185)*('W2'!$A$12:$A$112=$B1185))*$H$10*POWER(1+Inflation,T$11+1)</f>
        <v>-12695.55512081348</v>
      </c>
      <c r="U1185" s="549" cm="1">
        <f t="array" ref="U1185">-SUMPRODUCT('W2'!$M$12:$V$112*('W2'!$M$7:$V$7=$A1185)*('W2'!$A$12:$A$112=$B1185))*$H$10*POWER(1+Inflation,U$11+1)</f>
        <v>-13330.332876854152</v>
      </c>
      <c r="V1185" s="549" cm="1">
        <f t="array" ref="V1185">-SUMPRODUCT('W2'!$M$12:$V$112*('W2'!$M$7:$V$7=$A1185)*('W2'!$A$12:$A$112=$B1185))*$H$10*POWER(1+Inflation,V$11+1)</f>
        <v>-13996.84952069686</v>
      </c>
      <c r="W1185" s="549" cm="1">
        <f t="array" ref="W1185">-SUMPRODUCT('W2'!$M$12:$V$112*('W2'!$M$7:$V$7=$A1185)*('W2'!$A$12:$A$112=$B1185))*$H$10*POWER(1+Inflation,W$11+1)</f>
        <v>-14696.691996731704</v>
      </c>
      <c r="X1185" s="549" cm="1">
        <f t="array" ref="X1185">-SUMPRODUCT('W2'!$M$12:$V$112*('W2'!$M$7:$V$7=$A1185)*('W2'!$A$12:$A$112=$B1185))*$H$10*POWER(1+Inflation,X$11+1)</f>
        <v>-15431.52659656829</v>
      </c>
      <c r="Y1185" s="549" cm="1">
        <f t="array" ref="Y1185">-SUMPRODUCT('W2'!$M$12:$V$112*('W2'!$M$7:$V$7=$A1185)*('W2'!$A$12:$A$112=$B1185))*$H$10*POWER(1+Inflation,Y$11+1)</f>
        <v>-16203.102926396703</v>
      </c>
      <c r="Z1185" s="549" cm="1">
        <f t="array" ref="Z1185">-SUMPRODUCT('W2'!$M$12:$V$112*('W2'!$M$7:$V$7=$A1185)*('W2'!$A$12:$A$112=$B1185))*$H$10*POWER(1+Inflation,Z$11+1)</f>
        <v>-17013.25807271654</v>
      </c>
      <c r="AA1185" s="549"/>
      <c r="AB1185" s="549"/>
      <c r="AC1185" s="549"/>
      <c r="AD1185" s="549"/>
      <c r="AE1185" s="549"/>
      <c r="AF1185" s="549"/>
      <c r="AG1185" s="549"/>
      <c r="AH1185" s="549"/>
      <c r="AI1185" s="549"/>
      <c r="AJ1185" s="549"/>
    </row>
    <row r="1186" spans="1:36" x14ac:dyDescent="0.25">
      <c r="A1186" t="s">
        <v>860</v>
      </c>
      <c r="B1186" t="s">
        <v>453</v>
      </c>
      <c r="H1186" s="454" t="s">
        <v>433</v>
      </c>
      <c r="I1186" s="496" t="str">
        <f t="shared" si="986"/>
        <v>tr. VND</v>
      </c>
      <c r="K1186" s="549"/>
      <c r="L1186" s="549" cm="1">
        <f t="array" ref="L1186">-SUMPRODUCT('W2'!$M$12:$V$112*('W2'!$M$7:$V$7=$A1186)*('W2'!$A$12:$A$112=$B1186))*$H$10*POWER(1+Inflation,L$11+1)</f>
        <v>-552</v>
      </c>
      <c r="M1186" s="549" cm="1">
        <f t="array" ref="M1186">-SUMPRODUCT('W2'!$M$12:$V$112*('W2'!$M$7:$V$7=$A1186)*('W2'!$A$12:$A$112=$B1186))*$H$10*POWER(1+Inflation,M$11+1)</f>
        <v>-552</v>
      </c>
      <c r="N1186" s="549" cm="1">
        <f t="array" ref="N1186">-SUMPRODUCT('W2'!$M$12:$V$112*('W2'!$M$7:$V$7=$A1186)*('W2'!$A$12:$A$112=$B1186))*$H$10*POWER(1+Inflation,N$11+1)</f>
        <v>-579.6</v>
      </c>
      <c r="O1186" s="549" cm="1">
        <f t="array" ref="O1186">-SUMPRODUCT('W2'!$M$12:$V$112*('W2'!$M$7:$V$7=$A1186)*('W2'!$A$12:$A$112=$B1186))*$H$10*POWER(1+Inflation,O$11+1)</f>
        <v>-608.58000000000004</v>
      </c>
      <c r="P1186" s="549" cm="1">
        <f t="array" ref="P1186">-SUMPRODUCT('W2'!$M$12:$V$112*('W2'!$M$7:$V$7=$A1186)*('W2'!$A$12:$A$112=$B1186))*$H$10*POWER(1+Inflation,P$11+1)</f>
        <v>-639.00900000000001</v>
      </c>
      <c r="Q1186" s="549" cm="1">
        <f t="array" ref="Q1186">-SUMPRODUCT('W2'!$M$12:$V$112*('W2'!$M$7:$V$7=$A1186)*('W2'!$A$12:$A$112=$B1186))*$H$10*POWER(1+Inflation,Q$11+1)</f>
        <v>-670.95945000000006</v>
      </c>
      <c r="R1186" s="549" cm="1">
        <f t="array" ref="R1186">-SUMPRODUCT('W2'!$M$12:$V$112*('W2'!$M$7:$V$7=$A1186)*('W2'!$A$12:$A$112=$B1186))*$H$10*POWER(1+Inflation,R$11+1)</f>
        <v>-704.50742250000008</v>
      </c>
      <c r="S1186" s="549" cm="1">
        <f t="array" ref="S1186">-SUMPRODUCT('W2'!$M$12:$V$112*('W2'!$M$7:$V$7=$A1186)*('W2'!$A$12:$A$112=$B1186))*$H$10*POWER(1+Inflation,S$11+1)</f>
        <v>-739.732793625</v>
      </c>
      <c r="T1186" s="549" cm="1">
        <f t="array" ref="T1186">-SUMPRODUCT('W2'!$M$12:$V$112*('W2'!$M$7:$V$7=$A1186)*('W2'!$A$12:$A$112=$B1186))*$H$10*POWER(1+Inflation,T$11+1)</f>
        <v>-776.71943330625015</v>
      </c>
      <c r="U1186" s="549" cm="1">
        <f t="array" ref="U1186">-SUMPRODUCT('W2'!$M$12:$V$112*('W2'!$M$7:$V$7=$A1186)*('W2'!$A$12:$A$112=$B1186))*$H$10*POWER(1+Inflation,U$11+1)</f>
        <v>-815.55540497156255</v>
      </c>
      <c r="V1186" s="549" cm="1">
        <f t="array" ref="V1186">-SUMPRODUCT('W2'!$M$12:$V$112*('W2'!$M$7:$V$7=$A1186)*('W2'!$A$12:$A$112=$B1186))*$H$10*POWER(1+Inflation,V$11+1)</f>
        <v>-856.33317522014067</v>
      </c>
      <c r="W1186" s="549" cm="1">
        <f t="array" ref="W1186">-SUMPRODUCT('W2'!$M$12:$V$112*('W2'!$M$7:$V$7=$A1186)*('W2'!$A$12:$A$112=$B1186))*$H$10*POWER(1+Inflation,W$11+1)</f>
        <v>-899.14983398114771</v>
      </c>
      <c r="X1186" s="549" cm="1">
        <f t="array" ref="X1186">-SUMPRODUCT('W2'!$M$12:$V$112*('W2'!$M$7:$V$7=$A1186)*('W2'!$A$12:$A$112=$B1186))*$H$10*POWER(1+Inflation,X$11+1)</f>
        <v>-944.10732568020524</v>
      </c>
      <c r="Y1186" s="549" cm="1">
        <f t="array" ref="Y1186">-SUMPRODUCT('W2'!$M$12:$V$112*('W2'!$M$7:$V$7=$A1186)*('W2'!$A$12:$A$112=$B1186))*$H$10*POWER(1+Inflation,Y$11+1)</f>
        <v>-991.31269196421533</v>
      </c>
      <c r="Z1186" s="549" cm="1">
        <f t="array" ref="Z1186">-SUMPRODUCT('W2'!$M$12:$V$112*('W2'!$M$7:$V$7=$A1186)*('W2'!$A$12:$A$112=$B1186))*$H$10*POWER(1+Inflation,Z$11+1)</f>
        <v>-1040.8783265624263</v>
      </c>
      <c r="AA1186" s="549"/>
      <c r="AB1186" s="549"/>
      <c r="AC1186" s="549"/>
      <c r="AD1186" s="549"/>
      <c r="AE1186" s="549"/>
      <c r="AF1186" s="549"/>
      <c r="AG1186" s="549"/>
      <c r="AH1186" s="549"/>
      <c r="AI1186" s="549"/>
      <c r="AJ1186" s="549"/>
    </row>
    <row r="1187" spans="1:36" x14ac:dyDescent="0.25">
      <c r="A1187" t="s">
        <v>860</v>
      </c>
      <c r="B1187" t="s">
        <v>521</v>
      </c>
      <c r="H1187" s="454" t="s">
        <v>520</v>
      </c>
      <c r="I1187" s="496" t="str">
        <f t="shared" si="986"/>
        <v>tr. VND</v>
      </c>
      <c r="K1187" s="549"/>
      <c r="L1187" s="549" cm="1">
        <f t="array" ref="L1187">-SUMPRODUCT('W2'!$M$12:$V$112*('W2'!$M$7:$V$7=$A1187)*('W2'!$A$12:$A$112=$B1187))*$H$10</f>
        <v>-901.49959999999999</v>
      </c>
      <c r="M1187" s="549" cm="1">
        <f t="array" ref="M1187">-SUMPRODUCT('W2'!$M$12:$V$112*('W2'!$M$7:$V$7=$A1187)*('W2'!$A$12:$A$112=$B1187))*$H$10</f>
        <v>-901.49959999999999</v>
      </c>
      <c r="N1187" s="549" cm="1">
        <f t="array" ref="N1187">-SUMPRODUCT('W2'!$M$12:$V$112*('W2'!$M$7:$V$7=$A1187)*('W2'!$A$12:$A$112=$B1187))*$H$10</f>
        <v>-901.49959999999999</v>
      </c>
      <c r="O1187" s="549" cm="1">
        <f t="array" ref="O1187">-SUMPRODUCT('W2'!$M$12:$V$112*('W2'!$M$7:$V$7=$A1187)*('W2'!$A$12:$A$112=$B1187))*$H$10</f>
        <v>-901.49959999999999</v>
      </c>
      <c r="P1187" s="549" cm="1">
        <f t="array" ref="P1187">-SUMPRODUCT('W2'!$M$12:$V$112*('W2'!$M$7:$V$7=$A1187)*('W2'!$A$12:$A$112=$B1187))*$H$10</f>
        <v>-901.49959999999999</v>
      </c>
      <c r="Q1187" s="549" cm="1">
        <f t="array" ref="Q1187">-SUMPRODUCT('W2'!$M$12:$V$112*('W2'!$M$7:$V$7=$A1187)*('W2'!$A$12:$A$112=$B1187))*$H$10</f>
        <v>-901.49959999999999</v>
      </c>
      <c r="R1187" s="549" cm="1">
        <f t="array" ref="R1187">-SUMPRODUCT('W2'!$M$12:$V$112*('W2'!$M$7:$V$7=$A1187)*('W2'!$A$12:$A$112=$B1187))*$H$10</f>
        <v>-901.49959999999999</v>
      </c>
      <c r="S1187" s="549" cm="1">
        <f t="array" ref="S1187">-SUMPRODUCT('W2'!$M$12:$V$112*('W2'!$M$7:$V$7=$A1187)*('W2'!$A$12:$A$112=$B1187))*$H$10</f>
        <v>-901.49959999999999</v>
      </c>
      <c r="T1187" s="549" cm="1">
        <f t="array" ref="T1187">-SUMPRODUCT('W2'!$M$12:$V$112*('W2'!$M$7:$V$7=$A1187)*('W2'!$A$12:$A$112=$B1187))*$H$10</f>
        <v>-901.49959999999999</v>
      </c>
      <c r="U1187" s="549" cm="1">
        <f t="array" ref="U1187">-SUMPRODUCT('W2'!$M$12:$V$112*('W2'!$M$7:$V$7=$A1187)*('W2'!$A$12:$A$112=$B1187))*$H$10</f>
        <v>-901.49959999999999</v>
      </c>
      <c r="V1187" s="549" cm="1">
        <f t="array" ref="V1187">-SUMPRODUCT('W2'!$M$12:$V$112*('W2'!$M$7:$V$7=$A1187)*('W2'!$A$12:$A$112=$B1187))*$H$10</f>
        <v>-901.49959999999999</v>
      </c>
      <c r="W1187" s="549" cm="1">
        <f t="array" ref="W1187">-SUMPRODUCT('W2'!$M$12:$V$112*('W2'!$M$7:$V$7=$A1187)*('W2'!$A$12:$A$112=$B1187))*$H$10</f>
        <v>-901.49959999999999</v>
      </c>
      <c r="X1187" s="549" cm="1">
        <f t="array" ref="X1187">-SUMPRODUCT('W2'!$M$12:$V$112*('W2'!$M$7:$V$7=$A1187)*('W2'!$A$12:$A$112=$B1187))*$H$10</f>
        <v>-901.49959999999999</v>
      </c>
      <c r="Y1187" s="549" cm="1">
        <f t="array" ref="Y1187">-SUMPRODUCT('W2'!$M$12:$V$112*('W2'!$M$7:$V$7=$A1187)*('W2'!$A$12:$A$112=$B1187))*$H$10</f>
        <v>-901.49959999999999</v>
      </c>
      <c r="Z1187" s="549" cm="1">
        <f t="array" ref="Z1187">-SUMPRODUCT('W2'!$M$12:$V$112*('W2'!$M$7:$V$7=$A1187)*('W2'!$A$12:$A$112=$B1187))*$H$10</f>
        <v>-901.49959999999999</v>
      </c>
      <c r="AA1187" s="549"/>
      <c r="AB1187" s="549"/>
      <c r="AC1187" s="549"/>
      <c r="AD1187" s="549"/>
      <c r="AE1187" s="549"/>
      <c r="AF1187" s="549"/>
      <c r="AG1187" s="549"/>
      <c r="AH1187" s="549"/>
      <c r="AI1187" s="549"/>
      <c r="AJ1187" s="549"/>
    </row>
    <row r="1188" spans="1:36" x14ac:dyDescent="0.25">
      <c r="A1188" t="s">
        <v>860</v>
      </c>
      <c r="K1188" s="243"/>
      <c r="L1188" s="243"/>
      <c r="M1188" s="243"/>
      <c r="N1188" s="243"/>
      <c r="O1188" s="243"/>
      <c r="P1188" s="243"/>
      <c r="Q1188" s="243"/>
      <c r="R1188" s="243"/>
      <c r="S1188" s="243"/>
      <c r="T1188" s="243"/>
      <c r="U1188" s="243"/>
      <c r="V1188" s="243"/>
      <c r="W1188" s="243"/>
      <c r="X1188" s="243"/>
      <c r="Y1188" s="243"/>
      <c r="Z1188" s="243"/>
      <c r="AA1188" s="243"/>
      <c r="AB1188" s="243"/>
      <c r="AC1188" s="243"/>
      <c r="AD1188" s="243"/>
      <c r="AE1188" s="243"/>
      <c r="AF1188" s="243"/>
      <c r="AG1188" s="243"/>
      <c r="AH1188" s="243"/>
      <c r="AI1188" s="243"/>
      <c r="AJ1188" s="243"/>
    </row>
    <row r="1189" spans="1:36" s="1" customFormat="1" x14ac:dyDescent="0.25">
      <c r="A1189" s="1" t="s">
        <v>860</v>
      </c>
      <c r="H1189" s="266" t="s">
        <v>435</v>
      </c>
      <c r="I1189" s="267" t="str">
        <f t="shared" ref="I1189:I1192" si="990">IF($H$9="USD","USD","tr. VND")</f>
        <v>tr. VND</v>
      </c>
      <c r="K1189" s="269">
        <f>K1190+K1193+K1196</f>
        <v>0</v>
      </c>
      <c r="L1189" s="269">
        <f t="shared" ref="L1189:AJ1189" si="991">L1190+L1193+L1196</f>
        <v>-92746.065303826777</v>
      </c>
      <c r="M1189" s="269">
        <f t="shared" si="991"/>
        <v>-129045.29243442416</v>
      </c>
      <c r="N1189" s="269">
        <f t="shared" si="991"/>
        <v>-187617.60190480959</v>
      </c>
      <c r="O1189" s="269">
        <f t="shared" si="991"/>
        <v>-191847.4979197002</v>
      </c>
      <c r="P1189" s="269">
        <f t="shared" si="991"/>
        <v>-196187.14761304564</v>
      </c>
      <c r="Q1189" s="269">
        <f t="shared" si="991"/>
        <v>-200640.00384632294</v>
      </c>
      <c r="R1189" s="269">
        <f t="shared" si="991"/>
        <v>-205209.65142763397</v>
      </c>
      <c r="S1189" s="269">
        <f t="shared" si="991"/>
        <v>-209899.81289510772</v>
      </c>
      <c r="T1189" s="269">
        <f t="shared" si="991"/>
        <v>-214714.35457319432</v>
      </c>
      <c r="U1189" s="269">
        <f t="shared" si="991"/>
        <v>-219657.29291516927</v>
      </c>
      <c r="V1189" s="269">
        <f t="shared" si="991"/>
        <v>-224732.80114582658</v>
      </c>
      <c r="W1189" s="269">
        <f t="shared" si="991"/>
        <v>-229945.21621903207</v>
      </c>
      <c r="X1189" s="269">
        <f t="shared" si="991"/>
        <v>-234296.54677220009</v>
      </c>
      <c r="Y1189" s="269">
        <f t="shared" si="991"/>
        <v>-239796.47809385488</v>
      </c>
      <c r="Z1189" s="269">
        <f t="shared" si="991"/>
        <v>-245447.38412123729</v>
      </c>
      <c r="AA1189" s="269"/>
      <c r="AB1189" s="269"/>
      <c r="AC1189" s="269"/>
      <c r="AD1189" s="269"/>
      <c r="AE1189" s="269"/>
      <c r="AF1189" s="269"/>
      <c r="AG1189" s="269"/>
      <c r="AH1189" s="269"/>
      <c r="AI1189" s="269"/>
      <c r="AJ1189" s="269"/>
    </row>
    <row r="1190" spans="1:36" x14ac:dyDescent="0.25">
      <c r="A1190" t="s">
        <v>860</v>
      </c>
      <c r="H1190" s="636" t="s">
        <v>454</v>
      </c>
      <c r="I1190" s="637" t="str">
        <f t="shared" si="990"/>
        <v>tr. VND</v>
      </c>
      <c r="K1190" s="638">
        <f>SUM(K1191:K1192)</f>
        <v>0</v>
      </c>
      <c r="L1190" s="638">
        <f t="shared" ref="L1190:AJ1190" si="992">SUM(L1191:L1192)</f>
        <v>-83121.831936000002</v>
      </c>
      <c r="M1190" s="638">
        <f t="shared" si="992"/>
        <v>-116370.56471040001</v>
      </c>
      <c r="N1190" s="638">
        <f t="shared" si="992"/>
        <v>-169568.53714944003</v>
      </c>
      <c r="O1190" s="638">
        <f t="shared" si="992"/>
        <v>-172959.90789242883</v>
      </c>
      <c r="P1190" s="638">
        <f t="shared" si="992"/>
        <v>-176419.10605027739</v>
      </c>
      <c r="Q1190" s="638">
        <f t="shared" si="992"/>
        <v>-179947.48817128292</v>
      </c>
      <c r="R1190" s="638">
        <f t="shared" si="992"/>
        <v>-183546.43793470861</v>
      </c>
      <c r="S1190" s="638">
        <f t="shared" si="992"/>
        <v>-187217.36669340279</v>
      </c>
      <c r="T1190" s="638">
        <f t="shared" si="992"/>
        <v>-190961.71402727079</v>
      </c>
      <c r="U1190" s="638">
        <f t="shared" si="992"/>
        <v>-194780.9483078162</v>
      </c>
      <c r="V1190" s="638">
        <f t="shared" si="992"/>
        <v>-198676.56727397256</v>
      </c>
      <c r="W1190" s="638">
        <f t="shared" si="992"/>
        <v>-202650.09861945201</v>
      </c>
      <c r="X1190" s="638">
        <f t="shared" si="992"/>
        <v>-206703.10059184101</v>
      </c>
      <c r="Y1190" s="638">
        <f t="shared" si="992"/>
        <v>-210837.16260367786</v>
      </c>
      <c r="Z1190" s="638">
        <f t="shared" si="992"/>
        <v>-215053.90585575142</v>
      </c>
      <c r="AA1190" s="638"/>
      <c r="AB1190" s="638"/>
      <c r="AC1190" s="638"/>
      <c r="AD1190" s="638"/>
      <c r="AE1190" s="638"/>
      <c r="AF1190" s="638"/>
      <c r="AG1190" s="638"/>
      <c r="AH1190" s="638"/>
      <c r="AI1190" s="638"/>
      <c r="AJ1190" s="638"/>
    </row>
    <row r="1191" spans="1:36" s="299" customFormat="1" x14ac:dyDescent="0.25">
      <c r="A1191" s="299" t="s">
        <v>860</v>
      </c>
      <c r="B1191" s="299" t="s">
        <v>459</v>
      </c>
      <c r="H1191" s="553" t="s">
        <v>167</v>
      </c>
      <c r="I1191" s="554" t="str">
        <f t="shared" si="990"/>
        <v>tr. VND</v>
      </c>
      <c r="K1191" s="555"/>
      <c r="L1191" s="555" cm="1">
        <f t="array" ref="L1191">-SUMPRODUCT('W2'!$M$12:$V$112*('W2'!$M$7:$V$7=$A1191)*('W2'!$A$12:$A$112=$B1191))*L1168*$H$10*POWER(1+INDEX('Cover Page'!$H$8:$AJ$8,MATCH($A1191,'Cover Page'!$H$5:$AJ$5,0)),1+L$13)</f>
        <v>-77303.303700479999</v>
      </c>
      <c r="M1191" s="555" cm="1">
        <f t="array" ref="M1191">-SUMPRODUCT('W2'!$M$12:$V$112*('W2'!$M$7:$V$7=$A1191)*('W2'!$A$12:$A$112=$B1191))*M1168*$H$10*POWER(1+INDEX('Cover Page'!$H$8:$AJ$8,MATCH($A1191,'Cover Page'!$H$5:$AJ$5,0)),1+M$13)</f>
        <v>-108224.625180672</v>
      </c>
      <c r="N1191" s="555" cm="1">
        <f t="array" ref="N1191">-SUMPRODUCT('W2'!$M$12:$V$112*('W2'!$M$7:$V$7=$A1191)*('W2'!$A$12:$A$112=$B1191))*N1168*$H$10*POWER(1+INDEX('Cover Page'!$H$8:$AJ$8,MATCH($A1191,'Cover Page'!$H$5:$AJ$5,0)),1+N$13)</f>
        <v>-157698.73954897921</v>
      </c>
      <c r="O1191" s="555" cm="1">
        <f t="array" ref="O1191">-SUMPRODUCT('W2'!$M$12:$V$112*('W2'!$M$7:$V$7=$A1191)*('W2'!$A$12:$A$112=$B1191))*O1168*$H$10*POWER(1+INDEX('Cover Page'!$H$8:$AJ$8,MATCH($A1191,'Cover Page'!$H$5:$AJ$5,0)),1+O$13)</f>
        <v>-160852.71433995879</v>
      </c>
      <c r="P1191" s="555" cm="1">
        <f t="array" ref="P1191">-SUMPRODUCT('W2'!$M$12:$V$112*('W2'!$M$7:$V$7=$A1191)*('W2'!$A$12:$A$112=$B1191))*P1168*$H$10*POWER(1+INDEX('Cover Page'!$H$8:$AJ$8,MATCH($A1191,'Cover Page'!$H$5:$AJ$5,0)),1+P$13)</f>
        <v>-164069.76862675796</v>
      </c>
      <c r="Q1191" s="555" cm="1">
        <f t="array" ref="Q1191">-SUMPRODUCT('W2'!$M$12:$V$112*('W2'!$M$7:$V$7=$A1191)*('W2'!$A$12:$A$112=$B1191))*Q1168*$H$10*POWER(1+INDEX('Cover Page'!$H$8:$AJ$8,MATCH($A1191,'Cover Page'!$H$5:$AJ$5,0)),1+Q$13)</f>
        <v>-167351.16399929312</v>
      </c>
      <c r="R1191" s="555" cm="1">
        <f t="array" ref="R1191">-SUMPRODUCT('W2'!$M$12:$V$112*('W2'!$M$7:$V$7=$A1191)*('W2'!$A$12:$A$112=$B1191))*R1168*$H$10*POWER(1+INDEX('Cover Page'!$H$8:$AJ$8,MATCH($A1191,'Cover Page'!$H$5:$AJ$5,0)),1+R$13)</f>
        <v>-170698.18727927899</v>
      </c>
      <c r="S1191" s="555" cm="1">
        <f t="array" ref="S1191">-SUMPRODUCT('W2'!$M$12:$V$112*('W2'!$M$7:$V$7=$A1191)*('W2'!$A$12:$A$112=$B1191))*S1168*$H$10*POWER(1+INDEX('Cover Page'!$H$8:$AJ$8,MATCH($A1191,'Cover Page'!$H$5:$AJ$5,0)),1+S$13)</f>
        <v>-174112.15102486458</v>
      </c>
      <c r="T1191" s="555" cm="1">
        <f t="array" ref="T1191">-SUMPRODUCT('W2'!$M$12:$V$112*('W2'!$M$7:$V$7=$A1191)*('W2'!$A$12:$A$112=$B1191))*T1168*$H$10*POWER(1+INDEX('Cover Page'!$H$8:$AJ$8,MATCH($A1191,'Cover Page'!$H$5:$AJ$5,0)),1+T$13)</f>
        <v>-177594.39404536181</v>
      </c>
      <c r="U1191" s="555" cm="1">
        <f t="array" ref="U1191">-SUMPRODUCT('W2'!$M$12:$V$112*('W2'!$M$7:$V$7=$A1191)*('W2'!$A$12:$A$112=$B1191))*U1168*$H$10*POWER(1+INDEX('Cover Page'!$H$8:$AJ$8,MATCH($A1191,'Cover Page'!$H$5:$AJ$5,0)),1+U$13)</f>
        <v>-181146.28192626906</v>
      </c>
      <c r="V1191" s="555" cm="1">
        <f t="array" ref="V1191">-SUMPRODUCT('W2'!$M$12:$V$112*('W2'!$M$7:$V$7=$A1191)*('W2'!$A$12:$A$112=$B1191))*V1168*$H$10*POWER(1+INDEX('Cover Page'!$H$8:$AJ$8,MATCH($A1191,'Cover Page'!$H$5:$AJ$5,0)),1+V$13)</f>
        <v>-184769.20756479446</v>
      </c>
      <c r="W1191" s="555" cm="1">
        <f t="array" ref="W1191">-SUMPRODUCT('W2'!$M$12:$V$112*('W2'!$M$7:$V$7=$A1191)*('W2'!$A$12:$A$112=$B1191))*W1168*$H$10*POWER(1+INDEX('Cover Page'!$H$8:$AJ$8,MATCH($A1191,'Cover Page'!$H$5:$AJ$5,0)),1+W$13)</f>
        <v>-188464.59171609036</v>
      </c>
      <c r="X1191" s="555" cm="1">
        <f t="array" ref="X1191">-SUMPRODUCT('W2'!$M$12:$V$112*('W2'!$M$7:$V$7=$A1191)*('W2'!$A$12:$A$112=$B1191))*X1168*$H$10*POWER(1+INDEX('Cover Page'!$H$8:$AJ$8,MATCH($A1191,'Cover Page'!$H$5:$AJ$5,0)),1+X$13)</f>
        <v>-192233.88355041214</v>
      </c>
      <c r="Y1191" s="555" cm="1">
        <f t="array" ref="Y1191">-SUMPRODUCT('W2'!$M$12:$V$112*('W2'!$M$7:$V$7=$A1191)*('W2'!$A$12:$A$112=$B1191))*Y1168*$H$10*POWER(1+INDEX('Cover Page'!$H$8:$AJ$8,MATCH($A1191,'Cover Page'!$H$5:$AJ$5,0)),1+Y$13)</f>
        <v>-196078.56122142039</v>
      </c>
      <c r="Z1191" s="555" cm="1">
        <f t="array" ref="Z1191">-SUMPRODUCT('W2'!$M$12:$V$112*('W2'!$M$7:$V$7=$A1191)*('W2'!$A$12:$A$112=$B1191))*Z1168*$H$10*POWER(1+INDEX('Cover Page'!$H$8:$AJ$8,MATCH($A1191,'Cover Page'!$H$5:$AJ$5,0)),1+Z$13)</f>
        <v>-200000.13244584881</v>
      </c>
      <c r="AA1191" s="555"/>
      <c r="AB1191" s="555"/>
      <c r="AC1191" s="555"/>
      <c r="AD1191" s="555"/>
      <c r="AE1191" s="555"/>
      <c r="AF1191" s="555"/>
      <c r="AG1191" s="555"/>
      <c r="AH1191" s="555"/>
      <c r="AI1191" s="555"/>
      <c r="AJ1191" s="555"/>
    </row>
    <row r="1192" spans="1:36" s="299" customFormat="1" x14ac:dyDescent="0.25">
      <c r="A1192" s="299" t="s">
        <v>860</v>
      </c>
      <c r="H1192" s="553" t="s">
        <v>203</v>
      </c>
      <c r="I1192" s="554" t="str">
        <f t="shared" si="990"/>
        <v>tr. VND</v>
      </c>
      <c r="K1192" s="639"/>
      <c r="L1192" s="639">
        <f>L1191/(1-L1166)-L1191</f>
        <v>-5818.5282355200034</v>
      </c>
      <c r="M1192" s="639">
        <f t="shared" ref="M1192:AJ1192" si="993">M1191/(1-M1166)-M1191</f>
        <v>-8145.9395297280134</v>
      </c>
      <c r="N1192" s="639">
        <f t="shared" si="993"/>
        <v>-11869.797600460821</v>
      </c>
      <c r="O1192" s="639">
        <f t="shared" si="993"/>
        <v>-12107.193552470038</v>
      </c>
      <c r="P1192" s="639">
        <f t="shared" si="993"/>
        <v>-12349.337423519435</v>
      </c>
      <c r="Q1192" s="639">
        <f t="shared" si="993"/>
        <v>-12596.324171989807</v>
      </c>
      <c r="R1192" s="639">
        <f t="shared" si="993"/>
        <v>-12848.250655429612</v>
      </c>
      <c r="S1192" s="639">
        <f t="shared" si="993"/>
        <v>-13105.215668538207</v>
      </c>
      <c r="T1192" s="639">
        <f t="shared" si="993"/>
        <v>-13367.319981908979</v>
      </c>
      <c r="U1192" s="639">
        <f t="shared" si="993"/>
        <v>-13634.66638154714</v>
      </c>
      <c r="V1192" s="639">
        <f t="shared" si="993"/>
        <v>-13907.359709178098</v>
      </c>
      <c r="W1192" s="639">
        <f t="shared" si="993"/>
        <v>-14185.506903361646</v>
      </c>
      <c r="X1192" s="639">
        <f t="shared" si="993"/>
        <v>-14469.21704142887</v>
      </c>
      <c r="Y1192" s="639">
        <f t="shared" si="993"/>
        <v>-14758.601382257475</v>
      </c>
      <c r="Z1192" s="639">
        <f t="shared" si="993"/>
        <v>-15053.773409902613</v>
      </c>
      <c r="AA1192" s="639"/>
      <c r="AB1192" s="639"/>
      <c r="AC1192" s="639"/>
      <c r="AD1192" s="639"/>
      <c r="AE1192" s="639"/>
      <c r="AF1192" s="639"/>
      <c r="AG1192" s="639"/>
      <c r="AH1192" s="639"/>
      <c r="AI1192" s="639"/>
      <c r="AJ1192" s="639"/>
    </row>
    <row r="1193" spans="1:36" x14ac:dyDescent="0.25">
      <c r="A1193" t="s">
        <v>860</v>
      </c>
      <c r="H1193" s="454" t="s">
        <v>676</v>
      </c>
      <c r="I1193" s="496" t="s">
        <v>672</v>
      </c>
      <c r="K1193" s="616">
        <f t="shared" ref="K1193:AJ1193" si="994">SUM(K1194:K1195)</f>
        <v>0</v>
      </c>
      <c r="L1193" s="616">
        <f t="shared" si="994"/>
        <v>-632.43325753344004</v>
      </c>
      <c r="M1193" s="616">
        <f t="shared" si="994"/>
        <v>-885.40656054681608</v>
      </c>
      <c r="N1193" s="616">
        <f t="shared" si="994"/>
        <v>-1328.1098408202242</v>
      </c>
      <c r="O1193" s="616">
        <f t="shared" si="994"/>
        <v>-1394.5153328612353</v>
      </c>
      <c r="P1193" s="616">
        <f t="shared" si="994"/>
        <v>-1464.2410995042972</v>
      </c>
      <c r="Q1193" s="616">
        <f t="shared" si="994"/>
        <v>-1537.453154479512</v>
      </c>
      <c r="R1193" s="616">
        <f t="shared" si="994"/>
        <v>-1614.3258122034877</v>
      </c>
      <c r="S1193" s="616">
        <f t="shared" si="994"/>
        <v>-1695.0421028136618</v>
      </c>
      <c r="T1193" s="616">
        <f t="shared" si="994"/>
        <v>-1779.7942079543452</v>
      </c>
      <c r="U1193" s="616">
        <f t="shared" si="994"/>
        <v>-1868.7839183520623</v>
      </c>
      <c r="V1193" s="616">
        <f t="shared" si="994"/>
        <v>-1962.2231142696655</v>
      </c>
      <c r="W1193" s="616">
        <f t="shared" si="994"/>
        <v>-2060.3342699831487</v>
      </c>
      <c r="X1193" s="616">
        <f t="shared" si="994"/>
        <v>-2163.3509834823062</v>
      </c>
      <c r="Y1193" s="616">
        <f t="shared" si="994"/>
        <v>-2271.5185326564215</v>
      </c>
      <c r="Z1193" s="616">
        <f t="shared" si="994"/>
        <v>-2385.0944592892429</v>
      </c>
      <c r="AA1193" s="616"/>
      <c r="AB1193" s="616"/>
      <c r="AC1193" s="616"/>
      <c r="AD1193" s="616"/>
      <c r="AE1193" s="616"/>
      <c r="AF1193" s="616"/>
      <c r="AG1193" s="616"/>
      <c r="AH1193" s="616"/>
      <c r="AI1193" s="616"/>
      <c r="AJ1193" s="616"/>
    </row>
    <row r="1194" spans="1:36" s="299" customFormat="1" x14ac:dyDescent="0.25">
      <c r="A1194" s="299" t="s">
        <v>860</v>
      </c>
      <c r="B1194" s="299" t="s">
        <v>667</v>
      </c>
      <c r="H1194" s="553" t="s">
        <v>673</v>
      </c>
      <c r="I1194" s="554" t="s">
        <v>672</v>
      </c>
      <c r="K1194" s="555"/>
      <c r="L1194" s="555" cm="1">
        <f t="array" ref="L1194">-SUMPRODUCT('W2'!$M$12:$V$112*('W2'!$M$7:$V$7=$A1194)*('W2'!$A$12:$A$112=$B1194))*L1174*$H$10*POWER(1+Inflation,L$11+1)</f>
        <v>-632.43325753344004</v>
      </c>
      <c r="M1194" s="555" cm="1">
        <f t="array" ref="M1194">-SUMPRODUCT('W2'!$M$12:$V$112*('W2'!$M$7:$V$7=$A1194)*('W2'!$A$12:$A$112=$B1194))*M1174*$H$10*POWER(1+Inflation,M$11+1)</f>
        <v>-885.40656054681608</v>
      </c>
      <c r="N1194" s="555" cm="1">
        <f t="array" ref="N1194">-SUMPRODUCT('W2'!$M$12:$V$112*('W2'!$M$7:$V$7=$A1194)*('W2'!$A$12:$A$112=$B1194))*N1174*$H$10*POWER(1+Inflation,N$11+1)</f>
        <v>-1328.1098408202242</v>
      </c>
      <c r="O1194" s="555" cm="1">
        <f t="array" ref="O1194">-SUMPRODUCT('W2'!$M$12:$V$112*('W2'!$M$7:$V$7=$A1194)*('W2'!$A$12:$A$112=$B1194))*O1174*$H$10*POWER(1+Inflation,O$11+1)</f>
        <v>-1394.5153328612353</v>
      </c>
      <c r="P1194" s="555" cm="1">
        <f t="array" ref="P1194">-SUMPRODUCT('W2'!$M$12:$V$112*('W2'!$M$7:$V$7=$A1194)*('W2'!$A$12:$A$112=$B1194))*P1174*$H$10*POWER(1+Inflation,P$11+1)</f>
        <v>-1464.2410995042972</v>
      </c>
      <c r="Q1194" s="555" cm="1">
        <f t="array" ref="Q1194">-SUMPRODUCT('W2'!$M$12:$V$112*('W2'!$M$7:$V$7=$A1194)*('W2'!$A$12:$A$112=$B1194))*Q1174*$H$10*POWER(1+Inflation,Q$11+1)</f>
        <v>-1537.453154479512</v>
      </c>
      <c r="R1194" s="555" cm="1">
        <f t="array" ref="R1194">-SUMPRODUCT('W2'!$M$12:$V$112*('W2'!$M$7:$V$7=$A1194)*('W2'!$A$12:$A$112=$B1194))*R1174*$H$10*POWER(1+Inflation,R$11+1)</f>
        <v>-1614.3258122034877</v>
      </c>
      <c r="S1194" s="555" cm="1">
        <f t="array" ref="S1194">-SUMPRODUCT('W2'!$M$12:$V$112*('W2'!$M$7:$V$7=$A1194)*('W2'!$A$12:$A$112=$B1194))*S1174*$H$10*POWER(1+Inflation,S$11+1)</f>
        <v>-1695.0421028136618</v>
      </c>
      <c r="T1194" s="555" cm="1">
        <f t="array" ref="T1194">-SUMPRODUCT('W2'!$M$12:$V$112*('W2'!$M$7:$V$7=$A1194)*('W2'!$A$12:$A$112=$B1194))*T1174*$H$10*POWER(1+Inflation,T$11+1)</f>
        <v>-1779.7942079543452</v>
      </c>
      <c r="U1194" s="555" cm="1">
        <f t="array" ref="U1194">-SUMPRODUCT('W2'!$M$12:$V$112*('W2'!$M$7:$V$7=$A1194)*('W2'!$A$12:$A$112=$B1194))*U1174*$H$10*POWER(1+Inflation,U$11+1)</f>
        <v>-1868.7839183520623</v>
      </c>
      <c r="V1194" s="555" cm="1">
        <f t="array" ref="V1194">-SUMPRODUCT('W2'!$M$12:$V$112*('W2'!$M$7:$V$7=$A1194)*('W2'!$A$12:$A$112=$B1194))*V1174*$H$10*POWER(1+Inflation,V$11+1)</f>
        <v>-1962.2231142696655</v>
      </c>
      <c r="W1194" s="555" cm="1">
        <f t="array" ref="W1194">-SUMPRODUCT('W2'!$M$12:$V$112*('W2'!$M$7:$V$7=$A1194)*('W2'!$A$12:$A$112=$B1194))*W1174*$H$10*POWER(1+Inflation,W$11+1)</f>
        <v>-2060.3342699831487</v>
      </c>
      <c r="X1194" s="555" cm="1">
        <f t="array" ref="X1194">-SUMPRODUCT('W2'!$M$12:$V$112*('W2'!$M$7:$V$7=$A1194)*('W2'!$A$12:$A$112=$B1194))*X1174*$H$10*POWER(1+Inflation,X$11+1)</f>
        <v>-2163.3509834823062</v>
      </c>
      <c r="Y1194" s="555" cm="1">
        <f t="array" ref="Y1194">-SUMPRODUCT('W2'!$M$12:$V$112*('W2'!$M$7:$V$7=$A1194)*('W2'!$A$12:$A$112=$B1194))*Y1174*$H$10*POWER(1+Inflation,Y$11+1)</f>
        <v>-2271.5185326564215</v>
      </c>
      <c r="Z1194" s="555" cm="1">
        <f t="array" ref="Z1194">-SUMPRODUCT('W2'!$M$12:$V$112*('W2'!$M$7:$V$7=$A1194)*('W2'!$A$12:$A$112=$B1194))*Z1174*$H$10*POWER(1+Inflation,Z$11+1)</f>
        <v>-2385.0944592892429</v>
      </c>
      <c r="AA1194" s="555"/>
      <c r="AB1194" s="555"/>
      <c r="AC1194" s="555"/>
      <c r="AD1194" s="555"/>
      <c r="AE1194" s="555"/>
      <c r="AF1194" s="555"/>
      <c r="AG1194" s="555"/>
      <c r="AH1194" s="555"/>
      <c r="AI1194" s="555"/>
      <c r="AJ1194" s="555"/>
    </row>
    <row r="1195" spans="1:36" s="299" customFormat="1" x14ac:dyDescent="0.25">
      <c r="A1195" s="299" t="s">
        <v>860</v>
      </c>
      <c r="B1195" s="299" t="s">
        <v>668</v>
      </c>
      <c r="H1195" s="553" t="s">
        <v>674</v>
      </c>
      <c r="I1195" s="554" t="s">
        <v>672</v>
      </c>
      <c r="K1195" s="555"/>
      <c r="L1195" s="555" cm="1">
        <f t="array" ref="L1195">-SUMPRODUCT('W2'!$M$12:$V$112*('W2'!$M$7:$V$7=$A1195)*('W2'!$A$12:$A$112=$B1195))*L1175*$H$10*POWER(1+Inflation,L$11+1)</f>
        <v>0</v>
      </c>
      <c r="M1195" s="555" cm="1">
        <f t="array" ref="M1195">-SUMPRODUCT('W2'!$M$12:$V$112*('W2'!$M$7:$V$7=$A1195)*('W2'!$A$12:$A$112=$B1195))*M1175*$H$10*POWER(1+Inflation,M$11+1)</f>
        <v>0</v>
      </c>
      <c r="N1195" s="555" cm="1">
        <f t="array" ref="N1195">-SUMPRODUCT('W2'!$M$12:$V$112*('W2'!$M$7:$V$7=$A1195)*('W2'!$A$12:$A$112=$B1195))*N1175*$H$10*POWER(1+Inflation,N$11+1)</f>
        <v>0</v>
      </c>
      <c r="O1195" s="555" cm="1">
        <f t="array" ref="O1195">-SUMPRODUCT('W2'!$M$12:$V$112*('W2'!$M$7:$V$7=$A1195)*('W2'!$A$12:$A$112=$B1195))*O1175*$H$10*POWER(1+Inflation,O$11+1)</f>
        <v>0</v>
      </c>
      <c r="P1195" s="555" cm="1">
        <f t="array" ref="P1195">-SUMPRODUCT('W2'!$M$12:$V$112*('W2'!$M$7:$V$7=$A1195)*('W2'!$A$12:$A$112=$B1195))*P1175*$H$10*POWER(1+Inflation,P$11+1)</f>
        <v>0</v>
      </c>
      <c r="Q1195" s="555" cm="1">
        <f t="array" ref="Q1195">-SUMPRODUCT('W2'!$M$12:$V$112*('W2'!$M$7:$V$7=$A1195)*('W2'!$A$12:$A$112=$B1195))*Q1175*$H$10*POWER(1+Inflation,Q$11+1)</f>
        <v>0</v>
      </c>
      <c r="R1195" s="555" cm="1">
        <f t="array" ref="R1195">-SUMPRODUCT('W2'!$M$12:$V$112*('W2'!$M$7:$V$7=$A1195)*('W2'!$A$12:$A$112=$B1195))*R1175*$H$10*POWER(1+Inflation,R$11+1)</f>
        <v>0</v>
      </c>
      <c r="S1195" s="555" cm="1">
        <f t="array" ref="S1195">-SUMPRODUCT('W2'!$M$12:$V$112*('W2'!$M$7:$V$7=$A1195)*('W2'!$A$12:$A$112=$B1195))*S1175*$H$10*POWER(1+Inflation,S$11+1)</f>
        <v>0</v>
      </c>
      <c r="T1195" s="555" cm="1">
        <f t="array" ref="T1195">-SUMPRODUCT('W2'!$M$12:$V$112*('W2'!$M$7:$V$7=$A1195)*('W2'!$A$12:$A$112=$B1195))*T1175*$H$10*POWER(1+Inflation,T$11+1)</f>
        <v>0</v>
      </c>
      <c r="U1195" s="555" cm="1">
        <f t="array" ref="U1195">-SUMPRODUCT('W2'!$M$12:$V$112*('W2'!$M$7:$V$7=$A1195)*('W2'!$A$12:$A$112=$B1195))*U1175*$H$10*POWER(1+Inflation,U$11+1)</f>
        <v>0</v>
      </c>
      <c r="V1195" s="555" cm="1">
        <f t="array" ref="V1195">-SUMPRODUCT('W2'!$M$12:$V$112*('W2'!$M$7:$V$7=$A1195)*('W2'!$A$12:$A$112=$B1195))*V1175*$H$10*POWER(1+Inflation,V$11+1)</f>
        <v>0</v>
      </c>
      <c r="W1195" s="555" cm="1">
        <f t="array" ref="W1195">-SUMPRODUCT('W2'!$M$12:$V$112*('W2'!$M$7:$V$7=$A1195)*('W2'!$A$12:$A$112=$B1195))*W1175*$H$10*POWER(1+Inflation,W$11+1)</f>
        <v>0</v>
      </c>
      <c r="X1195" s="555" cm="1">
        <f t="array" ref="X1195">-SUMPRODUCT('W2'!$M$12:$V$112*('W2'!$M$7:$V$7=$A1195)*('W2'!$A$12:$A$112=$B1195))*X1175*$H$10*POWER(1+Inflation,X$11+1)</f>
        <v>0</v>
      </c>
      <c r="Y1195" s="555" cm="1">
        <f t="array" ref="Y1195">-SUMPRODUCT('W2'!$M$12:$V$112*('W2'!$M$7:$V$7=$A1195)*('W2'!$A$12:$A$112=$B1195))*Y1175*$H$10*POWER(1+Inflation,Y$11+1)</f>
        <v>0</v>
      </c>
      <c r="Z1195" s="555" cm="1">
        <f t="array" ref="Z1195">-SUMPRODUCT('W2'!$M$12:$V$112*('W2'!$M$7:$V$7=$A1195)*('W2'!$A$12:$A$112=$B1195))*Z1175*$H$10*POWER(1+Inflation,Z$11+1)</f>
        <v>0</v>
      </c>
      <c r="AA1195" s="555"/>
      <c r="AB1195" s="555"/>
      <c r="AC1195" s="555"/>
      <c r="AD1195" s="555"/>
      <c r="AE1195" s="555"/>
      <c r="AF1195" s="555"/>
      <c r="AG1195" s="555"/>
      <c r="AH1195" s="555"/>
      <c r="AI1195" s="555"/>
      <c r="AJ1195" s="555"/>
    </row>
    <row r="1196" spans="1:36" x14ac:dyDescent="0.25">
      <c r="A1196" t="s">
        <v>860</v>
      </c>
      <c r="H1196" s="454" t="s">
        <v>180</v>
      </c>
      <c r="I1196" s="496" t="str">
        <f t="shared" ref="I1196:I1199" si="995">IF($H$9="USD","USD","tr. VND")</f>
        <v>tr. VND</v>
      </c>
      <c r="K1196" s="616">
        <f>SUM(K1197:K1199)</f>
        <v>0</v>
      </c>
      <c r="L1196" s="616">
        <f>SUM(L1197:L1199)</f>
        <v>-8991.800110293334</v>
      </c>
      <c r="M1196" s="616">
        <f t="shared" ref="M1196:AJ1196" si="996">SUM(M1197:M1199)</f>
        <v>-11789.321163477332</v>
      </c>
      <c r="N1196" s="616">
        <f t="shared" si="996"/>
        <v>-16720.954914549333</v>
      </c>
      <c r="O1196" s="616">
        <f t="shared" si="996"/>
        <v>-17493.074694410134</v>
      </c>
      <c r="P1196" s="616">
        <f t="shared" si="996"/>
        <v>-18303.800463263975</v>
      </c>
      <c r="Q1196" s="616">
        <f t="shared" si="996"/>
        <v>-19155.062520560507</v>
      </c>
      <c r="R1196" s="616">
        <f t="shared" si="996"/>
        <v>-20048.887680721866</v>
      </c>
      <c r="S1196" s="616">
        <f t="shared" si="996"/>
        <v>-20987.404098891289</v>
      </c>
      <c r="T1196" s="616">
        <f t="shared" si="996"/>
        <v>-21972.846337969193</v>
      </c>
      <c r="U1196" s="616">
        <f t="shared" si="996"/>
        <v>-23007.560689000984</v>
      </c>
      <c r="V1196" s="616">
        <f t="shared" si="996"/>
        <v>-24094.010757584365</v>
      </c>
      <c r="W1196" s="616">
        <f t="shared" si="996"/>
        <v>-25234.783329596918</v>
      </c>
      <c r="X1196" s="616">
        <f t="shared" si="996"/>
        <v>-25430.095196876766</v>
      </c>
      <c r="Y1196" s="616">
        <f t="shared" si="996"/>
        <v>-26687.796957520601</v>
      </c>
      <c r="Z1196" s="616">
        <f t="shared" si="996"/>
        <v>-28008.383806196634</v>
      </c>
      <c r="AA1196" s="616"/>
      <c r="AB1196" s="616"/>
      <c r="AC1196" s="616"/>
      <c r="AD1196" s="616"/>
      <c r="AE1196" s="616"/>
      <c r="AF1196" s="616"/>
      <c r="AG1196" s="616"/>
      <c r="AH1196" s="616"/>
      <c r="AI1196" s="616"/>
      <c r="AJ1196" s="616"/>
    </row>
    <row r="1197" spans="1:36" s="299" customFormat="1" x14ac:dyDescent="0.25">
      <c r="A1197" s="299" t="s">
        <v>860</v>
      </c>
      <c r="B1197" s="299" t="s">
        <v>174</v>
      </c>
      <c r="H1197" s="553" t="s">
        <v>73</v>
      </c>
      <c r="I1197" s="554" t="str">
        <f t="shared" si="995"/>
        <v>tr. VND</v>
      </c>
      <c r="K1197" s="555"/>
      <c r="L1197" s="555" cm="1">
        <f t="array" ref="L1197">-SUMPRODUCT('W2'!$M$12:$V$112*('W2'!$M$7:$V$7=$A1197)*('W2'!$A$12:$A$112=$B1197))*L1167*24*$H$10*POWER(1+Inflation,L$11+1)</f>
        <v>-5749.8011999999999</v>
      </c>
      <c r="M1197" s="555" cm="1">
        <f t="array" ref="M1197">-SUMPRODUCT('W2'!$M$12:$V$112*('W2'!$M$7:$V$7=$A1197)*('W2'!$A$12:$A$112=$B1197))*M1167*24*$H$10*POWER(1+Inflation,M$11+1)</f>
        <v>-8049.7216799999978</v>
      </c>
      <c r="N1197" s="555" cm="1">
        <f t="array" ref="N1197">-SUMPRODUCT('W2'!$M$12:$V$112*('W2'!$M$7:$V$7=$A1197)*('W2'!$A$12:$A$112=$B1197))*N1167*24*$H$10*POWER(1+Inflation,N$11+1)</f>
        <v>-12074.58252</v>
      </c>
      <c r="O1197" s="555" cm="1">
        <f t="array" ref="O1197">-SUMPRODUCT('W2'!$M$12:$V$112*('W2'!$M$7:$V$7=$A1197)*('W2'!$A$12:$A$112=$B1197))*O1167*24*$H$10*POWER(1+Inflation,O$11+1)</f>
        <v>-12678.311646</v>
      </c>
      <c r="P1197" s="555" cm="1">
        <f t="array" ref="P1197">-SUMPRODUCT('W2'!$M$12:$V$112*('W2'!$M$7:$V$7=$A1197)*('W2'!$A$12:$A$112=$B1197))*P1167*24*$H$10*POWER(1+Inflation,P$11+1)</f>
        <v>-13312.227228300002</v>
      </c>
      <c r="Q1197" s="555" cm="1">
        <f t="array" ref="Q1197">-SUMPRODUCT('W2'!$M$12:$V$112*('W2'!$M$7:$V$7=$A1197)*('W2'!$A$12:$A$112=$B1197))*Q1167*24*$H$10*POWER(1+Inflation,Q$11+1)</f>
        <v>-13977.838589715</v>
      </c>
      <c r="R1197" s="555" cm="1">
        <f t="array" ref="R1197">-SUMPRODUCT('W2'!$M$12:$V$112*('W2'!$M$7:$V$7=$A1197)*('W2'!$A$12:$A$112=$B1197))*R1167*24*$H$10*POWER(1+Inflation,R$11+1)</f>
        <v>-14676.730519200752</v>
      </c>
      <c r="S1197" s="555" cm="1">
        <f t="array" ref="S1197">-SUMPRODUCT('W2'!$M$12:$V$112*('W2'!$M$7:$V$7=$A1197)*('W2'!$A$12:$A$112=$B1197))*S1167*24*$H$10*POWER(1+Inflation,S$11+1)</f>
        <v>-15410.567045160788</v>
      </c>
      <c r="T1197" s="555" cm="1">
        <f t="array" ref="T1197">-SUMPRODUCT('W2'!$M$12:$V$112*('W2'!$M$7:$V$7=$A1197)*('W2'!$A$12:$A$112=$B1197))*T1167*24*$H$10*POWER(1+Inflation,T$11+1)</f>
        <v>-16181.095397418829</v>
      </c>
      <c r="U1197" s="555" cm="1">
        <f t="array" ref="U1197">-SUMPRODUCT('W2'!$M$12:$V$112*('W2'!$M$7:$V$7=$A1197)*('W2'!$A$12:$A$112=$B1197))*U1167*24*$H$10*POWER(1+Inflation,U$11+1)</f>
        <v>-16990.150167289768</v>
      </c>
      <c r="V1197" s="555" cm="1">
        <f t="array" ref="V1197">-SUMPRODUCT('W2'!$M$12:$V$112*('W2'!$M$7:$V$7=$A1197)*('W2'!$A$12:$A$112=$B1197))*V1167*24*$H$10*POWER(1+Inflation,V$11+1)</f>
        <v>-17839.657675654256</v>
      </c>
      <c r="W1197" s="555" cm="1">
        <f t="array" ref="W1197">-SUMPRODUCT('W2'!$M$12:$V$112*('W2'!$M$7:$V$7=$A1197)*('W2'!$A$12:$A$112=$B1197))*W1167*24*$H$10*POWER(1+Inflation,W$11+1)</f>
        <v>-18731.640559436972</v>
      </c>
      <c r="X1197" s="555" cm="1">
        <f t="array" ref="X1197">-SUMPRODUCT('W2'!$M$12:$V$112*('W2'!$M$7:$V$7=$A1197)*('W2'!$A$12:$A$112=$B1197))*X1167*24*$H$10*POWER(1+Inflation,X$11+1)</f>
        <v>-19668.222587408822</v>
      </c>
      <c r="Y1197" s="555" cm="1">
        <f t="array" ref="Y1197">-SUMPRODUCT('W2'!$M$12:$V$112*('W2'!$M$7:$V$7=$A1197)*('W2'!$A$12:$A$112=$B1197))*Y1167*24*$H$10*POWER(1+Inflation,Y$11+1)</f>
        <v>-20651.633716779259</v>
      </c>
      <c r="Z1197" s="555" cm="1">
        <f t="array" ref="Z1197">-SUMPRODUCT('W2'!$M$12:$V$112*('W2'!$M$7:$V$7=$A1197)*('W2'!$A$12:$A$112=$B1197))*Z1167*24*$H$10*POWER(1+Inflation,Z$11+1)</f>
        <v>-21684.215402618225</v>
      </c>
      <c r="AA1197" s="555"/>
      <c r="AB1197" s="555"/>
      <c r="AC1197" s="555"/>
      <c r="AD1197" s="555"/>
      <c r="AE1197" s="555"/>
      <c r="AF1197" s="555"/>
      <c r="AG1197" s="555"/>
      <c r="AH1197" s="555"/>
      <c r="AI1197" s="555"/>
      <c r="AJ1197" s="555"/>
    </row>
    <row r="1198" spans="1:36" s="299" customFormat="1" x14ac:dyDescent="0.25">
      <c r="A1198" s="299" t="s">
        <v>860</v>
      </c>
      <c r="B1198" s="299" t="s">
        <v>462</v>
      </c>
      <c r="H1198" s="553" t="s">
        <v>192</v>
      </c>
      <c r="I1198" s="554" t="str">
        <f t="shared" si="995"/>
        <v>tr. VND</v>
      </c>
      <c r="K1198" s="555"/>
      <c r="L1198" s="555" cm="1">
        <f t="array" ref="L1198">-SUMPRODUCT('W2'!$M$12:$V$112*('W2'!$M$7:$V$7=$A1198)*('W2'!$A$12:$A$112=$B1198))*L1168*$H$10*POWER(1+Inflation,L$11+1)</f>
        <v>-975.00902399999995</v>
      </c>
      <c r="M1198" s="555" cm="1">
        <f t="array" ref="M1198">-SUMPRODUCT('W2'!$M$12:$V$112*('W2'!$M$7:$V$7=$A1198)*('W2'!$A$12:$A$112=$B1198))*M1168*$H$10*POWER(1+Inflation,M$11+1)</f>
        <v>-1365.0126335999998</v>
      </c>
      <c r="N1198" s="555" cm="1">
        <f t="array" ref="N1198">-SUMPRODUCT('W2'!$M$12:$V$112*('W2'!$M$7:$V$7=$A1198)*('W2'!$A$12:$A$112=$B1198))*N1168*$H$10*POWER(1+Inflation,N$11+1)</f>
        <v>-2047.5189504</v>
      </c>
      <c r="O1198" s="555" cm="1">
        <f t="array" ref="O1198">-SUMPRODUCT('W2'!$M$12:$V$112*('W2'!$M$7:$V$7=$A1198)*('W2'!$A$12:$A$112=$B1198))*O1168*$H$10*POWER(1+Inflation,O$11+1)</f>
        <v>-2149.8948979199999</v>
      </c>
      <c r="P1198" s="555" cm="1">
        <f t="array" ref="P1198">-SUMPRODUCT('W2'!$M$12:$V$112*('W2'!$M$7:$V$7=$A1198)*('W2'!$A$12:$A$112=$B1198))*P1168*$H$10*POWER(1+Inflation,P$11+1)</f>
        <v>-2257.3896428160001</v>
      </c>
      <c r="Q1198" s="555" cm="1">
        <f t="array" ref="Q1198">-SUMPRODUCT('W2'!$M$12:$V$112*('W2'!$M$7:$V$7=$A1198)*('W2'!$A$12:$A$112=$B1198))*Q1168*$H$10*POWER(1+Inflation,Q$11+1)</f>
        <v>-2370.2591249568</v>
      </c>
      <c r="R1198" s="555" cm="1">
        <f t="array" ref="R1198">-SUMPRODUCT('W2'!$M$12:$V$112*('W2'!$M$7:$V$7=$A1198)*('W2'!$A$12:$A$112=$B1198))*R1168*$H$10*POWER(1+Inflation,R$11+1)</f>
        <v>-2488.77208120464</v>
      </c>
      <c r="S1198" s="555" cm="1">
        <f t="array" ref="S1198">-SUMPRODUCT('W2'!$M$12:$V$112*('W2'!$M$7:$V$7=$A1198)*('W2'!$A$12:$A$112=$B1198))*S1168*$H$10*POWER(1+Inflation,S$11+1)</f>
        <v>-2613.2106852648717</v>
      </c>
      <c r="T1198" s="555" cm="1">
        <f t="array" ref="T1198">-SUMPRODUCT('W2'!$M$12:$V$112*('W2'!$M$7:$V$7=$A1198)*('W2'!$A$12:$A$112=$B1198))*T1168*$H$10*POWER(1+Inflation,T$11+1)</f>
        <v>-2743.8712195281159</v>
      </c>
      <c r="U1198" s="555" cm="1">
        <f t="array" ref="U1198">-SUMPRODUCT('W2'!$M$12:$V$112*('W2'!$M$7:$V$7=$A1198)*('W2'!$A$12:$A$112=$B1198))*U1168*$H$10*POWER(1+Inflation,U$11+1)</f>
        <v>-2881.0647805045214</v>
      </c>
      <c r="V1198" s="555" cm="1">
        <f t="array" ref="V1198">-SUMPRODUCT('W2'!$M$12:$V$112*('W2'!$M$7:$V$7=$A1198)*('W2'!$A$12:$A$112=$B1198))*V1168*$H$10*POWER(1+Inflation,V$11+1)</f>
        <v>-3025.1180195297475</v>
      </c>
      <c r="W1198" s="555" cm="1">
        <f t="array" ref="W1198">-SUMPRODUCT('W2'!$M$12:$V$112*('W2'!$M$7:$V$7=$A1198)*('W2'!$A$12:$A$112=$B1198))*W1168*$H$10*POWER(1+Inflation,W$11+1)</f>
        <v>-3176.3739205062352</v>
      </c>
      <c r="X1198" s="555" cm="1">
        <f t="array" ref="X1198">-SUMPRODUCT('W2'!$M$12:$V$112*('W2'!$M$7:$V$7=$A1198)*('W2'!$A$12:$A$112=$B1198))*X1168*$H$10*POWER(1+Inflation,X$11+1)</f>
        <v>-3335.1926165315472</v>
      </c>
      <c r="Y1198" s="555" cm="1">
        <f t="array" ref="Y1198">-SUMPRODUCT('W2'!$M$12:$V$112*('W2'!$M$7:$V$7=$A1198)*('W2'!$A$12:$A$112=$B1198))*Y1168*$H$10*POWER(1+Inflation,Y$11+1)</f>
        <v>-3501.9522473581237</v>
      </c>
      <c r="Z1198" s="555" cm="1">
        <f t="array" ref="Z1198">-SUMPRODUCT('W2'!$M$12:$V$112*('W2'!$M$7:$V$7=$A1198)*('W2'!$A$12:$A$112=$B1198))*Z1168*$H$10*POWER(1+Inflation,Z$11+1)</f>
        <v>-3677.0498597260307</v>
      </c>
      <c r="AA1198" s="555"/>
      <c r="AB1198" s="555"/>
      <c r="AC1198" s="555"/>
      <c r="AD1198" s="555"/>
      <c r="AE1198" s="555"/>
      <c r="AF1198" s="555"/>
      <c r="AG1198" s="555"/>
      <c r="AH1198" s="555"/>
      <c r="AI1198" s="555"/>
      <c r="AJ1198" s="555"/>
    </row>
    <row r="1199" spans="1:36" s="299" customFormat="1" x14ac:dyDescent="0.25">
      <c r="A1199" s="299" t="s">
        <v>860</v>
      </c>
      <c r="B1199" s="299" t="s">
        <v>140</v>
      </c>
      <c r="H1199" s="553" t="s">
        <v>175</v>
      </c>
      <c r="I1199" s="554" t="str">
        <f t="shared" si="995"/>
        <v>tr. VND</v>
      </c>
      <c r="K1199" s="555"/>
      <c r="L1199" s="555" cm="1">
        <f t="array" ref="L1199">SUMPRODUCT('W2'!$M$12:$V$112*('W2'!$M$7:$V$7=$A1199)*('W2'!$A$12:$A$112=$B1199))*(SUM(L1179,L1197:L1198))</f>
        <v>-2266.9898862933337</v>
      </c>
      <c r="M1199" s="555" cm="1">
        <f t="array" ref="M1199">SUMPRODUCT('W2'!$M$12:$V$112*('W2'!$M$7:$V$7=$A1199)*('W2'!$A$12:$A$112=$B1199))*(SUM(M1179,M1197:M1198))</f>
        <v>-2374.5868498773334</v>
      </c>
      <c r="N1199" s="555" cm="1">
        <f t="array" ref="N1199">SUMPRODUCT('W2'!$M$12:$V$112*('W2'!$M$7:$V$7=$A1199)*('W2'!$A$12:$A$112=$B1199))*(SUM(N1179,N1197:N1198))</f>
        <v>-2598.8534441493334</v>
      </c>
      <c r="O1199" s="555" cm="1">
        <f t="array" ref="O1199">SUMPRODUCT('W2'!$M$12:$V$112*('W2'!$M$7:$V$7=$A1199)*('W2'!$A$12:$A$112=$B1199))*(SUM(O1179,O1197:O1198))</f>
        <v>-2664.8681504901338</v>
      </c>
      <c r="P1199" s="555" cm="1">
        <f t="array" ref="P1199">SUMPRODUCT('W2'!$M$12:$V$112*('W2'!$M$7:$V$7=$A1199)*('W2'!$A$12:$A$112=$B1199))*(SUM(P1179,P1197:P1198))</f>
        <v>-2734.1835921479733</v>
      </c>
      <c r="Q1199" s="555" cm="1">
        <f t="array" ref="Q1199">SUMPRODUCT('W2'!$M$12:$V$112*('W2'!$M$7:$V$7=$A1199)*('W2'!$A$12:$A$112=$B1199))*(SUM(Q1179,Q1197:Q1198))</f>
        <v>-2806.9648058887055</v>
      </c>
      <c r="R1199" s="555" cm="1">
        <f t="array" ref="R1199">SUMPRODUCT('W2'!$M$12:$V$112*('W2'!$M$7:$V$7=$A1199)*('W2'!$A$12:$A$112=$B1199))*(SUM(R1179,R1197:R1198))</f>
        <v>-2883.3850803164742</v>
      </c>
      <c r="S1199" s="555" cm="1">
        <f t="array" ref="S1199">SUMPRODUCT('W2'!$M$12:$V$112*('W2'!$M$7:$V$7=$A1199)*('W2'!$A$12:$A$112=$B1199))*(SUM(S1179,S1197:S1198))</f>
        <v>-2963.6263684656315</v>
      </c>
      <c r="T1199" s="555" cm="1">
        <f t="array" ref="T1199">SUMPRODUCT('W2'!$M$12:$V$112*('W2'!$M$7:$V$7=$A1199)*('W2'!$A$12:$A$112=$B1199))*(SUM(T1179,T1197:T1198))</f>
        <v>-3047.879721022246</v>
      </c>
      <c r="U1199" s="555" cm="1">
        <f t="array" ref="U1199">SUMPRODUCT('W2'!$M$12:$V$112*('W2'!$M$7:$V$7=$A1199)*('W2'!$A$12:$A$112=$B1199))*(SUM(U1179,U1197:U1198))</f>
        <v>-3136.3457412066919</v>
      </c>
      <c r="V1199" s="555" cm="1">
        <f t="array" ref="V1199">SUMPRODUCT('W2'!$M$12:$V$112*('W2'!$M$7:$V$7=$A1199)*('W2'!$A$12:$A$112=$B1199))*(SUM(V1179,V1197:V1198))</f>
        <v>-3229.2350624003593</v>
      </c>
      <c r="W1199" s="555" cm="1">
        <f t="array" ref="W1199">SUMPRODUCT('W2'!$M$12:$V$112*('W2'!$M$7:$V$7=$A1199)*('W2'!$A$12:$A$112=$B1199))*(SUM(W1179,W1197:W1198))</f>
        <v>-3326.7688496537107</v>
      </c>
      <c r="X1199" s="555" cm="1">
        <f t="array" ref="X1199">SUMPRODUCT('W2'!$M$12:$V$112*('W2'!$M$7:$V$7=$A1199)*('W2'!$A$12:$A$112=$B1199))*(SUM(X1179,X1197:X1198))</f>
        <v>-2426.6799929363965</v>
      </c>
      <c r="Y1199" s="555" cm="1">
        <f t="array" ref="Y1199">SUMPRODUCT('W2'!$M$12:$V$112*('W2'!$M$7:$V$7=$A1199)*('W2'!$A$12:$A$112=$B1199))*(SUM(Y1179,Y1197:Y1198))</f>
        <v>-2534.2109933832162</v>
      </c>
      <c r="Z1199" s="555" cm="1">
        <f t="array" ref="Z1199">SUMPRODUCT('W2'!$M$12:$V$112*('W2'!$M$7:$V$7=$A1199)*('W2'!$A$12:$A$112=$B1199))*(SUM(Z1179,Z1197:Z1198))</f>
        <v>-2647.1185438523776</v>
      </c>
      <c r="AA1199" s="555"/>
      <c r="AB1199" s="555"/>
      <c r="AC1199" s="555"/>
      <c r="AD1199" s="555"/>
      <c r="AE1199" s="555"/>
      <c r="AF1199" s="555"/>
      <c r="AG1199" s="555"/>
      <c r="AH1199" s="555"/>
      <c r="AI1199" s="555"/>
      <c r="AJ1199" s="555"/>
    </row>
    <row r="1200" spans="1:36" x14ac:dyDescent="0.25">
      <c r="A1200" t="s">
        <v>860</v>
      </c>
      <c r="K1200" s="15"/>
      <c r="L1200" s="263"/>
      <c r="M1200" s="15"/>
      <c r="N1200" s="15"/>
      <c r="O1200" s="15"/>
      <c r="P1200" s="15"/>
      <c r="Q1200" s="15"/>
      <c r="R1200" s="15"/>
      <c r="S1200" s="15"/>
      <c r="T1200" s="15"/>
      <c r="U1200" s="15"/>
      <c r="V1200" s="15"/>
      <c r="W1200" s="15"/>
      <c r="X1200" s="15"/>
      <c r="Y1200" s="15"/>
      <c r="Z1200" s="15"/>
      <c r="AA1200" s="15"/>
      <c r="AB1200" s="15"/>
      <c r="AC1200" s="15"/>
      <c r="AD1200" s="15"/>
      <c r="AE1200" s="15"/>
      <c r="AF1200" s="15"/>
      <c r="AG1200" s="15"/>
      <c r="AH1200" s="15"/>
      <c r="AI1200" s="15"/>
      <c r="AJ1200" s="15"/>
    </row>
    <row r="1201" spans="1:39" s="300" customFormat="1" x14ac:dyDescent="0.25">
      <c r="A1201" s="300" t="s">
        <v>860</v>
      </c>
      <c r="H1201" s="301" t="s">
        <v>464</v>
      </c>
      <c r="I1201" s="302" t="str">
        <f>IF($H$9="USD","USD","tr. VND")</f>
        <v>tr. VND</v>
      </c>
      <c r="K1201" s="303">
        <f>K1179+K1189</f>
        <v>0</v>
      </c>
      <c r="L1201" s="303">
        <f t="shared" ref="L1201:AJ1201" si="997">L1179+L1189</f>
        <v>-142696.00223716011</v>
      </c>
      <c r="M1201" s="303">
        <f t="shared" si="997"/>
        <v>-178995.22936775751</v>
      </c>
      <c r="N1201" s="303">
        <f t="shared" si="997"/>
        <v>-238466.83653814293</v>
      </c>
      <c r="O1201" s="303">
        <f t="shared" si="997"/>
        <v>-243640.99513803353</v>
      </c>
      <c r="P1201" s="303">
        <f t="shared" si="997"/>
        <v>-248972.12054562898</v>
      </c>
      <c r="Q1201" s="303">
        <f t="shared" si="997"/>
        <v>-254466.02627886878</v>
      </c>
      <c r="R1201" s="303">
        <f t="shared" si="997"/>
        <v>-260128.77583514043</v>
      </c>
      <c r="S1201" s="303">
        <f t="shared" si="997"/>
        <v>-265966.69437632285</v>
      </c>
      <c r="T1201" s="303">
        <f t="shared" si="997"/>
        <v>-271986.38098180352</v>
      </c>
      <c r="U1201" s="303">
        <f t="shared" si="997"/>
        <v>-278194.72149754228</v>
      </c>
      <c r="V1201" s="303">
        <f t="shared" si="997"/>
        <v>-284598.90201065154</v>
      </c>
      <c r="W1201" s="303">
        <f t="shared" si="997"/>
        <v>-291206.42298043164</v>
      </c>
      <c r="X1201" s="303">
        <f t="shared" si="997"/>
        <v>-271960.13139166962</v>
      </c>
      <c r="Y1201" s="303">
        <f t="shared" si="997"/>
        <v>-278998.16696429788</v>
      </c>
      <c r="Z1201" s="303">
        <f t="shared" si="997"/>
        <v>-286264.08245520247</v>
      </c>
      <c r="AA1201" s="303"/>
      <c r="AB1201" s="303"/>
      <c r="AC1201" s="303"/>
      <c r="AD1201" s="303"/>
      <c r="AE1201" s="303"/>
      <c r="AF1201" s="303"/>
      <c r="AG1201" s="303"/>
      <c r="AH1201" s="303"/>
      <c r="AI1201" s="303"/>
      <c r="AJ1201" s="303"/>
    </row>
    <row r="1202" spans="1:39" x14ac:dyDescent="0.25">
      <c r="A1202" t="s">
        <v>860</v>
      </c>
      <c r="K1202" s="15"/>
      <c r="L1202" s="15"/>
      <c r="M1202" s="15"/>
      <c r="N1202" s="15"/>
      <c r="O1202" s="15"/>
      <c r="P1202" s="15"/>
      <c r="Q1202" s="15"/>
      <c r="R1202" s="15"/>
      <c r="S1202" s="15"/>
      <c r="T1202" s="15"/>
      <c r="U1202" s="15"/>
      <c r="V1202" s="15"/>
      <c r="W1202" s="15"/>
      <c r="X1202" s="15"/>
      <c r="Y1202" s="15"/>
      <c r="Z1202" s="15"/>
      <c r="AA1202" s="15"/>
      <c r="AB1202" s="15"/>
      <c r="AC1202" s="15"/>
      <c r="AD1202" s="15"/>
      <c r="AE1202" s="15"/>
      <c r="AF1202" s="15"/>
      <c r="AG1202" s="15"/>
      <c r="AH1202" s="15"/>
      <c r="AI1202" s="15"/>
      <c r="AJ1202" s="15"/>
    </row>
    <row r="1203" spans="1:39" x14ac:dyDescent="0.25">
      <c r="A1203" t="s">
        <v>860</v>
      </c>
      <c r="B1203" t="s">
        <v>622</v>
      </c>
      <c r="H1203" s="459" t="s">
        <v>166</v>
      </c>
      <c r="I1203" s="493" t="str">
        <f>IF($H$9="USD","USD","tr. VND")</f>
        <v>tr. VND</v>
      </c>
      <c r="K1203" s="461"/>
      <c r="L1203" s="461" cm="1">
        <f t="array" ref="L1203">-SUMPRODUCT('W2'!$M$12:$V$112*('W2'!$M$7:$V$7=$A1203)*('W2'!$A$12:$A$112=$B1203))*L1168*$H$10*POWER(1+Inflation,L$11+1)</f>
        <v>-2752.9666560000001</v>
      </c>
      <c r="M1203" s="461" cm="1">
        <f t="array" ref="M1203">-SUMPRODUCT('W2'!$M$12:$V$112*('W2'!$M$7:$V$7=$A1203)*('W2'!$A$12:$A$112=$B1203))*M1168*$H$10*POWER(1+Inflation,M$11+1)</f>
        <v>-3854.1533183999995</v>
      </c>
      <c r="N1203" s="461" cm="1">
        <f t="array" ref="N1203">-SUMPRODUCT('W2'!$M$12:$V$112*('W2'!$M$7:$V$7=$A1203)*('W2'!$A$12:$A$112=$B1203))*N1168*$H$10*POWER(1+Inflation,N$11+1)</f>
        <v>-5781.2299776</v>
      </c>
      <c r="O1203" s="461" cm="1">
        <f t="array" ref="O1203">-SUMPRODUCT('W2'!$M$12:$V$112*('W2'!$M$7:$V$7=$A1203)*('W2'!$A$12:$A$112=$B1203))*O1168*$H$10*POWER(1+Inflation,O$11+1)</f>
        <v>-6070.2914764800007</v>
      </c>
      <c r="P1203" s="461" cm="1">
        <f t="array" ref="P1203">-SUMPRODUCT('W2'!$M$12:$V$112*('W2'!$M$7:$V$7=$A1203)*('W2'!$A$12:$A$112=$B1203))*P1168*$H$10*POWER(1+Inflation,P$11+1)</f>
        <v>-6373.8060503040006</v>
      </c>
      <c r="Q1203" s="461" cm="1">
        <f t="array" ref="Q1203">-SUMPRODUCT('W2'!$M$12:$V$112*('W2'!$M$7:$V$7=$A1203)*('W2'!$A$12:$A$112=$B1203))*Q1168*$H$10*POWER(1+Inflation,Q$11+1)</f>
        <v>-6692.4963528192002</v>
      </c>
      <c r="R1203" s="461" cm="1">
        <f t="array" ref="R1203">-SUMPRODUCT('W2'!$M$12:$V$112*('W2'!$M$7:$V$7=$A1203)*('W2'!$A$12:$A$112=$B1203))*R1168*$H$10*POWER(1+Inflation,R$11+1)</f>
        <v>-7027.121170460161</v>
      </c>
      <c r="S1203" s="461" cm="1">
        <f t="array" ref="S1203">-SUMPRODUCT('W2'!$M$12:$V$112*('W2'!$M$7:$V$7=$A1203)*('W2'!$A$12:$A$112=$B1203))*S1168*$H$10*POWER(1+Inflation,S$11+1)</f>
        <v>-7378.4772289831681</v>
      </c>
      <c r="T1203" s="461" cm="1">
        <f t="array" ref="T1203">-SUMPRODUCT('W2'!$M$12:$V$112*('W2'!$M$7:$V$7=$A1203)*('W2'!$A$12:$A$112=$B1203))*T1168*$H$10*POWER(1+Inflation,T$11+1)</f>
        <v>-7747.4010904323277</v>
      </c>
      <c r="U1203" s="461" cm="1">
        <f t="array" ref="U1203">-SUMPRODUCT('W2'!$M$12:$V$112*('W2'!$M$7:$V$7=$A1203)*('W2'!$A$12:$A$112=$B1203))*U1168*$H$10*POWER(1+Inflation,U$11+1)</f>
        <v>-8134.7711449539429</v>
      </c>
      <c r="V1203" s="461" cm="1">
        <f t="array" ref="V1203">-SUMPRODUCT('W2'!$M$12:$V$112*('W2'!$M$7:$V$7=$A1203)*('W2'!$A$12:$A$112=$B1203))*V1168*$H$10*POWER(1+Inflation,V$11+1)</f>
        <v>-8541.5097022016416</v>
      </c>
      <c r="W1203" s="461" cm="1">
        <f t="array" ref="W1203">-SUMPRODUCT('W2'!$M$12:$V$112*('W2'!$M$7:$V$7=$A1203)*('W2'!$A$12:$A$112=$B1203))*W1168*$H$10*POWER(1+Inflation,W$11+1)</f>
        <v>-8968.5851873117226</v>
      </c>
      <c r="X1203" s="461" cm="1">
        <f t="array" ref="X1203">-SUMPRODUCT('W2'!$M$12:$V$112*('W2'!$M$7:$V$7=$A1203)*('W2'!$A$12:$A$112=$B1203))*X1168*$H$10*POWER(1+Inflation,X$11+1)</f>
        <v>-9417.014446677309</v>
      </c>
      <c r="Y1203" s="461" cm="1">
        <f t="array" ref="Y1203">-SUMPRODUCT('W2'!$M$12:$V$112*('W2'!$M$7:$V$7=$A1203)*('W2'!$A$12:$A$112=$B1203))*Y1168*$H$10*POWER(1+Inflation,Y$11+1)</f>
        <v>-9887.8651690111747</v>
      </c>
      <c r="Z1203" s="461" cm="1">
        <f t="array" ref="Z1203">-SUMPRODUCT('W2'!$M$12:$V$112*('W2'!$M$7:$V$7=$A1203)*('W2'!$A$12:$A$112=$B1203))*Z1168*$H$10*POWER(1+Inflation,Z$11+1)</f>
        <v>-10382.258427461735</v>
      </c>
      <c r="AA1203" s="461"/>
      <c r="AB1203" s="461"/>
      <c r="AC1203" s="461"/>
      <c r="AD1203" s="461"/>
      <c r="AE1203" s="461"/>
      <c r="AF1203" s="461"/>
      <c r="AG1203" s="461"/>
      <c r="AH1203" s="461"/>
      <c r="AI1203" s="461"/>
      <c r="AJ1203" s="461"/>
    </row>
    <row r="1204" spans="1:39" x14ac:dyDescent="0.25">
      <c r="A1204" t="s">
        <v>860</v>
      </c>
      <c r="B1204" t="s">
        <v>527</v>
      </c>
      <c r="H1204" s="454" t="s">
        <v>469</v>
      </c>
      <c r="I1204" s="496" t="str">
        <f>IF($H$9="USD","USD","tr. VND")</f>
        <v>tr. VND</v>
      </c>
      <c r="K1204" s="457"/>
      <c r="L1204" s="457" cm="1">
        <f t="array" ref="L1204">-SUMPRODUCT('W2'!$M$12:$V$112*('W2'!$M$7:$V$7=$A1204)*('W2'!$A$12:$A$112=$B1204))*L1168*$H$10*POWER(1+Inflation,L$11+1)</f>
        <v>0</v>
      </c>
      <c r="M1204" s="457" cm="1">
        <f t="array" ref="M1204">-SUMPRODUCT('W2'!$M$12:$V$112*('W2'!$M$7:$V$7=$A1204)*('W2'!$A$12:$A$112=$B1204))*M1168*$H$10*POWER(1+Inflation,M$11+1)</f>
        <v>0</v>
      </c>
      <c r="N1204" s="457" cm="1">
        <f t="array" ref="N1204">-SUMPRODUCT('W2'!$M$12:$V$112*('W2'!$M$7:$V$7=$A1204)*('W2'!$A$12:$A$112=$B1204))*N1168*$H$10*POWER(1+Inflation,N$11+1)</f>
        <v>0</v>
      </c>
      <c r="O1204" s="457" cm="1">
        <f t="array" ref="O1204">-SUMPRODUCT('W2'!$M$12:$V$112*('W2'!$M$7:$V$7=$A1204)*('W2'!$A$12:$A$112=$B1204))*O1168*$H$10*POWER(1+Inflation,O$11+1)</f>
        <v>0</v>
      </c>
      <c r="P1204" s="457" cm="1">
        <f t="array" ref="P1204">-SUMPRODUCT('W2'!$M$12:$V$112*('W2'!$M$7:$V$7=$A1204)*('W2'!$A$12:$A$112=$B1204))*P1168*$H$10*POWER(1+Inflation,P$11+1)</f>
        <v>0</v>
      </c>
      <c r="Q1204" s="457" cm="1">
        <f t="array" ref="Q1204">-SUMPRODUCT('W2'!$M$12:$V$112*('W2'!$M$7:$V$7=$A1204)*('W2'!$A$12:$A$112=$B1204))*Q1168*$H$10*POWER(1+Inflation,Q$11+1)</f>
        <v>0</v>
      </c>
      <c r="R1204" s="457" cm="1">
        <f t="array" ref="R1204">-SUMPRODUCT('W2'!$M$12:$V$112*('W2'!$M$7:$V$7=$A1204)*('W2'!$A$12:$A$112=$B1204))*R1168*$H$10*POWER(1+Inflation,R$11+1)</f>
        <v>0</v>
      </c>
      <c r="S1204" s="457" cm="1">
        <f t="array" ref="S1204">-SUMPRODUCT('W2'!$M$12:$V$112*('W2'!$M$7:$V$7=$A1204)*('W2'!$A$12:$A$112=$B1204))*S1168*$H$10*POWER(1+Inflation,S$11+1)</f>
        <v>0</v>
      </c>
      <c r="T1204" s="457" cm="1">
        <f t="array" ref="T1204">-SUMPRODUCT('W2'!$M$12:$V$112*('W2'!$M$7:$V$7=$A1204)*('W2'!$A$12:$A$112=$B1204))*T1168*$H$10*POWER(1+Inflation,T$11+1)</f>
        <v>0</v>
      </c>
      <c r="U1204" s="457" cm="1">
        <f t="array" ref="U1204">-SUMPRODUCT('W2'!$M$12:$V$112*('W2'!$M$7:$V$7=$A1204)*('W2'!$A$12:$A$112=$B1204))*U1168*$H$10*POWER(1+Inflation,U$11+1)</f>
        <v>0</v>
      </c>
      <c r="V1204" s="457" cm="1">
        <f t="array" ref="V1204">-SUMPRODUCT('W2'!$M$12:$V$112*('W2'!$M$7:$V$7=$A1204)*('W2'!$A$12:$A$112=$B1204))*V1168*$H$10*POWER(1+Inflation,V$11+1)</f>
        <v>0</v>
      </c>
      <c r="W1204" s="457" cm="1">
        <f t="array" ref="W1204">-SUMPRODUCT('W2'!$M$12:$V$112*('W2'!$M$7:$V$7=$A1204)*('W2'!$A$12:$A$112=$B1204))*W1168*$H$10*POWER(1+Inflation,W$11+1)</f>
        <v>0</v>
      </c>
      <c r="X1204" s="457" cm="1">
        <f t="array" ref="X1204">-SUMPRODUCT('W2'!$M$12:$V$112*('W2'!$M$7:$V$7=$A1204)*('W2'!$A$12:$A$112=$B1204))*X1168*$H$10*POWER(1+Inflation,X$11+1)</f>
        <v>0</v>
      </c>
      <c r="Y1204" s="457" cm="1">
        <f t="array" ref="Y1204">-SUMPRODUCT('W2'!$M$12:$V$112*('W2'!$M$7:$V$7=$A1204)*('W2'!$A$12:$A$112=$B1204))*Y1168*$H$10*POWER(1+Inflation,Y$11+1)</f>
        <v>0</v>
      </c>
      <c r="Z1204" s="457" cm="1">
        <f t="array" ref="Z1204">-SUMPRODUCT('W2'!$M$12:$V$112*('W2'!$M$7:$V$7=$A1204)*('W2'!$A$12:$A$112=$B1204))*Z1168*$H$10*POWER(1+Inflation,Z$11+1)</f>
        <v>0</v>
      </c>
      <c r="AA1204" s="457"/>
      <c r="AB1204" s="457"/>
      <c r="AC1204" s="457"/>
      <c r="AD1204" s="457"/>
      <c r="AE1204" s="457"/>
      <c r="AF1204" s="457"/>
      <c r="AG1204" s="457"/>
      <c r="AH1204" s="457"/>
      <c r="AI1204" s="457"/>
      <c r="AJ1204" s="457"/>
    </row>
    <row r="1205" spans="1:39" x14ac:dyDescent="0.25">
      <c r="A1205" t="s">
        <v>860</v>
      </c>
      <c r="B1205" t="s">
        <v>522</v>
      </c>
      <c r="H1205" s="454" t="s">
        <v>468</v>
      </c>
      <c r="I1205" s="496" t="str">
        <f>IF($H$9="USD","USD","tr. VND")</f>
        <v>tr. VND</v>
      </c>
      <c r="K1205" s="454"/>
      <c r="L1205" s="457" cm="1">
        <f t="array" ref="L1205">-SUMPRODUCT('W2'!$M$12:$V$112*('W2'!$M$7:$V$7=$A1205)*('W2'!$A$12:$A$112=$B1205))*L1168*$H$10*POWER(1+Inflation,L$11+1)</f>
        <v>0</v>
      </c>
      <c r="M1205" s="457" cm="1">
        <f t="array" ref="M1205">-SUMPRODUCT('W2'!$M$12:$V$112*('W2'!$M$7:$V$7=$A1205)*('W2'!$A$12:$A$112=$B1205))*M1168*$H$10*POWER(1+Inflation,M$11+1)</f>
        <v>0</v>
      </c>
      <c r="N1205" s="457" cm="1">
        <f t="array" ref="N1205">-SUMPRODUCT('W2'!$M$12:$V$112*('W2'!$M$7:$V$7=$A1205)*('W2'!$A$12:$A$112=$B1205))*N1168*$H$10*POWER(1+Inflation,N$11+1)</f>
        <v>0</v>
      </c>
      <c r="O1205" s="457" cm="1">
        <f t="array" ref="O1205">-SUMPRODUCT('W2'!$M$12:$V$112*('W2'!$M$7:$V$7=$A1205)*('W2'!$A$12:$A$112=$B1205))*O1168*$H$10*POWER(1+Inflation,O$11+1)</f>
        <v>0</v>
      </c>
      <c r="P1205" s="457" cm="1">
        <f t="array" ref="P1205">-SUMPRODUCT('W2'!$M$12:$V$112*('W2'!$M$7:$V$7=$A1205)*('W2'!$A$12:$A$112=$B1205))*P1168*$H$10*POWER(1+Inflation,P$11+1)</f>
        <v>0</v>
      </c>
      <c r="Q1205" s="457" cm="1">
        <f t="array" ref="Q1205">-SUMPRODUCT('W2'!$M$12:$V$112*('W2'!$M$7:$V$7=$A1205)*('W2'!$A$12:$A$112=$B1205))*Q1168*$H$10*POWER(1+Inflation,Q$11+1)</f>
        <v>0</v>
      </c>
      <c r="R1205" s="457" cm="1">
        <f t="array" ref="R1205">-SUMPRODUCT('W2'!$M$12:$V$112*('W2'!$M$7:$V$7=$A1205)*('W2'!$A$12:$A$112=$B1205))*R1168*$H$10*POWER(1+Inflation,R$11+1)</f>
        <v>0</v>
      </c>
      <c r="S1205" s="457" cm="1">
        <f t="array" ref="S1205">-SUMPRODUCT('W2'!$M$12:$V$112*('W2'!$M$7:$V$7=$A1205)*('W2'!$A$12:$A$112=$B1205))*S1168*$H$10*POWER(1+Inflation,S$11+1)</f>
        <v>0</v>
      </c>
      <c r="T1205" s="457" cm="1">
        <f t="array" ref="T1205">-SUMPRODUCT('W2'!$M$12:$V$112*('W2'!$M$7:$V$7=$A1205)*('W2'!$A$12:$A$112=$B1205))*T1168*$H$10*POWER(1+Inflation,T$11+1)</f>
        <v>0</v>
      </c>
      <c r="U1205" s="457" cm="1">
        <f t="array" ref="U1205">-SUMPRODUCT('W2'!$M$12:$V$112*('W2'!$M$7:$V$7=$A1205)*('W2'!$A$12:$A$112=$B1205))*U1168*$H$10*POWER(1+Inflation,U$11+1)</f>
        <v>0</v>
      </c>
      <c r="V1205" s="457" cm="1">
        <f t="array" ref="V1205">-SUMPRODUCT('W2'!$M$12:$V$112*('W2'!$M$7:$V$7=$A1205)*('W2'!$A$12:$A$112=$B1205))*V1168*$H$10*POWER(1+Inflation,V$11+1)</f>
        <v>0</v>
      </c>
      <c r="W1205" s="457" cm="1">
        <f t="array" ref="W1205">-SUMPRODUCT('W2'!$M$12:$V$112*('W2'!$M$7:$V$7=$A1205)*('W2'!$A$12:$A$112=$B1205))*W1168*$H$10*POWER(1+Inflation,W$11+1)</f>
        <v>0</v>
      </c>
      <c r="X1205" s="457" cm="1">
        <f t="array" ref="X1205">-SUMPRODUCT('W2'!$M$12:$V$112*('W2'!$M$7:$V$7=$A1205)*('W2'!$A$12:$A$112=$B1205))*X1168*$H$10*POWER(1+Inflation,X$11+1)</f>
        <v>0</v>
      </c>
      <c r="Y1205" s="457" cm="1">
        <f t="array" ref="Y1205">-SUMPRODUCT('W2'!$M$12:$V$112*('W2'!$M$7:$V$7=$A1205)*('W2'!$A$12:$A$112=$B1205))*Y1168*$H$10*POWER(1+Inflation,Y$11+1)</f>
        <v>0</v>
      </c>
      <c r="Z1205" s="457" cm="1">
        <f t="array" ref="Z1205">-SUMPRODUCT('W2'!$M$12:$V$112*('W2'!$M$7:$V$7=$A1205)*('W2'!$A$12:$A$112=$B1205))*Z1168*$H$10*POWER(1+Inflation,Z$11+1)</f>
        <v>0</v>
      </c>
      <c r="AA1205" s="457"/>
      <c r="AB1205" s="457"/>
      <c r="AC1205" s="457"/>
      <c r="AD1205" s="457"/>
      <c r="AE1205" s="457"/>
      <c r="AF1205" s="457"/>
      <c r="AG1205" s="457"/>
      <c r="AH1205" s="457"/>
      <c r="AI1205" s="457"/>
      <c r="AJ1205" s="457"/>
    </row>
    <row r="1206" spans="1:39" x14ac:dyDescent="0.25">
      <c r="A1206" t="s">
        <v>860</v>
      </c>
      <c r="H1206" s="454" t="s">
        <v>470</v>
      </c>
      <c r="I1206" s="496" t="str">
        <f>IF($H$9="USD","USD","tr. VND")</f>
        <v>tr. VND</v>
      </c>
      <c r="K1206" s="454"/>
      <c r="L1206" s="457" cm="1">
        <f t="array" ref="L1206">-SUMPRODUCT('Lãi vay'!$E$5:$AI$54*('Lãi vay'!$A$5:$A$54=$A1206)*('Lãi vay'!$B$5:$B$54="Lãi vay")*('Lãi vay'!$E$3:$AI$3=L$14))*$H$10</f>
        <v>-22086.740200000004</v>
      </c>
      <c r="M1206" s="457" cm="1">
        <f t="array" ref="M1206">-SUMPRODUCT('Lãi vay'!$E$5:$AI$54*('Lãi vay'!$A$5:$A$54=$A1206)*('Lãi vay'!$B$5:$B$54="Lãi vay")*('Lãi vay'!$E$3:$AI$3=M$14))*$H$10</f>
        <v>-21207.806662872372</v>
      </c>
      <c r="N1206" s="457" cm="1">
        <f t="array" ref="N1206">-SUMPRODUCT('Lãi vay'!$E$5:$AI$54*('Lãi vay'!$A$5:$A$54=$A1206)*('Lãi vay'!$B$5:$B$54="Lãi vay")*('Lãi vay'!$E$3:$AI$3=N$14))*$H$10</f>
        <v>-20267.347778145802</v>
      </c>
      <c r="O1206" s="457" cm="1">
        <f t="array" ref="O1206">-SUMPRODUCT('Lãi vay'!$E$5:$AI$54*('Lãi vay'!$A$5:$A$54=$A1206)*('Lãi vay'!$B$5:$B$54="Lãi vay")*('Lãi vay'!$E$3:$AI$3=O$14))*$H$10</f>
        <v>-19261.056771488373</v>
      </c>
      <c r="P1206" s="457" cm="1">
        <f t="array" ref="P1206">-SUMPRODUCT('Lãi vay'!$E$5:$AI$54*('Lãi vay'!$A$5:$A$54=$A1206)*('Lãi vay'!$B$5:$B$54="Lãi vay")*('Lãi vay'!$E$3:$AI$3=P$14))*$H$10</f>
        <v>-18184.325394364925</v>
      </c>
      <c r="Q1206" s="457" cm="1">
        <f t="array" ref="Q1206">-SUMPRODUCT('Lãi vay'!$E$5:$AI$54*('Lãi vay'!$A$5:$A$54=$A1206)*('Lãi vay'!$B$5:$B$54="Lãi vay")*('Lãi vay'!$E$3:$AI$3=Q$14))*$H$10</f>
        <v>-17032.222820842835</v>
      </c>
      <c r="R1206" s="457" cm="1">
        <f t="array" ref="R1206">-SUMPRODUCT('Lãi vay'!$E$5:$AI$54*('Lãi vay'!$A$5:$A$54=$A1206)*('Lãi vay'!$B$5:$B$54="Lãi vay")*('Lãi vay'!$E$3:$AI$3=R$14))*$H$10</f>
        <v>-15799.473067174198</v>
      </c>
      <c r="S1206" s="457" cm="1">
        <f t="array" ref="S1206">-SUMPRODUCT('Lãi vay'!$E$5:$AI$54*('Lãi vay'!$A$5:$A$54=$A1206)*('Lãi vay'!$B$5:$B$54="Lãi vay")*('Lãi vay'!$E$3:$AI$3=S$14))*$H$10</f>
        <v>-14480.430830748757</v>
      </c>
      <c r="T1206" s="457" cm="1">
        <f t="array" ref="T1206">-SUMPRODUCT('Lãi vay'!$E$5:$AI$54*('Lãi vay'!$A$5:$A$54=$A1206)*('Lãi vay'!$B$5:$B$54="Lãi vay")*('Lãi vay'!$E$3:$AI$3=T$14))*$H$10</f>
        <v>-13069.055637773536</v>
      </c>
      <c r="U1206" s="457" cm="1">
        <f t="array" ref="U1206">-SUMPRODUCT('Lãi vay'!$E$5:$AI$54*('Lãi vay'!$A$5:$A$54=$A1206)*('Lãi vay'!$B$5:$B$54="Lãi vay")*('Lãi vay'!$E$3:$AI$3=U$14))*$H$10</f>
        <v>-11558.884181290048</v>
      </c>
      <c r="V1206" s="457" cm="1">
        <f t="array" ref="V1206">-SUMPRODUCT('Lãi vay'!$E$5:$AI$54*('Lãi vay'!$A$5:$A$54=$A1206)*('Lãi vay'!$B$5:$B$54="Lãi vay")*('Lãi vay'!$E$3:$AI$3=V$14))*$H$10</f>
        <v>-9943.0007228527174</v>
      </c>
      <c r="W1206" s="457" cm="1">
        <f t="array" ref="W1206">-SUMPRODUCT('Lãi vay'!$E$5:$AI$54*('Lãi vay'!$A$5:$A$54=$A1206)*('Lãi vay'!$B$5:$B$54="Lãi vay")*('Lãi vay'!$E$3:$AI$3=W$14))*$H$10</f>
        <v>-8214.0054223247735</v>
      </c>
      <c r="X1206" s="457" cm="1">
        <f t="array" ref="X1206">-SUMPRODUCT('Lãi vay'!$E$5:$AI$54*('Lãi vay'!$A$5:$A$54=$A1206)*('Lãi vay'!$B$5:$B$54="Lãi vay")*('Lãi vay'!$E$3:$AI$3=X$14))*$H$10</f>
        <v>-6363.9804507598728</v>
      </c>
      <c r="Y1206" s="457" cm="1">
        <f t="array" ref="Y1206">-SUMPRODUCT('Lãi vay'!$E$5:$AI$54*('Lãi vay'!$A$5:$A$54=$A1206)*('Lãi vay'!$B$5:$B$54="Lãi vay")*('Lãi vay'!$E$3:$AI$3=Y$14))*$H$10</f>
        <v>-4384.4537311854301</v>
      </c>
      <c r="Z1206" s="457" cm="1">
        <f t="array" ref="Z1206">-SUMPRODUCT('Lãi vay'!$E$5:$AI$54*('Lãi vay'!$A$5:$A$54=$A1206)*('Lãi vay'!$B$5:$B$54="Lãi vay")*('Lãi vay'!$E$3:$AI$3=Z$14))*$H$10</f>
        <v>-2266.3601412407766</v>
      </c>
      <c r="AA1206" s="457"/>
      <c r="AB1206" s="457"/>
      <c r="AC1206" s="457"/>
      <c r="AD1206" s="457"/>
      <c r="AE1206" s="457"/>
      <c r="AF1206" s="457"/>
      <c r="AG1206" s="457"/>
      <c r="AH1206" s="457"/>
      <c r="AI1206" s="457"/>
      <c r="AJ1206" s="457"/>
    </row>
    <row r="1207" spans="1:39" x14ac:dyDescent="0.25">
      <c r="A1207" t="s">
        <v>860</v>
      </c>
      <c r="K1207" s="15"/>
      <c r="L1207" s="15"/>
      <c r="M1207" s="15"/>
      <c r="N1207" s="15"/>
      <c r="O1207" s="15"/>
      <c r="P1207" s="15"/>
      <c r="Q1207" s="15"/>
      <c r="R1207" s="15"/>
      <c r="S1207" s="15"/>
      <c r="T1207" s="15"/>
      <c r="U1207" s="15"/>
      <c r="V1207" s="15"/>
      <c r="W1207" s="15"/>
      <c r="X1207" s="15"/>
      <c r="Y1207" s="15"/>
      <c r="Z1207" s="15"/>
      <c r="AA1207" s="15"/>
      <c r="AB1207" s="15"/>
      <c r="AC1207" s="15"/>
      <c r="AD1207" s="15"/>
      <c r="AE1207" s="15"/>
      <c r="AF1207" s="15"/>
      <c r="AG1207" s="15"/>
      <c r="AH1207" s="15"/>
      <c r="AI1207" s="15"/>
      <c r="AJ1207" s="15"/>
    </row>
    <row r="1208" spans="1:39" s="16" customFormat="1" x14ac:dyDescent="0.25">
      <c r="A1208" s="16" t="s">
        <v>860</v>
      </c>
      <c r="H1208" s="270" t="s">
        <v>472</v>
      </c>
      <c r="I1208" s="271" t="str">
        <f>IF($H$9="USD","USD","tr. VND")</f>
        <v>tr. VND</v>
      </c>
      <c r="K1208" s="272">
        <f t="shared" ref="K1208" si="998">K1201+SUM(K1203:K1206)</f>
        <v>0</v>
      </c>
      <c r="L1208" s="272">
        <f>L1201+SUM(L1203:L1206)</f>
        <v>-167535.70909316011</v>
      </c>
      <c r="M1208" s="272">
        <f t="shared" ref="M1208:AJ1208" si="999">M1201+SUM(M1203:M1206)</f>
        <v>-204057.18934902988</v>
      </c>
      <c r="N1208" s="272">
        <f t="shared" si="999"/>
        <v>-264515.41429388872</v>
      </c>
      <c r="O1208" s="272">
        <f t="shared" si="999"/>
        <v>-268972.34338600188</v>
      </c>
      <c r="P1208" s="272">
        <f t="shared" si="999"/>
        <v>-273530.25199029793</v>
      </c>
      <c r="Q1208" s="272">
        <f t="shared" si="999"/>
        <v>-278190.7454525308</v>
      </c>
      <c r="R1208" s="272">
        <f t="shared" si="999"/>
        <v>-282955.37007277482</v>
      </c>
      <c r="S1208" s="272">
        <f t="shared" si="999"/>
        <v>-287825.60243605479</v>
      </c>
      <c r="T1208" s="272">
        <f t="shared" si="999"/>
        <v>-292802.83771000936</v>
      </c>
      <c r="U1208" s="272">
        <f t="shared" si="999"/>
        <v>-297888.3768237863</v>
      </c>
      <c r="V1208" s="272">
        <f t="shared" si="999"/>
        <v>-303083.41243570589</v>
      </c>
      <c r="W1208" s="272">
        <f t="shared" si="999"/>
        <v>-308389.01359006815</v>
      </c>
      <c r="X1208" s="272">
        <f t="shared" si="999"/>
        <v>-287741.12628910679</v>
      </c>
      <c r="Y1208" s="272">
        <f t="shared" si="999"/>
        <v>-293270.48586449446</v>
      </c>
      <c r="Z1208" s="272">
        <f t="shared" si="999"/>
        <v>-298912.70102390496</v>
      </c>
      <c r="AA1208" s="272"/>
      <c r="AB1208" s="272"/>
      <c r="AC1208" s="272"/>
      <c r="AD1208" s="272"/>
      <c r="AE1208" s="272"/>
      <c r="AF1208" s="272"/>
      <c r="AG1208" s="272"/>
      <c r="AH1208" s="272"/>
      <c r="AI1208" s="272"/>
      <c r="AJ1208" s="272"/>
    </row>
    <row r="1209" spans="1:39" x14ac:dyDescent="0.25">
      <c r="A1209" t="s">
        <v>860</v>
      </c>
    </row>
    <row r="1210" spans="1:39" s="24" customFormat="1" ht="17.25" x14ac:dyDescent="0.3">
      <c r="A1210" s="24" t="s">
        <v>860</v>
      </c>
      <c r="H1210" s="643" t="s">
        <v>473</v>
      </c>
      <c r="I1210" s="643"/>
      <c r="K1210" s="643"/>
      <c r="L1210" s="643"/>
      <c r="M1210" s="643"/>
      <c r="N1210" s="643"/>
      <c r="O1210" s="643"/>
      <c r="P1210" s="643"/>
      <c r="Q1210" s="643"/>
      <c r="R1210" s="643"/>
      <c r="S1210" s="643"/>
      <c r="T1210" s="643"/>
      <c r="U1210" s="643"/>
      <c r="V1210" s="643"/>
      <c r="W1210" s="643"/>
      <c r="X1210" s="643"/>
      <c r="Y1210" s="643"/>
      <c r="Z1210" s="643"/>
      <c r="AA1210" s="643"/>
      <c r="AB1210" s="643"/>
      <c r="AC1210" s="643"/>
      <c r="AD1210" s="643"/>
      <c r="AE1210" s="643"/>
      <c r="AF1210" s="643"/>
      <c r="AG1210" s="643"/>
      <c r="AH1210" s="643"/>
      <c r="AI1210" s="643"/>
      <c r="AJ1210" s="643"/>
    </row>
    <row r="1211" spans="1:39" s="1" customFormat="1" x14ac:dyDescent="0.25">
      <c r="A1211" s="1" t="s">
        <v>860</v>
      </c>
      <c r="H1211" s="273" t="s">
        <v>434</v>
      </c>
      <c r="I1211" s="274" t="str">
        <f>IF($H$9="USD","USD/tấn","tr. VND/tấn")</f>
        <v>tr. VND/tấn</v>
      </c>
      <c r="K1211" s="278">
        <f t="shared" ref="K1211" si="1000">SUM(K1212:K1213,K1216:K1219,)</f>
        <v>0</v>
      </c>
      <c r="L1211" s="278">
        <f>SUM(L1212:L1213,L1216:L1219,)</f>
        <v>16.128035493627401</v>
      </c>
      <c r="M1211" s="278">
        <f t="shared" ref="M1211:AJ1211" si="1001">SUM(M1212:M1213,M1216:M1219,)</f>
        <v>11.520025352591</v>
      </c>
      <c r="N1211" s="278">
        <f t="shared" si="1001"/>
        <v>8.2092021666088186</v>
      </c>
      <c r="O1211" s="278">
        <f t="shared" si="1001"/>
        <v>8.3616458073936943</v>
      </c>
      <c r="P1211" s="278">
        <f t="shared" si="1001"/>
        <v>8.5217116302178137</v>
      </c>
      <c r="Q1211" s="278">
        <f t="shared" si="1001"/>
        <v>8.6897807441831354</v>
      </c>
      <c r="R1211" s="278">
        <f t="shared" si="1001"/>
        <v>8.866253313846725</v>
      </c>
      <c r="S1211" s="278">
        <f t="shared" si="1001"/>
        <v>9.0515495119934961</v>
      </c>
      <c r="T1211" s="278">
        <f t="shared" si="1001"/>
        <v>9.2461105200476048</v>
      </c>
      <c r="U1211" s="278">
        <f t="shared" si="1001"/>
        <v>9.450399578504415</v>
      </c>
      <c r="V1211" s="278">
        <f t="shared" si="1001"/>
        <v>9.6649030898840689</v>
      </c>
      <c r="W1211" s="278">
        <f t="shared" si="1001"/>
        <v>9.8901317768327068</v>
      </c>
      <c r="X1211" s="278">
        <f t="shared" si="1001"/>
        <v>6.0804844495677273</v>
      </c>
      <c r="Y1211" s="278">
        <f t="shared" si="1001"/>
        <v>6.3287990769285969</v>
      </c>
      <c r="Z1211" s="278">
        <f t="shared" si="1001"/>
        <v>6.5895294356575143</v>
      </c>
      <c r="AA1211" s="278"/>
      <c r="AB1211" s="278"/>
      <c r="AC1211" s="278"/>
      <c r="AD1211" s="278"/>
      <c r="AE1211" s="278"/>
      <c r="AF1211" s="278"/>
      <c r="AG1211" s="278"/>
      <c r="AH1211" s="278"/>
      <c r="AI1211" s="278"/>
      <c r="AJ1211" s="278"/>
      <c r="AL1211" s="39"/>
      <c r="AM1211" s="39"/>
    </row>
    <row r="1212" spans="1:39" x14ac:dyDescent="0.25">
      <c r="A1212" t="s">
        <v>860</v>
      </c>
      <c r="C1212" t="s">
        <v>367</v>
      </c>
      <c r="H1212" s="556" t="s">
        <v>190</v>
      </c>
      <c r="I1212" s="557" t="str">
        <f t="shared" ref="I1212:I1245" si="1002">IF($H$9="USD","USD/tấn","tr. VND/tấn")</f>
        <v>tr. VND/tấn</v>
      </c>
      <c r="K1212" s="562"/>
      <c r="L1212" s="563">
        <f t="shared" ref="L1212:AJ1212" si="1003">-IF($H$9="VND",L1180/L1168/$H$10/10^3,L1180/L1168/$H$10*10^3)</f>
        <v>10.029578903950334</v>
      </c>
      <c r="M1212" s="563">
        <f t="shared" si="1003"/>
        <v>7.1639849313930961</v>
      </c>
      <c r="N1212" s="563">
        <f t="shared" si="1003"/>
        <v>5.014789451975167</v>
      </c>
      <c r="O1212" s="563">
        <f t="shared" si="1003"/>
        <v>5.014789451975167</v>
      </c>
      <c r="P1212" s="563">
        <f t="shared" si="1003"/>
        <v>5.014789451975167</v>
      </c>
      <c r="Q1212" s="563">
        <f t="shared" si="1003"/>
        <v>5.014789451975167</v>
      </c>
      <c r="R1212" s="563">
        <f t="shared" si="1003"/>
        <v>5.014789451975167</v>
      </c>
      <c r="S1212" s="563">
        <f t="shared" si="1003"/>
        <v>5.014789451975167</v>
      </c>
      <c r="T1212" s="563">
        <f t="shared" si="1003"/>
        <v>5.014789451975167</v>
      </c>
      <c r="U1212" s="563">
        <f t="shared" si="1003"/>
        <v>5.014789451975167</v>
      </c>
      <c r="V1212" s="563">
        <f t="shared" si="1003"/>
        <v>5.014789451975167</v>
      </c>
      <c r="W1212" s="563">
        <f t="shared" si="1003"/>
        <v>5.014789451975167</v>
      </c>
      <c r="X1212" s="563">
        <f t="shared" si="1003"/>
        <v>0.96865200341411861</v>
      </c>
      <c r="Y1212" s="563">
        <f t="shared" si="1003"/>
        <v>0.96865200341411861</v>
      </c>
      <c r="Z1212" s="563">
        <f t="shared" si="1003"/>
        <v>0.96865200341411861</v>
      </c>
      <c r="AA1212" s="563"/>
      <c r="AB1212" s="563"/>
      <c r="AC1212" s="563"/>
      <c r="AD1212" s="563"/>
      <c r="AE1212" s="563"/>
      <c r="AF1212" s="563"/>
      <c r="AG1212" s="563"/>
      <c r="AH1212" s="563"/>
      <c r="AI1212" s="563"/>
      <c r="AJ1212" s="563"/>
      <c r="AL1212" s="15"/>
      <c r="AM1212" s="15"/>
    </row>
    <row r="1213" spans="1:39" x14ac:dyDescent="0.25">
      <c r="A1213" t="s">
        <v>860</v>
      </c>
      <c r="H1213" s="558" t="s">
        <v>429</v>
      </c>
      <c r="I1213" s="559" t="str">
        <f t="shared" si="1002"/>
        <v>tr. VND/tấn</v>
      </c>
      <c r="K1213" s="564">
        <f>SUM(K1214:K1215)</f>
        <v>0</v>
      </c>
      <c r="L1213" s="564">
        <f t="shared" ref="L1213:AJ1213" si="1004">SUM(L1214:L1215)</f>
        <v>1.9410042574812794</v>
      </c>
      <c r="M1213" s="564">
        <f t="shared" si="1004"/>
        <v>1.3864316124866283</v>
      </c>
      <c r="N1213" s="564">
        <f t="shared" si="1004"/>
        <v>1.0190272351776717</v>
      </c>
      <c r="O1213" s="564">
        <f t="shared" si="1004"/>
        <v>1.0699785969365552</v>
      </c>
      <c r="P1213" s="564">
        <f t="shared" si="1004"/>
        <v>1.1234775267833832</v>
      </c>
      <c r="Q1213" s="564">
        <f t="shared" si="1004"/>
        <v>1.179651403122552</v>
      </c>
      <c r="R1213" s="564">
        <f t="shared" si="1004"/>
        <v>1.2386339732786797</v>
      </c>
      <c r="S1213" s="564">
        <f t="shared" si="1004"/>
        <v>1.3005656719426137</v>
      </c>
      <c r="T1213" s="564">
        <f t="shared" si="1004"/>
        <v>1.3655939555397447</v>
      </c>
      <c r="U1213" s="564">
        <f t="shared" si="1004"/>
        <v>1.4338736533167316</v>
      </c>
      <c r="V1213" s="564">
        <f t="shared" si="1004"/>
        <v>1.5055673359825681</v>
      </c>
      <c r="W1213" s="564">
        <f t="shared" si="1004"/>
        <v>1.5808457027816967</v>
      </c>
      <c r="X1213" s="564">
        <f t="shared" si="1004"/>
        <v>1.6598879879207817</v>
      </c>
      <c r="Y1213" s="564">
        <f t="shared" si="1004"/>
        <v>1.7428823873168202</v>
      </c>
      <c r="Z1213" s="564">
        <f t="shared" si="1004"/>
        <v>1.8300265066826618</v>
      </c>
      <c r="AA1213" s="564"/>
      <c r="AB1213" s="564"/>
      <c r="AC1213" s="564"/>
      <c r="AD1213" s="564"/>
      <c r="AE1213" s="564"/>
      <c r="AF1213" s="564"/>
      <c r="AG1213" s="564"/>
      <c r="AH1213" s="564"/>
      <c r="AI1213" s="564"/>
      <c r="AJ1213" s="564"/>
      <c r="AL1213" s="15"/>
      <c r="AM1213" s="15"/>
    </row>
    <row r="1214" spans="1:39" s="299" customFormat="1" x14ac:dyDescent="0.25">
      <c r="A1214" s="299" t="s">
        <v>860</v>
      </c>
      <c r="C1214" s="299" t="s">
        <v>367</v>
      </c>
      <c r="H1214" s="560" t="s">
        <v>430</v>
      </c>
      <c r="I1214" s="561" t="str">
        <f t="shared" si="1002"/>
        <v>tr. VND/tấn</v>
      </c>
      <c r="K1214" s="565"/>
      <c r="L1214" s="565">
        <f t="shared" ref="L1214:AJ1214" si="1005">-IF($H$9="VND",L1182/L1168/$H$10/10^3,L1182/L1168/$H$10*10^3)</f>
        <v>0.31733039631846527</v>
      </c>
      <c r="M1214" s="565">
        <f t="shared" si="1005"/>
        <v>0.22666456879890379</v>
      </c>
      <c r="N1214" s="565">
        <f t="shared" si="1005"/>
        <v>0.16659845806719425</v>
      </c>
      <c r="O1214" s="565">
        <f t="shared" si="1005"/>
        <v>0.17492838097055399</v>
      </c>
      <c r="P1214" s="565">
        <f t="shared" si="1005"/>
        <v>0.18367480001908168</v>
      </c>
      <c r="Q1214" s="565">
        <f t="shared" si="1005"/>
        <v>0.19285854002003575</v>
      </c>
      <c r="R1214" s="565">
        <f t="shared" si="1005"/>
        <v>0.20250146702103758</v>
      </c>
      <c r="S1214" s="565">
        <f t="shared" si="1005"/>
        <v>0.21262654037208945</v>
      </c>
      <c r="T1214" s="565">
        <f t="shared" si="1005"/>
        <v>0.22325786739069392</v>
      </c>
      <c r="U1214" s="565">
        <f t="shared" si="1005"/>
        <v>0.23442076076022861</v>
      </c>
      <c r="V1214" s="565">
        <f t="shared" si="1005"/>
        <v>0.24614179879824005</v>
      </c>
      <c r="W1214" s="565">
        <f t="shared" si="1005"/>
        <v>0.25844888873815203</v>
      </c>
      <c r="X1214" s="565">
        <f t="shared" si="1005"/>
        <v>0.27137133317505963</v>
      </c>
      <c r="Y1214" s="565">
        <f t="shared" si="1005"/>
        <v>0.28493989983381263</v>
      </c>
      <c r="Z1214" s="565">
        <f t="shared" si="1005"/>
        <v>0.29918689482550326</v>
      </c>
      <c r="AA1214" s="565"/>
      <c r="AB1214" s="565"/>
      <c r="AC1214" s="565"/>
      <c r="AD1214" s="565"/>
      <c r="AE1214" s="565"/>
      <c r="AF1214" s="565"/>
      <c r="AG1214" s="565"/>
      <c r="AH1214" s="565"/>
      <c r="AI1214" s="565"/>
      <c r="AJ1214" s="565"/>
      <c r="AL1214" s="876"/>
      <c r="AM1214" s="876"/>
    </row>
    <row r="1215" spans="1:39" s="299" customFormat="1" x14ac:dyDescent="0.25">
      <c r="A1215" s="299" t="s">
        <v>860</v>
      </c>
      <c r="C1215" s="299" t="s">
        <v>367</v>
      </c>
      <c r="H1215" s="560" t="s">
        <v>431</v>
      </c>
      <c r="I1215" s="561" t="str">
        <f t="shared" si="1002"/>
        <v>tr. VND/tấn</v>
      </c>
      <c r="K1215" s="565"/>
      <c r="L1215" s="565">
        <f t="shared" ref="L1215:AJ1215" si="1006">-IF($H$9="VND",L1183/L1168/$H$10/10^3,L1183/L1168/$H$10*10^3)</f>
        <v>1.6236738611628141</v>
      </c>
      <c r="M1215" s="565">
        <f t="shared" si="1006"/>
        <v>1.1597670436877245</v>
      </c>
      <c r="N1215" s="565">
        <f t="shared" si="1006"/>
        <v>0.85242877711047738</v>
      </c>
      <c r="O1215" s="565">
        <f t="shared" si="1006"/>
        <v>0.89505021596600121</v>
      </c>
      <c r="P1215" s="565">
        <f t="shared" si="1006"/>
        <v>0.93980272676430154</v>
      </c>
      <c r="Q1215" s="565">
        <f t="shared" si="1006"/>
        <v>0.98679286310251635</v>
      </c>
      <c r="R1215" s="565">
        <f t="shared" si="1006"/>
        <v>1.0361325062576421</v>
      </c>
      <c r="S1215" s="565">
        <f t="shared" si="1006"/>
        <v>1.0879391315705242</v>
      </c>
      <c r="T1215" s="565">
        <f t="shared" si="1006"/>
        <v>1.1423360881490507</v>
      </c>
      <c r="U1215" s="565">
        <f t="shared" si="1006"/>
        <v>1.1994528925565029</v>
      </c>
      <c r="V1215" s="565">
        <f t="shared" si="1006"/>
        <v>1.2594255371843281</v>
      </c>
      <c r="W1215" s="565">
        <f t="shared" si="1006"/>
        <v>1.3223968140435447</v>
      </c>
      <c r="X1215" s="565">
        <f t="shared" si="1006"/>
        <v>1.3885166547457222</v>
      </c>
      <c r="Y1215" s="565">
        <f t="shared" si="1006"/>
        <v>1.4579424874830076</v>
      </c>
      <c r="Z1215" s="565">
        <f t="shared" si="1006"/>
        <v>1.5308396118571586</v>
      </c>
      <c r="AA1215" s="565"/>
      <c r="AB1215" s="565"/>
      <c r="AC1215" s="565"/>
      <c r="AD1215" s="565"/>
      <c r="AE1215" s="565"/>
      <c r="AF1215" s="565"/>
      <c r="AG1215" s="565"/>
      <c r="AH1215" s="565"/>
      <c r="AI1215" s="565"/>
      <c r="AJ1215" s="565"/>
      <c r="AL1215" s="876"/>
      <c r="AM1215" s="876"/>
    </row>
    <row r="1216" spans="1:39" x14ac:dyDescent="0.25">
      <c r="A1216" t="s">
        <v>860</v>
      </c>
      <c r="C1216" t="s">
        <v>367</v>
      </c>
      <c r="H1216" s="558" t="s">
        <v>656</v>
      </c>
      <c r="I1216" s="559" t="str">
        <f t="shared" si="1002"/>
        <v>tr. VND/tấn</v>
      </c>
      <c r="K1216" s="564"/>
      <c r="L1216" s="564">
        <f t="shared" ref="L1216:AJ1216" si="1007">-IF($H$9="VND",L1184/L1168/$H$10/10^3,L1184/L1168/$H$10*10^3)</f>
        <v>0.77492160273129496</v>
      </c>
      <c r="M1216" s="564">
        <f t="shared" si="1007"/>
        <v>0.55351543052235352</v>
      </c>
      <c r="N1216" s="564">
        <f t="shared" si="1007"/>
        <v>0.40683384143392981</v>
      </c>
      <c r="O1216" s="564">
        <f t="shared" si="1007"/>
        <v>0.42717553350562631</v>
      </c>
      <c r="P1216" s="564">
        <f t="shared" si="1007"/>
        <v>0.44853431018090767</v>
      </c>
      <c r="Q1216" s="564">
        <f t="shared" si="1007"/>
        <v>0.47096102568995302</v>
      </c>
      <c r="R1216" s="564">
        <f t="shared" si="1007"/>
        <v>0.49450907697445079</v>
      </c>
      <c r="S1216" s="564">
        <f t="shared" si="1007"/>
        <v>0.51923453082317328</v>
      </c>
      <c r="T1216" s="564">
        <f t="shared" si="1007"/>
        <v>0.54519625736433197</v>
      </c>
      <c r="U1216" s="564">
        <f t="shared" si="1007"/>
        <v>0.57245607023254841</v>
      </c>
      <c r="V1216" s="564">
        <f t="shared" si="1007"/>
        <v>0.60107887374417601</v>
      </c>
      <c r="W1216" s="564">
        <f t="shared" si="1007"/>
        <v>0.63113281743138472</v>
      </c>
      <c r="X1216" s="564">
        <f t="shared" si="1007"/>
        <v>0.662689458302954</v>
      </c>
      <c r="Y1216" s="564">
        <f t="shared" si="1007"/>
        <v>0.69582393121810171</v>
      </c>
      <c r="Z1216" s="564">
        <f t="shared" si="1007"/>
        <v>0.73061512777900695</v>
      </c>
      <c r="AA1216" s="564"/>
      <c r="AB1216" s="564"/>
      <c r="AC1216" s="564"/>
      <c r="AD1216" s="564"/>
      <c r="AE1216" s="564"/>
      <c r="AF1216" s="564"/>
      <c r="AG1216" s="564"/>
      <c r="AH1216" s="564"/>
      <c r="AI1216" s="564"/>
      <c r="AJ1216" s="564"/>
      <c r="AL1216" s="15"/>
      <c r="AM1216" s="15"/>
    </row>
    <row r="1217" spans="1:39" x14ac:dyDescent="0.25">
      <c r="A1217" t="s">
        <v>860</v>
      </c>
      <c r="C1217" t="s">
        <v>367</v>
      </c>
      <c r="H1217" s="558" t="s">
        <v>432</v>
      </c>
      <c r="I1217" s="559" t="str">
        <f t="shared" si="1002"/>
        <v>tr. VND/tấn</v>
      </c>
      <c r="K1217" s="564"/>
      <c r="L1217" s="564">
        <f t="shared" ref="L1217:AJ1217" si="1008">-IF($H$9="VND",L1185/L1168/$H$10/10^3,L1185/L1168/$H$10*10^3)</f>
        <v>2.9132189629639549</v>
      </c>
      <c r="M1217" s="564">
        <f t="shared" si="1008"/>
        <v>2.0808706878313963</v>
      </c>
      <c r="N1217" s="564">
        <f t="shared" si="1008"/>
        <v>1.5294399555560763</v>
      </c>
      <c r="O1217" s="564">
        <f t="shared" si="1008"/>
        <v>1.6059119533338804</v>
      </c>
      <c r="P1217" s="564">
        <f t="shared" si="1008"/>
        <v>1.6862075510005743</v>
      </c>
      <c r="Q1217" s="564">
        <f t="shared" si="1008"/>
        <v>1.7705179285506027</v>
      </c>
      <c r="R1217" s="564">
        <f t="shared" si="1008"/>
        <v>1.8590438249781329</v>
      </c>
      <c r="S1217" s="564">
        <f t="shared" si="1008"/>
        <v>1.9519960162270396</v>
      </c>
      <c r="T1217" s="564">
        <f t="shared" si="1008"/>
        <v>2.0495958170383921</v>
      </c>
      <c r="U1217" s="564">
        <f t="shared" si="1008"/>
        <v>2.1520756078903109</v>
      </c>
      <c r="V1217" s="564">
        <f t="shared" si="1008"/>
        <v>2.2596793882848267</v>
      </c>
      <c r="W1217" s="564">
        <f t="shared" si="1008"/>
        <v>2.3726633576990679</v>
      </c>
      <c r="X1217" s="564">
        <f t="shared" si="1008"/>
        <v>2.4912965255840218</v>
      </c>
      <c r="Y1217" s="564">
        <f t="shared" si="1008"/>
        <v>2.6158613518632223</v>
      </c>
      <c r="Z1217" s="564">
        <f t="shared" si="1008"/>
        <v>2.7466544194563838</v>
      </c>
      <c r="AA1217" s="564"/>
      <c r="AB1217" s="564"/>
      <c r="AC1217" s="564"/>
      <c r="AD1217" s="564"/>
      <c r="AE1217" s="564"/>
      <c r="AF1217" s="564"/>
      <c r="AG1217" s="564"/>
      <c r="AH1217" s="564"/>
      <c r="AI1217" s="564"/>
      <c r="AJ1217" s="564"/>
      <c r="AL1217" s="15"/>
      <c r="AM1217" s="15"/>
    </row>
    <row r="1218" spans="1:39" x14ac:dyDescent="0.25">
      <c r="A1218" t="s">
        <v>860</v>
      </c>
      <c r="C1218" t="s">
        <v>367</v>
      </c>
      <c r="H1218" s="558" t="s">
        <v>433</v>
      </c>
      <c r="I1218" s="559" t="str">
        <f t="shared" si="1002"/>
        <v>tr. VND/tấn</v>
      </c>
      <c r="K1218" s="564"/>
      <c r="L1218" s="564">
        <f t="shared" ref="L1218:AJ1218" si="1009">-IF($H$9="VND",L1186/L1168/$H$10/10^3,L1186/L1168/$H$10*10^3)</f>
        <v>0.17823196862819785</v>
      </c>
      <c r="M1218" s="564">
        <f t="shared" si="1009"/>
        <v>0.12730854902014133</v>
      </c>
      <c r="N1218" s="564">
        <f t="shared" si="1009"/>
        <v>9.3571783529803873E-2</v>
      </c>
      <c r="O1218" s="564">
        <f t="shared" si="1009"/>
        <v>9.8250372706294054E-2</v>
      </c>
      <c r="P1218" s="564">
        <f t="shared" si="1009"/>
        <v>0.10316289134160876</v>
      </c>
      <c r="Q1218" s="564">
        <f t="shared" si="1009"/>
        <v>0.1083210359086892</v>
      </c>
      <c r="R1218" s="564">
        <f t="shared" si="1009"/>
        <v>0.11373708770412366</v>
      </c>
      <c r="S1218" s="564">
        <f t="shared" si="1009"/>
        <v>0.11942394208932984</v>
      </c>
      <c r="T1218" s="564">
        <f t="shared" si="1009"/>
        <v>0.12539513919379636</v>
      </c>
      <c r="U1218" s="564">
        <f t="shared" si="1009"/>
        <v>0.13166489615348614</v>
      </c>
      <c r="V1218" s="564">
        <f t="shared" si="1009"/>
        <v>0.13824814096116045</v>
      </c>
      <c r="W1218" s="564">
        <f t="shared" si="1009"/>
        <v>0.14516054800921852</v>
      </c>
      <c r="X1218" s="564">
        <f t="shared" si="1009"/>
        <v>0.15241857540967946</v>
      </c>
      <c r="Y1218" s="564">
        <f t="shared" si="1009"/>
        <v>0.16003950418016336</v>
      </c>
      <c r="Z1218" s="564">
        <f t="shared" si="1009"/>
        <v>0.16804147938917158</v>
      </c>
      <c r="AA1218" s="564"/>
      <c r="AB1218" s="564"/>
      <c r="AC1218" s="564"/>
      <c r="AD1218" s="564"/>
      <c r="AE1218" s="564"/>
      <c r="AF1218" s="564"/>
      <c r="AG1218" s="564"/>
      <c r="AH1218" s="564"/>
      <c r="AI1218" s="564"/>
      <c r="AJ1218" s="564"/>
      <c r="AL1218" s="15"/>
      <c r="AM1218" s="15"/>
    </row>
    <row r="1219" spans="1:39" x14ac:dyDescent="0.25">
      <c r="A1219" t="s">
        <v>860</v>
      </c>
      <c r="C1219" t="s">
        <v>367</v>
      </c>
      <c r="H1219" s="558" t="s">
        <v>520</v>
      </c>
      <c r="I1219" s="559" t="str">
        <f t="shared" si="1002"/>
        <v>tr. VND/tấn</v>
      </c>
      <c r="K1219" s="564"/>
      <c r="L1219" s="564">
        <f t="shared" ref="L1219:AJ1219" si="1010">-IF($H$9="VND",L1187/L1168/$H$10/10^3,L1187/L1168/$H$10*10^3)</f>
        <v>0.29107979787234217</v>
      </c>
      <c r="M1219" s="564">
        <f t="shared" si="1010"/>
        <v>0.20791414133738728</v>
      </c>
      <c r="N1219" s="564">
        <f t="shared" si="1010"/>
        <v>0.14553989893617109</v>
      </c>
      <c r="O1219" s="564">
        <f t="shared" si="1010"/>
        <v>0.14553989893617109</v>
      </c>
      <c r="P1219" s="564">
        <f t="shared" si="1010"/>
        <v>0.14553989893617109</v>
      </c>
      <c r="Q1219" s="564">
        <f t="shared" si="1010"/>
        <v>0.14553989893617109</v>
      </c>
      <c r="R1219" s="564">
        <f t="shared" si="1010"/>
        <v>0.14553989893617109</v>
      </c>
      <c r="S1219" s="564">
        <f t="shared" si="1010"/>
        <v>0.14553989893617109</v>
      </c>
      <c r="T1219" s="564">
        <f t="shared" si="1010"/>
        <v>0.14553989893617109</v>
      </c>
      <c r="U1219" s="564">
        <f t="shared" si="1010"/>
        <v>0.14553989893617109</v>
      </c>
      <c r="V1219" s="564">
        <f t="shared" si="1010"/>
        <v>0.14553989893617109</v>
      </c>
      <c r="W1219" s="564">
        <f t="shared" si="1010"/>
        <v>0.14553989893617109</v>
      </c>
      <c r="X1219" s="564">
        <f t="shared" si="1010"/>
        <v>0.14553989893617109</v>
      </c>
      <c r="Y1219" s="564">
        <f t="shared" si="1010"/>
        <v>0.14553989893617109</v>
      </c>
      <c r="Z1219" s="564">
        <f t="shared" si="1010"/>
        <v>0.14553989893617109</v>
      </c>
      <c r="AA1219" s="564"/>
      <c r="AB1219" s="564"/>
      <c r="AC1219" s="564"/>
      <c r="AD1219" s="564"/>
      <c r="AE1219" s="564"/>
      <c r="AF1219" s="564"/>
      <c r="AG1219" s="564"/>
      <c r="AH1219" s="564"/>
      <c r="AI1219" s="564"/>
      <c r="AJ1219" s="564"/>
      <c r="AL1219" s="15"/>
      <c r="AM1219" s="15"/>
    </row>
    <row r="1220" spans="1:39" x14ac:dyDescent="0.25">
      <c r="A1220" t="s">
        <v>860</v>
      </c>
      <c r="H1220" s="247"/>
      <c r="I1220" s="275"/>
      <c r="K1220" s="279"/>
      <c r="L1220" s="279"/>
      <c r="M1220" s="279"/>
      <c r="N1220" s="279"/>
      <c r="O1220" s="279"/>
      <c r="P1220" s="279"/>
      <c r="Q1220" s="279"/>
      <c r="R1220" s="279"/>
      <c r="S1220" s="279"/>
      <c r="T1220" s="279"/>
      <c r="U1220" s="279"/>
      <c r="V1220" s="279"/>
      <c r="W1220" s="279"/>
      <c r="X1220" s="279"/>
      <c r="Y1220" s="279"/>
      <c r="Z1220" s="279"/>
      <c r="AA1220" s="279"/>
      <c r="AB1220" s="279"/>
      <c r="AC1220" s="279"/>
      <c r="AD1220" s="279"/>
      <c r="AE1220" s="279"/>
      <c r="AF1220" s="279"/>
      <c r="AG1220" s="279"/>
      <c r="AH1220" s="279"/>
      <c r="AI1220" s="279"/>
      <c r="AJ1220" s="279"/>
      <c r="AL1220" s="15"/>
      <c r="AM1220" s="15"/>
    </row>
    <row r="1221" spans="1:39" s="1" customFormat="1" x14ac:dyDescent="0.25">
      <c r="A1221" s="1" t="s">
        <v>860</v>
      </c>
      <c r="H1221" s="273" t="s">
        <v>435</v>
      </c>
      <c r="I1221" s="274" t="str">
        <f t="shared" si="1002"/>
        <v>tr. VND/tấn</v>
      </c>
      <c r="K1221" s="280">
        <f>K1222+K1225+K1228</f>
        <v>0</v>
      </c>
      <c r="L1221" s="280">
        <f t="shared" ref="L1221:AJ1221" si="1011">L1222+L1225+L1228</f>
        <v>29.946220655109496</v>
      </c>
      <c r="M1221" s="280">
        <f t="shared" si="1011"/>
        <v>29.761900249468042</v>
      </c>
      <c r="N1221" s="280">
        <f t="shared" si="1011"/>
        <v>30.289360993474389</v>
      </c>
      <c r="O1221" s="280">
        <f t="shared" si="1011"/>
        <v>30.972243868317261</v>
      </c>
      <c r="P1221" s="280">
        <f t="shared" si="1011"/>
        <v>31.672845596579684</v>
      </c>
      <c r="Q1221" s="280">
        <f t="shared" si="1011"/>
        <v>32.391723615126203</v>
      </c>
      <c r="R1221" s="280">
        <f t="shared" si="1011"/>
        <v>33.129456662548428</v>
      </c>
      <c r="S1221" s="280">
        <f t="shared" si="1011"/>
        <v>33.886645712849131</v>
      </c>
      <c r="T1221" s="280">
        <f t="shared" si="1011"/>
        <v>34.663914953182356</v>
      </c>
      <c r="U1221" s="280">
        <f t="shared" si="1011"/>
        <v>35.461912807800097</v>
      </c>
      <c r="V1221" s="280">
        <f t="shared" si="1011"/>
        <v>36.281313010461943</v>
      </c>
      <c r="W1221" s="280">
        <f t="shared" si="1011"/>
        <v>37.122815727676354</v>
      </c>
      <c r="X1221" s="280">
        <f t="shared" si="1011"/>
        <v>37.825303237316888</v>
      </c>
      <c r="Y1221" s="280">
        <f t="shared" si="1011"/>
        <v>38.713223152877063</v>
      </c>
      <c r="Z1221" s="280">
        <f t="shared" si="1011"/>
        <v>39.625516726965209</v>
      </c>
      <c r="AA1221" s="280"/>
      <c r="AB1221" s="280"/>
      <c r="AC1221" s="280"/>
      <c r="AD1221" s="280"/>
      <c r="AE1221" s="280"/>
      <c r="AF1221" s="280"/>
      <c r="AG1221" s="280"/>
      <c r="AH1221" s="280"/>
      <c r="AI1221" s="280"/>
      <c r="AJ1221" s="280"/>
      <c r="AL1221" s="39"/>
      <c r="AM1221" s="39"/>
    </row>
    <row r="1222" spans="1:39" x14ac:dyDescent="0.25">
      <c r="A1222" t="s">
        <v>860</v>
      </c>
      <c r="H1222" s="556" t="s">
        <v>454</v>
      </c>
      <c r="I1222" s="557" t="str">
        <f t="shared" si="1002"/>
        <v>tr. VND/tấn</v>
      </c>
      <c r="K1222" s="566">
        <f>SUM(K1223:K1224)</f>
        <v>0</v>
      </c>
      <c r="L1222" s="566">
        <f t="shared" ref="L1222:AJ1222" si="1012">SUM(L1223:L1224)</f>
        <v>26.838709677419356</v>
      </c>
      <c r="M1222" s="566">
        <f t="shared" si="1012"/>
        <v>26.838709677419359</v>
      </c>
      <c r="N1222" s="566">
        <f t="shared" si="1012"/>
        <v>27.375483870967745</v>
      </c>
      <c r="O1222" s="566">
        <f t="shared" si="1012"/>
        <v>27.922993548387105</v>
      </c>
      <c r="P1222" s="566">
        <f t="shared" si="1012"/>
        <v>28.481453419354843</v>
      </c>
      <c r="Q1222" s="566">
        <f t="shared" si="1012"/>
        <v>29.05108248774194</v>
      </c>
      <c r="R1222" s="566">
        <f t="shared" si="1012"/>
        <v>29.632104137496778</v>
      </c>
      <c r="S1222" s="566">
        <f t="shared" si="1012"/>
        <v>30.224746220246715</v>
      </c>
      <c r="T1222" s="566">
        <f t="shared" si="1012"/>
        <v>30.829241144651643</v>
      </c>
      <c r="U1222" s="566">
        <f t="shared" si="1012"/>
        <v>31.445825967544675</v>
      </c>
      <c r="V1222" s="566">
        <f t="shared" si="1012"/>
        <v>32.074742486895573</v>
      </c>
      <c r="W1222" s="566">
        <f t="shared" si="1012"/>
        <v>32.71623733663349</v>
      </c>
      <c r="X1222" s="566">
        <f t="shared" si="1012"/>
        <v>33.370562083366146</v>
      </c>
      <c r="Y1222" s="566">
        <f t="shared" si="1012"/>
        <v>34.037973325033477</v>
      </c>
      <c r="Z1222" s="566">
        <f t="shared" si="1012"/>
        <v>34.718732791534151</v>
      </c>
      <c r="AA1222" s="566"/>
      <c r="AB1222" s="566"/>
      <c r="AC1222" s="566"/>
      <c r="AD1222" s="566"/>
      <c r="AE1222" s="566"/>
      <c r="AF1222" s="566"/>
      <c r="AG1222" s="566"/>
      <c r="AH1222" s="566"/>
      <c r="AI1222" s="566"/>
      <c r="AJ1222" s="566"/>
      <c r="AL1222" s="15"/>
      <c r="AM1222" s="15"/>
    </row>
    <row r="1223" spans="1:39" s="299" customFormat="1" x14ac:dyDescent="0.25">
      <c r="A1223" s="299" t="s">
        <v>860</v>
      </c>
      <c r="C1223" s="299" t="s">
        <v>504</v>
      </c>
      <c r="E1223" s="331"/>
      <c r="F1223" s="331"/>
      <c r="H1223" s="560" t="s">
        <v>167</v>
      </c>
      <c r="I1223" s="561" t="str">
        <f t="shared" si="1002"/>
        <v>tr. VND/tấn</v>
      </c>
      <c r="K1223" s="565"/>
      <c r="L1223" s="565">
        <f t="shared" ref="L1223" si="1013">-IF($H$9="VND",L1191/L1168/$H$10/10^3,L1191/L1168/$H$10*10^3)</f>
        <v>24.96</v>
      </c>
      <c r="M1223" s="565">
        <f>-IF($H$9="VND",M1191/M1168/$H$10/10^3,M1191/M1168/$H$10*10^3)</f>
        <v>24.96</v>
      </c>
      <c r="N1223" s="565">
        <f t="shared" ref="N1223:AJ1223" si="1014">-IF($H$9="VND",N1191/N1168/$H$10/10^3,N1191/N1168/$H$10*10^3)</f>
        <v>25.459199999999999</v>
      </c>
      <c r="O1223" s="565">
        <f t="shared" si="1014"/>
        <v>25.968384000000004</v>
      </c>
      <c r="P1223" s="565">
        <f t="shared" si="1014"/>
        <v>26.487751680000002</v>
      </c>
      <c r="Q1223" s="565">
        <f t="shared" si="1014"/>
        <v>27.017506713600003</v>
      </c>
      <c r="R1223" s="565">
        <f t="shared" si="1014"/>
        <v>27.557856847872003</v>
      </c>
      <c r="S1223" s="565">
        <f t="shared" si="1014"/>
        <v>28.109013984829442</v>
      </c>
      <c r="T1223" s="565">
        <f t="shared" si="1014"/>
        <v>28.671194264526026</v>
      </c>
      <c r="U1223" s="565">
        <f t="shared" si="1014"/>
        <v>29.244618149816546</v>
      </c>
      <c r="V1223" s="565">
        <f t="shared" si="1014"/>
        <v>29.829510512812881</v>
      </c>
      <c r="W1223" s="565">
        <f t="shared" si="1014"/>
        <v>30.426100723069144</v>
      </c>
      <c r="X1223" s="565">
        <f t="shared" si="1014"/>
        <v>31.034622737530515</v>
      </c>
      <c r="Y1223" s="565">
        <f t="shared" si="1014"/>
        <v>31.655315192281126</v>
      </c>
      <c r="Z1223" s="565">
        <f t="shared" si="1014"/>
        <v>32.288421496126759</v>
      </c>
      <c r="AA1223" s="565"/>
      <c r="AB1223" s="565"/>
      <c r="AC1223" s="565"/>
      <c r="AD1223" s="565"/>
      <c r="AE1223" s="565"/>
      <c r="AF1223" s="565"/>
      <c r="AG1223" s="565"/>
      <c r="AH1223" s="565"/>
      <c r="AI1223" s="565"/>
      <c r="AJ1223" s="565"/>
      <c r="AL1223" s="876"/>
      <c r="AM1223" s="876"/>
    </row>
    <row r="1224" spans="1:39" s="299" customFormat="1" x14ac:dyDescent="0.25">
      <c r="A1224" s="299" t="s">
        <v>860</v>
      </c>
      <c r="C1224" s="299" t="s">
        <v>387</v>
      </c>
      <c r="E1224" s="331"/>
      <c r="F1224" s="331"/>
      <c r="H1224" s="640" t="s">
        <v>203</v>
      </c>
      <c r="I1224" s="641" t="str">
        <f t="shared" si="1002"/>
        <v>tr. VND/tấn</v>
      </c>
      <c r="K1224" s="642"/>
      <c r="L1224" s="642">
        <f t="shared" ref="L1224:AJ1224" si="1015">-IF($H$9="VND",L1192/L1168/$H$10/10^3,L1192/L1168/$H$10*10^3)</f>
        <v>1.8787096774193559</v>
      </c>
      <c r="M1224" s="642">
        <f t="shared" si="1015"/>
        <v>1.8787096774193583</v>
      </c>
      <c r="N1224" s="642">
        <f t="shared" si="1015"/>
        <v>1.9162838709677454</v>
      </c>
      <c r="O1224" s="642">
        <f t="shared" si="1015"/>
        <v>1.9546095483871007</v>
      </c>
      <c r="P1224" s="642">
        <f t="shared" si="1015"/>
        <v>1.9937017393548417</v>
      </c>
      <c r="Q1224" s="642">
        <f t="shared" si="1015"/>
        <v>2.0335757741419362</v>
      </c>
      <c r="R1224" s="642">
        <f t="shared" si="1015"/>
        <v>2.0742472896247759</v>
      </c>
      <c r="S1224" s="642">
        <f t="shared" si="1015"/>
        <v>2.1157322354172718</v>
      </c>
      <c r="T1224" s="642">
        <f t="shared" si="1015"/>
        <v>2.1580468801256183</v>
      </c>
      <c r="U1224" s="642">
        <f t="shared" si="1015"/>
        <v>2.2012078177281285</v>
      </c>
      <c r="V1224" s="642">
        <f t="shared" si="1015"/>
        <v>2.2452319740826931</v>
      </c>
      <c r="W1224" s="642">
        <f t="shared" si="1015"/>
        <v>2.2901366135643446</v>
      </c>
      <c r="X1224" s="642">
        <f t="shared" si="1015"/>
        <v>2.3359393458356301</v>
      </c>
      <c r="Y1224" s="642">
        <f t="shared" si="1015"/>
        <v>2.3826581327523475</v>
      </c>
      <c r="Z1224" s="642">
        <f t="shared" si="1015"/>
        <v>2.430311295407392</v>
      </c>
      <c r="AA1224" s="642"/>
      <c r="AB1224" s="642"/>
      <c r="AC1224" s="642"/>
      <c r="AD1224" s="642"/>
      <c r="AE1224" s="642"/>
      <c r="AF1224" s="642"/>
      <c r="AG1224" s="642"/>
      <c r="AH1224" s="642"/>
      <c r="AI1224" s="642"/>
      <c r="AJ1224" s="642"/>
      <c r="AL1224" s="876"/>
      <c r="AM1224" s="876"/>
    </row>
    <row r="1225" spans="1:39" x14ac:dyDescent="0.25">
      <c r="A1225" t="s">
        <v>860</v>
      </c>
      <c r="H1225" s="558" t="s">
        <v>676</v>
      </c>
      <c r="I1225" s="559" t="str">
        <f t="shared" si="1002"/>
        <v>tr. VND/tấn</v>
      </c>
      <c r="K1225" s="567">
        <f>SUM(K1226:K1227)</f>
        <v>0</v>
      </c>
      <c r="L1225" s="567">
        <f t="shared" ref="L1225:AJ1225" si="1016">SUM(L1226:L1227)</f>
        <v>0.20420258064516131</v>
      </c>
      <c r="M1225" s="567">
        <f t="shared" si="1016"/>
        <v>0.20420258064516134</v>
      </c>
      <c r="N1225" s="567">
        <f t="shared" si="1016"/>
        <v>0.21441270967741941</v>
      </c>
      <c r="O1225" s="567">
        <f t="shared" si="1016"/>
        <v>0.22513334516129035</v>
      </c>
      <c r="P1225" s="567">
        <f t="shared" si="1016"/>
        <v>0.23639001241935489</v>
      </c>
      <c r="Q1225" s="567">
        <f t="shared" si="1016"/>
        <v>0.24820951304032263</v>
      </c>
      <c r="R1225" s="567">
        <f t="shared" si="1016"/>
        <v>0.26061998869233877</v>
      </c>
      <c r="S1225" s="567">
        <f t="shared" si="1016"/>
        <v>0.27365098812695565</v>
      </c>
      <c r="T1225" s="567">
        <f t="shared" si="1016"/>
        <v>0.28733353753330354</v>
      </c>
      <c r="U1225" s="567">
        <f t="shared" si="1016"/>
        <v>0.30170021440996864</v>
      </c>
      <c r="V1225" s="567">
        <f t="shared" si="1016"/>
        <v>0.31678522513046709</v>
      </c>
      <c r="W1225" s="567">
        <f t="shared" si="1016"/>
        <v>0.33262448638699044</v>
      </c>
      <c r="X1225" s="567">
        <f t="shared" si="1016"/>
        <v>0.34925571070633998</v>
      </c>
      <c r="Y1225" s="567">
        <f t="shared" si="1016"/>
        <v>0.36671849624165698</v>
      </c>
      <c r="Z1225" s="567">
        <f t="shared" si="1016"/>
        <v>0.38505442105373988</v>
      </c>
      <c r="AA1225" s="567"/>
      <c r="AB1225" s="567"/>
      <c r="AC1225" s="567"/>
      <c r="AD1225" s="567"/>
      <c r="AE1225" s="567"/>
      <c r="AF1225" s="567"/>
      <c r="AG1225" s="567"/>
      <c r="AH1225" s="567"/>
      <c r="AI1225" s="567"/>
      <c r="AJ1225" s="567"/>
      <c r="AL1225" s="15"/>
      <c r="AM1225" s="15"/>
    </row>
    <row r="1226" spans="1:39" s="299" customFormat="1" x14ac:dyDescent="0.25">
      <c r="A1226" s="299" t="s">
        <v>860</v>
      </c>
      <c r="C1226" s="299" t="s">
        <v>367</v>
      </c>
      <c r="E1226" s="331"/>
      <c r="F1226" s="331"/>
      <c r="H1226" s="560" t="s">
        <v>673</v>
      </c>
      <c r="I1226" s="561" t="str">
        <f t="shared" si="1002"/>
        <v>tr. VND/tấn</v>
      </c>
      <c r="K1226" s="565"/>
      <c r="L1226" s="565">
        <f>-IF($H$9="VND",L1194/L1168/$H$10/10^3,L1194/L1168/$H$10*10^3)</f>
        <v>0.20420258064516131</v>
      </c>
      <c r="M1226" s="565">
        <f t="shared" ref="M1226:AJ1226" si="1017">-IF($H$9="VND",M1194/M1168/$H$10/10^3,M1194/M1168/$H$10*10^3)</f>
        <v>0.20420258064516134</v>
      </c>
      <c r="N1226" s="565">
        <f t="shared" si="1017"/>
        <v>0.21441270967741941</v>
      </c>
      <c r="O1226" s="565">
        <f t="shared" si="1017"/>
        <v>0.22513334516129035</v>
      </c>
      <c r="P1226" s="565">
        <f t="shared" si="1017"/>
        <v>0.23639001241935489</v>
      </c>
      <c r="Q1226" s="565">
        <f t="shared" si="1017"/>
        <v>0.24820951304032263</v>
      </c>
      <c r="R1226" s="565">
        <f t="shared" si="1017"/>
        <v>0.26061998869233877</v>
      </c>
      <c r="S1226" s="565">
        <f t="shared" si="1017"/>
        <v>0.27365098812695565</v>
      </c>
      <c r="T1226" s="565">
        <f t="shared" si="1017"/>
        <v>0.28733353753330354</v>
      </c>
      <c r="U1226" s="565">
        <f t="shared" si="1017"/>
        <v>0.30170021440996864</v>
      </c>
      <c r="V1226" s="565">
        <f t="shared" si="1017"/>
        <v>0.31678522513046709</v>
      </c>
      <c r="W1226" s="565">
        <f t="shared" si="1017"/>
        <v>0.33262448638699044</v>
      </c>
      <c r="X1226" s="565">
        <f t="shared" si="1017"/>
        <v>0.34925571070633998</v>
      </c>
      <c r="Y1226" s="565">
        <f t="shared" si="1017"/>
        <v>0.36671849624165698</v>
      </c>
      <c r="Z1226" s="565">
        <f t="shared" si="1017"/>
        <v>0.38505442105373988</v>
      </c>
      <c r="AA1226" s="565"/>
      <c r="AB1226" s="565"/>
      <c r="AC1226" s="565"/>
      <c r="AD1226" s="565"/>
      <c r="AE1226" s="565"/>
      <c r="AF1226" s="565"/>
      <c r="AG1226" s="565"/>
      <c r="AH1226" s="565"/>
      <c r="AI1226" s="565"/>
      <c r="AJ1226" s="565"/>
      <c r="AL1226" s="876"/>
      <c r="AM1226" s="876"/>
    </row>
    <row r="1227" spans="1:39" s="299" customFormat="1" x14ac:dyDescent="0.25">
      <c r="A1227" s="299" t="s">
        <v>860</v>
      </c>
      <c r="C1227" s="299" t="s">
        <v>367</v>
      </c>
      <c r="E1227" s="331"/>
      <c r="F1227" s="331"/>
      <c r="H1227" s="560" t="s">
        <v>674</v>
      </c>
      <c r="I1227" s="561" t="str">
        <f t="shared" si="1002"/>
        <v>tr. VND/tấn</v>
      </c>
      <c r="K1227" s="565"/>
      <c r="L1227" s="565">
        <f>-IF($H$9="VND",L1195/L1168/$H$10/10^3,L1195/L1168/$H$10*10^3)</f>
        <v>0</v>
      </c>
      <c r="M1227" s="565">
        <f t="shared" ref="M1227:AJ1227" si="1018">-IF($H$9="VND",M1195/M1168/$H$10/10^3,M1195/M1168/$H$10*10^3)</f>
        <v>0</v>
      </c>
      <c r="N1227" s="565">
        <f t="shared" si="1018"/>
        <v>0</v>
      </c>
      <c r="O1227" s="565">
        <f t="shared" si="1018"/>
        <v>0</v>
      </c>
      <c r="P1227" s="565">
        <f t="shared" si="1018"/>
        <v>0</v>
      </c>
      <c r="Q1227" s="565">
        <f t="shared" si="1018"/>
        <v>0</v>
      </c>
      <c r="R1227" s="565">
        <f t="shared" si="1018"/>
        <v>0</v>
      </c>
      <c r="S1227" s="565">
        <f t="shared" si="1018"/>
        <v>0</v>
      </c>
      <c r="T1227" s="565">
        <f t="shared" si="1018"/>
        <v>0</v>
      </c>
      <c r="U1227" s="565">
        <f t="shared" si="1018"/>
        <v>0</v>
      </c>
      <c r="V1227" s="565">
        <f t="shared" si="1018"/>
        <v>0</v>
      </c>
      <c r="W1227" s="565">
        <f t="shared" si="1018"/>
        <v>0</v>
      </c>
      <c r="X1227" s="565">
        <f t="shared" si="1018"/>
        <v>0</v>
      </c>
      <c r="Y1227" s="565">
        <f t="shared" si="1018"/>
        <v>0</v>
      </c>
      <c r="Z1227" s="565">
        <f t="shared" si="1018"/>
        <v>0</v>
      </c>
      <c r="AA1227" s="565"/>
      <c r="AB1227" s="565"/>
      <c r="AC1227" s="565"/>
      <c r="AD1227" s="565"/>
      <c r="AE1227" s="565"/>
      <c r="AF1227" s="565"/>
      <c r="AG1227" s="565"/>
      <c r="AH1227" s="565"/>
      <c r="AI1227" s="565"/>
      <c r="AJ1227" s="565"/>
      <c r="AL1227" s="876"/>
      <c r="AM1227" s="876"/>
    </row>
    <row r="1228" spans="1:39" x14ac:dyDescent="0.25">
      <c r="A1228" t="s">
        <v>860</v>
      </c>
      <c r="H1228" s="558" t="s">
        <v>180</v>
      </c>
      <c r="I1228" s="559" t="str">
        <f t="shared" si="1002"/>
        <v>tr. VND/tấn</v>
      </c>
      <c r="K1228" s="567">
        <f>SUM(K1229:K1231)</f>
        <v>0</v>
      </c>
      <c r="L1228" s="567">
        <f>SUM(L1229:L1231)</f>
        <v>2.9033083970449769</v>
      </c>
      <c r="M1228" s="567">
        <f t="shared" ref="M1228:AJ1228" si="1019">SUM(M1229:M1231)</f>
        <v>2.7189879914035204</v>
      </c>
      <c r="N1228" s="567">
        <f t="shared" si="1019"/>
        <v>2.6994644128292276</v>
      </c>
      <c r="O1228" s="567">
        <f t="shared" si="1019"/>
        <v>2.8241169747688661</v>
      </c>
      <c r="P1228" s="567">
        <f t="shared" si="1019"/>
        <v>2.9550021648054869</v>
      </c>
      <c r="Q1228" s="567">
        <f t="shared" si="1019"/>
        <v>3.0924316143439388</v>
      </c>
      <c r="R1228" s="567">
        <f t="shared" si="1019"/>
        <v>3.2367325363593134</v>
      </c>
      <c r="S1228" s="567">
        <f t="shared" si="1019"/>
        <v>3.3882485044754564</v>
      </c>
      <c r="T1228" s="567">
        <f t="shared" si="1019"/>
        <v>3.547340270997406</v>
      </c>
      <c r="U1228" s="567">
        <f t="shared" si="1019"/>
        <v>3.7143866258454539</v>
      </c>
      <c r="V1228" s="567">
        <f t="shared" si="1019"/>
        <v>3.8897852984359034</v>
      </c>
      <c r="W1228" s="567">
        <f t="shared" si="1019"/>
        <v>4.0739539046558768</v>
      </c>
      <c r="X1228" s="567">
        <f t="shared" si="1019"/>
        <v>4.1054854432444063</v>
      </c>
      <c r="Y1228" s="567">
        <f t="shared" si="1019"/>
        <v>4.3085313316019249</v>
      </c>
      <c r="Z1228" s="567">
        <f t="shared" si="1019"/>
        <v>4.5217295143773217</v>
      </c>
      <c r="AA1228" s="567"/>
      <c r="AB1228" s="567"/>
      <c r="AC1228" s="567"/>
      <c r="AD1228" s="567"/>
      <c r="AE1228" s="567"/>
      <c r="AF1228" s="567"/>
      <c r="AG1228" s="567"/>
      <c r="AH1228" s="567"/>
      <c r="AI1228" s="567"/>
      <c r="AJ1228" s="567"/>
      <c r="AL1228" s="15"/>
      <c r="AM1228" s="15"/>
    </row>
    <row r="1229" spans="1:39" s="299" customFormat="1" x14ac:dyDescent="0.25">
      <c r="A1229" s="299" t="s">
        <v>860</v>
      </c>
      <c r="C1229" s="299" t="s">
        <v>367</v>
      </c>
      <c r="H1229" s="560" t="s">
        <v>73</v>
      </c>
      <c r="I1229" s="561" t="str">
        <f t="shared" si="1002"/>
        <v>tr. VND/tấn</v>
      </c>
      <c r="K1229" s="565"/>
      <c r="L1229" s="565">
        <f t="shared" ref="L1229:AJ1229" si="1020">-IF($H$9="VND",L1197/L1168/$H$10/10^3,L1197/L1168/$H$10*10^3)</f>
        <v>1.8565188172043012</v>
      </c>
      <c r="M1229" s="565">
        <f t="shared" si="1020"/>
        <v>1.8565188172043008</v>
      </c>
      <c r="N1229" s="565">
        <f t="shared" si="1020"/>
        <v>1.949344758064516</v>
      </c>
      <c r="O1229" s="565">
        <f t="shared" si="1020"/>
        <v>2.046811995967742</v>
      </c>
      <c r="P1229" s="565">
        <f t="shared" si="1020"/>
        <v>2.1491525957661293</v>
      </c>
      <c r="Q1229" s="565">
        <f t="shared" si="1020"/>
        <v>2.2566102255544358</v>
      </c>
      <c r="R1229" s="565">
        <f t="shared" si="1020"/>
        <v>2.3694407368321579</v>
      </c>
      <c r="S1229" s="565">
        <f t="shared" si="1020"/>
        <v>2.4879127736737656</v>
      </c>
      <c r="T1229" s="565">
        <f t="shared" si="1020"/>
        <v>2.6123084123574536</v>
      </c>
      <c r="U1229" s="565">
        <f t="shared" si="1020"/>
        <v>2.7429238329753267</v>
      </c>
      <c r="V1229" s="565">
        <f t="shared" si="1020"/>
        <v>2.8800700246240925</v>
      </c>
      <c r="W1229" s="565">
        <f t="shared" si="1020"/>
        <v>3.0240735258552975</v>
      </c>
      <c r="X1229" s="565">
        <f t="shared" si="1020"/>
        <v>3.1752772021480626</v>
      </c>
      <c r="Y1229" s="565">
        <f t="shared" si="1020"/>
        <v>3.3340410622554648</v>
      </c>
      <c r="Z1229" s="565">
        <f t="shared" si="1020"/>
        <v>3.5007431153682393</v>
      </c>
      <c r="AA1229" s="565"/>
      <c r="AB1229" s="565"/>
      <c r="AC1229" s="565"/>
      <c r="AD1229" s="565"/>
      <c r="AE1229" s="565"/>
      <c r="AF1229" s="565"/>
      <c r="AG1229" s="565"/>
      <c r="AH1229" s="565"/>
      <c r="AI1229" s="565"/>
      <c r="AJ1229" s="565"/>
      <c r="AL1229" s="876"/>
      <c r="AM1229" s="876"/>
    </row>
    <row r="1230" spans="1:39" s="299" customFormat="1" x14ac:dyDescent="0.25">
      <c r="A1230" s="299" t="s">
        <v>860</v>
      </c>
      <c r="C1230" s="299" t="s">
        <v>370</v>
      </c>
      <c r="H1230" s="560" t="s">
        <v>192</v>
      </c>
      <c r="I1230" s="561" t="str">
        <f t="shared" si="1002"/>
        <v>tr. VND/tấn</v>
      </c>
      <c r="K1230" s="565"/>
      <c r="L1230" s="565">
        <f t="shared" ref="L1230:AJ1230" si="1021">-IF($H$9="VND",L1198/L1168/$H$10/10^3,L1198/L1168/$H$10*10^3)</f>
        <v>0.31481481481481483</v>
      </c>
      <c r="M1230" s="565">
        <f t="shared" si="1021"/>
        <v>0.31481481481481483</v>
      </c>
      <c r="N1230" s="565">
        <f t="shared" si="1021"/>
        <v>0.3305555555555556</v>
      </c>
      <c r="O1230" s="565">
        <f t="shared" si="1021"/>
        <v>0.34708333333333335</v>
      </c>
      <c r="P1230" s="565">
        <f t="shared" si="1021"/>
        <v>0.36443750000000008</v>
      </c>
      <c r="Q1230" s="565">
        <f t="shared" si="1021"/>
        <v>0.38265937500000002</v>
      </c>
      <c r="R1230" s="565">
        <f t="shared" si="1021"/>
        <v>0.40179234375000006</v>
      </c>
      <c r="S1230" s="565">
        <f t="shared" si="1021"/>
        <v>0.42188196093749997</v>
      </c>
      <c r="T1230" s="565">
        <f t="shared" si="1021"/>
        <v>0.44297605898437514</v>
      </c>
      <c r="U1230" s="565">
        <f t="shared" si="1021"/>
        <v>0.46512486193359376</v>
      </c>
      <c r="V1230" s="565">
        <f t="shared" si="1021"/>
        <v>0.48838110503027343</v>
      </c>
      <c r="W1230" s="565">
        <f t="shared" si="1021"/>
        <v>0.51280016028178721</v>
      </c>
      <c r="X1230" s="565">
        <f t="shared" si="1021"/>
        <v>0.5384401682958766</v>
      </c>
      <c r="Y1230" s="565">
        <f t="shared" si="1021"/>
        <v>0.56536217671067035</v>
      </c>
      <c r="Z1230" s="565">
        <f t="shared" si="1021"/>
        <v>0.5936302855462039</v>
      </c>
      <c r="AA1230" s="565"/>
      <c r="AB1230" s="565"/>
      <c r="AC1230" s="565"/>
      <c r="AD1230" s="565"/>
      <c r="AE1230" s="565"/>
      <c r="AF1230" s="565"/>
      <c r="AG1230" s="565"/>
      <c r="AH1230" s="565"/>
      <c r="AI1230" s="565"/>
      <c r="AJ1230" s="565"/>
      <c r="AL1230" s="876"/>
      <c r="AM1230" s="876"/>
    </row>
    <row r="1231" spans="1:39" s="299" customFormat="1" x14ac:dyDescent="0.25">
      <c r="A1231" s="299" t="s">
        <v>860</v>
      </c>
      <c r="C1231" s="299" t="s">
        <v>367</v>
      </c>
      <c r="H1231" s="560" t="s">
        <v>175</v>
      </c>
      <c r="I1231" s="561" t="str">
        <f t="shared" si="1002"/>
        <v>tr. VND/tấn</v>
      </c>
      <c r="K1231" s="565"/>
      <c r="L1231" s="565">
        <f>-IF($H$9="VND",L1199/L1168/$H$10/10^3,L1199/L1168/$H$10*10^3)</f>
        <v>0.73197476502586101</v>
      </c>
      <c r="M1231" s="565">
        <f t="shared" ref="M1231:AJ1231" si="1022">-IF($H$9="VND",M1199/M1168/$H$10/10^3,M1199/M1168/$H$10*10^3)</f>
        <v>0.54765435938440488</v>
      </c>
      <c r="N1231" s="565">
        <f t="shared" si="1022"/>
        <v>0.41956409920915572</v>
      </c>
      <c r="O1231" s="565">
        <f t="shared" si="1022"/>
        <v>0.43022164546779085</v>
      </c>
      <c r="P1231" s="565">
        <f t="shared" si="1022"/>
        <v>0.4414120690393577</v>
      </c>
      <c r="Q1231" s="565">
        <f t="shared" si="1022"/>
        <v>0.45316201378950288</v>
      </c>
      <c r="R1231" s="565">
        <f t="shared" si="1022"/>
        <v>0.4654994557771554</v>
      </c>
      <c r="S1231" s="565">
        <f t="shared" si="1022"/>
        <v>0.47845376986419047</v>
      </c>
      <c r="T1231" s="565">
        <f t="shared" si="1022"/>
        <v>0.49205579965557728</v>
      </c>
      <c r="U1231" s="565">
        <f t="shared" si="1022"/>
        <v>0.50633793093653356</v>
      </c>
      <c r="V1231" s="565">
        <f t="shared" si="1022"/>
        <v>0.52133416878153738</v>
      </c>
      <c r="W1231" s="565">
        <f t="shared" si="1022"/>
        <v>0.53708021851879162</v>
      </c>
      <c r="X1231" s="565">
        <f t="shared" si="1022"/>
        <v>0.39176807280046666</v>
      </c>
      <c r="Y1231" s="565">
        <f t="shared" si="1022"/>
        <v>0.40912809263578942</v>
      </c>
      <c r="Z1231" s="565">
        <f t="shared" si="1022"/>
        <v>0.42735611346287838</v>
      </c>
      <c r="AA1231" s="565"/>
      <c r="AB1231" s="565"/>
      <c r="AC1231" s="565"/>
      <c r="AD1231" s="565"/>
      <c r="AE1231" s="565"/>
      <c r="AF1231" s="565"/>
      <c r="AG1231" s="565"/>
      <c r="AH1231" s="565"/>
      <c r="AI1231" s="565"/>
      <c r="AJ1231" s="565"/>
      <c r="AL1231" s="876"/>
      <c r="AM1231" s="876"/>
    </row>
    <row r="1232" spans="1:39" x14ac:dyDescent="0.25">
      <c r="A1232" t="s">
        <v>860</v>
      </c>
      <c r="H1232" s="247"/>
      <c r="I1232" s="275"/>
      <c r="K1232" s="281"/>
      <c r="L1232" s="282"/>
      <c r="M1232" s="281"/>
      <c r="N1232" s="281"/>
      <c r="O1232" s="281"/>
      <c r="P1232" s="281"/>
      <c r="Q1232" s="281"/>
      <c r="R1232" s="281"/>
      <c r="S1232" s="281"/>
      <c r="T1232" s="281"/>
      <c r="U1232" s="281"/>
      <c r="V1232" s="281"/>
      <c r="W1232" s="281"/>
      <c r="X1232" s="281"/>
      <c r="Y1232" s="281"/>
      <c r="Z1232" s="281"/>
      <c r="AA1232" s="281"/>
      <c r="AB1232" s="281"/>
      <c r="AC1232" s="281"/>
      <c r="AD1232" s="281"/>
      <c r="AE1232" s="281"/>
      <c r="AF1232" s="281"/>
      <c r="AG1232" s="281"/>
      <c r="AH1232" s="281"/>
      <c r="AI1232" s="281"/>
      <c r="AJ1232" s="281"/>
      <c r="AL1232" s="15"/>
      <c r="AM1232" s="15"/>
    </row>
    <row r="1233" spans="1:39" s="16" customFormat="1" x14ac:dyDescent="0.25">
      <c r="A1233" s="16" t="s">
        <v>860</v>
      </c>
      <c r="H1233" s="276" t="s">
        <v>464</v>
      </c>
      <c r="I1233" s="277" t="str">
        <f t="shared" si="1002"/>
        <v>tr. VND/tấn</v>
      </c>
      <c r="K1233" s="283">
        <f>K1211+K1221</f>
        <v>0</v>
      </c>
      <c r="L1233" s="283">
        <f t="shared" ref="L1233:AJ1233" si="1023">L1211+L1221</f>
        <v>46.074256148736893</v>
      </c>
      <c r="M1233" s="283">
        <f t="shared" si="1023"/>
        <v>41.28192560205904</v>
      </c>
      <c r="N1233" s="283">
        <f t="shared" si="1023"/>
        <v>38.498563160083208</v>
      </c>
      <c r="O1233" s="283">
        <f t="shared" si="1023"/>
        <v>39.333889675710957</v>
      </c>
      <c r="P1233" s="283">
        <f t="shared" si="1023"/>
        <v>40.1945572267975</v>
      </c>
      <c r="Q1233" s="283">
        <f t="shared" si="1023"/>
        <v>41.081504359309335</v>
      </c>
      <c r="R1233" s="283">
        <f t="shared" si="1023"/>
        <v>41.995709976395155</v>
      </c>
      <c r="S1233" s="283">
        <f t="shared" si="1023"/>
        <v>42.93819522484263</v>
      </c>
      <c r="T1233" s="283">
        <f t="shared" si="1023"/>
        <v>43.910025473229965</v>
      </c>
      <c r="U1233" s="283">
        <f t="shared" si="1023"/>
        <v>44.912312386304514</v>
      </c>
      <c r="V1233" s="283">
        <f t="shared" si="1023"/>
        <v>45.946216100346014</v>
      </c>
      <c r="W1233" s="283">
        <f t="shared" si="1023"/>
        <v>47.012947504509057</v>
      </c>
      <c r="X1233" s="283">
        <f t="shared" si="1023"/>
        <v>43.905787686884615</v>
      </c>
      <c r="Y1233" s="283">
        <f t="shared" si="1023"/>
        <v>45.04202222980566</v>
      </c>
      <c r="Z1233" s="283">
        <f t="shared" si="1023"/>
        <v>46.215046162622727</v>
      </c>
      <c r="AA1233" s="283"/>
      <c r="AB1233" s="283"/>
      <c r="AC1233" s="283"/>
      <c r="AD1233" s="283"/>
      <c r="AE1233" s="283"/>
      <c r="AF1233" s="283"/>
      <c r="AG1233" s="283"/>
      <c r="AH1233" s="283"/>
      <c r="AI1233" s="283"/>
      <c r="AJ1233" s="283"/>
      <c r="AL1233" s="29"/>
      <c r="AM1233" s="29"/>
    </row>
    <row r="1234" spans="1:39" x14ac:dyDescent="0.25">
      <c r="A1234" t="s">
        <v>860</v>
      </c>
      <c r="H1234" s="247"/>
      <c r="I1234" s="275"/>
      <c r="K1234" s="281"/>
      <c r="L1234" s="281"/>
      <c r="M1234" s="281"/>
      <c r="N1234" s="281"/>
      <c r="O1234" s="281"/>
      <c r="P1234" s="281"/>
      <c r="Q1234" s="281"/>
      <c r="R1234" s="281"/>
      <c r="S1234" s="281"/>
      <c r="T1234" s="281"/>
      <c r="U1234" s="281"/>
      <c r="V1234" s="281"/>
      <c r="W1234" s="281"/>
      <c r="X1234" s="281"/>
      <c r="Y1234" s="281"/>
      <c r="Z1234" s="281"/>
      <c r="AA1234" s="281"/>
      <c r="AB1234" s="281"/>
      <c r="AC1234" s="281"/>
      <c r="AD1234" s="281"/>
      <c r="AE1234" s="281"/>
      <c r="AF1234" s="281"/>
      <c r="AG1234" s="281"/>
      <c r="AH1234" s="281"/>
      <c r="AI1234" s="281"/>
      <c r="AJ1234" s="281"/>
      <c r="AL1234" s="15"/>
      <c r="AM1234" s="15"/>
    </row>
    <row r="1235" spans="1:39" x14ac:dyDescent="0.25">
      <c r="A1235" t="s">
        <v>860</v>
      </c>
      <c r="C1235" t="s">
        <v>367</v>
      </c>
      <c r="H1235" s="568" t="s">
        <v>166</v>
      </c>
      <c r="I1235" s="569" t="str">
        <f t="shared" si="1002"/>
        <v>tr. VND/tấn</v>
      </c>
      <c r="K1235" s="570"/>
      <c r="L1235" s="570">
        <f>-IF($H$9="VND",L1203/L1168/$H$10/10^3,L1203/L1168/$H$10*10^3)</f>
        <v>0.88888888888888906</v>
      </c>
      <c r="M1235" s="570">
        <f t="shared" ref="M1235:AJ1235" si="1024">-IF($H$9="VND",M1203/M1168/$H$10/10^3,M1203/M1168/$H$10*10^3)</f>
        <v>0.88888888888888895</v>
      </c>
      <c r="N1235" s="570">
        <f t="shared" si="1024"/>
        <v>0.93333333333333335</v>
      </c>
      <c r="O1235" s="570">
        <f t="shared" si="1024"/>
        <v>0.9800000000000002</v>
      </c>
      <c r="P1235" s="570">
        <f t="shared" si="1024"/>
        <v>1.0290000000000001</v>
      </c>
      <c r="Q1235" s="570">
        <f t="shared" si="1024"/>
        <v>1.0804500000000004</v>
      </c>
      <c r="R1235" s="570">
        <f t="shared" si="1024"/>
        <v>1.1344725000000002</v>
      </c>
      <c r="S1235" s="570">
        <f t="shared" si="1024"/>
        <v>1.1911961249999998</v>
      </c>
      <c r="T1235" s="570">
        <f t="shared" si="1024"/>
        <v>1.2507559312500003</v>
      </c>
      <c r="U1235" s="570">
        <f t="shared" si="1024"/>
        <v>1.3132937278125001</v>
      </c>
      <c r="V1235" s="570">
        <f t="shared" si="1024"/>
        <v>1.3789584142031253</v>
      </c>
      <c r="W1235" s="570">
        <f t="shared" si="1024"/>
        <v>1.4479063349132817</v>
      </c>
      <c r="X1235" s="570">
        <f t="shared" si="1024"/>
        <v>1.5203016516589456</v>
      </c>
      <c r="Y1235" s="570">
        <f t="shared" si="1024"/>
        <v>1.5963167342418931</v>
      </c>
      <c r="Z1235" s="570">
        <f t="shared" si="1024"/>
        <v>1.6761325709539878</v>
      </c>
      <c r="AA1235" s="570"/>
      <c r="AB1235" s="570"/>
      <c r="AC1235" s="570"/>
      <c r="AD1235" s="570"/>
      <c r="AE1235" s="570"/>
      <c r="AF1235" s="570"/>
      <c r="AG1235" s="570"/>
      <c r="AH1235" s="570"/>
      <c r="AI1235" s="570"/>
      <c r="AJ1235" s="570"/>
      <c r="AL1235" s="15"/>
      <c r="AM1235" s="15"/>
    </row>
    <row r="1236" spans="1:39" x14ac:dyDescent="0.25">
      <c r="A1236" t="s">
        <v>860</v>
      </c>
      <c r="C1236" t="s">
        <v>367</v>
      </c>
      <c r="H1236" s="558" t="s">
        <v>469</v>
      </c>
      <c r="I1236" s="559" t="str">
        <f t="shared" si="1002"/>
        <v>tr. VND/tấn</v>
      </c>
      <c r="K1236" s="571"/>
      <c r="L1236" s="571">
        <f t="shared" ref="L1236:AJ1236" si="1025">-IF($H$9="VND",L1204/L1168/$H$10/10^3,L1204/L1168/$H$10*10^3)</f>
        <v>0</v>
      </c>
      <c r="M1236" s="571">
        <f t="shared" si="1025"/>
        <v>0</v>
      </c>
      <c r="N1236" s="571">
        <f t="shared" si="1025"/>
        <v>0</v>
      </c>
      <c r="O1236" s="571">
        <f t="shared" si="1025"/>
        <v>0</v>
      </c>
      <c r="P1236" s="571">
        <f t="shared" si="1025"/>
        <v>0</v>
      </c>
      <c r="Q1236" s="571">
        <f t="shared" si="1025"/>
        <v>0</v>
      </c>
      <c r="R1236" s="571">
        <f t="shared" si="1025"/>
        <v>0</v>
      </c>
      <c r="S1236" s="571">
        <f t="shared" si="1025"/>
        <v>0</v>
      </c>
      <c r="T1236" s="571">
        <f t="shared" si="1025"/>
        <v>0</v>
      </c>
      <c r="U1236" s="571">
        <f t="shared" si="1025"/>
        <v>0</v>
      </c>
      <c r="V1236" s="571">
        <f t="shared" si="1025"/>
        <v>0</v>
      </c>
      <c r="W1236" s="571">
        <f t="shared" si="1025"/>
        <v>0</v>
      </c>
      <c r="X1236" s="571">
        <f t="shared" si="1025"/>
        <v>0</v>
      </c>
      <c r="Y1236" s="571">
        <f t="shared" si="1025"/>
        <v>0</v>
      </c>
      <c r="Z1236" s="571">
        <f t="shared" si="1025"/>
        <v>0</v>
      </c>
      <c r="AA1236" s="571"/>
      <c r="AB1236" s="571"/>
      <c r="AC1236" s="571"/>
      <c r="AD1236" s="571"/>
      <c r="AE1236" s="571"/>
      <c r="AF1236" s="571"/>
      <c r="AG1236" s="571"/>
      <c r="AH1236" s="571"/>
      <c r="AI1236" s="571"/>
      <c r="AJ1236" s="571"/>
      <c r="AL1236" s="15"/>
      <c r="AM1236" s="15"/>
    </row>
    <row r="1237" spans="1:39" x14ac:dyDescent="0.25">
      <c r="A1237" t="s">
        <v>860</v>
      </c>
      <c r="C1237" t="s">
        <v>367</v>
      </c>
      <c r="H1237" s="558" t="s">
        <v>468</v>
      </c>
      <c r="I1237" s="559" t="str">
        <f t="shared" si="1002"/>
        <v>tr. VND/tấn</v>
      </c>
      <c r="K1237" s="558"/>
      <c r="L1237" s="571">
        <f t="shared" ref="L1237:AJ1237" si="1026">-IF($H$9="VND",L1205/L1168/$H$10/10^3,L1205/L1168/$H$10*10^3)</f>
        <v>0</v>
      </c>
      <c r="M1237" s="571">
        <f t="shared" si="1026"/>
        <v>0</v>
      </c>
      <c r="N1237" s="571">
        <f t="shared" si="1026"/>
        <v>0</v>
      </c>
      <c r="O1237" s="571">
        <f t="shared" si="1026"/>
        <v>0</v>
      </c>
      <c r="P1237" s="571">
        <f t="shared" si="1026"/>
        <v>0</v>
      </c>
      <c r="Q1237" s="571">
        <f t="shared" si="1026"/>
        <v>0</v>
      </c>
      <c r="R1237" s="571">
        <f t="shared" si="1026"/>
        <v>0</v>
      </c>
      <c r="S1237" s="571">
        <f t="shared" si="1026"/>
        <v>0</v>
      </c>
      <c r="T1237" s="571">
        <f t="shared" si="1026"/>
        <v>0</v>
      </c>
      <c r="U1237" s="571">
        <f t="shared" si="1026"/>
        <v>0</v>
      </c>
      <c r="V1237" s="571">
        <f t="shared" si="1026"/>
        <v>0</v>
      </c>
      <c r="W1237" s="571">
        <f t="shared" si="1026"/>
        <v>0</v>
      </c>
      <c r="X1237" s="571">
        <f t="shared" si="1026"/>
        <v>0</v>
      </c>
      <c r="Y1237" s="571">
        <f t="shared" si="1026"/>
        <v>0</v>
      </c>
      <c r="Z1237" s="571">
        <f t="shared" si="1026"/>
        <v>0</v>
      </c>
      <c r="AA1237" s="571"/>
      <c r="AB1237" s="571"/>
      <c r="AC1237" s="571"/>
      <c r="AD1237" s="571"/>
      <c r="AE1237" s="571"/>
      <c r="AF1237" s="571"/>
      <c r="AG1237" s="571"/>
      <c r="AH1237" s="571"/>
      <c r="AI1237" s="571"/>
      <c r="AJ1237" s="571"/>
      <c r="AL1237" s="15"/>
      <c r="AM1237" s="15"/>
    </row>
    <row r="1238" spans="1:39" x14ac:dyDescent="0.25">
      <c r="A1238" t="s">
        <v>860</v>
      </c>
      <c r="C1238" t="s">
        <v>367</v>
      </c>
      <c r="H1238" s="558" t="s">
        <v>470</v>
      </c>
      <c r="I1238" s="559" t="str">
        <f t="shared" si="1002"/>
        <v>tr. VND/tấn</v>
      </c>
      <c r="K1238" s="558"/>
      <c r="L1238" s="571">
        <f t="shared" ref="L1238:AJ1238" si="1027">-IF($H$9="VND",L1206/L1168/$H$10/10^3,L1206/L1168/$H$10*10^3)</f>
        <v>7.131455047872385</v>
      </c>
      <c r="M1238" s="571">
        <f t="shared" si="1027"/>
        <v>4.8911867647644334</v>
      </c>
      <c r="N1238" s="571">
        <f t="shared" si="1027"/>
        <v>3.2720011715319366</v>
      </c>
      <c r="O1238" s="571">
        <f t="shared" si="1027"/>
        <v>3.1095435382625483</v>
      </c>
      <c r="P1238" s="571">
        <f t="shared" si="1027"/>
        <v>2.9357138706643027</v>
      </c>
      <c r="Q1238" s="571">
        <f t="shared" si="1027"/>
        <v>2.7497161263341807</v>
      </c>
      <c r="R1238" s="571">
        <f t="shared" si="1027"/>
        <v>2.5506985399009494</v>
      </c>
      <c r="S1238" s="571">
        <f t="shared" si="1027"/>
        <v>2.3377497224173927</v>
      </c>
      <c r="T1238" s="571">
        <f t="shared" si="1027"/>
        <v>2.1098944877099868</v>
      </c>
      <c r="U1238" s="571">
        <f t="shared" si="1027"/>
        <v>1.8660893865730617</v>
      </c>
      <c r="V1238" s="571">
        <f t="shared" si="1027"/>
        <v>1.6052179283565524</v>
      </c>
      <c r="W1238" s="571">
        <f t="shared" si="1027"/>
        <v>1.3260854680648875</v>
      </c>
      <c r="X1238" s="571">
        <f t="shared" si="1027"/>
        <v>1.0274137355528061</v>
      </c>
      <c r="Y1238" s="571">
        <f t="shared" si="1027"/>
        <v>0.70783498176487913</v>
      </c>
      <c r="Z1238" s="571">
        <f t="shared" si="1027"/>
        <v>0.36588571521179714</v>
      </c>
      <c r="AA1238" s="571"/>
      <c r="AB1238" s="571"/>
      <c r="AC1238" s="571"/>
      <c r="AD1238" s="571"/>
      <c r="AE1238" s="571"/>
      <c r="AF1238" s="571"/>
      <c r="AG1238" s="571"/>
      <c r="AH1238" s="571"/>
      <c r="AI1238" s="571"/>
      <c r="AJ1238" s="571"/>
      <c r="AL1238" s="15"/>
      <c r="AM1238" s="15"/>
    </row>
    <row r="1239" spans="1:39" x14ac:dyDescent="0.25">
      <c r="A1239" t="s">
        <v>860</v>
      </c>
      <c r="H1239" s="247"/>
      <c r="I1239" s="275"/>
      <c r="K1239" s="247"/>
      <c r="L1239" s="247"/>
      <c r="M1239" s="247"/>
      <c r="N1239" s="247"/>
      <c r="O1239" s="247"/>
      <c r="P1239" s="247"/>
      <c r="Q1239" s="247"/>
      <c r="R1239" s="247"/>
      <c r="S1239" s="247"/>
      <c r="T1239" s="247"/>
      <c r="U1239" s="247"/>
      <c r="V1239" s="247"/>
      <c r="W1239" s="247"/>
      <c r="X1239" s="247"/>
      <c r="Y1239" s="247"/>
      <c r="Z1239" s="247"/>
      <c r="AA1239" s="247"/>
      <c r="AB1239" s="247"/>
      <c r="AC1239" s="247"/>
      <c r="AD1239" s="247"/>
      <c r="AE1239" s="247"/>
      <c r="AF1239" s="247"/>
      <c r="AG1239" s="247"/>
      <c r="AH1239" s="247"/>
      <c r="AI1239" s="247"/>
      <c r="AJ1239" s="247"/>
      <c r="AL1239" s="15"/>
      <c r="AM1239" s="15"/>
    </row>
    <row r="1240" spans="1:39" s="16" customFormat="1" x14ac:dyDescent="0.25">
      <c r="A1240" s="16" t="s">
        <v>860</v>
      </c>
      <c r="H1240" s="276" t="s">
        <v>474</v>
      </c>
      <c r="I1240" s="277" t="str">
        <f t="shared" si="1002"/>
        <v>tr. VND/tấn</v>
      </c>
      <c r="K1240" s="283">
        <f t="shared" ref="K1240" si="1028">K1233+SUM(K1235:K1238)</f>
        <v>0</v>
      </c>
      <c r="L1240" s="283">
        <f>L1233+SUM(L1235:L1238)</f>
        <v>54.094600085498165</v>
      </c>
      <c r="M1240" s="283">
        <f t="shared" ref="M1240:AJ1240" si="1029">M1233+SUM(M1235:M1238)</f>
        <v>47.06200125571236</v>
      </c>
      <c r="N1240" s="283">
        <f t="shared" si="1029"/>
        <v>42.703897664948478</v>
      </c>
      <c r="O1240" s="283">
        <f t="shared" si="1029"/>
        <v>43.423433213973503</v>
      </c>
      <c r="P1240" s="283">
        <f t="shared" si="1029"/>
        <v>44.159271097461804</v>
      </c>
      <c r="Q1240" s="283">
        <f t="shared" si="1029"/>
        <v>44.911670485643519</v>
      </c>
      <c r="R1240" s="283">
        <f t="shared" si="1029"/>
        <v>45.680881016296105</v>
      </c>
      <c r="S1240" s="283">
        <f t="shared" si="1029"/>
        <v>46.46714107226002</v>
      </c>
      <c r="T1240" s="283">
        <f t="shared" si="1029"/>
        <v>47.270675892189949</v>
      </c>
      <c r="U1240" s="283">
        <f t="shared" si="1029"/>
        <v>48.091695500690079</v>
      </c>
      <c r="V1240" s="283">
        <f t="shared" si="1029"/>
        <v>48.930392442905692</v>
      </c>
      <c r="W1240" s="283">
        <f t="shared" si="1029"/>
        <v>49.786939307487224</v>
      </c>
      <c r="X1240" s="283">
        <f t="shared" si="1029"/>
        <v>46.453503074096368</v>
      </c>
      <c r="Y1240" s="283">
        <f t="shared" si="1029"/>
        <v>47.346173945812431</v>
      </c>
      <c r="Z1240" s="283">
        <f t="shared" si="1029"/>
        <v>48.257064448788512</v>
      </c>
      <c r="AA1240" s="283"/>
      <c r="AB1240" s="283"/>
      <c r="AC1240" s="283"/>
      <c r="AD1240" s="283"/>
      <c r="AE1240" s="283"/>
      <c r="AF1240" s="283"/>
      <c r="AG1240" s="283"/>
      <c r="AH1240" s="283"/>
      <c r="AI1240" s="283"/>
      <c r="AJ1240" s="283"/>
      <c r="AL1240" s="29"/>
      <c r="AM1240" s="29"/>
    </row>
    <row r="1241" spans="1:39" x14ac:dyDescent="0.25">
      <c r="A1241" t="s">
        <v>860</v>
      </c>
    </row>
    <row r="1242" spans="1:39" x14ac:dyDescent="0.25">
      <c r="A1242" t="s">
        <v>860</v>
      </c>
      <c r="H1242" s="568" t="s">
        <v>361</v>
      </c>
      <c r="I1242" s="569" t="str">
        <f t="shared" si="1002"/>
        <v>tr. VND/tấn</v>
      </c>
      <c r="K1242" s="568"/>
      <c r="L1242" s="589">
        <f>INDEX('Cover Page'!$H$12:$AJ$12,MATCH($A1242,'Cover Page'!$H$5:$AJ$5,0))</f>
        <v>6.6666666666666666E-2</v>
      </c>
      <c r="M1242" s="589">
        <f>INDEX('Cover Page'!$H$12:$AJ$12,MATCH($A1242,'Cover Page'!$H$5:$AJ$5,0))</f>
        <v>6.6666666666666666E-2</v>
      </c>
      <c r="N1242" s="589">
        <f>INDEX('Cover Page'!$H$12:$AJ$12,MATCH($A1242,'Cover Page'!$H$5:$AJ$5,0))</f>
        <v>6.6666666666666666E-2</v>
      </c>
      <c r="O1242" s="589">
        <f>INDEX('Cover Page'!$H$12:$AJ$12,MATCH($A1242,'Cover Page'!$H$5:$AJ$5,0))</f>
        <v>6.6666666666666666E-2</v>
      </c>
      <c r="P1242" s="589">
        <f>INDEX('Cover Page'!$H$12:$AJ$12,MATCH($A1242,'Cover Page'!$H$5:$AJ$5,0))</f>
        <v>6.6666666666666666E-2</v>
      </c>
      <c r="Q1242" s="589">
        <f>INDEX('Cover Page'!$H$12:$AJ$12,MATCH($A1242,'Cover Page'!$H$5:$AJ$5,0))</f>
        <v>6.6666666666666666E-2</v>
      </c>
      <c r="R1242" s="589">
        <f>INDEX('Cover Page'!$H$12:$AJ$12,MATCH($A1242,'Cover Page'!$H$5:$AJ$5,0))</f>
        <v>6.6666666666666666E-2</v>
      </c>
      <c r="S1242" s="589">
        <f>INDEX('Cover Page'!$H$12:$AJ$12,MATCH($A1242,'Cover Page'!$H$5:$AJ$5,0))</f>
        <v>6.6666666666666666E-2</v>
      </c>
      <c r="T1242" s="589">
        <f>INDEX('Cover Page'!$H$12:$AJ$12,MATCH($A1242,'Cover Page'!$H$5:$AJ$5,0))</f>
        <v>6.6666666666666666E-2</v>
      </c>
      <c r="U1242" s="589">
        <f>INDEX('Cover Page'!$H$12:$AJ$12,MATCH($A1242,'Cover Page'!$H$5:$AJ$5,0))</f>
        <v>6.6666666666666666E-2</v>
      </c>
      <c r="V1242" s="589">
        <f>INDEX('Cover Page'!$H$12:$AJ$12,MATCH($A1242,'Cover Page'!$H$5:$AJ$5,0))</f>
        <v>6.6666666666666666E-2</v>
      </c>
      <c r="W1242" s="589">
        <f>INDEX('Cover Page'!$H$12:$AJ$12,MATCH($A1242,'Cover Page'!$H$5:$AJ$5,0))</f>
        <v>6.6666666666666666E-2</v>
      </c>
      <c r="X1242" s="589">
        <f>INDEX('Cover Page'!$H$12:$AJ$12,MATCH($A1242,'Cover Page'!$H$5:$AJ$5,0))</f>
        <v>6.6666666666666666E-2</v>
      </c>
      <c r="Y1242" s="589">
        <f>INDEX('Cover Page'!$H$12:$AJ$12,MATCH($A1242,'Cover Page'!$H$5:$AJ$5,0))</f>
        <v>6.6666666666666666E-2</v>
      </c>
      <c r="Z1242" s="589">
        <f>INDEX('Cover Page'!$H$12:$AJ$12,MATCH($A1242,'Cover Page'!$H$5:$AJ$5,0))</f>
        <v>6.6666666666666666E-2</v>
      </c>
      <c r="AA1242" s="589"/>
      <c r="AB1242" s="589"/>
      <c r="AC1242" s="589"/>
      <c r="AD1242" s="589"/>
      <c r="AE1242" s="589"/>
      <c r="AF1242" s="589"/>
      <c r="AG1242" s="589"/>
      <c r="AH1242" s="589"/>
      <c r="AI1242" s="589"/>
      <c r="AJ1242" s="589"/>
    </row>
    <row r="1243" spans="1:39" s="1" customFormat="1" x14ac:dyDescent="0.25">
      <c r="A1243" s="1" t="s">
        <v>860</v>
      </c>
      <c r="H1243" s="585" t="s">
        <v>490</v>
      </c>
      <c r="I1243" s="586" t="str">
        <f t="shared" si="1002"/>
        <v>tr. VND/tấn</v>
      </c>
      <c r="K1243" s="585"/>
      <c r="L1243" s="590">
        <f t="shared" ref="L1243:AJ1243" si="1030">L1240*(1+L1242)</f>
        <v>57.700906757864708</v>
      </c>
      <c r="M1243" s="590">
        <f t="shared" si="1030"/>
        <v>50.199468006093184</v>
      </c>
      <c r="N1243" s="590">
        <f t="shared" si="1030"/>
        <v>45.550824175945046</v>
      </c>
      <c r="O1243" s="590">
        <f t="shared" si="1030"/>
        <v>46.318328761571735</v>
      </c>
      <c r="P1243" s="590">
        <f t="shared" si="1030"/>
        <v>47.103222503959259</v>
      </c>
      <c r="Q1243" s="590">
        <f t="shared" si="1030"/>
        <v>47.905781851353083</v>
      </c>
      <c r="R1243" s="590">
        <f t="shared" si="1030"/>
        <v>48.726273084049176</v>
      </c>
      <c r="S1243" s="590">
        <f t="shared" si="1030"/>
        <v>49.564950477077353</v>
      </c>
      <c r="T1243" s="590">
        <f t="shared" si="1030"/>
        <v>50.422054285002609</v>
      </c>
      <c r="U1243" s="590">
        <f t="shared" si="1030"/>
        <v>51.297808534069418</v>
      </c>
      <c r="V1243" s="590">
        <f t="shared" si="1030"/>
        <v>52.192418605766072</v>
      </c>
      <c r="W1243" s="590">
        <f t="shared" si="1030"/>
        <v>53.106068594653038</v>
      </c>
      <c r="X1243" s="590">
        <f t="shared" si="1030"/>
        <v>49.550403279036125</v>
      </c>
      <c r="Y1243" s="590">
        <f t="shared" si="1030"/>
        <v>50.502585542199924</v>
      </c>
      <c r="Z1243" s="590">
        <f t="shared" si="1030"/>
        <v>51.474202078707748</v>
      </c>
      <c r="AA1243" s="590"/>
      <c r="AB1243" s="590"/>
      <c r="AC1243" s="590"/>
      <c r="AD1243" s="590"/>
      <c r="AE1243" s="590"/>
      <c r="AF1243" s="590"/>
      <c r="AG1243" s="590"/>
      <c r="AH1243" s="590"/>
      <c r="AI1243" s="590"/>
      <c r="AJ1243" s="590"/>
    </row>
    <row r="1244" spans="1:39" x14ac:dyDescent="0.25">
      <c r="A1244" t="s">
        <v>860</v>
      </c>
      <c r="H1244" s="558" t="s">
        <v>292</v>
      </c>
      <c r="I1244" s="559" t="str">
        <f t="shared" si="1002"/>
        <v>tr. VND/tấn</v>
      </c>
      <c r="K1244" s="558"/>
      <c r="L1244" s="591">
        <f t="shared" ref="L1244:AJ1244" si="1031">Tax_rate</f>
        <v>0.2</v>
      </c>
      <c r="M1244" s="591">
        <f t="shared" si="1031"/>
        <v>0.2</v>
      </c>
      <c r="N1244" s="591">
        <f t="shared" si="1031"/>
        <v>0.2</v>
      </c>
      <c r="O1244" s="591">
        <f t="shared" si="1031"/>
        <v>0.2</v>
      </c>
      <c r="P1244" s="591">
        <f t="shared" si="1031"/>
        <v>0.2</v>
      </c>
      <c r="Q1244" s="591">
        <f t="shared" si="1031"/>
        <v>0.2</v>
      </c>
      <c r="R1244" s="591">
        <f t="shared" si="1031"/>
        <v>0.2</v>
      </c>
      <c r="S1244" s="591">
        <f t="shared" si="1031"/>
        <v>0.2</v>
      </c>
      <c r="T1244" s="591">
        <f t="shared" si="1031"/>
        <v>0.2</v>
      </c>
      <c r="U1244" s="591">
        <f t="shared" si="1031"/>
        <v>0.2</v>
      </c>
      <c r="V1244" s="591">
        <f t="shared" si="1031"/>
        <v>0.2</v>
      </c>
      <c r="W1244" s="591">
        <f t="shared" si="1031"/>
        <v>0.2</v>
      </c>
      <c r="X1244" s="591">
        <f t="shared" si="1031"/>
        <v>0.2</v>
      </c>
      <c r="Y1244" s="591">
        <f t="shared" si="1031"/>
        <v>0.2</v>
      </c>
      <c r="Z1244" s="591">
        <f t="shared" si="1031"/>
        <v>0.2</v>
      </c>
      <c r="AA1244" s="591"/>
      <c r="AB1244" s="591"/>
      <c r="AC1244" s="591"/>
      <c r="AD1244" s="591"/>
      <c r="AE1244" s="591"/>
      <c r="AF1244" s="591"/>
      <c r="AG1244" s="591"/>
      <c r="AH1244" s="591"/>
      <c r="AI1244" s="591"/>
      <c r="AJ1244" s="591"/>
    </row>
    <row r="1245" spans="1:39" s="1" customFormat="1" x14ac:dyDescent="0.25">
      <c r="A1245" s="1" t="s">
        <v>860</v>
      </c>
      <c r="H1245" s="585" t="s">
        <v>491</v>
      </c>
      <c r="I1245" s="586" t="str">
        <f t="shared" si="1002"/>
        <v>tr. VND/tấn</v>
      </c>
      <c r="K1245" s="585"/>
      <c r="L1245" s="590">
        <f>(L1243-L1240)*(1-L1244)</f>
        <v>2.8850453378932346</v>
      </c>
      <c r="M1245" s="590">
        <f t="shared" ref="M1245:AJ1245" si="1032">(M1243-M1240)*(1-M1244)</f>
        <v>2.5099734003046592</v>
      </c>
      <c r="N1245" s="590">
        <f t="shared" si="1032"/>
        <v>2.277541208797254</v>
      </c>
      <c r="O1245" s="590">
        <f t="shared" si="1032"/>
        <v>2.3159164380785855</v>
      </c>
      <c r="P1245" s="590">
        <f t="shared" si="1032"/>
        <v>2.3551611251979638</v>
      </c>
      <c r="Q1245" s="590">
        <f t="shared" si="1032"/>
        <v>2.3952890925676513</v>
      </c>
      <c r="R1245" s="590">
        <f t="shared" si="1032"/>
        <v>2.4363136542024564</v>
      </c>
      <c r="S1245" s="590">
        <f t="shared" si="1032"/>
        <v>2.4782475238538666</v>
      </c>
      <c r="T1245" s="590">
        <f t="shared" si="1032"/>
        <v>2.5211027142501283</v>
      </c>
      <c r="U1245" s="590">
        <f t="shared" si="1032"/>
        <v>2.5648904267034709</v>
      </c>
      <c r="V1245" s="590">
        <f t="shared" si="1032"/>
        <v>2.6096209302883042</v>
      </c>
      <c r="W1245" s="590">
        <f t="shared" si="1032"/>
        <v>2.6553034297326521</v>
      </c>
      <c r="X1245" s="590">
        <f t="shared" si="1032"/>
        <v>2.4775201639518061</v>
      </c>
      <c r="Y1245" s="590">
        <f t="shared" si="1032"/>
        <v>2.5251292771099942</v>
      </c>
      <c r="Z1245" s="590">
        <f t="shared" si="1032"/>
        <v>2.5737101039353889</v>
      </c>
      <c r="AA1245" s="590"/>
      <c r="AB1245" s="590"/>
      <c r="AC1245" s="590"/>
      <c r="AD1245" s="590"/>
      <c r="AE1245" s="590"/>
      <c r="AF1245" s="590"/>
      <c r="AG1245" s="590"/>
      <c r="AH1245" s="590"/>
      <c r="AI1245" s="590"/>
      <c r="AJ1245" s="590"/>
    </row>
    <row r="1246" spans="1:39" s="146" customFormat="1" x14ac:dyDescent="0.25">
      <c r="A1246" s="146" t="s">
        <v>860</v>
      </c>
      <c r="H1246" s="587" t="s">
        <v>492</v>
      </c>
      <c r="I1246" s="588"/>
      <c r="K1246" s="587"/>
      <c r="L1246" s="592">
        <f>IFERROR(L1245/L1243,0)</f>
        <v>4.9999999999999989E-2</v>
      </c>
      <c r="M1246" s="592">
        <f>IFERROR(M1245/M1243,0)</f>
        <v>0.05</v>
      </c>
      <c r="N1246" s="592">
        <f t="shared" ref="N1246:AJ1246" si="1033">IFERROR(N1245/N1243,0)</f>
        <v>5.0000000000000037E-2</v>
      </c>
      <c r="O1246" s="592">
        <f t="shared" si="1033"/>
        <v>4.9999999999999975E-2</v>
      </c>
      <c r="P1246" s="592">
        <f t="shared" si="1033"/>
        <v>5.0000000000000017E-2</v>
      </c>
      <c r="Q1246" s="592">
        <f t="shared" si="1033"/>
        <v>4.999999999999994E-2</v>
      </c>
      <c r="R1246" s="592">
        <f t="shared" si="1033"/>
        <v>4.9999999999999954E-2</v>
      </c>
      <c r="S1246" s="592">
        <f t="shared" si="1033"/>
        <v>4.9999999999999982E-2</v>
      </c>
      <c r="T1246" s="592">
        <f t="shared" si="1033"/>
        <v>4.9999999999999961E-2</v>
      </c>
      <c r="U1246" s="592">
        <f t="shared" si="1033"/>
        <v>0.05</v>
      </c>
      <c r="V1246" s="592">
        <f t="shared" si="1033"/>
        <v>5.000000000000001E-2</v>
      </c>
      <c r="W1246" s="592">
        <f t="shared" si="1033"/>
        <v>0.05</v>
      </c>
      <c r="X1246" s="592">
        <f t="shared" si="1033"/>
        <v>4.9999999999999996E-2</v>
      </c>
      <c r="Y1246" s="592">
        <f t="shared" si="1033"/>
        <v>4.9999999999999961E-2</v>
      </c>
      <c r="Z1246" s="592">
        <f t="shared" si="1033"/>
        <v>5.0000000000000031E-2</v>
      </c>
      <c r="AA1246" s="592"/>
      <c r="AB1246" s="592"/>
      <c r="AC1246" s="592"/>
      <c r="AD1246" s="592"/>
      <c r="AE1246" s="592"/>
      <c r="AF1246" s="592"/>
      <c r="AG1246" s="592"/>
      <c r="AH1246" s="592"/>
      <c r="AI1246" s="592"/>
      <c r="AJ1246" s="592"/>
    </row>
    <row r="1247" spans="1:39" x14ac:dyDescent="0.25">
      <c r="A1247" t="s">
        <v>860</v>
      </c>
    </row>
    <row r="1248" spans="1:39" s="24" customFormat="1" ht="17.25" x14ac:dyDescent="0.3">
      <c r="A1248" s="24" t="s">
        <v>860</v>
      </c>
      <c r="H1248" s="644" t="s">
        <v>476</v>
      </c>
      <c r="I1248" s="644"/>
      <c r="K1248" s="644"/>
      <c r="L1248" s="644"/>
      <c r="M1248" s="644"/>
      <c r="N1248" s="644"/>
      <c r="O1248" s="644"/>
      <c r="P1248" s="644"/>
      <c r="Q1248" s="644"/>
      <c r="R1248" s="644"/>
      <c r="S1248" s="644"/>
      <c r="T1248" s="644"/>
      <c r="U1248" s="644"/>
      <c r="V1248" s="644"/>
      <c r="W1248" s="644"/>
      <c r="X1248" s="644"/>
      <c r="Y1248" s="644"/>
      <c r="Z1248" s="644"/>
      <c r="AA1248" s="644"/>
      <c r="AB1248" s="644"/>
      <c r="AC1248" s="644"/>
      <c r="AD1248" s="644"/>
      <c r="AE1248" s="644"/>
      <c r="AF1248" s="644"/>
      <c r="AG1248" s="644"/>
      <c r="AH1248" s="644"/>
      <c r="AI1248" s="644"/>
      <c r="AJ1248" s="644"/>
    </row>
    <row r="1249" spans="1:36" s="1" customFormat="1" x14ac:dyDescent="0.25">
      <c r="A1249" s="1" t="s">
        <v>860</v>
      </c>
      <c r="H1249" s="287" t="s">
        <v>434</v>
      </c>
      <c r="I1249" s="288" t="str">
        <f>IF($H$9="USD","USD/1.000 phôi","VND/phôi")</f>
        <v>VND/phôi</v>
      </c>
      <c r="K1249" s="293">
        <f t="shared" ref="K1249" si="1034">SUM(K1250:K1251,K1254:K1257,)</f>
        <v>0</v>
      </c>
      <c r="L1249" s="293">
        <f>SUM(L1250:L1251,L1254:L1257,)</f>
        <v>241.92053240441103</v>
      </c>
      <c r="M1249" s="293">
        <f t="shared" ref="M1249:AJ1249" si="1035">SUM(M1250:M1251,M1254:M1257,)</f>
        <v>172.80038028886503</v>
      </c>
      <c r="N1249" s="293">
        <f t="shared" si="1035"/>
        <v>123.13803249913229</v>
      </c>
      <c r="O1249" s="293">
        <f t="shared" si="1035"/>
        <v>125.42468711090538</v>
      </c>
      <c r="P1249" s="293">
        <f t="shared" si="1035"/>
        <v>127.82567445326717</v>
      </c>
      <c r="Q1249" s="293">
        <f t="shared" si="1035"/>
        <v>130.34671116274703</v>
      </c>
      <c r="R1249" s="293">
        <f t="shared" si="1035"/>
        <v>132.99379970770087</v>
      </c>
      <c r="S1249" s="293">
        <f t="shared" si="1035"/>
        <v>135.77324267990244</v>
      </c>
      <c r="T1249" s="293">
        <f t="shared" si="1035"/>
        <v>138.69165780071404</v>
      </c>
      <c r="U1249" s="293">
        <f t="shared" si="1035"/>
        <v>141.75599367756624</v>
      </c>
      <c r="V1249" s="293">
        <f t="shared" si="1035"/>
        <v>144.97354634826104</v>
      </c>
      <c r="W1249" s="293">
        <f t="shared" si="1035"/>
        <v>148.35197665249063</v>
      </c>
      <c r="X1249" s="293">
        <f t="shared" si="1035"/>
        <v>91.207266743515888</v>
      </c>
      <c r="Y1249" s="293">
        <f t="shared" si="1035"/>
        <v>94.931986153928946</v>
      </c>
      <c r="Z1249" s="293">
        <f t="shared" si="1035"/>
        <v>98.842941534862703</v>
      </c>
      <c r="AA1249" s="293"/>
      <c r="AB1249" s="293"/>
      <c r="AC1249" s="293"/>
      <c r="AD1249" s="293"/>
      <c r="AE1249" s="293"/>
      <c r="AF1249" s="293"/>
      <c r="AG1249" s="293"/>
      <c r="AH1249" s="293"/>
      <c r="AI1249" s="293"/>
      <c r="AJ1249" s="293"/>
    </row>
    <row r="1250" spans="1:36" x14ac:dyDescent="0.25">
      <c r="A1250" t="s">
        <v>860</v>
      </c>
      <c r="E1250" t="s">
        <v>173</v>
      </c>
      <c r="H1250" s="572" t="s">
        <v>190</v>
      </c>
      <c r="I1250" s="573" t="str">
        <f t="shared" ref="I1250:I1257" si="1036">IF($H$9="USD","USD/1.000 phôi","VND/phôi")</f>
        <v>VND/phôi</v>
      </c>
      <c r="K1250" s="578"/>
      <c r="L1250" s="579">
        <f t="shared" ref="L1250:AJ1250" si="1037">-IF($H$9="USD",L1180/L1169/$H$10*10^3,L1180/L1169/$H$10)</f>
        <v>150.44368355925502</v>
      </c>
      <c r="M1250" s="579">
        <f t="shared" si="1037"/>
        <v>107.45977397089644</v>
      </c>
      <c r="N1250" s="579">
        <f t="shared" si="1037"/>
        <v>75.221841779627511</v>
      </c>
      <c r="O1250" s="579">
        <f t="shared" si="1037"/>
        <v>75.221841779627511</v>
      </c>
      <c r="P1250" s="579">
        <f t="shared" si="1037"/>
        <v>75.221841779627511</v>
      </c>
      <c r="Q1250" s="579">
        <f t="shared" si="1037"/>
        <v>75.221841779627511</v>
      </c>
      <c r="R1250" s="579">
        <f t="shared" si="1037"/>
        <v>75.221841779627511</v>
      </c>
      <c r="S1250" s="579">
        <f t="shared" si="1037"/>
        <v>75.221841779627511</v>
      </c>
      <c r="T1250" s="579">
        <f t="shared" si="1037"/>
        <v>75.221841779627511</v>
      </c>
      <c r="U1250" s="579">
        <f t="shared" si="1037"/>
        <v>75.221841779627511</v>
      </c>
      <c r="V1250" s="579">
        <f t="shared" si="1037"/>
        <v>75.221841779627511</v>
      </c>
      <c r="W1250" s="579">
        <f t="shared" si="1037"/>
        <v>75.221841779627511</v>
      </c>
      <c r="X1250" s="579">
        <f t="shared" si="1037"/>
        <v>14.529780051211779</v>
      </c>
      <c r="Y1250" s="579">
        <f t="shared" si="1037"/>
        <v>14.529780051211779</v>
      </c>
      <c r="Z1250" s="579">
        <f t="shared" si="1037"/>
        <v>14.529780051211779</v>
      </c>
      <c r="AA1250" s="579"/>
      <c r="AB1250" s="579"/>
      <c r="AC1250" s="579"/>
      <c r="AD1250" s="579"/>
      <c r="AE1250" s="579"/>
      <c r="AF1250" s="579"/>
      <c r="AG1250" s="579"/>
      <c r="AH1250" s="579"/>
      <c r="AI1250" s="579"/>
      <c r="AJ1250" s="579"/>
    </row>
    <row r="1251" spans="1:36" x14ac:dyDescent="0.25">
      <c r="A1251" t="s">
        <v>860</v>
      </c>
      <c r="H1251" s="574" t="s">
        <v>429</v>
      </c>
      <c r="I1251" s="575" t="str">
        <f t="shared" si="1036"/>
        <v>VND/phôi</v>
      </c>
      <c r="K1251" s="580">
        <f>SUM(K1252:K1253)</f>
        <v>0</v>
      </c>
      <c r="L1251" s="580">
        <f t="shared" ref="L1251:AJ1251" si="1038">SUM(L1252:L1253)</f>
        <v>29.115063862219181</v>
      </c>
      <c r="M1251" s="580">
        <f t="shared" si="1038"/>
        <v>20.79647418729942</v>
      </c>
      <c r="N1251" s="580">
        <f t="shared" si="1038"/>
        <v>15.285408527665071</v>
      </c>
      <c r="O1251" s="580">
        <f t="shared" si="1038"/>
        <v>16.049678954048325</v>
      </c>
      <c r="P1251" s="580">
        <f t="shared" si="1038"/>
        <v>16.852162901750745</v>
      </c>
      <c r="Q1251" s="580">
        <f t="shared" si="1038"/>
        <v>17.69477104683828</v>
      </c>
      <c r="R1251" s="580">
        <f t="shared" si="1038"/>
        <v>18.579509599180195</v>
      </c>
      <c r="S1251" s="580">
        <f t="shared" si="1038"/>
        <v>19.508485079139202</v>
      </c>
      <c r="T1251" s="580">
        <f t="shared" si="1038"/>
        <v>20.483909333096165</v>
      </c>
      <c r="U1251" s="580">
        <f t="shared" si="1038"/>
        <v>21.508104799750974</v>
      </c>
      <c r="V1251" s="580">
        <f t="shared" si="1038"/>
        <v>22.58351003973852</v>
      </c>
      <c r="W1251" s="580">
        <f t="shared" si="1038"/>
        <v>23.712685541725449</v>
      </c>
      <c r="X1251" s="580">
        <f t="shared" si="1038"/>
        <v>24.898319818811725</v>
      </c>
      <c r="Y1251" s="580">
        <f t="shared" si="1038"/>
        <v>26.143235809752301</v>
      </c>
      <c r="Z1251" s="580">
        <f t="shared" si="1038"/>
        <v>27.450397600239924</v>
      </c>
      <c r="AA1251" s="580"/>
      <c r="AB1251" s="580"/>
      <c r="AC1251" s="580"/>
      <c r="AD1251" s="580"/>
      <c r="AE1251" s="580"/>
      <c r="AF1251" s="580"/>
      <c r="AG1251" s="580"/>
      <c r="AH1251" s="580"/>
      <c r="AI1251" s="580"/>
      <c r="AJ1251" s="580"/>
    </row>
    <row r="1252" spans="1:36" s="299" customFormat="1" x14ac:dyDescent="0.25">
      <c r="A1252" s="299" t="s">
        <v>860</v>
      </c>
      <c r="E1252" s="299" t="s">
        <v>171</v>
      </c>
      <c r="H1252" s="576" t="s">
        <v>430</v>
      </c>
      <c r="I1252" s="577" t="str">
        <f t="shared" si="1036"/>
        <v>VND/phôi</v>
      </c>
      <c r="K1252" s="581"/>
      <c r="L1252" s="581">
        <f t="shared" ref="L1252:AJ1252" si="1039">-IF($H$9="USD",L1182/L1169/$H$10*10^3,L1182/L1169/$H$10)</f>
        <v>4.7599559447769781</v>
      </c>
      <c r="M1252" s="581">
        <f t="shared" si="1039"/>
        <v>3.3999685319835566</v>
      </c>
      <c r="N1252" s="581">
        <f t="shared" si="1039"/>
        <v>2.4989768710079137</v>
      </c>
      <c r="O1252" s="581">
        <f t="shared" si="1039"/>
        <v>2.6239257145583097</v>
      </c>
      <c r="P1252" s="581">
        <f t="shared" si="1039"/>
        <v>2.7551220002862253</v>
      </c>
      <c r="Q1252" s="581">
        <f t="shared" si="1039"/>
        <v>2.8928781003005359</v>
      </c>
      <c r="R1252" s="581">
        <f t="shared" si="1039"/>
        <v>3.0375220053155632</v>
      </c>
      <c r="S1252" s="581">
        <f t="shared" si="1039"/>
        <v>3.1893981055813412</v>
      </c>
      <c r="T1252" s="581">
        <f t="shared" si="1039"/>
        <v>3.3488680108604085</v>
      </c>
      <c r="U1252" s="581">
        <f t="shared" si="1039"/>
        <v>3.5163114114034286</v>
      </c>
      <c r="V1252" s="581">
        <f t="shared" si="1039"/>
        <v>3.6921269819736002</v>
      </c>
      <c r="W1252" s="581">
        <f t="shared" si="1039"/>
        <v>3.8767333310722805</v>
      </c>
      <c r="X1252" s="581">
        <f t="shared" si="1039"/>
        <v>4.0705699976258947</v>
      </c>
      <c r="Y1252" s="581">
        <f t="shared" si="1039"/>
        <v>4.2740984975071887</v>
      </c>
      <c r="Z1252" s="581">
        <f t="shared" si="1039"/>
        <v>4.4878034223825489</v>
      </c>
      <c r="AA1252" s="581"/>
      <c r="AB1252" s="581"/>
      <c r="AC1252" s="581"/>
      <c r="AD1252" s="581"/>
      <c r="AE1252" s="581"/>
      <c r="AF1252" s="581"/>
      <c r="AG1252" s="581"/>
      <c r="AH1252" s="581"/>
      <c r="AI1252" s="581"/>
      <c r="AJ1252" s="581"/>
    </row>
    <row r="1253" spans="1:36" s="299" customFormat="1" x14ac:dyDescent="0.25">
      <c r="A1253" s="299" t="s">
        <v>860</v>
      </c>
      <c r="E1253" s="299" t="s">
        <v>171</v>
      </c>
      <c r="H1253" s="576" t="s">
        <v>431</v>
      </c>
      <c r="I1253" s="577" t="str">
        <f t="shared" si="1036"/>
        <v>VND/phôi</v>
      </c>
      <c r="K1253" s="581"/>
      <c r="L1253" s="581">
        <f t="shared" ref="L1253:AJ1253" si="1040">-IF($H$9="USD",L1183/L1169/$H$10*10^3,L1183/L1169/$H$10)</f>
        <v>24.355107917442204</v>
      </c>
      <c r="M1253" s="581">
        <f t="shared" si="1040"/>
        <v>17.396505655315863</v>
      </c>
      <c r="N1253" s="581">
        <f t="shared" si="1040"/>
        <v>12.786431656657157</v>
      </c>
      <c r="O1253" s="581">
        <f t="shared" si="1040"/>
        <v>13.425753239490016</v>
      </c>
      <c r="P1253" s="581">
        <f t="shared" si="1040"/>
        <v>14.097040901464521</v>
      </c>
      <c r="Q1253" s="581">
        <f t="shared" si="1040"/>
        <v>14.801892946537743</v>
      </c>
      <c r="R1253" s="581">
        <f t="shared" si="1040"/>
        <v>15.541987593864631</v>
      </c>
      <c r="S1253" s="581">
        <f t="shared" si="1040"/>
        <v>16.319086973557862</v>
      </c>
      <c r="T1253" s="581">
        <f t="shared" si="1040"/>
        <v>17.135041322235757</v>
      </c>
      <c r="U1253" s="581">
        <f t="shared" si="1040"/>
        <v>17.991793388347546</v>
      </c>
      <c r="V1253" s="581">
        <f t="shared" si="1040"/>
        <v>18.891383057764919</v>
      </c>
      <c r="W1253" s="581">
        <f t="shared" si="1040"/>
        <v>19.835952210653168</v>
      </c>
      <c r="X1253" s="581">
        <f t="shared" si="1040"/>
        <v>20.827749821185829</v>
      </c>
      <c r="Y1253" s="581">
        <f t="shared" si="1040"/>
        <v>21.869137312245112</v>
      </c>
      <c r="Z1253" s="581">
        <f t="shared" si="1040"/>
        <v>22.962594177857376</v>
      </c>
      <c r="AA1253" s="581"/>
      <c r="AB1253" s="581"/>
      <c r="AC1253" s="581"/>
      <c r="AD1253" s="581"/>
      <c r="AE1253" s="581"/>
      <c r="AF1253" s="581"/>
      <c r="AG1253" s="581"/>
      <c r="AH1253" s="581"/>
      <c r="AI1253" s="581"/>
      <c r="AJ1253" s="581"/>
    </row>
    <row r="1254" spans="1:36" x14ac:dyDescent="0.25">
      <c r="A1254" t="s">
        <v>860</v>
      </c>
      <c r="E1254" t="s">
        <v>172</v>
      </c>
      <c r="H1254" s="574" t="s">
        <v>656</v>
      </c>
      <c r="I1254" s="575" t="str">
        <f t="shared" si="1036"/>
        <v>VND/phôi</v>
      </c>
      <c r="K1254" s="580"/>
      <c r="L1254" s="580">
        <f t="shared" ref="L1254:AJ1254" si="1041">-IF($H$9="USD",L1184/L1169/$H$10*10^3,L1184/L1169/$H$10)</f>
        <v>11.623824040969422</v>
      </c>
      <c r="M1254" s="580">
        <f t="shared" si="1041"/>
        <v>8.3027314578353018</v>
      </c>
      <c r="N1254" s="580">
        <f t="shared" si="1041"/>
        <v>6.1025076215089467</v>
      </c>
      <c r="O1254" s="580">
        <f t="shared" si="1041"/>
        <v>6.4076330025843937</v>
      </c>
      <c r="P1254" s="580">
        <f t="shared" si="1041"/>
        <v>6.7280146527136147</v>
      </c>
      <c r="Q1254" s="580">
        <f t="shared" si="1041"/>
        <v>7.064415385349295</v>
      </c>
      <c r="R1254" s="580">
        <f t="shared" si="1041"/>
        <v>7.4176361546167602</v>
      </c>
      <c r="S1254" s="580">
        <f t="shared" si="1041"/>
        <v>7.7885179623475977</v>
      </c>
      <c r="T1254" s="580">
        <f t="shared" si="1041"/>
        <v>8.1779438604649783</v>
      </c>
      <c r="U1254" s="580">
        <f t="shared" si="1041"/>
        <v>8.5868410534882269</v>
      </c>
      <c r="V1254" s="580">
        <f t="shared" si="1041"/>
        <v>9.0161831061626376</v>
      </c>
      <c r="W1254" s="580">
        <f t="shared" si="1041"/>
        <v>9.4669922614707716</v>
      </c>
      <c r="X1254" s="580">
        <f t="shared" si="1041"/>
        <v>9.9403418745443091</v>
      </c>
      <c r="Y1254" s="580">
        <f t="shared" si="1041"/>
        <v>10.437358968271525</v>
      </c>
      <c r="Z1254" s="580">
        <f t="shared" si="1041"/>
        <v>10.959226916685102</v>
      </c>
      <c r="AA1254" s="580"/>
      <c r="AB1254" s="580"/>
      <c r="AC1254" s="580"/>
      <c r="AD1254" s="580"/>
      <c r="AE1254" s="580"/>
      <c r="AF1254" s="580"/>
      <c r="AG1254" s="580"/>
      <c r="AH1254" s="580"/>
      <c r="AI1254" s="580"/>
      <c r="AJ1254" s="580"/>
    </row>
    <row r="1255" spans="1:36" x14ac:dyDescent="0.25">
      <c r="A1255" t="s">
        <v>860</v>
      </c>
      <c r="E1255" t="s">
        <v>172</v>
      </c>
      <c r="H1255" s="574" t="s">
        <v>432</v>
      </c>
      <c r="I1255" s="575" t="str">
        <f t="shared" si="1036"/>
        <v>VND/phôi</v>
      </c>
      <c r="K1255" s="580"/>
      <c r="L1255" s="580">
        <f t="shared" ref="L1255:AJ1255" si="1042">-IF($H$9="USD",L1185/L1169/$H$10*10^3,L1185/L1169/$H$10)</f>
        <v>43.698284444459318</v>
      </c>
      <c r="M1255" s="580">
        <f t="shared" si="1042"/>
        <v>31.213060317470944</v>
      </c>
      <c r="N1255" s="580">
        <f t="shared" si="1042"/>
        <v>22.941599333341141</v>
      </c>
      <c r="O1255" s="580">
        <f t="shared" si="1042"/>
        <v>24.088679300008199</v>
      </c>
      <c r="P1255" s="580">
        <f t="shared" si="1042"/>
        <v>25.293113265008611</v>
      </c>
      <c r="Q1255" s="580">
        <f t="shared" si="1042"/>
        <v>26.557768928259037</v>
      </c>
      <c r="R1255" s="580">
        <f t="shared" si="1042"/>
        <v>27.88565737467199</v>
      </c>
      <c r="S1255" s="580">
        <f t="shared" si="1042"/>
        <v>29.279940243405587</v>
      </c>
      <c r="T1255" s="580">
        <f t="shared" si="1042"/>
        <v>30.743937255575872</v>
      </c>
      <c r="U1255" s="580">
        <f t="shared" si="1042"/>
        <v>32.281134118354665</v>
      </c>
      <c r="V1255" s="580">
        <f t="shared" si="1042"/>
        <v>33.895190824272397</v>
      </c>
      <c r="W1255" s="580">
        <f t="shared" si="1042"/>
        <v>35.589950365486018</v>
      </c>
      <c r="X1255" s="580">
        <f t="shared" si="1042"/>
        <v>37.369447883760323</v>
      </c>
      <c r="Y1255" s="580">
        <f t="shared" si="1042"/>
        <v>39.237920277948334</v>
      </c>
      <c r="Z1255" s="580">
        <f t="shared" si="1042"/>
        <v>41.199816291845757</v>
      </c>
      <c r="AA1255" s="580"/>
      <c r="AB1255" s="580"/>
      <c r="AC1255" s="580"/>
      <c r="AD1255" s="580"/>
      <c r="AE1255" s="580"/>
      <c r="AF1255" s="580"/>
      <c r="AG1255" s="580"/>
      <c r="AH1255" s="580"/>
      <c r="AI1255" s="580"/>
      <c r="AJ1255" s="580"/>
    </row>
    <row r="1256" spans="1:36" x14ac:dyDescent="0.25">
      <c r="A1256" t="s">
        <v>860</v>
      </c>
      <c r="E1256" t="s">
        <v>172</v>
      </c>
      <c r="H1256" s="574" t="s">
        <v>433</v>
      </c>
      <c r="I1256" s="575" t="str">
        <f t="shared" si="1036"/>
        <v>VND/phôi</v>
      </c>
      <c r="K1256" s="580"/>
      <c r="L1256" s="580">
        <f t="shared" ref="L1256:AJ1256" si="1043">-IF($H$9="USD",L1186/L1169/$H$10*10^3,L1186/L1169/$H$10)</f>
        <v>2.6734795294229672</v>
      </c>
      <c r="M1256" s="580">
        <f t="shared" si="1043"/>
        <v>1.9096282353021197</v>
      </c>
      <c r="N1256" s="580">
        <f t="shared" si="1043"/>
        <v>1.4035767529470577</v>
      </c>
      <c r="O1256" s="580">
        <f t="shared" si="1043"/>
        <v>1.4737555905944109</v>
      </c>
      <c r="P1256" s="580">
        <f t="shared" si="1043"/>
        <v>1.5474433701241312</v>
      </c>
      <c r="Q1256" s="580">
        <f t="shared" si="1043"/>
        <v>1.624815538630338</v>
      </c>
      <c r="R1256" s="580">
        <f t="shared" si="1043"/>
        <v>1.7060563155618549</v>
      </c>
      <c r="S1256" s="580">
        <f t="shared" si="1043"/>
        <v>1.7913591313399475</v>
      </c>
      <c r="T1256" s="580">
        <f t="shared" si="1043"/>
        <v>1.8809270879069451</v>
      </c>
      <c r="U1256" s="580">
        <f t="shared" si="1043"/>
        <v>1.9749734423022924</v>
      </c>
      <c r="V1256" s="580">
        <f t="shared" si="1043"/>
        <v>2.0737221144174067</v>
      </c>
      <c r="W1256" s="580">
        <f t="shared" si="1043"/>
        <v>2.1774082201382772</v>
      </c>
      <c r="X1256" s="580">
        <f t="shared" si="1043"/>
        <v>2.2862786311451915</v>
      </c>
      <c r="Y1256" s="580">
        <f t="shared" si="1043"/>
        <v>2.4005925627024505</v>
      </c>
      <c r="Z1256" s="580">
        <f t="shared" si="1043"/>
        <v>2.5206221908375732</v>
      </c>
      <c r="AA1256" s="580"/>
      <c r="AB1256" s="580"/>
      <c r="AC1256" s="580"/>
      <c r="AD1256" s="580"/>
      <c r="AE1256" s="580"/>
      <c r="AF1256" s="580"/>
      <c r="AG1256" s="580"/>
      <c r="AH1256" s="580"/>
      <c r="AI1256" s="580"/>
      <c r="AJ1256" s="580"/>
    </row>
    <row r="1257" spans="1:36" x14ac:dyDescent="0.25">
      <c r="A1257" t="s">
        <v>860</v>
      </c>
      <c r="E1257" t="s">
        <v>172</v>
      </c>
      <c r="H1257" s="574" t="s">
        <v>520</v>
      </c>
      <c r="I1257" s="575" t="str">
        <f t="shared" si="1036"/>
        <v>VND/phôi</v>
      </c>
      <c r="K1257" s="580"/>
      <c r="L1257" s="580">
        <f t="shared" ref="L1257:AJ1257" si="1044">-IF($H$9="USD",L1187/L1169/$H$10*10^3,L1187/L1169/$H$10)</f>
        <v>4.3661969680851325</v>
      </c>
      <c r="M1257" s="580">
        <f t="shared" si="1044"/>
        <v>3.1187121200608092</v>
      </c>
      <c r="N1257" s="580">
        <f t="shared" si="1044"/>
        <v>2.1830984840425662</v>
      </c>
      <c r="O1257" s="580">
        <f t="shared" si="1044"/>
        <v>2.1830984840425662</v>
      </c>
      <c r="P1257" s="580">
        <f t="shared" si="1044"/>
        <v>2.1830984840425662</v>
      </c>
      <c r="Q1257" s="580">
        <f t="shared" si="1044"/>
        <v>2.1830984840425662</v>
      </c>
      <c r="R1257" s="580">
        <f t="shared" si="1044"/>
        <v>2.1830984840425662</v>
      </c>
      <c r="S1257" s="580">
        <f t="shared" si="1044"/>
        <v>2.1830984840425662</v>
      </c>
      <c r="T1257" s="580">
        <f t="shared" si="1044"/>
        <v>2.1830984840425662</v>
      </c>
      <c r="U1257" s="580">
        <f t="shared" si="1044"/>
        <v>2.1830984840425662</v>
      </c>
      <c r="V1257" s="580">
        <f t="shared" si="1044"/>
        <v>2.1830984840425662</v>
      </c>
      <c r="W1257" s="580">
        <f t="shared" si="1044"/>
        <v>2.1830984840425662</v>
      </c>
      <c r="X1257" s="580">
        <f t="shared" si="1044"/>
        <v>2.1830984840425662</v>
      </c>
      <c r="Y1257" s="580">
        <f t="shared" si="1044"/>
        <v>2.1830984840425662</v>
      </c>
      <c r="Z1257" s="580">
        <f t="shared" si="1044"/>
        <v>2.1830984840425662</v>
      </c>
      <c r="AA1257" s="580"/>
      <c r="AB1257" s="580"/>
      <c r="AC1257" s="580"/>
      <c r="AD1257" s="580"/>
      <c r="AE1257" s="580"/>
      <c r="AF1257" s="580"/>
      <c r="AG1257" s="580"/>
      <c r="AH1257" s="580"/>
      <c r="AI1257" s="580"/>
      <c r="AJ1257" s="580"/>
    </row>
    <row r="1258" spans="1:36" x14ac:dyDescent="0.25">
      <c r="A1258" t="s">
        <v>860</v>
      </c>
      <c r="H1258" s="289"/>
      <c r="I1258" s="290"/>
      <c r="K1258" s="294"/>
      <c r="L1258" s="294"/>
      <c r="M1258" s="294"/>
      <c r="N1258" s="294"/>
      <c r="O1258" s="294"/>
      <c r="P1258" s="294"/>
      <c r="Q1258" s="294"/>
      <c r="R1258" s="294"/>
      <c r="S1258" s="294"/>
      <c r="T1258" s="294"/>
      <c r="U1258" s="294"/>
      <c r="V1258" s="294"/>
      <c r="W1258" s="294"/>
      <c r="X1258" s="294"/>
      <c r="Y1258" s="294"/>
      <c r="Z1258" s="294"/>
      <c r="AA1258" s="294"/>
      <c r="AB1258" s="294"/>
      <c r="AC1258" s="294"/>
      <c r="AD1258" s="294"/>
      <c r="AE1258" s="294"/>
      <c r="AF1258" s="294"/>
      <c r="AG1258" s="294"/>
      <c r="AH1258" s="294"/>
      <c r="AI1258" s="294"/>
      <c r="AJ1258" s="294"/>
    </row>
    <row r="1259" spans="1:36" s="1" customFormat="1" x14ac:dyDescent="0.25">
      <c r="A1259" s="1" t="s">
        <v>860</v>
      </c>
      <c r="H1259" s="287" t="s">
        <v>435</v>
      </c>
      <c r="I1259" s="288" t="str">
        <f t="shared" ref="I1259:I1283" si="1045">IF($H$9="USD","USD/1.000 phôi","VND/phôi")</f>
        <v>VND/phôi</v>
      </c>
      <c r="K1259" s="295">
        <f>K1260+K1263+K1266</f>
        <v>0</v>
      </c>
      <c r="L1259" s="295">
        <f t="shared" ref="L1259:AJ1259" si="1046">L1260+L1263+L1266</f>
        <v>449.19330982664235</v>
      </c>
      <c r="M1259" s="295">
        <f t="shared" si="1046"/>
        <v>446.42850374202067</v>
      </c>
      <c r="N1259" s="295">
        <f t="shared" si="1046"/>
        <v>454.34041490211587</v>
      </c>
      <c r="O1259" s="295">
        <f t="shared" si="1046"/>
        <v>464.58365802475885</v>
      </c>
      <c r="P1259" s="295">
        <f t="shared" si="1046"/>
        <v>475.09268394869514</v>
      </c>
      <c r="Q1259" s="295">
        <f t="shared" si="1046"/>
        <v>485.87585422689295</v>
      </c>
      <c r="R1259" s="295">
        <f t="shared" si="1046"/>
        <v>496.94184993822643</v>
      </c>
      <c r="S1259" s="295">
        <f t="shared" si="1046"/>
        <v>508.29968569273683</v>
      </c>
      <c r="T1259" s="295">
        <f t="shared" si="1046"/>
        <v>519.95872429773522</v>
      </c>
      <c r="U1259" s="295">
        <f t="shared" si="1046"/>
        <v>531.92869211700133</v>
      </c>
      <c r="V1259" s="295">
        <f t="shared" si="1046"/>
        <v>544.21969515692911</v>
      </c>
      <c r="W1259" s="295">
        <f t="shared" si="1046"/>
        <v>556.84223591514524</v>
      </c>
      <c r="X1259" s="295">
        <f t="shared" si="1046"/>
        <v>567.37954855975329</v>
      </c>
      <c r="Y1259" s="295">
        <f t="shared" si="1046"/>
        <v>580.69834729315585</v>
      </c>
      <c r="Z1259" s="295">
        <f t="shared" si="1046"/>
        <v>594.38275090447803</v>
      </c>
      <c r="AA1259" s="295"/>
      <c r="AB1259" s="295"/>
      <c r="AC1259" s="295"/>
      <c r="AD1259" s="295"/>
      <c r="AE1259" s="295"/>
      <c r="AF1259" s="295"/>
      <c r="AG1259" s="295"/>
      <c r="AH1259" s="295"/>
      <c r="AI1259" s="295"/>
      <c r="AJ1259" s="295"/>
    </row>
    <row r="1260" spans="1:36" x14ac:dyDescent="0.25">
      <c r="A1260" t="s">
        <v>860</v>
      </c>
      <c r="H1260" s="572" t="s">
        <v>454</v>
      </c>
      <c r="I1260" s="573" t="str">
        <f t="shared" si="1045"/>
        <v>VND/phôi</v>
      </c>
      <c r="K1260" s="582">
        <f>SUM(K1261:K1262)</f>
        <v>0</v>
      </c>
      <c r="L1260" s="582">
        <f t="shared" ref="L1260:AJ1260" si="1047">SUM(L1261:L1262)</f>
        <v>402.58064516129031</v>
      </c>
      <c r="M1260" s="582">
        <f t="shared" si="1047"/>
        <v>402.58064516129042</v>
      </c>
      <c r="N1260" s="582">
        <f t="shared" si="1047"/>
        <v>410.63225806451618</v>
      </c>
      <c r="O1260" s="582">
        <f t="shared" si="1047"/>
        <v>418.84490322580649</v>
      </c>
      <c r="P1260" s="582">
        <f t="shared" si="1047"/>
        <v>427.22180129032256</v>
      </c>
      <c r="Q1260" s="582">
        <f t="shared" si="1047"/>
        <v>435.76623731612904</v>
      </c>
      <c r="R1260" s="582">
        <f t="shared" si="1047"/>
        <v>444.48156206245164</v>
      </c>
      <c r="S1260" s="582">
        <f t="shared" si="1047"/>
        <v>453.37119330370069</v>
      </c>
      <c r="T1260" s="582">
        <f t="shared" si="1047"/>
        <v>462.4386171697746</v>
      </c>
      <c r="U1260" s="582">
        <f t="shared" si="1047"/>
        <v>471.68738951317005</v>
      </c>
      <c r="V1260" s="582">
        <f t="shared" si="1047"/>
        <v>481.12113730343356</v>
      </c>
      <c r="W1260" s="582">
        <f t="shared" si="1047"/>
        <v>490.74356004950221</v>
      </c>
      <c r="X1260" s="582">
        <f t="shared" si="1047"/>
        <v>500.55843125049216</v>
      </c>
      <c r="Y1260" s="582">
        <f t="shared" si="1047"/>
        <v>510.56959987550215</v>
      </c>
      <c r="Z1260" s="582">
        <f t="shared" si="1047"/>
        <v>520.78099187301211</v>
      </c>
      <c r="AA1260" s="582"/>
      <c r="AB1260" s="582"/>
      <c r="AC1260" s="582"/>
      <c r="AD1260" s="582"/>
      <c r="AE1260" s="582"/>
      <c r="AF1260" s="582"/>
      <c r="AG1260" s="582"/>
      <c r="AH1260" s="582"/>
      <c r="AI1260" s="582"/>
      <c r="AJ1260" s="582"/>
    </row>
    <row r="1261" spans="1:36" s="299" customFormat="1" x14ac:dyDescent="0.25">
      <c r="A1261" s="299" t="s">
        <v>860</v>
      </c>
      <c r="E1261" s="299" t="s">
        <v>536</v>
      </c>
      <c r="H1261" s="576" t="s">
        <v>167</v>
      </c>
      <c r="I1261" s="577" t="str">
        <f t="shared" si="1045"/>
        <v>VND/phôi</v>
      </c>
      <c r="K1261" s="581"/>
      <c r="L1261" s="581">
        <f>-IF($H$9="USD",L1191/L1169/$H$10*10^3,L1191/L1169/$H$10)</f>
        <v>374.4</v>
      </c>
      <c r="M1261" s="581">
        <f t="shared" ref="M1261:AJ1261" si="1048">-IF($H$9="USD",M1191/M1169/$H$10*10^3,M1191/M1169/$H$10)</f>
        <v>374.40000000000003</v>
      </c>
      <c r="N1261" s="581">
        <f t="shared" si="1048"/>
        <v>381.88799999999998</v>
      </c>
      <c r="O1261" s="581">
        <f t="shared" si="1048"/>
        <v>389.52575999999999</v>
      </c>
      <c r="P1261" s="581">
        <f t="shared" si="1048"/>
        <v>397.31627519999995</v>
      </c>
      <c r="Q1261" s="581">
        <f t="shared" si="1048"/>
        <v>405.26260070400002</v>
      </c>
      <c r="R1261" s="581">
        <f t="shared" si="1048"/>
        <v>413.36785271808003</v>
      </c>
      <c r="S1261" s="581">
        <f t="shared" si="1048"/>
        <v>421.63520977244161</v>
      </c>
      <c r="T1261" s="581">
        <f t="shared" si="1048"/>
        <v>430.06791396789032</v>
      </c>
      <c r="U1261" s="581">
        <f t="shared" si="1048"/>
        <v>438.66927224724816</v>
      </c>
      <c r="V1261" s="581">
        <f t="shared" si="1048"/>
        <v>447.44265769219317</v>
      </c>
      <c r="W1261" s="581">
        <f t="shared" si="1048"/>
        <v>456.39151084603702</v>
      </c>
      <c r="X1261" s="581">
        <f t="shared" si="1048"/>
        <v>465.51934106295772</v>
      </c>
      <c r="Y1261" s="581">
        <f t="shared" si="1048"/>
        <v>474.82972788421694</v>
      </c>
      <c r="Z1261" s="581">
        <f t="shared" si="1048"/>
        <v>484.32632244190125</v>
      </c>
      <c r="AA1261" s="581"/>
      <c r="AB1261" s="581"/>
      <c r="AC1261" s="581"/>
      <c r="AD1261" s="581"/>
      <c r="AE1261" s="581"/>
      <c r="AF1261" s="581"/>
      <c r="AG1261" s="581"/>
      <c r="AH1261" s="581"/>
      <c r="AI1261" s="581"/>
      <c r="AJ1261" s="581"/>
    </row>
    <row r="1262" spans="1:36" s="299" customFormat="1" x14ac:dyDescent="0.25">
      <c r="A1262" s="299" t="s">
        <v>860</v>
      </c>
      <c r="E1262" s="299" t="s">
        <v>537</v>
      </c>
      <c r="H1262" s="645" t="s">
        <v>203</v>
      </c>
      <c r="I1262" s="646" t="str">
        <f t="shared" si="1045"/>
        <v>VND/phôi</v>
      </c>
      <c r="K1262" s="647"/>
      <c r="L1262" s="647">
        <f>-IF($H$9="USD",L1192/L1169/$H$10*10^3,L1192/L1169/$H$10)</f>
        <v>28.180645161290336</v>
      </c>
      <c r="M1262" s="647">
        <f t="shared" ref="M1262:AJ1262" si="1049">-IF($H$9="USD",M1192/M1169/$H$10*10^3,M1192/M1169/$H$10)</f>
        <v>28.180645161290371</v>
      </c>
      <c r="N1262" s="647">
        <f t="shared" si="1049"/>
        <v>28.744258064516178</v>
      </c>
      <c r="O1262" s="647">
        <f t="shared" si="1049"/>
        <v>29.319143225806506</v>
      </c>
      <c r="P1262" s="647">
        <f t="shared" si="1049"/>
        <v>29.905526090322624</v>
      </c>
      <c r="Q1262" s="647">
        <f t="shared" si="1049"/>
        <v>30.503636612129036</v>
      </c>
      <c r="R1262" s="647">
        <f t="shared" si="1049"/>
        <v>31.113709344371639</v>
      </c>
      <c r="S1262" s="647">
        <f t="shared" si="1049"/>
        <v>31.735983531259077</v>
      </c>
      <c r="T1262" s="647">
        <f t="shared" si="1049"/>
        <v>32.370703201884282</v>
      </c>
      <c r="U1262" s="647">
        <f t="shared" si="1049"/>
        <v>33.018117265921916</v>
      </c>
      <c r="V1262" s="647">
        <f t="shared" si="1049"/>
        <v>33.678479611240391</v>
      </c>
      <c r="W1262" s="647">
        <f t="shared" si="1049"/>
        <v>34.352049203465171</v>
      </c>
      <c r="X1262" s="647">
        <f t="shared" si="1049"/>
        <v>35.039090187534455</v>
      </c>
      <c r="Y1262" s="647">
        <f t="shared" si="1049"/>
        <v>35.739871991285206</v>
      </c>
      <c r="Z1262" s="647">
        <f t="shared" si="1049"/>
        <v>36.454669431110879</v>
      </c>
      <c r="AA1262" s="647"/>
      <c r="AB1262" s="647"/>
      <c r="AC1262" s="647"/>
      <c r="AD1262" s="647"/>
      <c r="AE1262" s="647"/>
      <c r="AF1262" s="647"/>
      <c r="AG1262" s="647"/>
      <c r="AH1262" s="647"/>
      <c r="AI1262" s="647"/>
      <c r="AJ1262" s="647"/>
    </row>
    <row r="1263" spans="1:36" x14ac:dyDescent="0.25">
      <c r="A1263" t="s">
        <v>860</v>
      </c>
      <c r="E1263" t="s">
        <v>177</v>
      </c>
      <c r="H1263" s="574" t="s">
        <v>676</v>
      </c>
      <c r="I1263" s="575" t="str">
        <f t="shared" si="1045"/>
        <v>VND/phôi</v>
      </c>
      <c r="K1263" s="583">
        <f>SUM(K1264:K1265)</f>
        <v>0</v>
      </c>
      <c r="L1263" s="583">
        <f t="shared" ref="L1263:AJ1263" si="1050">SUM(L1264:L1265)</f>
        <v>3.0630387096774192</v>
      </c>
      <c r="M1263" s="583">
        <f t="shared" si="1050"/>
        <v>3.0630387096774196</v>
      </c>
      <c r="N1263" s="583">
        <f t="shared" si="1050"/>
        <v>3.2161906451612912</v>
      </c>
      <c r="O1263" s="583">
        <f t="shared" si="1050"/>
        <v>3.377000177419355</v>
      </c>
      <c r="P1263" s="583">
        <f t="shared" si="1050"/>
        <v>3.5458501862903229</v>
      </c>
      <c r="Q1263" s="583">
        <f t="shared" si="1050"/>
        <v>3.7231426956048392</v>
      </c>
      <c r="R1263" s="583">
        <f t="shared" si="1050"/>
        <v>3.9092998303850814</v>
      </c>
      <c r="S1263" s="583">
        <f t="shared" si="1050"/>
        <v>4.1047648219043342</v>
      </c>
      <c r="T1263" s="583">
        <f t="shared" si="1050"/>
        <v>4.3100030629995523</v>
      </c>
      <c r="U1263" s="583">
        <f t="shared" si="1050"/>
        <v>4.525503216149529</v>
      </c>
      <c r="V1263" s="583">
        <f t="shared" si="1050"/>
        <v>4.7517783769570059</v>
      </c>
      <c r="W1263" s="583">
        <f t="shared" si="1050"/>
        <v>4.9893672958048558</v>
      </c>
      <c r="X1263" s="583">
        <f t="shared" si="1050"/>
        <v>5.2388356605950994</v>
      </c>
      <c r="Y1263" s="583">
        <f t="shared" si="1050"/>
        <v>5.5007774436248544</v>
      </c>
      <c r="Z1263" s="583">
        <f t="shared" si="1050"/>
        <v>5.7758163158060976</v>
      </c>
      <c r="AA1263" s="583"/>
      <c r="AB1263" s="583"/>
      <c r="AC1263" s="583"/>
      <c r="AD1263" s="583"/>
      <c r="AE1263" s="583"/>
      <c r="AF1263" s="583"/>
      <c r="AG1263" s="583"/>
      <c r="AH1263" s="583"/>
      <c r="AI1263" s="583"/>
      <c r="AJ1263" s="583"/>
    </row>
    <row r="1264" spans="1:36" s="299" customFormat="1" x14ac:dyDescent="0.25">
      <c r="A1264" s="299" t="s">
        <v>860</v>
      </c>
      <c r="H1264" s="576" t="s">
        <v>673</v>
      </c>
      <c r="I1264" s="577" t="str">
        <f t="shared" si="1045"/>
        <v>VND/phôi</v>
      </c>
      <c r="K1264" s="581"/>
      <c r="L1264" s="581">
        <f>-IF($H$9="USD",L1194/L1169/$H$10*10^3,L1194/L1169/$H$10)</f>
        <v>3.0630387096774192</v>
      </c>
      <c r="M1264" s="581">
        <f t="shared" ref="M1264:AJ1264" si="1051">-IF($H$9="USD",M1194/M1169/$H$10*10^3,M1194/M1169/$H$10)</f>
        <v>3.0630387096774196</v>
      </c>
      <c r="N1264" s="581">
        <f t="shared" si="1051"/>
        <v>3.2161906451612912</v>
      </c>
      <c r="O1264" s="581">
        <f t="shared" si="1051"/>
        <v>3.377000177419355</v>
      </c>
      <c r="P1264" s="581">
        <f t="shared" si="1051"/>
        <v>3.5458501862903229</v>
      </c>
      <c r="Q1264" s="581">
        <f t="shared" si="1051"/>
        <v>3.7231426956048392</v>
      </c>
      <c r="R1264" s="581">
        <f t="shared" si="1051"/>
        <v>3.9092998303850814</v>
      </c>
      <c r="S1264" s="581">
        <f t="shared" si="1051"/>
        <v>4.1047648219043342</v>
      </c>
      <c r="T1264" s="581">
        <f t="shared" si="1051"/>
        <v>4.3100030629995523</v>
      </c>
      <c r="U1264" s="581">
        <f t="shared" si="1051"/>
        <v>4.525503216149529</v>
      </c>
      <c r="V1264" s="581">
        <f t="shared" si="1051"/>
        <v>4.7517783769570059</v>
      </c>
      <c r="W1264" s="581">
        <f t="shared" si="1051"/>
        <v>4.9893672958048558</v>
      </c>
      <c r="X1264" s="581">
        <f t="shared" si="1051"/>
        <v>5.2388356605950994</v>
      </c>
      <c r="Y1264" s="581">
        <f t="shared" si="1051"/>
        <v>5.5007774436248544</v>
      </c>
      <c r="Z1264" s="581">
        <f t="shared" si="1051"/>
        <v>5.7758163158060976</v>
      </c>
      <c r="AA1264" s="581"/>
      <c r="AB1264" s="581"/>
      <c r="AC1264" s="581"/>
      <c r="AD1264" s="581"/>
      <c r="AE1264" s="581"/>
      <c r="AF1264" s="581"/>
      <c r="AG1264" s="581"/>
      <c r="AH1264" s="581"/>
      <c r="AI1264" s="581"/>
      <c r="AJ1264" s="581"/>
    </row>
    <row r="1265" spans="1:36" s="299" customFormat="1" x14ac:dyDescent="0.25">
      <c r="A1265" s="299" t="s">
        <v>860</v>
      </c>
      <c r="H1265" s="576" t="s">
        <v>674</v>
      </c>
      <c r="I1265" s="577" t="str">
        <f t="shared" si="1045"/>
        <v>VND/phôi</v>
      </c>
      <c r="K1265" s="581"/>
      <c r="L1265" s="581">
        <f>-IF($H$9="USD",L1195/L1169/$H$10*10^3,L1195/L1169/$H$10)</f>
        <v>0</v>
      </c>
      <c r="M1265" s="581">
        <f t="shared" ref="M1265:AJ1265" si="1052">-IF($H$9="USD",M1195/M1169/$H$10*10^3,M1195/M1169/$H$10)</f>
        <v>0</v>
      </c>
      <c r="N1265" s="581">
        <f t="shared" si="1052"/>
        <v>0</v>
      </c>
      <c r="O1265" s="581">
        <f t="shared" si="1052"/>
        <v>0</v>
      </c>
      <c r="P1265" s="581">
        <f t="shared" si="1052"/>
        <v>0</v>
      </c>
      <c r="Q1265" s="581">
        <f t="shared" si="1052"/>
        <v>0</v>
      </c>
      <c r="R1265" s="581">
        <f t="shared" si="1052"/>
        <v>0</v>
      </c>
      <c r="S1265" s="581">
        <f t="shared" si="1052"/>
        <v>0</v>
      </c>
      <c r="T1265" s="581">
        <f t="shared" si="1052"/>
        <v>0</v>
      </c>
      <c r="U1265" s="581">
        <f t="shared" si="1052"/>
        <v>0</v>
      </c>
      <c r="V1265" s="581">
        <f t="shared" si="1052"/>
        <v>0</v>
      </c>
      <c r="W1265" s="581">
        <f t="shared" si="1052"/>
        <v>0</v>
      </c>
      <c r="X1265" s="581">
        <f t="shared" si="1052"/>
        <v>0</v>
      </c>
      <c r="Y1265" s="581">
        <f t="shared" si="1052"/>
        <v>0</v>
      </c>
      <c r="Z1265" s="581">
        <f t="shared" si="1052"/>
        <v>0</v>
      </c>
      <c r="AA1265" s="581"/>
      <c r="AB1265" s="581"/>
      <c r="AC1265" s="581"/>
      <c r="AD1265" s="581"/>
      <c r="AE1265" s="581"/>
      <c r="AF1265" s="581"/>
      <c r="AG1265" s="581"/>
      <c r="AH1265" s="581"/>
      <c r="AI1265" s="581"/>
      <c r="AJ1265" s="581"/>
    </row>
    <row r="1266" spans="1:36" x14ac:dyDescent="0.25">
      <c r="A1266" t="s">
        <v>860</v>
      </c>
      <c r="H1266" s="574" t="s">
        <v>180</v>
      </c>
      <c r="I1266" s="575" t="str">
        <f t="shared" si="1045"/>
        <v>VND/phôi</v>
      </c>
      <c r="K1266" s="583">
        <f>SUM(K1267:K1269)</f>
        <v>0</v>
      </c>
      <c r="L1266" s="583">
        <f>SUM(L1267:L1269)</f>
        <v>43.549625955674657</v>
      </c>
      <c r="M1266" s="583">
        <f t="shared" ref="M1266:AJ1266" si="1053">SUM(M1267:M1269)</f>
        <v>40.784819871052804</v>
      </c>
      <c r="N1266" s="583">
        <f t="shared" si="1053"/>
        <v>40.491966192438404</v>
      </c>
      <c r="O1266" s="583">
        <f t="shared" si="1053"/>
        <v>42.361754621532988</v>
      </c>
      <c r="P1266" s="583">
        <f t="shared" si="1053"/>
        <v>44.325032472082299</v>
      </c>
      <c r="Q1266" s="583">
        <f t="shared" si="1053"/>
        <v>46.386474215159069</v>
      </c>
      <c r="R1266" s="583">
        <f t="shared" si="1053"/>
        <v>48.550988045389694</v>
      </c>
      <c r="S1266" s="583">
        <f t="shared" si="1053"/>
        <v>50.823727567131826</v>
      </c>
      <c r="T1266" s="583">
        <f t="shared" si="1053"/>
        <v>53.210104064961087</v>
      </c>
      <c r="U1266" s="583">
        <f t="shared" si="1053"/>
        <v>55.715799387681798</v>
      </c>
      <c r="V1266" s="583">
        <f t="shared" si="1053"/>
        <v>58.346779476538543</v>
      </c>
      <c r="W1266" s="583">
        <f t="shared" si="1053"/>
        <v>61.109308569838142</v>
      </c>
      <c r="X1266" s="583">
        <f t="shared" si="1053"/>
        <v>61.582281648666068</v>
      </c>
      <c r="Y1266" s="583">
        <f t="shared" si="1053"/>
        <v>64.627969974028858</v>
      </c>
      <c r="Z1266" s="583">
        <f t="shared" si="1053"/>
        <v>67.825942715659806</v>
      </c>
      <c r="AA1266" s="583"/>
      <c r="AB1266" s="583"/>
      <c r="AC1266" s="583"/>
      <c r="AD1266" s="583"/>
      <c r="AE1266" s="583"/>
      <c r="AF1266" s="583"/>
      <c r="AG1266" s="583"/>
      <c r="AH1266" s="583"/>
      <c r="AI1266" s="583"/>
      <c r="AJ1266" s="583"/>
    </row>
    <row r="1267" spans="1:36" s="299" customFormat="1" x14ac:dyDescent="0.25">
      <c r="A1267" s="299" t="s">
        <v>860</v>
      </c>
      <c r="E1267" s="299" t="s">
        <v>174</v>
      </c>
      <c r="H1267" s="576" t="s">
        <v>73</v>
      </c>
      <c r="I1267" s="577" t="str">
        <f t="shared" si="1045"/>
        <v>VND/phôi</v>
      </c>
      <c r="K1267" s="581"/>
      <c r="L1267" s="581">
        <f t="shared" ref="L1267:AJ1267" si="1054">-IF($H$9="USD",L1197/L1169/$H$10*10^3,L1197/L1169/$H$10)</f>
        <v>27.847782258064516</v>
      </c>
      <c r="M1267" s="581">
        <f t="shared" si="1054"/>
        <v>27.847782258064512</v>
      </c>
      <c r="N1267" s="581">
        <f t="shared" si="1054"/>
        <v>29.24017137096774</v>
      </c>
      <c r="O1267" s="581">
        <f t="shared" si="1054"/>
        <v>30.702179939516128</v>
      </c>
      <c r="P1267" s="581">
        <f t="shared" si="1054"/>
        <v>32.237288936491936</v>
      </c>
      <c r="Q1267" s="581">
        <f t="shared" si="1054"/>
        <v>33.849153383316526</v>
      </c>
      <c r="R1267" s="581">
        <f t="shared" si="1054"/>
        <v>35.541611052482359</v>
      </c>
      <c r="S1267" s="581">
        <f t="shared" si="1054"/>
        <v>37.318691605106473</v>
      </c>
      <c r="T1267" s="581">
        <f t="shared" si="1054"/>
        <v>39.1846261853618</v>
      </c>
      <c r="U1267" s="581">
        <f t="shared" si="1054"/>
        <v>41.143857494629891</v>
      </c>
      <c r="V1267" s="581">
        <f t="shared" si="1054"/>
        <v>43.201050369361383</v>
      </c>
      <c r="W1267" s="581">
        <f t="shared" si="1054"/>
        <v>45.36110288782946</v>
      </c>
      <c r="X1267" s="581">
        <f t="shared" si="1054"/>
        <v>47.629158032220928</v>
      </c>
      <c r="Y1267" s="581">
        <f t="shared" si="1054"/>
        <v>50.010615933831971</v>
      </c>
      <c r="Z1267" s="581">
        <f t="shared" si="1054"/>
        <v>52.511146730523578</v>
      </c>
      <c r="AA1267" s="581"/>
      <c r="AB1267" s="581"/>
      <c r="AC1267" s="581"/>
      <c r="AD1267" s="581"/>
      <c r="AE1267" s="581"/>
      <c r="AF1267" s="581"/>
      <c r="AG1267" s="581"/>
      <c r="AH1267" s="581"/>
      <c r="AI1267" s="581"/>
      <c r="AJ1267" s="581"/>
    </row>
    <row r="1268" spans="1:36" s="299" customFormat="1" x14ac:dyDescent="0.25">
      <c r="A1268" s="299" t="s">
        <v>860</v>
      </c>
      <c r="E1268" s="299" t="s">
        <v>306</v>
      </c>
      <c r="H1268" s="576" t="s">
        <v>192</v>
      </c>
      <c r="I1268" s="577" t="str">
        <f t="shared" si="1045"/>
        <v>VND/phôi</v>
      </c>
      <c r="K1268" s="581"/>
      <c r="L1268" s="581">
        <f t="shared" ref="L1268:AJ1268" si="1055">-IF($H$9="USD",L1198/L1169/$H$10*10^3,L1198/L1169/$H$10)</f>
        <v>4.7222222222222214</v>
      </c>
      <c r="M1268" s="581">
        <f t="shared" si="1055"/>
        <v>4.7222222222222214</v>
      </c>
      <c r="N1268" s="581">
        <f t="shared" si="1055"/>
        <v>4.958333333333333</v>
      </c>
      <c r="O1268" s="581">
        <f t="shared" si="1055"/>
        <v>5.2062499999999998</v>
      </c>
      <c r="P1268" s="581">
        <f t="shared" si="1055"/>
        <v>5.4665624999999993</v>
      </c>
      <c r="Q1268" s="581">
        <f t="shared" si="1055"/>
        <v>5.7398906249999992</v>
      </c>
      <c r="R1268" s="581">
        <f t="shared" si="1055"/>
        <v>6.0268851562500005</v>
      </c>
      <c r="S1268" s="581">
        <f t="shared" si="1055"/>
        <v>6.3282294140624984</v>
      </c>
      <c r="T1268" s="581">
        <f t="shared" si="1055"/>
        <v>6.6446408847656251</v>
      </c>
      <c r="U1268" s="581">
        <f t="shared" si="1055"/>
        <v>6.976872929003906</v>
      </c>
      <c r="V1268" s="581">
        <f t="shared" si="1055"/>
        <v>7.3257165754541012</v>
      </c>
      <c r="W1268" s="581">
        <f t="shared" si="1055"/>
        <v>7.6920024042268071</v>
      </c>
      <c r="X1268" s="581">
        <f t="shared" si="1055"/>
        <v>8.0766025244381474</v>
      </c>
      <c r="Y1268" s="581">
        <f t="shared" si="1055"/>
        <v>8.4804326506600525</v>
      </c>
      <c r="Z1268" s="581">
        <f t="shared" si="1055"/>
        <v>8.9044542831930595</v>
      </c>
      <c r="AA1268" s="581"/>
      <c r="AB1268" s="581"/>
      <c r="AC1268" s="581"/>
      <c r="AD1268" s="581"/>
      <c r="AE1268" s="581"/>
      <c r="AF1268" s="581"/>
      <c r="AG1268" s="581"/>
      <c r="AH1268" s="581"/>
      <c r="AI1268" s="581"/>
      <c r="AJ1268" s="581"/>
    </row>
    <row r="1269" spans="1:36" s="299" customFormat="1" x14ac:dyDescent="0.25">
      <c r="A1269" s="299" t="s">
        <v>860</v>
      </c>
      <c r="E1269" s="299" t="s">
        <v>172</v>
      </c>
      <c r="H1269" s="576" t="s">
        <v>175</v>
      </c>
      <c r="I1269" s="577" t="str">
        <f t="shared" si="1045"/>
        <v>VND/phôi</v>
      </c>
      <c r="K1269" s="581"/>
      <c r="L1269" s="581">
        <f t="shared" ref="L1269:AJ1269" si="1056">-IF($H$9="USD",L1199/L1169/$H$10*10^3,L1199/L1169/$H$10)</f>
        <v>10.979621475387912</v>
      </c>
      <c r="M1269" s="581">
        <f t="shared" si="1056"/>
        <v>8.2148153907660717</v>
      </c>
      <c r="N1269" s="581">
        <f t="shared" si="1056"/>
        <v>6.2934614881373347</v>
      </c>
      <c r="O1269" s="581">
        <f t="shared" si="1056"/>
        <v>6.4533246820168619</v>
      </c>
      <c r="P1269" s="581">
        <f t="shared" si="1056"/>
        <v>6.6211810355903635</v>
      </c>
      <c r="Q1269" s="581">
        <f t="shared" si="1056"/>
        <v>6.7974302068425425</v>
      </c>
      <c r="R1269" s="581">
        <f t="shared" si="1056"/>
        <v>6.9824918366573296</v>
      </c>
      <c r="S1269" s="581">
        <f t="shared" si="1056"/>
        <v>7.1768065479628564</v>
      </c>
      <c r="T1269" s="581">
        <f t="shared" si="1056"/>
        <v>7.3808369948336585</v>
      </c>
      <c r="U1269" s="581">
        <f t="shared" si="1056"/>
        <v>7.5950689640480018</v>
      </c>
      <c r="V1269" s="581">
        <f t="shared" si="1056"/>
        <v>7.8200125317230604</v>
      </c>
      <c r="W1269" s="581">
        <f t="shared" si="1056"/>
        <v>8.056203277781874</v>
      </c>
      <c r="X1269" s="581">
        <f t="shared" si="1056"/>
        <v>5.8765210920069988</v>
      </c>
      <c r="Y1269" s="581">
        <f t="shared" si="1056"/>
        <v>6.1369213895368393</v>
      </c>
      <c r="Z1269" s="581">
        <f t="shared" si="1056"/>
        <v>6.4103417019431745</v>
      </c>
      <c r="AA1269" s="581"/>
      <c r="AB1269" s="581"/>
      <c r="AC1269" s="581"/>
      <c r="AD1269" s="581"/>
      <c r="AE1269" s="581"/>
      <c r="AF1269" s="581"/>
      <c r="AG1269" s="581"/>
      <c r="AH1269" s="581"/>
      <c r="AI1269" s="581"/>
      <c r="AJ1269" s="581"/>
    </row>
    <row r="1270" spans="1:36" x14ac:dyDescent="0.25">
      <c r="A1270" t="s">
        <v>860</v>
      </c>
      <c r="H1270" s="289"/>
      <c r="I1270" s="290"/>
      <c r="K1270" s="296"/>
      <c r="L1270" s="297"/>
      <c r="M1270" s="296"/>
      <c r="N1270" s="296"/>
      <c r="O1270" s="296"/>
      <c r="P1270" s="296"/>
      <c r="Q1270" s="296"/>
      <c r="R1270" s="296"/>
      <c r="S1270" s="296"/>
      <c r="T1270" s="296"/>
      <c r="U1270" s="296"/>
      <c r="V1270" s="296"/>
      <c r="W1270" s="296"/>
      <c r="X1270" s="296"/>
      <c r="Y1270" s="296"/>
      <c r="Z1270" s="296"/>
      <c r="AA1270" s="296"/>
      <c r="AB1270" s="296"/>
      <c r="AC1270" s="296"/>
      <c r="AD1270" s="296"/>
      <c r="AE1270" s="296"/>
      <c r="AF1270" s="296"/>
      <c r="AG1270" s="296"/>
      <c r="AH1270" s="296"/>
      <c r="AI1270" s="296"/>
      <c r="AJ1270" s="296"/>
    </row>
    <row r="1271" spans="1:36" s="16" customFormat="1" x14ac:dyDescent="0.25">
      <c r="A1271" s="16" t="s">
        <v>860</v>
      </c>
      <c r="H1271" s="291" t="s">
        <v>464</v>
      </c>
      <c r="I1271" s="292" t="str">
        <f t="shared" si="1045"/>
        <v>VND/phôi</v>
      </c>
      <c r="K1271" s="298">
        <f>K1249+K1259</f>
        <v>0</v>
      </c>
      <c r="L1271" s="298">
        <f t="shared" ref="L1271:AJ1271" si="1057">L1249+L1259</f>
        <v>691.11384223105335</v>
      </c>
      <c r="M1271" s="298">
        <f t="shared" si="1057"/>
        <v>619.22888403088564</v>
      </c>
      <c r="N1271" s="298">
        <f t="shared" si="1057"/>
        <v>577.4784474012481</v>
      </c>
      <c r="O1271" s="298">
        <f t="shared" si="1057"/>
        <v>590.00834513566429</v>
      </c>
      <c r="P1271" s="298">
        <f t="shared" si="1057"/>
        <v>602.91835840196234</v>
      </c>
      <c r="Q1271" s="298">
        <f t="shared" si="1057"/>
        <v>616.22256538963995</v>
      </c>
      <c r="R1271" s="298">
        <f t="shared" si="1057"/>
        <v>629.93564964592724</v>
      </c>
      <c r="S1271" s="298">
        <f t="shared" si="1057"/>
        <v>644.07292837263924</v>
      </c>
      <c r="T1271" s="298">
        <f t="shared" si="1057"/>
        <v>658.6503820984492</v>
      </c>
      <c r="U1271" s="298">
        <f t="shared" si="1057"/>
        <v>673.6846857945676</v>
      </c>
      <c r="V1271" s="298">
        <f t="shared" si="1057"/>
        <v>689.19324150519014</v>
      </c>
      <c r="W1271" s="298">
        <f t="shared" si="1057"/>
        <v>705.19421256763587</v>
      </c>
      <c r="X1271" s="298">
        <f t="shared" si="1057"/>
        <v>658.58681530326919</v>
      </c>
      <c r="Y1271" s="298">
        <f t="shared" si="1057"/>
        <v>675.63033344708481</v>
      </c>
      <c r="Z1271" s="298">
        <f t="shared" si="1057"/>
        <v>693.22569243934072</v>
      </c>
      <c r="AA1271" s="298"/>
      <c r="AB1271" s="298"/>
      <c r="AC1271" s="298"/>
      <c r="AD1271" s="298"/>
      <c r="AE1271" s="298"/>
      <c r="AF1271" s="298"/>
      <c r="AG1271" s="298"/>
      <c r="AH1271" s="298"/>
      <c r="AI1271" s="298"/>
      <c r="AJ1271" s="298"/>
    </row>
    <row r="1272" spans="1:36" x14ac:dyDescent="0.25">
      <c r="A1272" t="s">
        <v>860</v>
      </c>
      <c r="H1272" s="289"/>
      <c r="I1272" s="290"/>
      <c r="K1272" s="296"/>
      <c r="L1272" s="296"/>
      <c r="M1272" s="296"/>
      <c r="N1272" s="296"/>
      <c r="O1272" s="296"/>
      <c r="P1272" s="296"/>
      <c r="Q1272" s="296"/>
      <c r="R1272" s="296"/>
      <c r="S1272" s="296"/>
      <c r="T1272" s="296"/>
      <c r="U1272" s="296"/>
      <c r="V1272" s="296"/>
      <c r="W1272" s="296"/>
      <c r="X1272" s="296"/>
      <c r="Y1272" s="296"/>
      <c r="Z1272" s="296"/>
      <c r="AA1272" s="296"/>
      <c r="AB1272" s="296"/>
      <c r="AC1272" s="296"/>
      <c r="AD1272" s="296"/>
      <c r="AE1272" s="296"/>
      <c r="AF1272" s="296"/>
      <c r="AG1272" s="296"/>
      <c r="AH1272" s="296"/>
      <c r="AI1272" s="296"/>
      <c r="AJ1272" s="296"/>
    </row>
    <row r="1273" spans="1:36" x14ac:dyDescent="0.25">
      <c r="A1273" t="s">
        <v>860</v>
      </c>
      <c r="E1273" t="s">
        <v>172</v>
      </c>
      <c r="H1273" s="593" t="s">
        <v>166</v>
      </c>
      <c r="I1273" s="594" t="str">
        <f t="shared" si="1045"/>
        <v>VND/phôi</v>
      </c>
      <c r="K1273" s="604"/>
      <c r="L1273" s="604">
        <f>-IF($H$9="USD",L1203/L1169/$H$10*10^3,L1203/L1169/$H$10)</f>
        <v>13.333333333333334</v>
      </c>
      <c r="M1273" s="604">
        <f t="shared" ref="M1273:AJ1273" si="1058">-IF($H$9="USD",M1203/M1169/$H$10*10^3,M1203/M1169/$H$10)</f>
        <v>13.333333333333332</v>
      </c>
      <c r="N1273" s="604">
        <f t="shared" si="1058"/>
        <v>13.999999999999998</v>
      </c>
      <c r="O1273" s="604">
        <f t="shared" si="1058"/>
        <v>14.700000000000001</v>
      </c>
      <c r="P1273" s="604">
        <f t="shared" si="1058"/>
        <v>15.435</v>
      </c>
      <c r="Q1273" s="604">
        <f t="shared" si="1058"/>
        <v>16.20675</v>
      </c>
      <c r="R1273" s="604">
        <f t="shared" si="1058"/>
        <v>17.017087500000002</v>
      </c>
      <c r="S1273" s="604">
        <f t="shared" si="1058"/>
        <v>17.867941875</v>
      </c>
      <c r="T1273" s="604">
        <f t="shared" si="1058"/>
        <v>18.761338968750003</v>
      </c>
      <c r="U1273" s="604">
        <f t="shared" si="1058"/>
        <v>19.699405917187502</v>
      </c>
      <c r="V1273" s="604">
        <f t="shared" si="1058"/>
        <v>20.684376213046878</v>
      </c>
      <c r="W1273" s="604">
        <f t="shared" si="1058"/>
        <v>21.718595023699219</v>
      </c>
      <c r="X1273" s="604">
        <f t="shared" si="1058"/>
        <v>22.804524774884179</v>
      </c>
      <c r="Y1273" s="604">
        <f t="shared" si="1058"/>
        <v>23.944751013628391</v>
      </c>
      <c r="Z1273" s="604">
        <f t="shared" si="1058"/>
        <v>25.141988564309816</v>
      </c>
      <c r="AA1273" s="604"/>
      <c r="AB1273" s="604"/>
      <c r="AC1273" s="604"/>
      <c r="AD1273" s="604"/>
      <c r="AE1273" s="604"/>
      <c r="AF1273" s="604"/>
      <c r="AG1273" s="604"/>
      <c r="AH1273" s="604"/>
      <c r="AI1273" s="604"/>
      <c r="AJ1273" s="604"/>
    </row>
    <row r="1274" spans="1:36" x14ac:dyDescent="0.25">
      <c r="A1274" t="s">
        <v>860</v>
      </c>
      <c r="E1274" t="s">
        <v>171</v>
      </c>
      <c r="H1274" s="574" t="s">
        <v>469</v>
      </c>
      <c r="I1274" s="575" t="str">
        <f t="shared" si="1045"/>
        <v>VND/phôi</v>
      </c>
      <c r="K1274" s="584"/>
      <c r="L1274" s="584">
        <f t="shared" ref="L1274:AJ1274" si="1059">-IF($H$9="USD",L1204/L1169/$H$10*10^3,L1204/L1169/$H$10)</f>
        <v>0</v>
      </c>
      <c r="M1274" s="584">
        <f t="shared" si="1059"/>
        <v>0</v>
      </c>
      <c r="N1274" s="584">
        <f t="shared" si="1059"/>
        <v>0</v>
      </c>
      <c r="O1274" s="584">
        <f t="shared" si="1059"/>
        <v>0</v>
      </c>
      <c r="P1274" s="584">
        <f t="shared" si="1059"/>
        <v>0</v>
      </c>
      <c r="Q1274" s="584">
        <f t="shared" si="1059"/>
        <v>0</v>
      </c>
      <c r="R1274" s="584">
        <f t="shared" si="1059"/>
        <v>0</v>
      </c>
      <c r="S1274" s="584">
        <f t="shared" si="1059"/>
        <v>0</v>
      </c>
      <c r="T1274" s="584">
        <f t="shared" si="1059"/>
        <v>0</v>
      </c>
      <c r="U1274" s="584">
        <f t="shared" si="1059"/>
        <v>0</v>
      </c>
      <c r="V1274" s="584">
        <f t="shared" si="1059"/>
        <v>0</v>
      </c>
      <c r="W1274" s="584">
        <f t="shared" si="1059"/>
        <v>0</v>
      </c>
      <c r="X1274" s="584">
        <f t="shared" si="1059"/>
        <v>0</v>
      </c>
      <c r="Y1274" s="584">
        <f t="shared" si="1059"/>
        <v>0</v>
      </c>
      <c r="Z1274" s="584">
        <f t="shared" si="1059"/>
        <v>0</v>
      </c>
      <c r="AA1274" s="584"/>
      <c r="AB1274" s="584"/>
      <c r="AC1274" s="584"/>
      <c r="AD1274" s="584"/>
      <c r="AE1274" s="584"/>
      <c r="AF1274" s="584"/>
      <c r="AG1274" s="584"/>
      <c r="AH1274" s="584"/>
      <c r="AI1274" s="584"/>
      <c r="AJ1274" s="584"/>
    </row>
    <row r="1275" spans="1:36" x14ac:dyDescent="0.25">
      <c r="A1275" t="s">
        <v>860</v>
      </c>
      <c r="E1275" t="s">
        <v>182</v>
      </c>
      <c r="H1275" s="574" t="s">
        <v>468</v>
      </c>
      <c r="I1275" s="575" t="str">
        <f t="shared" si="1045"/>
        <v>VND/phôi</v>
      </c>
      <c r="K1275" s="574"/>
      <c r="L1275" s="584">
        <f t="shared" ref="L1275:AJ1275" si="1060">-IF($H$9="USD",L1205/L1169/$H$10*10^3,L1205/L1169/$H$10)</f>
        <v>0</v>
      </c>
      <c r="M1275" s="584">
        <f t="shared" si="1060"/>
        <v>0</v>
      </c>
      <c r="N1275" s="584">
        <f t="shared" si="1060"/>
        <v>0</v>
      </c>
      <c r="O1275" s="584">
        <f t="shared" si="1060"/>
        <v>0</v>
      </c>
      <c r="P1275" s="584">
        <f t="shared" si="1060"/>
        <v>0</v>
      </c>
      <c r="Q1275" s="584">
        <f t="shared" si="1060"/>
        <v>0</v>
      </c>
      <c r="R1275" s="584">
        <f t="shared" si="1060"/>
        <v>0</v>
      </c>
      <c r="S1275" s="584">
        <f t="shared" si="1060"/>
        <v>0</v>
      </c>
      <c r="T1275" s="584">
        <f t="shared" si="1060"/>
        <v>0</v>
      </c>
      <c r="U1275" s="584">
        <f t="shared" si="1060"/>
        <v>0</v>
      </c>
      <c r="V1275" s="584">
        <f t="shared" si="1060"/>
        <v>0</v>
      </c>
      <c r="W1275" s="584">
        <f t="shared" si="1060"/>
        <v>0</v>
      </c>
      <c r="X1275" s="584">
        <f t="shared" si="1060"/>
        <v>0</v>
      </c>
      <c r="Y1275" s="584">
        <f t="shared" si="1060"/>
        <v>0</v>
      </c>
      <c r="Z1275" s="584">
        <f t="shared" si="1060"/>
        <v>0</v>
      </c>
      <c r="AA1275" s="584"/>
      <c r="AB1275" s="584"/>
      <c r="AC1275" s="584"/>
      <c r="AD1275" s="584"/>
      <c r="AE1275" s="584"/>
      <c r="AF1275" s="584"/>
      <c r="AG1275" s="584"/>
      <c r="AH1275" s="584"/>
      <c r="AI1275" s="584"/>
      <c r="AJ1275" s="584"/>
    </row>
    <row r="1276" spans="1:36" x14ac:dyDescent="0.25">
      <c r="A1276" t="s">
        <v>860</v>
      </c>
      <c r="E1276" t="s">
        <v>182</v>
      </c>
      <c r="H1276" s="574" t="s">
        <v>470</v>
      </c>
      <c r="I1276" s="575" t="str">
        <f t="shared" si="1045"/>
        <v>VND/phôi</v>
      </c>
      <c r="K1276" s="574"/>
      <c r="L1276" s="584">
        <f>-IF($H$9="USD",L1206/L1169/$H$10*10^3,L1206/L1169/$H$10)</f>
        <v>106.97182571808577</v>
      </c>
      <c r="M1276" s="584">
        <f t="shared" ref="M1276:AJ1276" si="1061">-IF($H$9="USD",M1206/M1169/$H$10*10^3,M1206/M1169/$H$10)</f>
        <v>73.367801471466493</v>
      </c>
      <c r="N1276" s="584">
        <f t="shared" si="1061"/>
        <v>49.080017572979045</v>
      </c>
      <c r="O1276" s="584">
        <f t="shared" si="1061"/>
        <v>46.643153073938215</v>
      </c>
      <c r="P1276" s="584">
        <f t="shared" si="1061"/>
        <v>44.035708059964541</v>
      </c>
      <c r="Q1276" s="584">
        <f t="shared" si="1061"/>
        <v>41.245741895012706</v>
      </c>
      <c r="R1276" s="584">
        <f t="shared" si="1061"/>
        <v>38.260478098514241</v>
      </c>
      <c r="S1276" s="584">
        <f t="shared" si="1061"/>
        <v>35.066245836260883</v>
      </c>
      <c r="T1276" s="584">
        <f t="shared" si="1061"/>
        <v>31.648417315649791</v>
      </c>
      <c r="U1276" s="584">
        <f t="shared" si="1061"/>
        <v>27.991340798595921</v>
      </c>
      <c r="V1276" s="584">
        <f t="shared" si="1061"/>
        <v>24.078268925348286</v>
      </c>
      <c r="W1276" s="584">
        <f t="shared" si="1061"/>
        <v>19.891282020973311</v>
      </c>
      <c r="X1276" s="584">
        <f t="shared" si="1061"/>
        <v>15.411206033292091</v>
      </c>
      <c r="Y1276" s="584">
        <f t="shared" si="1061"/>
        <v>10.617524726473185</v>
      </c>
      <c r="Z1276" s="584">
        <f t="shared" si="1061"/>
        <v>5.4882857281769573</v>
      </c>
      <c r="AA1276" s="584"/>
      <c r="AB1276" s="584"/>
      <c r="AC1276" s="584"/>
      <c r="AD1276" s="584"/>
      <c r="AE1276" s="584"/>
      <c r="AF1276" s="584"/>
      <c r="AG1276" s="584"/>
      <c r="AH1276" s="584"/>
      <c r="AI1276" s="584"/>
      <c r="AJ1276" s="584"/>
    </row>
    <row r="1277" spans="1:36" x14ac:dyDescent="0.25">
      <c r="A1277" t="s">
        <v>860</v>
      </c>
      <c r="H1277" s="289"/>
      <c r="I1277" s="290"/>
      <c r="K1277" s="289"/>
      <c r="L1277" s="289"/>
      <c r="M1277" s="289"/>
      <c r="N1277" s="289"/>
      <c r="O1277" s="289"/>
      <c r="P1277" s="289"/>
      <c r="Q1277" s="289"/>
      <c r="R1277" s="289"/>
      <c r="S1277" s="289"/>
      <c r="T1277" s="289"/>
      <c r="U1277" s="289"/>
      <c r="V1277" s="289"/>
      <c r="W1277" s="289"/>
      <c r="X1277" s="289"/>
      <c r="Y1277" s="289"/>
      <c r="Z1277" s="289"/>
      <c r="AA1277" s="289"/>
      <c r="AB1277" s="289"/>
      <c r="AC1277" s="289"/>
      <c r="AD1277" s="289"/>
      <c r="AE1277" s="289"/>
      <c r="AF1277" s="289"/>
      <c r="AG1277" s="289"/>
      <c r="AH1277" s="289"/>
      <c r="AI1277" s="289"/>
      <c r="AJ1277" s="289"/>
    </row>
    <row r="1278" spans="1:36" s="16" customFormat="1" x14ac:dyDescent="0.25">
      <c r="A1278" s="16" t="s">
        <v>860</v>
      </c>
      <c r="H1278" s="291" t="s">
        <v>487</v>
      </c>
      <c r="I1278" s="292" t="str">
        <f t="shared" si="1045"/>
        <v>VND/phôi</v>
      </c>
      <c r="K1278" s="298">
        <f>K1271+SUM(K1273:K1276)</f>
        <v>0</v>
      </c>
      <c r="L1278" s="298">
        <f t="shared" ref="L1278:AJ1278" si="1062">L1271+SUM(L1273:L1276)</f>
        <v>811.41900128247244</v>
      </c>
      <c r="M1278" s="298">
        <f t="shared" si="1062"/>
        <v>705.93001883568547</v>
      </c>
      <c r="N1278" s="298">
        <f t="shared" si="1062"/>
        <v>640.55846497422715</v>
      </c>
      <c r="O1278" s="298">
        <f t="shared" si="1062"/>
        <v>651.35149820960248</v>
      </c>
      <c r="P1278" s="298">
        <f t="shared" si="1062"/>
        <v>662.38906646192686</v>
      </c>
      <c r="Q1278" s="298">
        <f t="shared" si="1062"/>
        <v>673.67505728465267</v>
      </c>
      <c r="R1278" s="298">
        <f t="shared" si="1062"/>
        <v>685.21321524444147</v>
      </c>
      <c r="S1278" s="298">
        <f t="shared" si="1062"/>
        <v>697.00711608390009</v>
      </c>
      <c r="T1278" s="298">
        <f t="shared" si="1062"/>
        <v>709.060138382849</v>
      </c>
      <c r="U1278" s="298">
        <f t="shared" si="1062"/>
        <v>721.37543251035106</v>
      </c>
      <c r="V1278" s="298">
        <f t="shared" si="1062"/>
        <v>733.95588664358536</v>
      </c>
      <c r="W1278" s="298">
        <f t="shared" si="1062"/>
        <v>746.80408961230842</v>
      </c>
      <c r="X1278" s="298">
        <f t="shared" si="1062"/>
        <v>696.80254611144551</v>
      </c>
      <c r="Y1278" s="298">
        <f t="shared" si="1062"/>
        <v>710.19260918718635</v>
      </c>
      <c r="Z1278" s="298">
        <f t="shared" si="1062"/>
        <v>723.85596673182749</v>
      </c>
      <c r="AA1278" s="298"/>
      <c r="AB1278" s="298"/>
      <c r="AC1278" s="298"/>
      <c r="AD1278" s="298"/>
      <c r="AE1278" s="298"/>
      <c r="AF1278" s="298"/>
      <c r="AG1278" s="298"/>
      <c r="AH1278" s="298"/>
      <c r="AI1278" s="298"/>
      <c r="AJ1278" s="298"/>
    </row>
    <row r="1279" spans="1:36" x14ac:dyDescent="0.25">
      <c r="A1279" t="s">
        <v>860</v>
      </c>
    </row>
    <row r="1280" spans="1:36" x14ac:dyDescent="0.25">
      <c r="A1280" t="s">
        <v>860</v>
      </c>
      <c r="H1280" s="593" t="s">
        <v>361</v>
      </c>
      <c r="I1280" s="594" t="str">
        <f t="shared" si="1045"/>
        <v>VND/phôi</v>
      </c>
      <c r="K1280" s="593"/>
      <c r="L1280" s="599">
        <f>INDEX('Cover Page'!$H$12:$AJ$12,MATCH($A1280,'Cover Page'!$H$5:$AJ$5,0))</f>
        <v>6.6666666666666666E-2</v>
      </c>
      <c r="M1280" s="599">
        <f>INDEX('Cover Page'!$H$12:$AJ$12,MATCH($A1280,'Cover Page'!$H$5:$AJ$5,0))</f>
        <v>6.6666666666666666E-2</v>
      </c>
      <c r="N1280" s="599">
        <f>INDEX('Cover Page'!$H$12:$AJ$12,MATCH($A1280,'Cover Page'!$H$5:$AJ$5,0))</f>
        <v>6.6666666666666666E-2</v>
      </c>
      <c r="O1280" s="599">
        <f>INDEX('Cover Page'!$H$12:$AJ$12,MATCH($A1280,'Cover Page'!$H$5:$AJ$5,0))</f>
        <v>6.6666666666666666E-2</v>
      </c>
      <c r="P1280" s="599">
        <f>INDEX('Cover Page'!$H$12:$AJ$12,MATCH($A1280,'Cover Page'!$H$5:$AJ$5,0))</f>
        <v>6.6666666666666666E-2</v>
      </c>
      <c r="Q1280" s="599">
        <f>INDEX('Cover Page'!$H$12:$AJ$12,MATCH($A1280,'Cover Page'!$H$5:$AJ$5,0))</f>
        <v>6.6666666666666666E-2</v>
      </c>
      <c r="R1280" s="599">
        <f>INDEX('Cover Page'!$H$12:$AJ$12,MATCH($A1280,'Cover Page'!$H$5:$AJ$5,0))</f>
        <v>6.6666666666666666E-2</v>
      </c>
      <c r="S1280" s="599">
        <f>INDEX('Cover Page'!$H$12:$AJ$12,MATCH($A1280,'Cover Page'!$H$5:$AJ$5,0))</f>
        <v>6.6666666666666666E-2</v>
      </c>
      <c r="T1280" s="599">
        <f>INDEX('Cover Page'!$H$12:$AJ$12,MATCH($A1280,'Cover Page'!$H$5:$AJ$5,0))</f>
        <v>6.6666666666666666E-2</v>
      </c>
      <c r="U1280" s="599">
        <f>INDEX('Cover Page'!$H$12:$AJ$12,MATCH($A1280,'Cover Page'!$H$5:$AJ$5,0))</f>
        <v>6.6666666666666666E-2</v>
      </c>
      <c r="V1280" s="599">
        <f>INDEX('Cover Page'!$H$12:$AJ$12,MATCH($A1280,'Cover Page'!$H$5:$AJ$5,0))</f>
        <v>6.6666666666666666E-2</v>
      </c>
      <c r="W1280" s="599">
        <f>INDEX('Cover Page'!$H$12:$AJ$12,MATCH($A1280,'Cover Page'!$H$5:$AJ$5,0))</f>
        <v>6.6666666666666666E-2</v>
      </c>
      <c r="X1280" s="599">
        <f>INDEX('Cover Page'!$H$12:$AJ$12,MATCH($A1280,'Cover Page'!$H$5:$AJ$5,0))</f>
        <v>6.6666666666666666E-2</v>
      </c>
      <c r="Y1280" s="599">
        <f>INDEX('Cover Page'!$H$12:$AJ$12,MATCH($A1280,'Cover Page'!$H$5:$AJ$5,0))</f>
        <v>6.6666666666666666E-2</v>
      </c>
      <c r="Z1280" s="599">
        <f>INDEX('Cover Page'!$H$12:$AJ$12,MATCH($A1280,'Cover Page'!$H$5:$AJ$5,0))</f>
        <v>6.6666666666666666E-2</v>
      </c>
      <c r="AA1280" s="599"/>
      <c r="AB1280" s="599"/>
      <c r="AC1280" s="599"/>
      <c r="AD1280" s="599"/>
      <c r="AE1280" s="599"/>
      <c r="AF1280" s="599"/>
      <c r="AG1280" s="599"/>
      <c r="AH1280" s="599"/>
      <c r="AI1280" s="599"/>
      <c r="AJ1280" s="599"/>
    </row>
    <row r="1281" spans="1:36" s="1" customFormat="1" x14ac:dyDescent="0.25">
      <c r="A1281" s="1" t="s">
        <v>860</v>
      </c>
      <c r="H1281" s="595" t="s">
        <v>490</v>
      </c>
      <c r="I1281" s="596" t="str">
        <f t="shared" si="1045"/>
        <v>VND/phôi</v>
      </c>
      <c r="K1281" s="595"/>
      <c r="L1281" s="600">
        <f>L1278*(1+L1280)</f>
        <v>865.51360136797064</v>
      </c>
      <c r="M1281" s="600">
        <f t="shared" ref="M1281:AJ1281" si="1063">M1278*(1+M1280)</f>
        <v>752.99202009139788</v>
      </c>
      <c r="N1281" s="600">
        <f t="shared" si="1063"/>
        <v>683.26236263917565</v>
      </c>
      <c r="O1281" s="600">
        <f t="shared" si="1063"/>
        <v>694.77493142357594</v>
      </c>
      <c r="P1281" s="600">
        <f t="shared" si="1063"/>
        <v>706.54833755938864</v>
      </c>
      <c r="Q1281" s="600">
        <f t="shared" si="1063"/>
        <v>718.58672777029619</v>
      </c>
      <c r="R1281" s="600">
        <f t="shared" si="1063"/>
        <v>730.89409626073757</v>
      </c>
      <c r="S1281" s="600">
        <f t="shared" si="1063"/>
        <v>743.47425715616009</v>
      </c>
      <c r="T1281" s="600">
        <f t="shared" si="1063"/>
        <v>756.33081427503896</v>
      </c>
      <c r="U1281" s="600">
        <f t="shared" si="1063"/>
        <v>769.46712801104115</v>
      </c>
      <c r="V1281" s="600">
        <f t="shared" si="1063"/>
        <v>782.88627908649107</v>
      </c>
      <c r="W1281" s="600">
        <f t="shared" si="1063"/>
        <v>796.59102891979569</v>
      </c>
      <c r="X1281" s="600">
        <f t="shared" si="1063"/>
        <v>743.25604918554188</v>
      </c>
      <c r="Y1281" s="600">
        <f t="shared" si="1063"/>
        <v>757.53878313299879</v>
      </c>
      <c r="Z1281" s="600">
        <f t="shared" si="1063"/>
        <v>772.11303118061596</v>
      </c>
      <c r="AA1281" s="600"/>
      <c r="AB1281" s="600"/>
      <c r="AC1281" s="600"/>
      <c r="AD1281" s="600"/>
      <c r="AE1281" s="600"/>
      <c r="AF1281" s="600"/>
      <c r="AG1281" s="600"/>
      <c r="AH1281" s="600"/>
      <c r="AI1281" s="600"/>
      <c r="AJ1281" s="600"/>
    </row>
    <row r="1282" spans="1:36" x14ac:dyDescent="0.25">
      <c r="A1282" t="s">
        <v>860</v>
      </c>
      <c r="H1282" s="574" t="s">
        <v>292</v>
      </c>
      <c r="I1282" s="575" t="str">
        <f t="shared" si="1045"/>
        <v>VND/phôi</v>
      </c>
      <c r="K1282" s="574"/>
      <c r="L1282" s="601">
        <f t="shared" ref="L1282:AJ1282" si="1064">Tax_rate</f>
        <v>0.2</v>
      </c>
      <c r="M1282" s="601">
        <f t="shared" si="1064"/>
        <v>0.2</v>
      </c>
      <c r="N1282" s="601">
        <f t="shared" si="1064"/>
        <v>0.2</v>
      </c>
      <c r="O1282" s="601">
        <f t="shared" si="1064"/>
        <v>0.2</v>
      </c>
      <c r="P1282" s="601">
        <f t="shared" si="1064"/>
        <v>0.2</v>
      </c>
      <c r="Q1282" s="601">
        <f t="shared" si="1064"/>
        <v>0.2</v>
      </c>
      <c r="R1282" s="601">
        <f t="shared" si="1064"/>
        <v>0.2</v>
      </c>
      <c r="S1282" s="601">
        <f t="shared" si="1064"/>
        <v>0.2</v>
      </c>
      <c r="T1282" s="601">
        <f t="shared" si="1064"/>
        <v>0.2</v>
      </c>
      <c r="U1282" s="601">
        <f t="shared" si="1064"/>
        <v>0.2</v>
      </c>
      <c r="V1282" s="601">
        <f t="shared" si="1064"/>
        <v>0.2</v>
      </c>
      <c r="W1282" s="601">
        <f t="shared" si="1064"/>
        <v>0.2</v>
      </c>
      <c r="X1282" s="601">
        <f t="shared" si="1064"/>
        <v>0.2</v>
      </c>
      <c r="Y1282" s="601">
        <f t="shared" si="1064"/>
        <v>0.2</v>
      </c>
      <c r="Z1282" s="601">
        <f t="shared" si="1064"/>
        <v>0.2</v>
      </c>
      <c r="AA1282" s="601"/>
      <c r="AB1282" s="601"/>
      <c r="AC1282" s="601"/>
      <c r="AD1282" s="601"/>
      <c r="AE1282" s="601"/>
      <c r="AF1282" s="601"/>
      <c r="AG1282" s="601"/>
      <c r="AH1282" s="601"/>
      <c r="AI1282" s="601"/>
      <c r="AJ1282" s="601"/>
    </row>
    <row r="1283" spans="1:36" s="1" customFormat="1" x14ac:dyDescent="0.25">
      <c r="A1283" s="1" t="s">
        <v>860</v>
      </c>
      <c r="H1283" s="595" t="s">
        <v>491</v>
      </c>
      <c r="I1283" s="596" t="str">
        <f t="shared" si="1045"/>
        <v>VND/phôi</v>
      </c>
      <c r="K1283" s="595"/>
      <c r="L1283" s="600">
        <f>(L1281-L1278)*(1-L1282)</f>
        <v>43.275680068398565</v>
      </c>
      <c r="M1283" s="600">
        <f t="shared" ref="M1283:AJ1283" si="1065">(M1281-M1278)*(1-M1282)</f>
        <v>37.649601004569924</v>
      </c>
      <c r="N1283" s="600">
        <f t="shared" si="1065"/>
        <v>34.163118131958804</v>
      </c>
      <c r="O1283" s="600">
        <f t="shared" si="1065"/>
        <v>34.738746571178766</v>
      </c>
      <c r="P1283" s="600">
        <f t="shared" si="1065"/>
        <v>35.327416877969426</v>
      </c>
      <c r="Q1283" s="600">
        <f t="shared" si="1065"/>
        <v>35.92933638851482</v>
      </c>
      <c r="R1283" s="600">
        <f t="shared" si="1065"/>
        <v>36.54470481303688</v>
      </c>
      <c r="S1283" s="600">
        <f t="shared" si="1065"/>
        <v>37.173712857808006</v>
      </c>
      <c r="T1283" s="600">
        <f t="shared" si="1065"/>
        <v>37.816540713751969</v>
      </c>
      <c r="U1283" s="600">
        <f t="shared" si="1065"/>
        <v>38.473356400552078</v>
      </c>
      <c r="V1283" s="600">
        <f t="shared" si="1065"/>
        <v>39.144313954324574</v>
      </c>
      <c r="W1283" s="600">
        <f t="shared" si="1065"/>
        <v>39.829551445989821</v>
      </c>
      <c r="X1283" s="600">
        <f t="shared" si="1065"/>
        <v>37.162802459277103</v>
      </c>
      <c r="Y1283" s="600">
        <f t="shared" si="1065"/>
        <v>37.876939156649954</v>
      </c>
      <c r="Z1283" s="600">
        <f t="shared" si="1065"/>
        <v>38.605651559030775</v>
      </c>
      <c r="AA1283" s="600"/>
      <c r="AB1283" s="600"/>
      <c r="AC1283" s="600"/>
      <c r="AD1283" s="600"/>
      <c r="AE1283" s="600"/>
      <c r="AF1283" s="600"/>
      <c r="AG1283" s="600"/>
      <c r="AH1283" s="600"/>
      <c r="AI1283" s="600"/>
      <c r="AJ1283" s="600"/>
    </row>
    <row r="1284" spans="1:36" s="146" customFormat="1" x14ac:dyDescent="0.25">
      <c r="A1284" s="146" t="s">
        <v>860</v>
      </c>
      <c r="H1284" s="597" t="s">
        <v>492</v>
      </c>
      <c r="I1284" s="598"/>
      <c r="K1284" s="597"/>
      <c r="L1284" s="602">
        <f>IFERROR(L1283/L1281,0)</f>
        <v>5.0000000000000037E-2</v>
      </c>
      <c r="M1284" s="602">
        <f>IFERROR(M1283/M1281,0)</f>
        <v>5.0000000000000037E-2</v>
      </c>
      <c r="N1284" s="602">
        <f t="shared" ref="N1284:AJ1284" si="1066">IFERROR(N1283/N1281,0)</f>
        <v>5.0000000000000031E-2</v>
      </c>
      <c r="O1284" s="602">
        <f t="shared" si="1066"/>
        <v>4.9999999999999954E-2</v>
      </c>
      <c r="P1284" s="602">
        <f t="shared" si="1066"/>
        <v>4.9999999999999989E-2</v>
      </c>
      <c r="Q1284" s="602">
        <f t="shared" si="1066"/>
        <v>5.0000000000000017E-2</v>
      </c>
      <c r="R1284" s="602">
        <f t="shared" si="1066"/>
        <v>0.05</v>
      </c>
      <c r="S1284" s="602">
        <f t="shared" si="1066"/>
        <v>0.05</v>
      </c>
      <c r="T1284" s="602">
        <f t="shared" si="1066"/>
        <v>5.0000000000000031E-2</v>
      </c>
      <c r="U1284" s="602">
        <f t="shared" si="1066"/>
        <v>5.0000000000000024E-2</v>
      </c>
      <c r="V1284" s="602">
        <f t="shared" si="1066"/>
        <v>5.0000000000000024E-2</v>
      </c>
      <c r="W1284" s="602">
        <f t="shared" si="1066"/>
        <v>5.0000000000000044E-2</v>
      </c>
      <c r="X1284" s="602">
        <f t="shared" si="1066"/>
        <v>5.000000000000001E-2</v>
      </c>
      <c r="Y1284" s="602">
        <f t="shared" si="1066"/>
        <v>5.0000000000000017E-2</v>
      </c>
      <c r="Z1284" s="602">
        <f t="shared" si="1066"/>
        <v>4.9999999999999968E-2</v>
      </c>
      <c r="AA1284" s="602"/>
      <c r="AB1284" s="602"/>
      <c r="AC1284" s="602"/>
      <c r="AD1284" s="602"/>
      <c r="AE1284" s="602"/>
      <c r="AF1284" s="602"/>
      <c r="AG1284" s="602"/>
      <c r="AH1284" s="602"/>
      <c r="AI1284" s="602"/>
      <c r="AJ1284" s="602"/>
    </row>
    <row r="1285" spans="1:36" x14ac:dyDescent="0.25">
      <c r="A1285" t="s">
        <v>860</v>
      </c>
      <c r="L1285" s="64"/>
    </row>
    <row r="1286" spans="1:36" x14ac:dyDescent="0.25">
      <c r="A1286" t="s">
        <v>860</v>
      </c>
      <c r="H1286" s="1" t="s">
        <v>493</v>
      </c>
    </row>
    <row r="1287" spans="1:36" x14ac:dyDescent="0.25">
      <c r="A1287" t="s">
        <v>860</v>
      </c>
      <c r="H1287" t="s">
        <v>493</v>
      </c>
      <c r="I1287" s="65" t="s">
        <v>475</v>
      </c>
      <c r="K1287" s="15"/>
      <c r="L1287" s="15">
        <f t="shared" ref="L1287:AJ1287" si="1067">L1288*PHOI_KG*10^3/10^6</f>
        <v>41.282922367591155</v>
      </c>
      <c r="M1287" s="15">
        <f t="shared" si="1067"/>
        <v>42.108580814942975</v>
      </c>
      <c r="N1287" s="15">
        <f t="shared" si="1067"/>
        <v>42.950752431241838</v>
      </c>
      <c r="O1287" s="15">
        <f t="shared" si="1067"/>
        <v>43.809767479866679</v>
      </c>
      <c r="P1287" s="15">
        <f t="shared" si="1067"/>
        <v>44.685962829464003</v>
      </c>
      <c r="Q1287" s="15">
        <f t="shared" si="1067"/>
        <v>45.579682086053296</v>
      </c>
      <c r="R1287" s="15">
        <f t="shared" si="1067"/>
        <v>46.491275727774365</v>
      </c>
      <c r="S1287" s="15">
        <f t="shared" si="1067"/>
        <v>47.421101242329833</v>
      </c>
      <c r="T1287" s="15">
        <f t="shared" si="1067"/>
        <v>48.36952326717644</v>
      </c>
      <c r="U1287" s="15">
        <f t="shared" si="1067"/>
        <v>49.336913732519967</v>
      </c>
      <c r="V1287" s="15">
        <f t="shared" si="1067"/>
        <v>50.323652007170374</v>
      </c>
      <c r="W1287" s="15">
        <f t="shared" si="1067"/>
        <v>51.330125047313764</v>
      </c>
      <c r="X1287" s="15">
        <f t="shared" si="1067"/>
        <v>52.356727548260054</v>
      </c>
      <c r="Y1287" s="15">
        <f t="shared" si="1067"/>
        <v>53.403862099225243</v>
      </c>
      <c r="Z1287" s="15">
        <f t="shared" si="1067"/>
        <v>54.471939341209762</v>
      </c>
      <c r="AA1287" s="15"/>
      <c r="AB1287" s="15"/>
      <c r="AC1287" s="15"/>
      <c r="AD1287" s="15"/>
      <c r="AE1287" s="15"/>
      <c r="AF1287" s="15"/>
      <c r="AG1287" s="15"/>
      <c r="AH1287" s="15"/>
      <c r="AI1287" s="15"/>
      <c r="AJ1287" s="15"/>
    </row>
    <row r="1288" spans="1:36" x14ac:dyDescent="0.25">
      <c r="A1288" t="s">
        <v>860</v>
      </c>
      <c r="F1288" t="s">
        <v>570</v>
      </c>
      <c r="H1288" t="s">
        <v>493</v>
      </c>
      <c r="I1288" s="65" t="s">
        <v>368</v>
      </c>
      <c r="K1288" s="27"/>
      <c r="L1288" s="27">
        <f>INDEX('Cover Page'!$H$14:$AJ$14,MATCH($A1288,'Cover Page'!$H$5:$AJ$5,0))*POWER(1+INDEX('Cover Page'!$H$17:$AJ$17,MATCH($A1288,'Cover Page'!$H$5:$AJ$5,0)),L$12+1)</f>
        <v>619.24383551386734</v>
      </c>
      <c r="M1288" s="27">
        <f>INDEX('Cover Page'!$H$14:$AJ$14,MATCH($A1288,'Cover Page'!$H$5:$AJ$5,0))*POWER(1+INDEX('Cover Page'!$H$17:$AJ$17,MATCH($A1288,'Cover Page'!$H$5:$AJ$5,0)),M$12+1)</f>
        <v>631.62871222414469</v>
      </c>
      <c r="N1288" s="27">
        <f>INDEX('Cover Page'!$H$14:$AJ$14,MATCH($A1288,'Cover Page'!$H$5:$AJ$5,0))*POWER(1+INDEX('Cover Page'!$H$17:$AJ$17,MATCH($A1288,'Cover Page'!$H$5:$AJ$5,0)),N$12+1)</f>
        <v>644.26128646862753</v>
      </c>
      <c r="O1288" s="27">
        <f>INDEX('Cover Page'!$H$14:$AJ$14,MATCH($A1288,'Cover Page'!$H$5:$AJ$5,0))*POWER(1+INDEX('Cover Page'!$H$17:$AJ$17,MATCH($A1288,'Cover Page'!$H$5:$AJ$5,0)),O$12+1)</f>
        <v>657.1465121980001</v>
      </c>
      <c r="P1288" s="27">
        <f>INDEX('Cover Page'!$H$14:$AJ$14,MATCH($A1288,'Cover Page'!$H$5:$AJ$5,0))*POWER(1+INDEX('Cover Page'!$H$17:$AJ$17,MATCH($A1288,'Cover Page'!$H$5:$AJ$5,0)),P$12+1)</f>
        <v>670.28944244196009</v>
      </c>
      <c r="Q1288" s="27">
        <f>INDEX('Cover Page'!$H$14:$AJ$14,MATCH($A1288,'Cover Page'!$H$5:$AJ$5,0))*POWER(1+INDEX('Cover Page'!$H$17:$AJ$17,MATCH($A1288,'Cover Page'!$H$5:$AJ$5,0)),Q$12+1)</f>
        <v>683.69523129079937</v>
      </c>
      <c r="R1288" s="27">
        <f>INDEX('Cover Page'!$H$14:$AJ$14,MATCH($A1288,'Cover Page'!$H$5:$AJ$5,0))*POWER(1+INDEX('Cover Page'!$H$17:$AJ$17,MATCH($A1288,'Cover Page'!$H$5:$AJ$5,0)),R$12+1)</f>
        <v>697.36913591661539</v>
      </c>
      <c r="S1288" s="27">
        <f>INDEX('Cover Page'!$H$14:$AJ$14,MATCH($A1288,'Cover Page'!$H$5:$AJ$5,0))*POWER(1+INDEX('Cover Page'!$H$17:$AJ$17,MATCH($A1288,'Cover Page'!$H$5:$AJ$5,0)),S$12+1)</f>
        <v>711.31651863494756</v>
      </c>
      <c r="T1288" s="27">
        <f>INDEX('Cover Page'!$H$14:$AJ$14,MATCH($A1288,'Cover Page'!$H$5:$AJ$5,0))*POWER(1+INDEX('Cover Page'!$H$17:$AJ$17,MATCH($A1288,'Cover Page'!$H$5:$AJ$5,0)),T$12+1)</f>
        <v>725.54284900764651</v>
      </c>
      <c r="U1288" s="27">
        <f>INDEX('Cover Page'!$H$14:$AJ$14,MATCH($A1288,'Cover Page'!$H$5:$AJ$5,0))*POWER(1+INDEX('Cover Page'!$H$17:$AJ$17,MATCH($A1288,'Cover Page'!$H$5:$AJ$5,0)),U$12+1)</f>
        <v>740.0537059877995</v>
      </c>
      <c r="V1288" s="27">
        <f>INDEX('Cover Page'!$H$14:$AJ$14,MATCH($A1288,'Cover Page'!$H$5:$AJ$5,0))*POWER(1+INDEX('Cover Page'!$H$17:$AJ$17,MATCH($A1288,'Cover Page'!$H$5:$AJ$5,0)),V$12+1)</f>
        <v>754.85478010755548</v>
      </c>
      <c r="W1288" s="27">
        <f>INDEX('Cover Page'!$H$14:$AJ$14,MATCH($A1288,'Cover Page'!$H$5:$AJ$5,0))*POWER(1+INDEX('Cover Page'!$H$17:$AJ$17,MATCH($A1288,'Cover Page'!$H$5:$AJ$5,0)),W$12+1)</f>
        <v>769.95187570970643</v>
      </c>
      <c r="X1288" s="27">
        <f>INDEX('Cover Page'!$H$14:$AJ$14,MATCH($A1288,'Cover Page'!$H$5:$AJ$5,0))*POWER(1+INDEX('Cover Page'!$H$17:$AJ$17,MATCH($A1288,'Cover Page'!$H$5:$AJ$5,0)),X$12+1)</f>
        <v>785.35091322390076</v>
      </c>
      <c r="Y1288" s="27">
        <f>INDEX('Cover Page'!$H$14:$AJ$14,MATCH($A1288,'Cover Page'!$H$5:$AJ$5,0))*POWER(1+INDEX('Cover Page'!$H$17:$AJ$17,MATCH($A1288,'Cover Page'!$H$5:$AJ$5,0)),Y$12+1)</f>
        <v>801.0579314883787</v>
      </c>
      <c r="Z1288" s="27">
        <f>INDEX('Cover Page'!$H$14:$AJ$14,MATCH($A1288,'Cover Page'!$H$5:$AJ$5,0))*POWER(1+INDEX('Cover Page'!$H$17:$AJ$17,MATCH($A1288,'Cover Page'!$H$5:$AJ$5,0)),Z$12+1)</f>
        <v>817.07909011814638</v>
      </c>
      <c r="AA1288" s="27"/>
      <c r="AB1288" s="27"/>
      <c r="AC1288" s="27"/>
      <c r="AD1288" s="27"/>
      <c r="AE1288" s="27"/>
      <c r="AF1288" s="27"/>
      <c r="AG1288" s="27"/>
      <c r="AH1288" s="27"/>
      <c r="AI1288" s="27"/>
      <c r="AJ1288" s="27"/>
    </row>
    <row r="1289" spans="1:36" x14ac:dyDescent="0.25">
      <c r="A1289" t="s">
        <v>860</v>
      </c>
      <c r="H1289" t="s">
        <v>493</v>
      </c>
      <c r="I1289" s="65" t="s">
        <v>369</v>
      </c>
      <c r="K1289" s="15"/>
      <c r="L1289" s="15">
        <f t="shared" ref="L1289:AJ1289" si="1068">L1287/EXR*10^6</f>
        <v>1587.8047064458137</v>
      </c>
      <c r="M1289" s="15">
        <f t="shared" si="1068"/>
        <v>1619.5608005747299</v>
      </c>
      <c r="N1289" s="15">
        <f t="shared" si="1068"/>
        <v>1651.9520165862245</v>
      </c>
      <c r="O1289" s="15">
        <f t="shared" si="1068"/>
        <v>1684.9910569179492</v>
      </c>
      <c r="P1289" s="15">
        <f t="shared" si="1068"/>
        <v>1718.6908780563076</v>
      </c>
      <c r="Q1289" s="15">
        <f t="shared" si="1068"/>
        <v>1753.0646956174344</v>
      </c>
      <c r="R1289" s="15">
        <f t="shared" si="1068"/>
        <v>1788.1259895297833</v>
      </c>
      <c r="S1289" s="15">
        <f t="shared" si="1068"/>
        <v>1823.8885093203783</v>
      </c>
      <c r="T1289" s="15">
        <f t="shared" si="1068"/>
        <v>1860.3662795067862</v>
      </c>
      <c r="U1289" s="15">
        <f t="shared" si="1068"/>
        <v>1897.5736050969219</v>
      </c>
      <c r="V1289" s="15">
        <f t="shared" si="1068"/>
        <v>1935.5250771988606</v>
      </c>
      <c r="W1289" s="15">
        <f t="shared" si="1068"/>
        <v>1974.2355787428371</v>
      </c>
      <c r="X1289" s="15">
        <f t="shared" si="1068"/>
        <v>2013.7202903176944</v>
      </c>
      <c r="Y1289" s="15">
        <f t="shared" si="1068"/>
        <v>2053.9946961240476</v>
      </c>
      <c r="Z1289" s="15">
        <f t="shared" si="1068"/>
        <v>2095.074590046529</v>
      </c>
      <c r="AA1289" s="15"/>
      <c r="AB1289" s="15"/>
      <c r="AC1289" s="15"/>
      <c r="AD1289" s="15"/>
      <c r="AE1289" s="15"/>
      <c r="AF1289" s="15"/>
      <c r="AG1289" s="15"/>
      <c r="AH1289" s="15"/>
      <c r="AI1289" s="15"/>
      <c r="AJ1289" s="15"/>
    </row>
    <row r="1290" spans="1:36" x14ac:dyDescent="0.25">
      <c r="A1290" t="s">
        <v>860</v>
      </c>
      <c r="H1290" t="s">
        <v>493</v>
      </c>
      <c r="I1290" s="65" t="s">
        <v>494</v>
      </c>
      <c r="K1290" s="15"/>
      <c r="L1290" s="15">
        <f t="shared" ref="L1290:AJ1290" si="1069">L1288*1000/EXR</f>
        <v>23.817070596687206</v>
      </c>
      <c r="M1290" s="15">
        <f t="shared" si="1069"/>
        <v>24.293412008620951</v>
      </c>
      <c r="N1290" s="15">
        <f t="shared" si="1069"/>
        <v>24.779280248793366</v>
      </c>
      <c r="O1290" s="15">
        <f t="shared" si="1069"/>
        <v>25.274865853769235</v>
      </c>
      <c r="P1290" s="15">
        <f t="shared" si="1069"/>
        <v>25.78036317084462</v>
      </c>
      <c r="Q1290" s="15">
        <f t="shared" si="1069"/>
        <v>26.295970434261513</v>
      </c>
      <c r="R1290" s="15">
        <f t="shared" si="1069"/>
        <v>26.821889842946746</v>
      </c>
      <c r="S1290" s="15">
        <f t="shared" si="1069"/>
        <v>27.358327639805676</v>
      </c>
      <c r="T1290" s="15">
        <f t="shared" si="1069"/>
        <v>27.90549419260179</v>
      </c>
      <c r="U1290" s="15">
        <f t="shared" si="1069"/>
        <v>28.463604076453827</v>
      </c>
      <c r="V1290" s="15">
        <f t="shared" si="1069"/>
        <v>29.032876157982901</v>
      </c>
      <c r="W1290" s="15">
        <f t="shared" si="1069"/>
        <v>29.613533681142556</v>
      </c>
      <c r="X1290" s="15">
        <f t="shared" si="1069"/>
        <v>30.205804354765412</v>
      </c>
      <c r="Y1290" s="15">
        <f t="shared" si="1069"/>
        <v>30.809920441860719</v>
      </c>
      <c r="Z1290" s="15">
        <f t="shared" si="1069"/>
        <v>31.426118850697939</v>
      </c>
      <c r="AA1290" s="15"/>
      <c r="AB1290" s="15"/>
      <c r="AC1290" s="15"/>
      <c r="AD1290" s="15"/>
      <c r="AE1290" s="15"/>
      <c r="AF1290" s="15"/>
      <c r="AG1290" s="15"/>
      <c r="AH1290" s="15"/>
      <c r="AI1290" s="15"/>
      <c r="AJ1290" s="15"/>
    </row>
    <row r="1291" spans="1:36" x14ac:dyDescent="0.25">
      <c r="A1291" t="s">
        <v>860</v>
      </c>
    </row>
    <row r="1292" spans="1:36" s="16" customFormat="1" x14ac:dyDescent="0.25">
      <c r="A1292" s="16" t="s">
        <v>860</v>
      </c>
      <c r="D1292" s="16" t="s">
        <v>722</v>
      </c>
      <c r="H1292" s="270" t="s">
        <v>497</v>
      </c>
      <c r="I1292" s="271" t="str">
        <f>IF($H$9="USD","USD","tr. VND")</f>
        <v>tr. VND</v>
      </c>
      <c r="K1292" s="270"/>
      <c r="L1292" s="272">
        <f t="shared" ref="L1292:AJ1292" si="1070">IF($H$9="USD",L1289*L1168/10^3,L1287*L1168/10^3)</f>
        <v>127856.8223327419</v>
      </c>
      <c r="M1292" s="272">
        <f t="shared" si="1070"/>
        <v>182579.54229115541</v>
      </c>
      <c r="N1292" s="272">
        <f t="shared" si="1070"/>
        <v>266044.47590996936</v>
      </c>
      <c r="O1292" s="272">
        <f t="shared" si="1070"/>
        <v>271365.36542816879</v>
      </c>
      <c r="P1292" s="272">
        <f t="shared" si="1070"/>
        <v>276792.67273673206</v>
      </c>
      <c r="Q1292" s="272">
        <f t="shared" si="1070"/>
        <v>282328.52619146684</v>
      </c>
      <c r="R1292" s="272">
        <f t="shared" si="1070"/>
        <v>287975.09671529615</v>
      </c>
      <c r="S1292" s="272">
        <f t="shared" si="1070"/>
        <v>293734.59864960192</v>
      </c>
      <c r="T1292" s="272">
        <f t="shared" si="1070"/>
        <v>299609.29062259407</v>
      </c>
      <c r="U1292" s="272">
        <f t="shared" si="1070"/>
        <v>305601.47643504594</v>
      </c>
      <c r="V1292" s="272">
        <f t="shared" si="1070"/>
        <v>311713.50596374692</v>
      </c>
      <c r="W1292" s="272">
        <f t="shared" si="1070"/>
        <v>317947.77608302172</v>
      </c>
      <c r="X1292" s="272">
        <f t="shared" si="1070"/>
        <v>324306.73160468228</v>
      </c>
      <c r="Y1292" s="272">
        <f t="shared" si="1070"/>
        <v>330792.86623677582</v>
      </c>
      <c r="Z1292" s="272">
        <f t="shared" si="1070"/>
        <v>337408.72356151138</v>
      </c>
      <c r="AA1292" s="272"/>
      <c r="AB1292" s="272"/>
      <c r="AC1292" s="272"/>
      <c r="AD1292" s="272"/>
      <c r="AE1292" s="272"/>
      <c r="AF1292" s="272"/>
      <c r="AG1292" s="272"/>
      <c r="AH1292" s="272"/>
      <c r="AI1292" s="272"/>
      <c r="AJ1292" s="272"/>
    </row>
    <row r="1293" spans="1:36" x14ac:dyDescent="0.25">
      <c r="A1293" t="s">
        <v>860</v>
      </c>
    </row>
    <row r="1294" spans="1:36" s="1" customFormat="1" x14ac:dyDescent="0.25">
      <c r="A1294" s="1" t="s">
        <v>860</v>
      </c>
      <c r="H1294" s="266" t="s">
        <v>495</v>
      </c>
      <c r="I1294" s="267" t="str">
        <f>IF($H$9="USD","USD","tr. VND")</f>
        <v>tr. VND</v>
      </c>
      <c r="K1294" s="266"/>
      <c r="L1294" s="269">
        <f>L1292+L1208</f>
        <v>-39678.886760418216</v>
      </c>
      <c r="M1294" s="269">
        <f t="shared" ref="M1294:AJ1294" si="1071">M1292+M1208</f>
        <v>-21477.647057874477</v>
      </c>
      <c r="N1294" s="269">
        <f t="shared" si="1071"/>
        <v>1529.0616160806385</v>
      </c>
      <c r="O1294" s="269">
        <f t="shared" si="1071"/>
        <v>2393.0220421669073</v>
      </c>
      <c r="P1294" s="269">
        <f t="shared" si="1071"/>
        <v>3262.4207464341307</v>
      </c>
      <c r="Q1294" s="269">
        <f t="shared" si="1071"/>
        <v>4137.7807389360387</v>
      </c>
      <c r="R1294" s="269">
        <f t="shared" si="1071"/>
        <v>5019.7266425213311</v>
      </c>
      <c r="S1294" s="269">
        <f t="shared" si="1071"/>
        <v>5908.9962135471287</v>
      </c>
      <c r="T1294" s="269">
        <f t="shared" si="1071"/>
        <v>6806.4529125847039</v>
      </c>
      <c r="U1294" s="269">
        <f t="shared" si="1071"/>
        <v>7713.0996112596476</v>
      </c>
      <c r="V1294" s="269">
        <f t="shared" si="1071"/>
        <v>8630.093528041034</v>
      </c>
      <c r="W1294" s="269">
        <f t="shared" si="1071"/>
        <v>9558.7624929535668</v>
      </c>
      <c r="X1294" s="269">
        <f t="shared" si="1071"/>
        <v>36565.605315575493</v>
      </c>
      <c r="Y1294" s="269">
        <f t="shared" si="1071"/>
        <v>37522.380372281361</v>
      </c>
      <c r="Z1294" s="269">
        <f t="shared" si="1071"/>
        <v>38496.022537606419</v>
      </c>
      <c r="AA1294" s="269"/>
      <c r="AB1294" s="269"/>
      <c r="AC1294" s="269"/>
      <c r="AD1294" s="269"/>
      <c r="AE1294" s="269"/>
      <c r="AF1294" s="269"/>
      <c r="AG1294" s="269"/>
      <c r="AH1294" s="269"/>
      <c r="AI1294" s="269"/>
      <c r="AJ1294" s="269"/>
    </row>
    <row r="1295" spans="1:36" s="146" customFormat="1" x14ac:dyDescent="0.25">
      <c r="A1295" s="146" t="s">
        <v>860</v>
      </c>
      <c r="H1295" s="146" t="s">
        <v>496</v>
      </c>
      <c r="I1295" s="144"/>
      <c r="L1295" s="147">
        <f>IFERROR(L1294/L1292,0)</f>
        <v>-0.31033843979913417</v>
      </c>
      <c r="M1295" s="147">
        <f t="shared" ref="M1295:AJ1295" si="1072">IFERROR(M1294/M1292,0)</f>
        <v>-0.11763446653636894</v>
      </c>
      <c r="N1295" s="147">
        <f t="shared" si="1072"/>
        <v>5.7473909610439716E-3</v>
      </c>
      <c r="O1295" s="147">
        <f t="shared" si="1072"/>
        <v>8.8184504989836203E-3</v>
      </c>
      <c r="P1295" s="147">
        <f t="shared" si="1072"/>
        <v>1.1786514123288018E-2</v>
      </c>
      <c r="Q1295" s="147">
        <f t="shared" si="1072"/>
        <v>1.4655907409547126E-2</v>
      </c>
      <c r="R1295" s="147">
        <f t="shared" si="1072"/>
        <v>1.7431113661484542E-2</v>
      </c>
      <c r="S1295" s="147">
        <f t="shared" si="1072"/>
        <v>2.0116786516511158E-2</v>
      </c>
      <c r="T1295" s="147">
        <f t="shared" si="1072"/>
        <v>2.2717763185650081E-2</v>
      </c>
      <c r="U1295" s="147">
        <f t="shared" si="1072"/>
        <v>2.5239078361910427E-2</v>
      </c>
      <c r="V1295" s="147">
        <f t="shared" si="1072"/>
        <v>2.7685978832899003E-2</v>
      </c>
      <c r="W1295" s="147">
        <f t="shared" si="1072"/>
        <v>3.0063938835218042E-2</v>
      </c>
      <c r="X1295" s="147">
        <f t="shared" si="1072"/>
        <v>0.11275006576227221</v>
      </c>
      <c r="Y1295" s="147">
        <f t="shared" si="1072"/>
        <v>0.11343164923461042</v>
      </c>
      <c r="Z1295" s="147">
        <f t="shared" si="1072"/>
        <v>0.11409314534390927</v>
      </c>
      <c r="AA1295" s="147"/>
      <c r="AB1295" s="147"/>
      <c r="AC1295" s="147"/>
      <c r="AD1295" s="147"/>
      <c r="AE1295" s="147"/>
      <c r="AF1295" s="147"/>
      <c r="AG1295" s="147"/>
      <c r="AH1295" s="147"/>
      <c r="AI1295" s="147"/>
      <c r="AJ1295" s="147"/>
    </row>
    <row r="1296" spans="1:36" x14ac:dyDescent="0.25">
      <c r="A1296" t="s">
        <v>860</v>
      </c>
    </row>
    <row r="1297" spans="1:36" s="16" customFormat="1" x14ac:dyDescent="0.25">
      <c r="A1297" s="16" t="s">
        <v>860</v>
      </c>
      <c r="D1297" s="16" t="s">
        <v>488</v>
      </c>
      <c r="H1297" s="270" t="s">
        <v>488</v>
      </c>
      <c r="I1297" s="271" t="str">
        <f>IF($H$9="USD","USD","tr. VND")</f>
        <v>tr. VND</v>
      </c>
      <c r="K1297" s="270"/>
      <c r="L1297" s="272">
        <f t="shared" ref="L1297:AJ1297" si="1073">L1294*(1-Tax_rate)</f>
        <v>-31743.109408334574</v>
      </c>
      <c r="M1297" s="272">
        <f t="shared" si="1073"/>
        <v>-17182.117646299583</v>
      </c>
      <c r="N1297" s="272">
        <f t="shared" si="1073"/>
        <v>1223.2492928645108</v>
      </c>
      <c r="O1297" s="272">
        <f t="shared" si="1073"/>
        <v>1914.4176337335259</v>
      </c>
      <c r="P1297" s="272">
        <f t="shared" si="1073"/>
        <v>2609.9365971473048</v>
      </c>
      <c r="Q1297" s="272">
        <f t="shared" si="1073"/>
        <v>3310.2245911488312</v>
      </c>
      <c r="R1297" s="272">
        <f t="shared" si="1073"/>
        <v>4015.7813140170651</v>
      </c>
      <c r="S1297" s="272">
        <f t="shared" si="1073"/>
        <v>4727.1969708377028</v>
      </c>
      <c r="T1297" s="272">
        <f t="shared" si="1073"/>
        <v>5445.1623300677638</v>
      </c>
      <c r="U1297" s="272">
        <f t="shared" si="1073"/>
        <v>6170.4796890077187</v>
      </c>
      <c r="V1297" s="272">
        <f t="shared" si="1073"/>
        <v>6904.0748224328272</v>
      </c>
      <c r="W1297" s="272">
        <f t="shared" si="1073"/>
        <v>7647.0099943628538</v>
      </c>
      <c r="X1297" s="272">
        <f t="shared" si="1073"/>
        <v>29252.484252460396</v>
      </c>
      <c r="Y1297" s="272">
        <f t="shared" si="1073"/>
        <v>30017.904297825091</v>
      </c>
      <c r="Z1297" s="272">
        <f t="shared" si="1073"/>
        <v>30796.818030085138</v>
      </c>
      <c r="AA1297" s="272"/>
      <c r="AB1297" s="272"/>
      <c r="AC1297" s="272"/>
      <c r="AD1297" s="272"/>
      <c r="AE1297" s="272"/>
      <c r="AF1297" s="272"/>
      <c r="AG1297" s="272"/>
      <c r="AH1297" s="272"/>
      <c r="AI1297" s="272"/>
      <c r="AJ1297" s="272"/>
    </row>
    <row r="1298" spans="1:36" s="146" customFormat="1" x14ac:dyDescent="0.25">
      <c r="A1298" s="146" t="s">
        <v>860</v>
      </c>
      <c r="H1298" s="146" t="s">
        <v>489</v>
      </c>
      <c r="I1298" s="144"/>
      <c r="L1298" s="147">
        <f>IFERROR(L1297/L1292,0)</f>
        <v>-0.24827075183930736</v>
      </c>
      <c r="M1298" s="147">
        <f t="shared" ref="M1298:AJ1298" si="1074">IFERROR(M1297/M1292,0)</f>
        <v>-9.4107573229095159E-2</v>
      </c>
      <c r="N1298" s="147">
        <f t="shared" si="1074"/>
        <v>4.597912768835177E-3</v>
      </c>
      <c r="O1298" s="147">
        <f t="shared" si="1074"/>
        <v>7.0547603991868955E-3</v>
      </c>
      <c r="P1298" s="147">
        <f t="shared" si="1074"/>
        <v>9.4292112986304154E-3</v>
      </c>
      <c r="Q1298" s="147">
        <f t="shared" si="1074"/>
        <v>1.1724725927637701E-2</v>
      </c>
      <c r="R1298" s="147">
        <f t="shared" si="1074"/>
        <v>1.3944890929187635E-2</v>
      </c>
      <c r="S1298" s="147">
        <f t="shared" si="1074"/>
        <v>1.6093429213208926E-2</v>
      </c>
      <c r="T1298" s="147">
        <f t="shared" si="1074"/>
        <v>1.8174210548520069E-2</v>
      </c>
      <c r="U1298" s="147">
        <f t="shared" si="1074"/>
        <v>2.0191262689528346E-2</v>
      </c>
      <c r="V1298" s="147">
        <f t="shared" si="1074"/>
        <v>2.2148783066319202E-2</v>
      </c>
      <c r="W1298" s="147">
        <f t="shared" si="1074"/>
        <v>2.4051151068174435E-2</v>
      </c>
      <c r="X1298" s="147">
        <f t="shared" si="1074"/>
        <v>9.0200052609817782E-2</v>
      </c>
      <c r="Y1298" s="147">
        <f t="shared" si="1074"/>
        <v>9.0745319387688345E-2</v>
      </c>
      <c r="Z1298" s="147">
        <f t="shared" si="1074"/>
        <v>9.1274516275127421E-2</v>
      </c>
      <c r="AA1298" s="147"/>
      <c r="AB1298" s="147"/>
      <c r="AC1298" s="147"/>
      <c r="AD1298" s="147"/>
      <c r="AE1298" s="147"/>
      <c r="AF1298" s="147"/>
      <c r="AG1298" s="147"/>
      <c r="AH1298" s="147"/>
      <c r="AI1298" s="147"/>
      <c r="AJ1298" s="147"/>
    </row>
    <row r="1299" spans="1:36" x14ac:dyDescent="0.25">
      <c r="A1299" t="s">
        <v>860</v>
      </c>
    </row>
    <row r="1300" spans="1:36" s="16" customFormat="1" x14ac:dyDescent="0.25">
      <c r="A1300" s="16" t="s">
        <v>860</v>
      </c>
      <c r="H1300" s="270" t="s">
        <v>477</v>
      </c>
      <c r="I1300" s="271" t="str">
        <f>IF($H$9="USD","USD","tr. VND")</f>
        <v>tr. VND</v>
      </c>
      <c r="K1300" s="272">
        <f>SUM(K1302:K1305)</f>
        <v>-450749.80000000005</v>
      </c>
      <c r="L1300" s="272">
        <f t="shared" ref="L1300:AJ1300" si="1075">SUM(L1302:L1305)</f>
        <v>0</v>
      </c>
      <c r="M1300" s="272">
        <f t="shared" si="1075"/>
        <v>0</v>
      </c>
      <c r="N1300" s="272">
        <f t="shared" si="1075"/>
        <v>0</v>
      </c>
      <c r="O1300" s="272">
        <f t="shared" si="1075"/>
        <v>0</v>
      </c>
      <c r="P1300" s="272">
        <f t="shared" si="1075"/>
        <v>0</v>
      </c>
      <c r="Q1300" s="272">
        <f t="shared" si="1075"/>
        <v>0</v>
      </c>
      <c r="R1300" s="272">
        <f t="shared" si="1075"/>
        <v>0</v>
      </c>
      <c r="S1300" s="272">
        <f t="shared" si="1075"/>
        <v>0</v>
      </c>
      <c r="T1300" s="272">
        <f t="shared" si="1075"/>
        <v>0</v>
      </c>
      <c r="U1300" s="272">
        <f t="shared" si="1075"/>
        <v>0</v>
      </c>
      <c r="V1300" s="272">
        <f t="shared" si="1075"/>
        <v>0</v>
      </c>
      <c r="W1300" s="272">
        <f t="shared" si="1075"/>
        <v>0</v>
      </c>
      <c r="X1300" s="272">
        <f t="shared" si="1075"/>
        <v>0</v>
      </c>
      <c r="Y1300" s="272">
        <f t="shared" si="1075"/>
        <v>0</v>
      </c>
      <c r="Z1300" s="272">
        <f t="shared" si="1075"/>
        <v>0</v>
      </c>
      <c r="AA1300" s="272"/>
      <c r="AB1300" s="272"/>
      <c r="AC1300" s="272"/>
      <c r="AD1300" s="272"/>
      <c r="AE1300" s="272"/>
      <c r="AF1300" s="272"/>
      <c r="AG1300" s="272"/>
      <c r="AH1300" s="272"/>
      <c r="AI1300" s="272"/>
      <c r="AJ1300" s="272"/>
    </row>
    <row r="1301" spans="1:36" x14ac:dyDescent="0.25">
      <c r="A1301" t="s">
        <v>860</v>
      </c>
    </row>
    <row r="1302" spans="1:36" x14ac:dyDescent="0.25">
      <c r="A1302" t="s">
        <v>860</v>
      </c>
      <c r="B1302" t="s">
        <v>480</v>
      </c>
      <c r="H1302" s="459" t="s">
        <v>30</v>
      </c>
      <c r="I1302" s="493" t="str">
        <f t="shared" ref="I1302:I1305" si="1076">IF($H$9="USD","USD","tr. VND")</f>
        <v>tr. VND</v>
      </c>
      <c r="K1302" s="461" cm="1">
        <f t="array" ref="K1302">-SUMPRODUCT('W1'!$H$10:$BC$60*('W1'!$A$10:$A$60=$B1302)*('W1'!$H$7:$BC$7="Giá trị đầu tư")*('W1'!$H$6:$BC$6=$A1302))*$H$10</f>
        <v>-246389.00000000003</v>
      </c>
      <c r="L1302" s="461"/>
      <c r="M1302" s="461"/>
      <c r="N1302" s="461"/>
      <c r="O1302" s="461"/>
      <c r="P1302" s="461"/>
      <c r="Q1302" s="461"/>
      <c r="R1302" s="461"/>
      <c r="S1302" s="461"/>
      <c r="T1302" s="461"/>
      <c r="U1302" s="461"/>
      <c r="V1302" s="461"/>
      <c r="W1302" s="461"/>
      <c r="X1302" s="461"/>
      <c r="Y1302" s="461"/>
      <c r="Z1302" s="461"/>
      <c r="AA1302" s="461"/>
      <c r="AB1302" s="461"/>
      <c r="AC1302" s="461"/>
      <c r="AD1302" s="461"/>
      <c r="AE1302" s="461"/>
      <c r="AF1302" s="461"/>
      <c r="AG1302" s="461"/>
      <c r="AH1302" s="461"/>
      <c r="AI1302" s="461"/>
      <c r="AJ1302" s="461"/>
    </row>
    <row r="1303" spans="1:36" x14ac:dyDescent="0.25">
      <c r="A1303" t="s">
        <v>860</v>
      </c>
      <c r="B1303" t="s">
        <v>481</v>
      </c>
      <c r="H1303" s="454" t="s">
        <v>32</v>
      </c>
      <c r="I1303" s="496" t="str">
        <f t="shared" si="1076"/>
        <v>tr. VND</v>
      </c>
      <c r="K1303" s="457" cm="1">
        <f t="array" ref="K1303">-SUMPRODUCT('W1'!$H$10:$BC$60*('W1'!$A$10:$A$60=$B1303)*('W1'!$H$7:$BC$7="Giá trị đầu tư")*('W1'!$H$6:$BC$6=$A1303))*$H$10</f>
        <v>-38110.799999999996</v>
      </c>
      <c r="L1303" s="457"/>
      <c r="M1303" s="457"/>
      <c r="N1303" s="457"/>
      <c r="O1303" s="457"/>
      <c r="P1303" s="457"/>
      <c r="Q1303" s="457"/>
      <c r="R1303" s="457"/>
      <c r="S1303" s="457"/>
      <c r="T1303" s="457"/>
      <c r="U1303" s="457"/>
      <c r="V1303" s="457"/>
      <c r="W1303" s="457"/>
      <c r="X1303" s="457"/>
      <c r="Y1303" s="457"/>
      <c r="Z1303" s="457"/>
      <c r="AA1303" s="457"/>
      <c r="AB1303" s="457"/>
      <c r="AC1303" s="457"/>
      <c r="AD1303" s="457"/>
      <c r="AE1303" s="457"/>
      <c r="AF1303" s="457"/>
      <c r="AG1303" s="457"/>
      <c r="AH1303" s="457"/>
      <c r="AI1303" s="457"/>
      <c r="AJ1303" s="457"/>
    </row>
    <row r="1304" spans="1:36" x14ac:dyDescent="0.25">
      <c r="A1304" t="s">
        <v>860</v>
      </c>
      <c r="B1304" t="s">
        <v>482</v>
      </c>
      <c r="H1304" s="454" t="s">
        <v>478</v>
      </c>
      <c r="I1304" s="496" t="str">
        <f t="shared" si="1076"/>
        <v>tr. VND</v>
      </c>
      <c r="K1304" s="457" cm="1">
        <f t="array" ref="K1304">-SUMPRODUCT('W1'!$H$10:$BC$60*('W1'!$A$10:$A$60=$B1304)*('W1'!$H$7:$BC$7="Giá trị đầu tư")*('W1'!$H$6:$BC$6=$A1304))*$H$10</f>
        <v>-150000</v>
      </c>
      <c r="L1304" s="457"/>
      <c r="M1304" s="457"/>
      <c r="N1304" s="457"/>
      <c r="O1304" s="457"/>
      <c r="P1304" s="457"/>
      <c r="Q1304" s="457"/>
      <c r="R1304" s="457"/>
      <c r="S1304" s="457"/>
      <c r="T1304" s="457"/>
      <c r="U1304" s="457"/>
      <c r="V1304" s="457"/>
      <c r="W1304" s="457"/>
      <c r="X1304" s="457"/>
      <c r="Y1304" s="457"/>
      <c r="Z1304" s="457"/>
      <c r="AA1304" s="457"/>
      <c r="AB1304" s="457"/>
      <c r="AC1304" s="457"/>
      <c r="AD1304" s="457"/>
      <c r="AE1304" s="457"/>
      <c r="AF1304" s="457"/>
      <c r="AG1304" s="457"/>
      <c r="AH1304" s="457"/>
      <c r="AI1304" s="457"/>
      <c r="AJ1304" s="457"/>
    </row>
    <row r="1305" spans="1:36" x14ac:dyDescent="0.25">
      <c r="A1305" t="s">
        <v>860</v>
      </c>
      <c r="B1305" t="s">
        <v>483</v>
      </c>
      <c r="H1305" s="454" t="s">
        <v>479</v>
      </c>
      <c r="I1305" s="496" t="str">
        <f t="shared" si="1076"/>
        <v>tr. VND</v>
      </c>
      <c r="K1305" s="457" cm="1">
        <f t="array" ref="K1305">-SUMPRODUCT('W1'!$H$10:$BC$60*('W1'!$A$10:$A$60=$B1305)*('W1'!$H$7:$BC$7="Giá trị đầu tư")*('W1'!$H$6:$BC$6=$A1305))*$H$10</f>
        <v>-16250</v>
      </c>
      <c r="L1305" s="457"/>
      <c r="M1305" s="457"/>
      <c r="N1305" s="457"/>
      <c r="O1305" s="457"/>
      <c r="P1305" s="457"/>
      <c r="Q1305" s="457"/>
      <c r="R1305" s="457"/>
      <c r="S1305" s="457"/>
      <c r="T1305" s="457"/>
      <c r="U1305" s="457"/>
      <c r="V1305" s="457"/>
      <c r="W1305" s="457"/>
      <c r="X1305" s="457"/>
      <c r="Y1305" s="457"/>
      <c r="Z1305" s="457"/>
      <c r="AA1305" s="457"/>
      <c r="AB1305" s="457"/>
      <c r="AC1305" s="457"/>
      <c r="AD1305" s="457"/>
      <c r="AE1305" s="457"/>
      <c r="AF1305" s="457"/>
      <c r="AG1305" s="457"/>
      <c r="AH1305" s="457"/>
      <c r="AI1305" s="457"/>
      <c r="AJ1305" s="457"/>
    </row>
    <row r="1306" spans="1:36" x14ac:dyDescent="0.25">
      <c r="A1306" t="s">
        <v>860</v>
      </c>
      <c r="K1306" s="15"/>
      <c r="L1306" s="15"/>
      <c r="M1306" s="15"/>
      <c r="N1306" s="15"/>
      <c r="O1306" s="15"/>
      <c r="P1306" s="15"/>
      <c r="Q1306" s="15"/>
      <c r="R1306" s="15"/>
      <c r="S1306" s="15"/>
      <c r="T1306" s="15"/>
      <c r="U1306" s="15"/>
      <c r="V1306" s="15"/>
      <c r="W1306" s="15"/>
      <c r="X1306" s="15"/>
      <c r="Y1306" s="15"/>
      <c r="Z1306" s="15"/>
      <c r="AA1306" s="15"/>
      <c r="AB1306" s="15"/>
      <c r="AC1306" s="15"/>
      <c r="AD1306" s="15"/>
      <c r="AE1306" s="15"/>
      <c r="AF1306" s="15"/>
      <c r="AG1306" s="15"/>
      <c r="AH1306" s="15"/>
      <c r="AI1306" s="15"/>
      <c r="AJ1306" s="15"/>
    </row>
    <row r="1307" spans="1:36" s="16" customFormat="1" x14ac:dyDescent="0.25">
      <c r="A1307" s="16" t="s">
        <v>860</v>
      </c>
      <c r="H1307" s="270" t="s">
        <v>498</v>
      </c>
      <c r="I1307" s="271" t="str">
        <f>IF($H$9="USD","USD","tr. VND")</f>
        <v>tr. VND</v>
      </c>
      <c r="K1307" s="272">
        <f>K1300</f>
        <v>-450749.80000000005</v>
      </c>
      <c r="L1307" s="272">
        <f t="shared" ref="L1307:AJ1307" si="1077">L1292+L1208-(L1180+L1206)</f>
        <v>13470.336772915121</v>
      </c>
      <c r="M1307" s="272">
        <f t="shared" si="1077"/>
        <v>30792.642938331228</v>
      </c>
      <c r="N1307" s="272">
        <f t="shared" si="1077"/>
        <v>52858.892727559774</v>
      </c>
      <c r="O1307" s="272">
        <f t="shared" si="1077"/>
        <v>52716.56214698861</v>
      </c>
      <c r="P1307" s="272">
        <f t="shared" si="1077"/>
        <v>52509.229474132386</v>
      </c>
      <c r="Q1307" s="272">
        <f t="shared" si="1077"/>
        <v>52232.486893112204</v>
      </c>
      <c r="R1307" s="272">
        <f t="shared" si="1077"/>
        <v>51881.683043028861</v>
      </c>
      <c r="S1307" s="272">
        <f t="shared" si="1077"/>
        <v>51451.910377629218</v>
      </c>
      <c r="T1307" s="272">
        <f t="shared" si="1077"/>
        <v>50937.991883691575</v>
      </c>
      <c r="U1307" s="272">
        <f t="shared" si="1077"/>
        <v>50334.467125883028</v>
      </c>
      <c r="V1307" s="272">
        <f t="shared" si="1077"/>
        <v>49635.577584227081</v>
      </c>
      <c r="W1307" s="272">
        <f t="shared" si="1077"/>
        <v>48835.251248611676</v>
      </c>
      <c r="X1307" s="272">
        <f t="shared" si="1077"/>
        <v>48929.585766335367</v>
      </c>
      <c r="Y1307" s="272">
        <f t="shared" si="1077"/>
        <v>47906.83410346679</v>
      </c>
      <c r="Z1307" s="272">
        <f t="shared" si="1077"/>
        <v>46762.382678847192</v>
      </c>
      <c r="AA1307" s="272"/>
      <c r="AB1307" s="272"/>
      <c r="AC1307" s="272"/>
      <c r="AD1307" s="272"/>
      <c r="AE1307" s="272"/>
      <c r="AF1307" s="272"/>
      <c r="AG1307" s="272"/>
      <c r="AH1307" s="272"/>
      <c r="AI1307" s="272"/>
      <c r="AJ1307" s="272"/>
    </row>
    <row r="1308" spans="1:36" x14ac:dyDescent="0.25">
      <c r="A1308" t="s">
        <v>860</v>
      </c>
      <c r="H1308" t="s">
        <v>292</v>
      </c>
      <c r="I1308" s="65" t="str">
        <f t="shared" ref="I1308:I1315" si="1078">IF($H$9="USD","USD","tr. VND")</f>
        <v>tr. VND</v>
      </c>
      <c r="L1308" s="15">
        <f>-(L1307+L1180)*Tax_rate</f>
        <v>3518.4293120836428</v>
      </c>
      <c r="M1308" s="15">
        <f t="shared" ref="M1308:AJ1308" si="1079">-(M1307+M1180)*Tax_rate</f>
        <v>53.968079000421135</v>
      </c>
      <c r="N1308" s="15">
        <f t="shared" si="1079"/>
        <v>-4359.2818788452887</v>
      </c>
      <c r="O1308" s="15">
        <f t="shared" si="1079"/>
        <v>-4330.8157627310557</v>
      </c>
      <c r="P1308" s="15">
        <f t="shared" si="1079"/>
        <v>-4289.349228159811</v>
      </c>
      <c r="Q1308" s="15">
        <f t="shared" si="1079"/>
        <v>-4234.000711955774</v>
      </c>
      <c r="R1308" s="15">
        <f t="shared" si="1079"/>
        <v>-4163.8399419391053</v>
      </c>
      <c r="S1308" s="15">
        <f t="shared" si="1079"/>
        <v>-4077.885408859177</v>
      </c>
      <c r="T1308" s="15">
        <f t="shared" si="1079"/>
        <v>-3975.1017100716485</v>
      </c>
      <c r="U1308" s="15">
        <f t="shared" si="1079"/>
        <v>-3854.396758509939</v>
      </c>
      <c r="V1308" s="15">
        <f t="shared" si="1079"/>
        <v>-3714.6188501787497</v>
      </c>
      <c r="W1308" s="15">
        <f t="shared" si="1079"/>
        <v>-3554.5535830556687</v>
      </c>
      <c r="X1308" s="15">
        <f t="shared" si="1079"/>
        <v>-8585.9171532670734</v>
      </c>
      <c r="Y1308" s="15">
        <f t="shared" si="1079"/>
        <v>-8381.366820693358</v>
      </c>
      <c r="Z1308" s="15">
        <f t="shared" si="1079"/>
        <v>-8152.4765357694387</v>
      </c>
      <c r="AA1308" s="15"/>
      <c r="AB1308" s="15"/>
      <c r="AC1308" s="15"/>
      <c r="AD1308" s="15"/>
      <c r="AE1308" s="15"/>
      <c r="AF1308" s="15"/>
      <c r="AG1308" s="15"/>
      <c r="AH1308" s="15"/>
      <c r="AI1308" s="15"/>
      <c r="AJ1308" s="15"/>
    </row>
    <row r="1309" spans="1:36" s="16" customFormat="1" x14ac:dyDescent="0.25">
      <c r="A1309" s="16" t="s">
        <v>860</v>
      </c>
      <c r="H1309" s="270" t="s">
        <v>499</v>
      </c>
      <c r="I1309" s="271" t="str">
        <f t="shared" si="1078"/>
        <v>tr. VND</v>
      </c>
      <c r="K1309" s="272">
        <f>K1307+K1308</f>
        <v>-450749.80000000005</v>
      </c>
      <c r="L1309" s="272">
        <f t="shared" ref="L1309:AJ1309" si="1080">L1307+L1308</f>
        <v>16988.766084998766</v>
      </c>
      <c r="M1309" s="272">
        <f t="shared" si="1080"/>
        <v>30846.611017331648</v>
      </c>
      <c r="N1309" s="272">
        <f t="shared" si="1080"/>
        <v>48499.610848714488</v>
      </c>
      <c r="O1309" s="272">
        <f t="shared" si="1080"/>
        <v>48385.746384257553</v>
      </c>
      <c r="P1309" s="272">
        <f t="shared" si="1080"/>
        <v>48219.880245972578</v>
      </c>
      <c r="Q1309" s="272">
        <f t="shared" si="1080"/>
        <v>47998.486181156433</v>
      </c>
      <c r="R1309" s="272">
        <f t="shared" si="1080"/>
        <v>47717.843101089755</v>
      </c>
      <c r="S1309" s="272">
        <f t="shared" si="1080"/>
        <v>47374.024968770042</v>
      </c>
      <c r="T1309" s="272">
        <f t="shared" si="1080"/>
        <v>46962.890173619926</v>
      </c>
      <c r="U1309" s="272">
        <f t="shared" si="1080"/>
        <v>46480.07036737309</v>
      </c>
      <c r="V1309" s="272">
        <f t="shared" si="1080"/>
        <v>45920.958734048334</v>
      </c>
      <c r="W1309" s="272">
        <f t="shared" si="1080"/>
        <v>45280.697665556007</v>
      </c>
      <c r="X1309" s="272">
        <f t="shared" si="1080"/>
        <v>40343.668613068294</v>
      </c>
      <c r="Y1309" s="272">
        <f t="shared" si="1080"/>
        <v>39525.467282773432</v>
      </c>
      <c r="Z1309" s="272">
        <f t="shared" si="1080"/>
        <v>38609.906143077751</v>
      </c>
      <c r="AA1309" s="272"/>
      <c r="AB1309" s="272"/>
      <c r="AC1309" s="272"/>
      <c r="AD1309" s="272"/>
      <c r="AE1309" s="272"/>
      <c r="AF1309" s="272"/>
      <c r="AG1309" s="272"/>
      <c r="AH1309" s="272"/>
      <c r="AI1309" s="272"/>
      <c r="AJ1309" s="272"/>
    </row>
    <row r="1310" spans="1:36" x14ac:dyDescent="0.25">
      <c r="A1310" t="s">
        <v>860</v>
      </c>
      <c r="H1310" t="s">
        <v>500</v>
      </c>
      <c r="K1310" s="95">
        <f>INDEX('Cover Page'!$H$23:$AJ$23,MATCH($A1310,'Cover Page'!$H$5:$AJ$5,0))</f>
        <v>7.2660000000000016E-2</v>
      </c>
    </row>
    <row r="1311" spans="1:36" s="16" customFormat="1" x14ac:dyDescent="0.25">
      <c r="A1311" s="16" t="s">
        <v>860</v>
      </c>
      <c r="D1311" s="16" t="s">
        <v>515</v>
      </c>
      <c r="H1311" s="270" t="s">
        <v>501</v>
      </c>
      <c r="I1311" s="271" t="str">
        <f t="shared" si="1078"/>
        <v>tr. VND</v>
      </c>
      <c r="K1311" s="272">
        <f>K1309/POWER(1+$K1310,K$14)</f>
        <v>-450749.80000000005</v>
      </c>
      <c r="L1311" s="272">
        <f t="shared" ref="L1311:AJ1311" si="1081">L1309/POWER(1+$K1310,L$14)</f>
        <v>15837.978562637525</v>
      </c>
      <c r="M1311" s="272">
        <f t="shared" si="1081"/>
        <v>26809.164849693807</v>
      </c>
      <c r="N1311" s="272">
        <f t="shared" si="1081"/>
        <v>39296.330367639603</v>
      </c>
      <c r="O1311" s="272">
        <f t="shared" si="1081"/>
        <v>36548.461591406347</v>
      </c>
      <c r="P1311" s="272">
        <f t="shared" si="1081"/>
        <v>33955.935353592111</v>
      </c>
      <c r="Q1311" s="272">
        <f t="shared" si="1081"/>
        <v>31510.480458519152</v>
      </c>
      <c r="R1311" s="272">
        <f t="shared" si="1081"/>
        <v>29204.25983097366</v>
      </c>
      <c r="S1311" s="272">
        <f t="shared" si="1081"/>
        <v>27029.847633112327</v>
      </c>
      <c r="T1311" s="272">
        <f t="shared" si="1081"/>
        <v>24980.207604198742</v>
      </c>
      <c r="U1311" s="272">
        <f t="shared" si="1081"/>
        <v>23048.672556550431</v>
      </c>
      <c r="V1311" s="272">
        <f t="shared" si="1081"/>
        <v>21228.92496479132</v>
      </c>
      <c r="W1311" s="272">
        <f t="shared" si="1081"/>
        <v>19514.978589001064</v>
      </c>
      <c r="X1311" s="272">
        <f t="shared" si="1081"/>
        <v>16209.449712417456</v>
      </c>
      <c r="Y1311" s="272">
        <f t="shared" si="1081"/>
        <v>14804.979511966421</v>
      </c>
      <c r="Z1311" s="272">
        <f t="shared" si="1081"/>
        <v>13482.407759949116</v>
      </c>
      <c r="AA1311" s="272"/>
      <c r="AB1311" s="272"/>
      <c r="AC1311" s="272"/>
      <c r="AD1311" s="272"/>
      <c r="AE1311" s="272"/>
      <c r="AF1311" s="272"/>
      <c r="AG1311" s="272"/>
      <c r="AH1311" s="272"/>
      <c r="AI1311" s="272"/>
      <c r="AJ1311" s="272"/>
    </row>
    <row r="1312" spans="1:36" x14ac:dyDescent="0.25">
      <c r="A1312" t="s">
        <v>860</v>
      </c>
      <c r="H1312" t="s">
        <v>503</v>
      </c>
      <c r="I1312" s="65" t="str">
        <f t="shared" si="1078"/>
        <v>tr. VND</v>
      </c>
      <c r="K1312" s="15">
        <f>SUM($K1311:K1311)</f>
        <v>-450749.80000000005</v>
      </c>
      <c r="L1312" s="15">
        <f>SUM($K1311:L1311)</f>
        <v>-434911.82143736252</v>
      </c>
      <c r="M1312" s="15">
        <f>SUM($K1311:M1311)</f>
        <v>-408102.65658766869</v>
      </c>
      <c r="N1312" s="15">
        <f>SUM($K1311:N1311)</f>
        <v>-368806.32622002909</v>
      </c>
      <c r="O1312" s="15">
        <f>SUM($K1311:O1311)</f>
        <v>-332257.86462862277</v>
      </c>
      <c r="P1312" s="15">
        <f>SUM($K1311:P1311)</f>
        <v>-298301.92927503068</v>
      </c>
      <c r="Q1312" s="15">
        <f>SUM($K1311:Q1311)</f>
        <v>-266791.44881651155</v>
      </c>
      <c r="R1312" s="15">
        <f>SUM($K1311:R1311)</f>
        <v>-237587.18898553788</v>
      </c>
      <c r="S1312" s="15">
        <f>SUM($K1311:S1311)</f>
        <v>-210557.34135242554</v>
      </c>
      <c r="T1312" s="15">
        <f>SUM($K1311:T1311)</f>
        <v>-185577.1337482268</v>
      </c>
      <c r="U1312" s="15">
        <f>SUM($K1311:U1311)</f>
        <v>-162528.46119167638</v>
      </c>
      <c r="V1312" s="15">
        <f>SUM($K1311:V1311)</f>
        <v>-141299.53622688507</v>
      </c>
      <c r="W1312" s="15">
        <f>SUM($K1311:W1311)</f>
        <v>-121784.55763788401</v>
      </c>
      <c r="X1312" s="15">
        <f>SUM($K1311:X1311)</f>
        <v>-105575.10792546655</v>
      </c>
      <c r="Y1312" s="15">
        <f>SUM($K1311:Y1311)</f>
        <v>-90770.128413500133</v>
      </c>
      <c r="Z1312" s="15">
        <f>SUM($K1311:Z1311)</f>
        <v>-77287.720653551019</v>
      </c>
      <c r="AA1312" s="15"/>
      <c r="AB1312" s="15"/>
      <c r="AC1312" s="15"/>
      <c r="AD1312" s="15"/>
      <c r="AE1312" s="15"/>
      <c r="AF1312" s="15"/>
      <c r="AG1312" s="15"/>
      <c r="AH1312" s="15"/>
      <c r="AI1312" s="15"/>
      <c r="AJ1312" s="15"/>
    </row>
    <row r="1313" spans="1:39" x14ac:dyDescent="0.25">
      <c r="A1313" t="s">
        <v>860</v>
      </c>
    </row>
    <row r="1314" spans="1:39" ht="15.75" thickBot="1" x14ac:dyDescent="0.3">
      <c r="A1314" t="s">
        <v>860</v>
      </c>
    </row>
    <row r="1315" spans="1:39" x14ac:dyDescent="0.25">
      <c r="A1315" t="s">
        <v>860</v>
      </c>
      <c r="D1315" t="s">
        <v>544</v>
      </c>
      <c r="H1315" s="96" t="s">
        <v>401</v>
      </c>
      <c r="I1315" s="310" t="str">
        <f t="shared" si="1078"/>
        <v>tr. VND</v>
      </c>
      <c r="J1315" s="311"/>
      <c r="K1315" s="97">
        <f>SUM(K1311:AJ1311)</f>
        <v>-77287.720653551019</v>
      </c>
      <c r="L1315" s="263"/>
      <c r="M1315" s="70"/>
      <c r="N1315" s="70"/>
    </row>
    <row r="1316" spans="1:39" x14ac:dyDescent="0.25">
      <c r="A1316" t="s">
        <v>860</v>
      </c>
      <c r="D1316" t="s">
        <v>516</v>
      </c>
      <c r="H1316" s="212" t="s">
        <v>402</v>
      </c>
      <c r="I1316" s="255"/>
      <c r="J1316" s="48"/>
      <c r="K1316" s="314">
        <f>IFERROR(IRR(K1309:AJ1309),0)</f>
        <v>4.5414210877376959E-2</v>
      </c>
    </row>
    <row r="1317" spans="1:39" ht="15.75" thickBot="1" x14ac:dyDescent="0.3">
      <c r="A1317" t="s">
        <v>860</v>
      </c>
      <c r="D1317" t="s">
        <v>517</v>
      </c>
      <c r="H1317" s="98" t="s">
        <v>403</v>
      </c>
      <c r="I1317" s="312" t="s">
        <v>290</v>
      </c>
      <c r="J1317" s="313"/>
      <c r="K1317" s="315" cm="1">
        <f t="array" ref="K1317">ROUNDUP(IF(K1315&lt;0,0,INDEX(K$14:AJ$14,,MATCH(_xlfn.MINIFS(K1312:AJ1312,K1312:AJ1312,"&gt;"&amp;0),K1312:AJ1312))-1-INDEX(K1312:AJ1312,,MATCH(_xlfn.MINIFS(K1312:AJ1312,K1312:AJ1312,"&gt;"&amp;0),K1312:AJ1312)-1)/INDEX(K1311:AJ1311,,MATCH(_xlfn.MINIFS(K1312:AJ1312,K1312:AJ1312,"&gt;"&amp;0),K1312:AJ1312))),1)</f>
        <v>0</v>
      </c>
    </row>
    <row r="1318" spans="1:39" x14ac:dyDescent="0.25">
      <c r="A1318" t="s">
        <v>860</v>
      </c>
      <c r="H1318" s="316" t="str">
        <f>INT(K1317)&amp;" năm"&amp;IF(MOD(K1317,1)*12=0,," "&amp;TEXT(MOD(K1317,1)*12,"00")&amp;" tháng")</f>
        <v>0 năm</v>
      </c>
    </row>
    <row r="1319" spans="1:39" x14ac:dyDescent="0.25">
      <c r="A1319" t="s">
        <v>860</v>
      </c>
    </row>
    <row r="1320" spans="1:39" x14ac:dyDescent="0.25">
      <c r="A1320" t="s">
        <v>860</v>
      </c>
    </row>
    <row r="1321" spans="1:39" s="304" customFormat="1" x14ac:dyDescent="0.25">
      <c r="I1321" s="305"/>
    </row>
    <row r="1322" spans="1:39" s="631" customFormat="1" ht="19.5" x14ac:dyDescent="0.3">
      <c r="A1322" s="631" t="s">
        <v>861</v>
      </c>
      <c r="H1322" s="632" t="s">
        <v>861</v>
      </c>
      <c r="K1322" s="633"/>
      <c r="L1322" s="633"/>
      <c r="M1322" s="633"/>
      <c r="N1322" s="633"/>
      <c r="O1322" s="633"/>
      <c r="P1322" s="633"/>
      <c r="Q1322" s="633"/>
      <c r="R1322" s="633"/>
      <c r="S1322" s="633"/>
      <c r="T1322" s="633"/>
      <c r="U1322" s="633"/>
      <c r="V1322" s="633"/>
      <c r="W1322" s="633"/>
      <c r="X1322" s="633"/>
      <c r="Y1322" s="633"/>
      <c r="Z1322" s="633"/>
      <c r="AA1322" s="633"/>
      <c r="AB1322" s="633"/>
      <c r="AC1322" s="633"/>
      <c r="AD1322" s="633"/>
      <c r="AE1322" s="633"/>
      <c r="AF1322" s="633"/>
      <c r="AG1322" s="633"/>
      <c r="AH1322" s="633"/>
      <c r="AI1322" s="633"/>
      <c r="AJ1322" s="633"/>
    </row>
    <row r="1323" spans="1:39" x14ac:dyDescent="0.25">
      <c r="A1323" t="s">
        <v>861</v>
      </c>
      <c r="K1323" s="20"/>
      <c r="L1323" s="20"/>
      <c r="M1323" s="20"/>
      <c r="N1323" s="20"/>
      <c r="O1323" s="20"/>
      <c r="P1323" s="20"/>
      <c r="Q1323" s="20"/>
      <c r="R1323" s="20"/>
      <c r="S1323" s="20"/>
      <c r="T1323" s="20"/>
      <c r="U1323" s="20"/>
      <c r="V1323" s="20"/>
      <c r="W1323" s="20"/>
      <c r="X1323" s="20"/>
      <c r="Y1323" s="20"/>
      <c r="Z1323" s="20"/>
      <c r="AA1323" s="20"/>
      <c r="AB1323" s="20"/>
      <c r="AC1323" s="20"/>
      <c r="AD1323" s="20"/>
      <c r="AE1323" s="20"/>
      <c r="AF1323" s="20"/>
      <c r="AG1323" s="20"/>
      <c r="AH1323" s="20"/>
      <c r="AI1323" s="20"/>
      <c r="AJ1323" s="20"/>
    </row>
    <row r="1324" spans="1:39" s="24" customFormat="1" ht="17.25" x14ac:dyDescent="0.3">
      <c r="A1324" s="24" t="s">
        <v>861</v>
      </c>
      <c r="H1324" s="24" t="s">
        <v>669</v>
      </c>
      <c r="K1324" s="634"/>
      <c r="L1324" s="634"/>
      <c r="M1324" s="634"/>
      <c r="N1324" s="634"/>
      <c r="O1324" s="634"/>
      <c r="P1324" s="634"/>
      <c r="Q1324" s="634"/>
      <c r="R1324" s="634"/>
      <c r="S1324" s="634"/>
      <c r="T1324" s="634"/>
      <c r="U1324" s="634"/>
      <c r="V1324" s="634"/>
      <c r="W1324" s="634"/>
      <c r="X1324" s="634"/>
      <c r="Y1324" s="634"/>
      <c r="Z1324" s="634"/>
      <c r="AA1324" s="634"/>
      <c r="AB1324" s="634"/>
      <c r="AC1324" s="634"/>
      <c r="AD1324" s="634"/>
      <c r="AE1324" s="634"/>
      <c r="AF1324" s="634"/>
      <c r="AG1324" s="634"/>
      <c r="AH1324" s="634"/>
      <c r="AI1324" s="634"/>
      <c r="AJ1324" s="634"/>
    </row>
    <row r="1325" spans="1:39" x14ac:dyDescent="0.25">
      <c r="A1325" t="s">
        <v>861</v>
      </c>
      <c r="H1325" s="459" t="s">
        <v>427</v>
      </c>
      <c r="I1325" s="493" t="s">
        <v>436</v>
      </c>
      <c r="K1325" s="548"/>
      <c r="L1325" s="548">
        <f t="shared" ref="L1325:AA1326" si="1082">Capacity*24*365</f>
        <v>7568640</v>
      </c>
      <c r="M1325" s="548">
        <f t="shared" si="1082"/>
        <v>7568640</v>
      </c>
      <c r="N1325" s="548">
        <f t="shared" si="1082"/>
        <v>7568640</v>
      </c>
      <c r="O1325" s="548">
        <f t="shared" si="1082"/>
        <v>7568640</v>
      </c>
      <c r="P1325" s="548">
        <f t="shared" si="1082"/>
        <v>7568640</v>
      </c>
      <c r="Q1325" s="548">
        <f t="shared" si="1082"/>
        <v>7568640</v>
      </c>
      <c r="R1325" s="548">
        <f t="shared" si="1082"/>
        <v>7568640</v>
      </c>
      <c r="S1325" s="548">
        <f t="shared" si="1082"/>
        <v>7568640</v>
      </c>
      <c r="T1325" s="548">
        <f t="shared" si="1082"/>
        <v>7568640</v>
      </c>
      <c r="U1325" s="548">
        <f t="shared" si="1082"/>
        <v>7568640</v>
      </c>
      <c r="V1325" s="548">
        <f t="shared" si="1082"/>
        <v>7568640</v>
      </c>
      <c r="W1325" s="548">
        <f t="shared" si="1082"/>
        <v>7568640</v>
      </c>
      <c r="X1325" s="548">
        <f t="shared" si="1082"/>
        <v>7568640</v>
      </c>
      <c r="Y1325" s="548">
        <f t="shared" si="1082"/>
        <v>7568640</v>
      </c>
      <c r="Z1325" s="548">
        <f t="shared" si="1082"/>
        <v>7568640</v>
      </c>
      <c r="AA1325" s="548"/>
      <c r="AB1325" s="548"/>
      <c r="AC1325" s="548"/>
      <c r="AD1325" s="548"/>
      <c r="AE1325" s="548"/>
      <c r="AF1325" s="548"/>
      <c r="AG1325" s="548"/>
      <c r="AH1325" s="548"/>
      <c r="AI1325" s="548"/>
      <c r="AJ1325" s="548"/>
      <c r="AL1325" s="976"/>
      <c r="AM1325" s="263"/>
    </row>
    <row r="1326" spans="1:39" x14ac:dyDescent="0.25">
      <c r="A1326" t="s">
        <v>861</v>
      </c>
      <c r="H1326" s="454" t="s">
        <v>427</v>
      </c>
      <c r="I1326" s="496" t="s">
        <v>320</v>
      </c>
      <c r="K1326" s="549"/>
      <c r="L1326" s="549">
        <f t="shared" si="1082"/>
        <v>7568640</v>
      </c>
      <c r="M1326" s="549">
        <f t="shared" si="1082"/>
        <v>7568640</v>
      </c>
      <c r="N1326" s="549">
        <f t="shared" si="1082"/>
        <v>7568640</v>
      </c>
      <c r="O1326" s="549">
        <f t="shared" si="1082"/>
        <v>7568640</v>
      </c>
      <c r="P1326" s="549">
        <f t="shared" si="1082"/>
        <v>7568640</v>
      </c>
      <c r="Q1326" s="549">
        <f t="shared" si="1082"/>
        <v>7568640</v>
      </c>
      <c r="R1326" s="549">
        <f t="shared" si="1082"/>
        <v>7568640</v>
      </c>
      <c r="S1326" s="549">
        <f t="shared" si="1082"/>
        <v>7568640</v>
      </c>
      <c r="T1326" s="549">
        <f t="shared" si="1082"/>
        <v>7568640</v>
      </c>
      <c r="U1326" s="549">
        <f t="shared" si="1082"/>
        <v>7568640</v>
      </c>
      <c r="V1326" s="549">
        <f t="shared" si="1082"/>
        <v>7568640</v>
      </c>
      <c r="W1326" s="549">
        <f t="shared" si="1082"/>
        <v>7568640</v>
      </c>
      <c r="X1326" s="549">
        <f t="shared" si="1082"/>
        <v>7568640</v>
      </c>
      <c r="Y1326" s="549">
        <f t="shared" si="1082"/>
        <v>7568640</v>
      </c>
      <c r="Z1326" s="549">
        <f t="shared" si="1082"/>
        <v>7568640</v>
      </c>
      <c r="AA1326" s="549"/>
      <c r="AB1326" s="549"/>
      <c r="AC1326" s="549"/>
      <c r="AD1326" s="549"/>
      <c r="AE1326" s="549"/>
      <c r="AF1326" s="549"/>
      <c r="AG1326" s="549"/>
      <c r="AH1326" s="549"/>
      <c r="AI1326" s="549"/>
      <c r="AJ1326" s="549"/>
      <c r="AL1326" s="976"/>
      <c r="AM1326" s="263"/>
    </row>
    <row r="1327" spans="1:39" s="250" customFormat="1" x14ac:dyDescent="0.25">
      <c r="A1327" s="250" t="s">
        <v>861</v>
      </c>
      <c r="H1327" s="536" t="s">
        <v>460</v>
      </c>
      <c r="I1327" s="547"/>
      <c r="K1327" s="550"/>
      <c r="L1327" s="551">
        <v>0.88</v>
      </c>
      <c r="M1327" s="551">
        <v>0.88</v>
      </c>
      <c r="N1327" s="551">
        <v>0.88</v>
      </c>
      <c r="O1327" s="551">
        <v>0.88</v>
      </c>
      <c r="P1327" s="551">
        <v>0.88</v>
      </c>
      <c r="Q1327" s="551">
        <v>0.88</v>
      </c>
      <c r="R1327" s="551">
        <v>0.88</v>
      </c>
      <c r="S1327" s="551">
        <v>0.88</v>
      </c>
      <c r="T1327" s="551">
        <v>0.88</v>
      </c>
      <c r="U1327" s="551">
        <v>0.88</v>
      </c>
      <c r="V1327" s="551">
        <v>0.88</v>
      </c>
      <c r="W1327" s="551">
        <v>0.88</v>
      </c>
      <c r="X1327" s="551">
        <v>0.88</v>
      </c>
      <c r="Y1327" s="551">
        <v>0.88</v>
      </c>
      <c r="Z1327" s="551">
        <v>0.88</v>
      </c>
      <c r="AA1327" s="551"/>
      <c r="AB1327" s="551"/>
      <c r="AC1327" s="551"/>
      <c r="AD1327" s="551"/>
      <c r="AE1327" s="551"/>
      <c r="AF1327" s="551"/>
      <c r="AG1327" s="551"/>
      <c r="AH1327" s="551"/>
      <c r="AI1327" s="551"/>
      <c r="AJ1327" s="551"/>
      <c r="AL1327" s="977"/>
      <c r="AM1327" s="974"/>
    </row>
    <row r="1328" spans="1:39" s="250" customFormat="1" x14ac:dyDescent="0.25">
      <c r="A1328" s="250" t="s">
        <v>861</v>
      </c>
      <c r="H1328" s="536" t="s">
        <v>461</v>
      </c>
      <c r="I1328" s="547"/>
      <c r="K1328" s="550"/>
      <c r="L1328" s="551">
        <v>0.5</v>
      </c>
      <c r="M1328" s="551">
        <v>0.7</v>
      </c>
      <c r="N1328" s="551">
        <v>1</v>
      </c>
      <c r="O1328" s="551">
        <v>1</v>
      </c>
      <c r="P1328" s="551">
        <v>1</v>
      </c>
      <c r="Q1328" s="551">
        <v>1</v>
      </c>
      <c r="R1328" s="551">
        <v>1</v>
      </c>
      <c r="S1328" s="551">
        <v>1</v>
      </c>
      <c r="T1328" s="551">
        <v>1</v>
      </c>
      <c r="U1328" s="551">
        <v>1</v>
      </c>
      <c r="V1328" s="551">
        <v>1</v>
      </c>
      <c r="W1328" s="551">
        <v>1</v>
      </c>
      <c r="X1328" s="551">
        <v>1</v>
      </c>
      <c r="Y1328" s="551">
        <v>1</v>
      </c>
      <c r="Z1328" s="551">
        <v>1</v>
      </c>
      <c r="AA1328" s="551"/>
      <c r="AB1328" s="551"/>
      <c r="AC1328" s="551"/>
      <c r="AD1328" s="551"/>
      <c r="AE1328" s="551"/>
      <c r="AF1328" s="551"/>
      <c r="AG1328" s="551"/>
      <c r="AH1328" s="551"/>
      <c r="AI1328" s="551"/>
      <c r="AJ1328" s="551"/>
      <c r="AL1328" s="977"/>
      <c r="AM1328" s="974"/>
    </row>
    <row r="1329" spans="1:39" x14ac:dyDescent="0.25">
      <c r="A1329" t="s">
        <v>861</v>
      </c>
      <c r="B1329" t="s">
        <v>437</v>
      </c>
      <c r="H1329" s="454" t="s">
        <v>70</v>
      </c>
      <c r="I1329" s="496"/>
      <c r="K1329" s="549"/>
      <c r="L1329" s="552" cm="1">
        <f t="array" ref="L1329">SUMPRODUCT('W2'!$M$12:$V$112*('W2'!$M$7:$V$7=$A1329)*('W2'!$A$12:$A$112=$B1329))</f>
        <v>7.0000000000000007E-2</v>
      </c>
      <c r="M1329" s="552">
        <f>L1329</f>
        <v>7.0000000000000007E-2</v>
      </c>
      <c r="N1329" s="552">
        <f t="shared" ref="N1329" si="1083">M1329</f>
        <v>7.0000000000000007E-2</v>
      </c>
      <c r="O1329" s="552">
        <f t="shared" ref="O1329" si="1084">N1329</f>
        <v>7.0000000000000007E-2</v>
      </c>
      <c r="P1329" s="552">
        <f t="shared" ref="P1329" si="1085">O1329</f>
        <v>7.0000000000000007E-2</v>
      </c>
      <c r="Q1329" s="552">
        <f t="shared" ref="Q1329" si="1086">P1329</f>
        <v>7.0000000000000007E-2</v>
      </c>
      <c r="R1329" s="552">
        <f t="shared" ref="R1329" si="1087">Q1329</f>
        <v>7.0000000000000007E-2</v>
      </c>
      <c r="S1329" s="552">
        <f t="shared" ref="S1329" si="1088">R1329</f>
        <v>7.0000000000000007E-2</v>
      </c>
      <c r="T1329" s="552">
        <f t="shared" ref="T1329" si="1089">S1329</f>
        <v>7.0000000000000007E-2</v>
      </c>
      <c r="U1329" s="552">
        <f t="shared" ref="U1329" si="1090">T1329</f>
        <v>7.0000000000000007E-2</v>
      </c>
      <c r="V1329" s="552">
        <f t="shared" ref="V1329" si="1091">U1329</f>
        <v>7.0000000000000007E-2</v>
      </c>
      <c r="W1329" s="552">
        <f t="shared" ref="W1329" si="1092">V1329</f>
        <v>7.0000000000000007E-2</v>
      </c>
      <c r="X1329" s="552">
        <f t="shared" ref="X1329" si="1093">W1329</f>
        <v>7.0000000000000007E-2</v>
      </c>
      <c r="Y1329" s="552">
        <f t="shared" ref="Y1329" si="1094">X1329</f>
        <v>7.0000000000000007E-2</v>
      </c>
      <c r="Z1329" s="552">
        <f t="shared" ref="Z1329" si="1095">Y1329</f>
        <v>7.0000000000000007E-2</v>
      </c>
      <c r="AA1329" s="552"/>
      <c r="AB1329" s="552"/>
      <c r="AC1329" s="552"/>
      <c r="AD1329" s="552"/>
      <c r="AE1329" s="552"/>
      <c r="AF1329" s="552"/>
      <c r="AG1329" s="552"/>
      <c r="AH1329" s="552"/>
      <c r="AI1329" s="552"/>
      <c r="AJ1329" s="552"/>
      <c r="AL1329" s="978"/>
      <c r="AM1329" s="263"/>
    </row>
    <row r="1330" spans="1:39" x14ac:dyDescent="0.25">
      <c r="A1330" t="s">
        <v>861</v>
      </c>
      <c r="H1330" s="454" t="s">
        <v>59</v>
      </c>
      <c r="I1330" s="496"/>
      <c r="K1330" s="549"/>
      <c r="L1330" s="549">
        <f>365*L1327*L1328</f>
        <v>160.6</v>
      </c>
      <c r="M1330" s="549">
        <f t="shared" ref="M1330:AJ1330" si="1096">365*M1327*M1328</f>
        <v>224.83999999999997</v>
      </c>
      <c r="N1330" s="549">
        <f t="shared" si="1096"/>
        <v>321.2</v>
      </c>
      <c r="O1330" s="549">
        <f t="shared" si="1096"/>
        <v>321.2</v>
      </c>
      <c r="P1330" s="549">
        <f t="shared" si="1096"/>
        <v>321.2</v>
      </c>
      <c r="Q1330" s="549">
        <f t="shared" si="1096"/>
        <v>321.2</v>
      </c>
      <c r="R1330" s="549">
        <f t="shared" si="1096"/>
        <v>321.2</v>
      </c>
      <c r="S1330" s="549">
        <f t="shared" si="1096"/>
        <v>321.2</v>
      </c>
      <c r="T1330" s="549">
        <f t="shared" si="1096"/>
        <v>321.2</v>
      </c>
      <c r="U1330" s="549">
        <f t="shared" si="1096"/>
        <v>321.2</v>
      </c>
      <c r="V1330" s="549">
        <f t="shared" si="1096"/>
        <v>321.2</v>
      </c>
      <c r="W1330" s="549">
        <f t="shared" si="1096"/>
        <v>321.2</v>
      </c>
      <c r="X1330" s="549">
        <f t="shared" si="1096"/>
        <v>321.2</v>
      </c>
      <c r="Y1330" s="549">
        <f t="shared" si="1096"/>
        <v>321.2</v>
      </c>
      <c r="Z1330" s="549">
        <f t="shared" si="1096"/>
        <v>321.2</v>
      </c>
      <c r="AA1330" s="549"/>
      <c r="AB1330" s="549"/>
      <c r="AC1330" s="549"/>
      <c r="AD1330" s="549"/>
      <c r="AE1330" s="549"/>
      <c r="AF1330" s="549"/>
      <c r="AG1330" s="549"/>
      <c r="AH1330" s="549"/>
      <c r="AI1330" s="549"/>
      <c r="AJ1330" s="549"/>
      <c r="AL1330" s="976"/>
      <c r="AM1330" s="263"/>
    </row>
    <row r="1331" spans="1:39" x14ac:dyDescent="0.25">
      <c r="A1331" t="s">
        <v>861</v>
      </c>
      <c r="C1331" t="s">
        <v>574</v>
      </c>
      <c r="H1331" s="454" t="s">
        <v>202</v>
      </c>
      <c r="I1331" s="496" t="s">
        <v>436</v>
      </c>
      <c r="K1331" s="549"/>
      <c r="L1331" s="549">
        <f>L1325*L1327*(1-L1329)*L1328</f>
        <v>3097087.4879999999</v>
      </c>
      <c r="M1331" s="549">
        <f t="shared" ref="M1331:AJ1331" si="1097">M1325*M1327*(1-M1329)*M1328</f>
        <v>4335922.4831999997</v>
      </c>
      <c r="N1331" s="549">
        <f t="shared" si="1097"/>
        <v>6194174.9759999998</v>
      </c>
      <c r="O1331" s="549">
        <f t="shared" si="1097"/>
        <v>6194174.9759999998</v>
      </c>
      <c r="P1331" s="549">
        <f t="shared" si="1097"/>
        <v>6194174.9759999998</v>
      </c>
      <c r="Q1331" s="549">
        <f t="shared" si="1097"/>
        <v>6194174.9759999998</v>
      </c>
      <c r="R1331" s="549">
        <f t="shared" si="1097"/>
        <v>6194174.9759999998</v>
      </c>
      <c r="S1331" s="549">
        <f t="shared" si="1097"/>
        <v>6194174.9759999998</v>
      </c>
      <c r="T1331" s="549">
        <f t="shared" si="1097"/>
        <v>6194174.9759999998</v>
      </c>
      <c r="U1331" s="549">
        <f t="shared" si="1097"/>
        <v>6194174.9759999998</v>
      </c>
      <c r="V1331" s="549">
        <f t="shared" si="1097"/>
        <v>6194174.9759999998</v>
      </c>
      <c r="W1331" s="549">
        <f t="shared" si="1097"/>
        <v>6194174.9759999998</v>
      </c>
      <c r="X1331" s="549">
        <f t="shared" si="1097"/>
        <v>6194174.9759999998</v>
      </c>
      <c r="Y1331" s="549">
        <f t="shared" si="1097"/>
        <v>6194174.9759999998</v>
      </c>
      <c r="Z1331" s="549">
        <f t="shared" si="1097"/>
        <v>6194174.9759999998</v>
      </c>
      <c r="AA1331" s="549"/>
      <c r="AB1331" s="549"/>
      <c r="AC1331" s="549"/>
      <c r="AD1331" s="549"/>
      <c r="AE1331" s="549"/>
      <c r="AF1331" s="549"/>
      <c r="AG1331" s="549"/>
      <c r="AH1331" s="549"/>
      <c r="AI1331" s="549"/>
      <c r="AJ1331" s="549"/>
      <c r="AL1331" s="976"/>
      <c r="AM1331" s="263"/>
    </row>
    <row r="1332" spans="1:39" x14ac:dyDescent="0.25">
      <c r="A1332" t="s">
        <v>861</v>
      </c>
      <c r="C1332" t="s">
        <v>575</v>
      </c>
      <c r="H1332" s="454" t="s">
        <v>202</v>
      </c>
      <c r="I1332" s="496" t="s">
        <v>320</v>
      </c>
      <c r="K1332" s="549"/>
      <c r="L1332" s="549">
        <f t="shared" ref="L1332:AJ1332" si="1098">L1331*PHOI_KG</f>
        <v>206472499.20000002</v>
      </c>
      <c r="M1332" s="549">
        <f t="shared" si="1098"/>
        <v>289061498.88</v>
      </c>
      <c r="N1332" s="549">
        <f t="shared" si="1098"/>
        <v>412944998.40000004</v>
      </c>
      <c r="O1332" s="549">
        <f t="shared" si="1098"/>
        <v>412944998.40000004</v>
      </c>
      <c r="P1332" s="549">
        <f t="shared" si="1098"/>
        <v>412944998.40000004</v>
      </c>
      <c r="Q1332" s="549">
        <f t="shared" si="1098"/>
        <v>412944998.40000004</v>
      </c>
      <c r="R1332" s="549">
        <f t="shared" si="1098"/>
        <v>412944998.40000004</v>
      </c>
      <c r="S1332" s="549">
        <f t="shared" si="1098"/>
        <v>412944998.40000004</v>
      </c>
      <c r="T1332" s="549">
        <f t="shared" si="1098"/>
        <v>412944998.40000004</v>
      </c>
      <c r="U1332" s="549">
        <f t="shared" si="1098"/>
        <v>412944998.40000004</v>
      </c>
      <c r="V1332" s="549">
        <f t="shared" si="1098"/>
        <v>412944998.40000004</v>
      </c>
      <c r="W1332" s="549">
        <f t="shared" si="1098"/>
        <v>412944998.40000004</v>
      </c>
      <c r="X1332" s="549">
        <f t="shared" si="1098"/>
        <v>412944998.40000004</v>
      </c>
      <c r="Y1332" s="549">
        <f t="shared" si="1098"/>
        <v>412944998.40000004</v>
      </c>
      <c r="Z1332" s="549">
        <f t="shared" si="1098"/>
        <v>412944998.40000004</v>
      </c>
      <c r="AA1332" s="549"/>
      <c r="AB1332" s="549"/>
      <c r="AC1332" s="549"/>
      <c r="AD1332" s="549"/>
      <c r="AE1332" s="549"/>
      <c r="AF1332" s="549"/>
      <c r="AG1332" s="549"/>
      <c r="AH1332" s="549"/>
      <c r="AI1332" s="549"/>
      <c r="AJ1332" s="549"/>
      <c r="AL1332" s="976"/>
      <c r="AM1332" s="263"/>
    </row>
    <row r="1333" spans="1:39" x14ac:dyDescent="0.25">
      <c r="A1333" t="s">
        <v>861</v>
      </c>
      <c r="K1333" s="243"/>
      <c r="L1333" s="243"/>
      <c r="M1333" s="243"/>
      <c r="N1333" s="243"/>
      <c r="O1333" s="243"/>
      <c r="P1333" s="243"/>
      <c r="Q1333" s="243"/>
      <c r="R1333" s="243"/>
      <c r="S1333" s="243"/>
      <c r="T1333" s="243"/>
      <c r="U1333" s="243"/>
      <c r="V1333" s="243"/>
      <c r="W1333" s="243"/>
      <c r="X1333" s="243"/>
      <c r="Y1333" s="243"/>
      <c r="Z1333" s="243"/>
      <c r="AA1333" s="243"/>
      <c r="AB1333" s="243"/>
      <c r="AC1333" s="243"/>
      <c r="AD1333" s="243"/>
      <c r="AE1333" s="243"/>
      <c r="AF1333" s="243"/>
      <c r="AG1333" s="243"/>
      <c r="AH1333" s="243"/>
      <c r="AI1333" s="243"/>
      <c r="AJ1333" s="243"/>
      <c r="AL1333" s="976"/>
    </row>
    <row r="1334" spans="1:39" s="24" customFormat="1" ht="17.25" x14ac:dyDescent="0.3">
      <c r="A1334" s="24" t="s">
        <v>861</v>
      </c>
      <c r="H1334" s="24" t="s">
        <v>670</v>
      </c>
      <c r="K1334" s="635"/>
      <c r="L1334" s="635"/>
      <c r="M1334" s="635"/>
      <c r="N1334" s="635"/>
      <c r="O1334" s="635"/>
      <c r="P1334" s="635"/>
      <c r="Q1334" s="635"/>
      <c r="R1334" s="635"/>
      <c r="S1334" s="635"/>
      <c r="T1334" s="635"/>
      <c r="U1334" s="635"/>
      <c r="V1334" s="635"/>
      <c r="W1334" s="635"/>
      <c r="X1334" s="635"/>
      <c r="Y1334" s="635"/>
      <c r="Z1334" s="635"/>
      <c r="AA1334" s="635"/>
      <c r="AB1334" s="635"/>
      <c r="AC1334" s="635"/>
      <c r="AD1334" s="635"/>
      <c r="AE1334" s="635"/>
      <c r="AF1334" s="635"/>
      <c r="AG1334" s="635"/>
      <c r="AH1334" s="635"/>
      <c r="AI1334" s="635"/>
      <c r="AJ1334" s="635"/>
      <c r="AL1334" s="979"/>
    </row>
    <row r="1335" spans="1:39" s="250" customFormat="1" x14ac:dyDescent="0.25">
      <c r="A1335" s="250" t="s">
        <v>861</v>
      </c>
      <c r="B1335" s="250" t="s">
        <v>665</v>
      </c>
      <c r="H1335" s="625" t="s">
        <v>663</v>
      </c>
      <c r="I1335" s="626" t="s">
        <v>71</v>
      </c>
      <c r="K1335" s="627"/>
      <c r="L1335" s="630" cm="1">
        <f t="array" ref="L1335">SUMPRODUCT('W2'!$M$12:$V$112*('W2'!$M$7:$V$7=$A1335)*('W2'!$A$12:$A$112=$B1335))</f>
        <v>2.0000000000000001E-4</v>
      </c>
      <c r="M1335" s="629">
        <f>L1335</f>
        <v>2.0000000000000001E-4</v>
      </c>
      <c r="N1335" s="629">
        <f t="shared" ref="N1335:N1336" si="1099">M1335</f>
        <v>2.0000000000000001E-4</v>
      </c>
      <c r="O1335" s="629">
        <f t="shared" ref="O1335:O1336" si="1100">N1335</f>
        <v>2.0000000000000001E-4</v>
      </c>
      <c r="P1335" s="629">
        <f t="shared" ref="P1335:P1336" si="1101">O1335</f>
        <v>2.0000000000000001E-4</v>
      </c>
      <c r="Q1335" s="629">
        <f t="shared" ref="Q1335:Q1336" si="1102">P1335</f>
        <v>2.0000000000000001E-4</v>
      </c>
      <c r="R1335" s="629">
        <f t="shared" ref="R1335:R1336" si="1103">Q1335</f>
        <v>2.0000000000000001E-4</v>
      </c>
      <c r="S1335" s="629">
        <f t="shared" ref="S1335:S1336" si="1104">R1335</f>
        <v>2.0000000000000001E-4</v>
      </c>
      <c r="T1335" s="629">
        <f t="shared" ref="T1335:T1336" si="1105">S1335</f>
        <v>2.0000000000000001E-4</v>
      </c>
      <c r="U1335" s="629">
        <f t="shared" ref="U1335:U1336" si="1106">T1335</f>
        <v>2.0000000000000001E-4</v>
      </c>
      <c r="V1335" s="629">
        <f t="shared" ref="V1335:V1336" si="1107">U1335</f>
        <v>2.0000000000000001E-4</v>
      </c>
      <c r="W1335" s="629">
        <f t="shared" ref="W1335:W1336" si="1108">V1335</f>
        <v>2.0000000000000001E-4</v>
      </c>
      <c r="X1335" s="629">
        <f t="shared" ref="X1335:X1336" si="1109">W1335</f>
        <v>2.0000000000000001E-4</v>
      </c>
      <c r="Y1335" s="629">
        <f t="shared" ref="Y1335:Y1336" si="1110">X1335</f>
        <v>2.0000000000000001E-4</v>
      </c>
      <c r="Z1335" s="629">
        <f t="shared" ref="Z1335:Z1336" si="1111">Y1335</f>
        <v>2.0000000000000001E-4</v>
      </c>
      <c r="AA1335" s="629"/>
      <c r="AB1335" s="629"/>
      <c r="AC1335" s="629"/>
      <c r="AD1335" s="629"/>
      <c r="AE1335" s="629"/>
      <c r="AF1335" s="629"/>
      <c r="AG1335" s="629"/>
      <c r="AH1335" s="629"/>
      <c r="AI1335" s="629"/>
      <c r="AJ1335" s="629"/>
      <c r="AL1335" s="980"/>
      <c r="AM1335" s="974"/>
    </row>
    <row r="1336" spans="1:39" s="250" customFormat="1" x14ac:dyDescent="0.25">
      <c r="A1336" s="250" t="s">
        <v>861</v>
      </c>
      <c r="B1336" s="250" t="s">
        <v>666</v>
      </c>
      <c r="H1336" s="536" t="s">
        <v>664</v>
      </c>
      <c r="I1336" s="547" t="s">
        <v>71</v>
      </c>
      <c r="K1336" s="628"/>
      <c r="L1336" s="630" cm="1">
        <f t="array" ref="L1336">SUMPRODUCT('W2'!$M$12:$V$112*('W2'!$M$7:$V$7=$A1336)*('W2'!$A$12:$A$112=$B1336))</f>
        <v>0</v>
      </c>
      <c r="M1336" s="629">
        <f>L1336</f>
        <v>0</v>
      </c>
      <c r="N1336" s="629">
        <f t="shared" si="1099"/>
        <v>0</v>
      </c>
      <c r="O1336" s="629">
        <f t="shared" si="1100"/>
        <v>0</v>
      </c>
      <c r="P1336" s="629">
        <f t="shared" si="1101"/>
        <v>0</v>
      </c>
      <c r="Q1336" s="629">
        <f t="shared" si="1102"/>
        <v>0</v>
      </c>
      <c r="R1336" s="629">
        <f t="shared" si="1103"/>
        <v>0</v>
      </c>
      <c r="S1336" s="629">
        <f t="shared" si="1104"/>
        <v>0</v>
      </c>
      <c r="T1336" s="629">
        <f t="shared" si="1105"/>
        <v>0</v>
      </c>
      <c r="U1336" s="629">
        <f t="shared" si="1106"/>
        <v>0</v>
      </c>
      <c r="V1336" s="629">
        <f t="shared" si="1107"/>
        <v>0</v>
      </c>
      <c r="W1336" s="629">
        <f t="shared" si="1108"/>
        <v>0</v>
      </c>
      <c r="X1336" s="629">
        <f t="shared" si="1109"/>
        <v>0</v>
      </c>
      <c r="Y1336" s="629">
        <f t="shared" si="1110"/>
        <v>0</v>
      </c>
      <c r="Z1336" s="629">
        <f t="shared" si="1111"/>
        <v>0</v>
      </c>
      <c r="AA1336" s="629"/>
      <c r="AB1336" s="629"/>
      <c r="AC1336" s="629"/>
      <c r="AD1336" s="629"/>
      <c r="AE1336" s="629"/>
      <c r="AF1336" s="629"/>
      <c r="AG1336" s="629"/>
      <c r="AH1336" s="629"/>
      <c r="AI1336" s="629"/>
      <c r="AJ1336" s="629"/>
      <c r="AL1336" s="980"/>
      <c r="AM1336" s="974"/>
    </row>
    <row r="1337" spans="1:39" x14ac:dyDescent="0.25">
      <c r="A1337" t="s">
        <v>861</v>
      </c>
      <c r="H1337" s="454" t="s">
        <v>671</v>
      </c>
      <c r="I1337" s="496" t="s">
        <v>436</v>
      </c>
      <c r="K1337" s="549"/>
      <c r="L1337" s="549">
        <f>L1335*L1331/(1-L1329)</f>
        <v>666.04032000000007</v>
      </c>
      <c r="M1337" s="549">
        <f>M1335*M1331/(1-M1329)</f>
        <v>932.45644800000014</v>
      </c>
      <c r="N1337" s="549">
        <f t="shared" ref="N1337:AJ1337" si="1112">N1335*N1331/(1-N1329)</f>
        <v>1332.0806400000001</v>
      </c>
      <c r="O1337" s="549">
        <f t="shared" si="1112"/>
        <v>1332.0806400000001</v>
      </c>
      <c r="P1337" s="549">
        <f t="shared" si="1112"/>
        <v>1332.0806400000001</v>
      </c>
      <c r="Q1337" s="549">
        <f t="shared" si="1112"/>
        <v>1332.0806400000001</v>
      </c>
      <c r="R1337" s="549">
        <f t="shared" si="1112"/>
        <v>1332.0806400000001</v>
      </c>
      <c r="S1337" s="549">
        <f t="shared" si="1112"/>
        <v>1332.0806400000001</v>
      </c>
      <c r="T1337" s="549">
        <f t="shared" si="1112"/>
        <v>1332.0806400000001</v>
      </c>
      <c r="U1337" s="549">
        <f t="shared" si="1112"/>
        <v>1332.0806400000001</v>
      </c>
      <c r="V1337" s="549">
        <f t="shared" si="1112"/>
        <v>1332.0806400000001</v>
      </c>
      <c r="W1337" s="549">
        <f t="shared" si="1112"/>
        <v>1332.0806400000001</v>
      </c>
      <c r="X1337" s="549">
        <f t="shared" si="1112"/>
        <v>1332.0806400000001</v>
      </c>
      <c r="Y1337" s="549">
        <f t="shared" si="1112"/>
        <v>1332.0806400000001</v>
      </c>
      <c r="Z1337" s="549">
        <f t="shared" si="1112"/>
        <v>1332.0806400000001</v>
      </c>
      <c r="AA1337" s="549"/>
      <c r="AB1337" s="549"/>
      <c r="AC1337" s="549"/>
      <c r="AD1337" s="549"/>
      <c r="AE1337" s="549"/>
      <c r="AF1337" s="549"/>
      <c r="AG1337" s="549"/>
      <c r="AH1337" s="549"/>
      <c r="AI1337" s="549"/>
      <c r="AJ1337" s="549"/>
      <c r="AL1337" s="976"/>
      <c r="AM1337" s="263"/>
    </row>
    <row r="1338" spans="1:39" x14ac:dyDescent="0.25">
      <c r="A1338" t="s">
        <v>861</v>
      </c>
      <c r="H1338" s="454" t="s">
        <v>675</v>
      </c>
      <c r="I1338" s="496" t="s">
        <v>436</v>
      </c>
      <c r="K1338" s="549"/>
      <c r="L1338" s="549">
        <f>L1336*L1331/(1-L1329)</f>
        <v>0</v>
      </c>
      <c r="M1338" s="549">
        <f t="shared" ref="M1338:AJ1338" si="1113">M1336*M1331/(1-M1329)</f>
        <v>0</v>
      </c>
      <c r="N1338" s="549">
        <f t="shared" si="1113"/>
        <v>0</v>
      </c>
      <c r="O1338" s="549">
        <f t="shared" si="1113"/>
        <v>0</v>
      </c>
      <c r="P1338" s="549">
        <f t="shared" si="1113"/>
        <v>0</v>
      </c>
      <c r="Q1338" s="549">
        <f t="shared" si="1113"/>
        <v>0</v>
      </c>
      <c r="R1338" s="549">
        <f t="shared" si="1113"/>
        <v>0</v>
      </c>
      <c r="S1338" s="549">
        <f t="shared" si="1113"/>
        <v>0</v>
      </c>
      <c r="T1338" s="549">
        <f t="shared" si="1113"/>
        <v>0</v>
      </c>
      <c r="U1338" s="549">
        <f t="shared" si="1113"/>
        <v>0</v>
      </c>
      <c r="V1338" s="549">
        <f t="shared" si="1113"/>
        <v>0</v>
      </c>
      <c r="W1338" s="549">
        <f t="shared" si="1113"/>
        <v>0</v>
      </c>
      <c r="X1338" s="549">
        <f t="shared" si="1113"/>
        <v>0</v>
      </c>
      <c r="Y1338" s="549">
        <f t="shared" si="1113"/>
        <v>0</v>
      </c>
      <c r="Z1338" s="549">
        <f t="shared" si="1113"/>
        <v>0</v>
      </c>
      <c r="AA1338" s="549"/>
      <c r="AB1338" s="549"/>
      <c r="AC1338" s="549"/>
      <c r="AD1338" s="549"/>
      <c r="AE1338" s="549"/>
      <c r="AF1338" s="549"/>
      <c r="AG1338" s="549"/>
      <c r="AH1338" s="549"/>
      <c r="AI1338" s="549"/>
      <c r="AJ1338" s="549"/>
      <c r="AL1338" s="976"/>
      <c r="AM1338" s="263"/>
    </row>
    <row r="1339" spans="1:39" x14ac:dyDescent="0.25">
      <c r="A1339" t="s">
        <v>861</v>
      </c>
      <c r="K1339" s="243"/>
      <c r="L1339" s="243"/>
      <c r="M1339" s="243"/>
      <c r="N1339" s="243"/>
      <c r="O1339" s="243"/>
      <c r="P1339" s="243"/>
      <c r="Q1339" s="243"/>
      <c r="R1339" s="243"/>
      <c r="S1339" s="243"/>
      <c r="T1339" s="243"/>
      <c r="U1339" s="243"/>
      <c r="V1339" s="243"/>
      <c r="W1339" s="243"/>
      <c r="X1339" s="243"/>
      <c r="Y1339" s="243"/>
      <c r="Z1339" s="243"/>
      <c r="AA1339" s="243"/>
      <c r="AB1339" s="243"/>
      <c r="AC1339" s="243"/>
      <c r="AD1339" s="243"/>
      <c r="AE1339" s="243"/>
      <c r="AF1339" s="243"/>
      <c r="AG1339" s="243"/>
      <c r="AH1339" s="243"/>
      <c r="AI1339" s="243"/>
      <c r="AJ1339" s="243"/>
      <c r="AL1339" s="976"/>
    </row>
    <row r="1340" spans="1:39" x14ac:dyDescent="0.25">
      <c r="A1340" t="s">
        <v>861</v>
      </c>
      <c r="K1340" s="243"/>
      <c r="L1340" s="243"/>
      <c r="M1340" s="243"/>
      <c r="N1340" s="243"/>
      <c r="O1340" s="243"/>
      <c r="P1340" s="243"/>
      <c r="Q1340" s="243"/>
      <c r="R1340" s="243"/>
      <c r="S1340" s="243"/>
      <c r="T1340" s="243"/>
      <c r="U1340" s="243"/>
      <c r="V1340" s="243"/>
      <c r="W1340" s="243"/>
      <c r="X1340" s="243"/>
      <c r="Y1340" s="243"/>
      <c r="Z1340" s="243"/>
      <c r="AA1340" s="243"/>
      <c r="AB1340" s="243"/>
      <c r="AC1340" s="243"/>
      <c r="AD1340" s="243"/>
      <c r="AE1340" s="243"/>
      <c r="AF1340" s="243"/>
      <c r="AG1340" s="243"/>
      <c r="AH1340" s="243"/>
      <c r="AI1340" s="243"/>
      <c r="AJ1340" s="243"/>
      <c r="AL1340" s="976"/>
    </row>
    <row r="1341" spans="1:39" x14ac:dyDescent="0.25">
      <c r="A1341" t="s">
        <v>861</v>
      </c>
      <c r="K1341" s="243"/>
      <c r="L1341" s="243"/>
      <c r="M1341" s="243"/>
      <c r="N1341" s="243"/>
      <c r="O1341" s="243"/>
      <c r="P1341" s="243"/>
      <c r="Q1341" s="243"/>
      <c r="R1341" s="243"/>
      <c r="S1341" s="243"/>
      <c r="T1341" s="243"/>
      <c r="U1341" s="243"/>
      <c r="V1341" s="243"/>
      <c r="W1341" s="243"/>
      <c r="X1341" s="243"/>
      <c r="Y1341" s="243"/>
      <c r="Z1341" s="243"/>
      <c r="AA1341" s="243"/>
      <c r="AB1341" s="243"/>
      <c r="AC1341" s="243"/>
      <c r="AD1341" s="243"/>
      <c r="AE1341" s="243"/>
      <c r="AF1341" s="243"/>
      <c r="AG1341" s="243"/>
      <c r="AH1341" s="243"/>
      <c r="AI1341" s="243"/>
      <c r="AJ1341" s="243"/>
      <c r="AL1341" s="976"/>
    </row>
    <row r="1342" spans="1:39" s="1" customFormat="1" x14ac:dyDescent="0.25">
      <c r="A1342" s="1" t="s">
        <v>861</v>
      </c>
      <c r="H1342" s="266" t="s">
        <v>434</v>
      </c>
      <c r="I1342" s="267" t="str">
        <f t="shared" ref="I1342:I1350" si="1114">IF($H$9="USD","USD","tr. VND")</f>
        <v>tr. VND</v>
      </c>
      <c r="K1342" s="268">
        <f t="shared" ref="K1342" si="1115">SUM(K1343:K1344,K1347:K1350,)</f>
        <v>0</v>
      </c>
      <c r="L1342" s="268">
        <f>SUM(L1343:L1344,L1347:L1350,)</f>
        <v>-43649.936933333331</v>
      </c>
      <c r="M1342" s="268">
        <f t="shared" ref="M1342:AJ1342" si="1116">SUM(M1343:M1344,M1347:M1350,)</f>
        <v>-43649.936933333331</v>
      </c>
      <c r="N1342" s="268">
        <f t="shared" si="1116"/>
        <v>-44549.234633333333</v>
      </c>
      <c r="O1342" s="268">
        <f t="shared" si="1116"/>
        <v>-45493.497218333338</v>
      </c>
      <c r="P1342" s="268">
        <f t="shared" si="1116"/>
        <v>-46484.97293258334</v>
      </c>
      <c r="Q1342" s="268">
        <f t="shared" si="1116"/>
        <v>-47526.022432545833</v>
      </c>
      <c r="R1342" s="268">
        <f t="shared" si="1116"/>
        <v>-48619.124407506461</v>
      </c>
      <c r="S1342" s="268">
        <f t="shared" si="1116"/>
        <v>-49766.881481215125</v>
      </c>
      <c r="T1342" s="268">
        <f t="shared" si="1116"/>
        <v>-50972.026408609207</v>
      </c>
      <c r="U1342" s="268">
        <f t="shared" si="1116"/>
        <v>-52237.428582373002</v>
      </c>
      <c r="V1342" s="268">
        <f t="shared" si="1116"/>
        <v>-53566.100864824984</v>
      </c>
      <c r="W1342" s="268">
        <f t="shared" si="1116"/>
        <v>-54961.20676139956</v>
      </c>
      <c r="X1342" s="268">
        <f t="shared" si="1116"/>
        <v>-31363.584619469544</v>
      </c>
      <c r="Y1342" s="268">
        <f t="shared" si="1116"/>
        <v>-32901.688870443017</v>
      </c>
      <c r="Z1342" s="268">
        <f t="shared" si="1116"/>
        <v>-34516.698333965178</v>
      </c>
      <c r="AA1342" s="268"/>
      <c r="AB1342" s="268"/>
      <c r="AC1342" s="268"/>
      <c r="AD1342" s="268"/>
      <c r="AE1342" s="268"/>
      <c r="AF1342" s="268"/>
      <c r="AG1342" s="268"/>
      <c r="AH1342" s="268"/>
      <c r="AI1342" s="268"/>
      <c r="AJ1342" s="268"/>
      <c r="AL1342" s="981"/>
      <c r="AM1342" s="17"/>
    </row>
    <row r="1343" spans="1:39" x14ac:dyDescent="0.25">
      <c r="A1343" t="s">
        <v>861</v>
      </c>
      <c r="B1343" t="s">
        <v>173</v>
      </c>
      <c r="H1343" s="459" t="s">
        <v>190</v>
      </c>
      <c r="I1343" s="493" t="str">
        <f t="shared" si="1114"/>
        <v>tr. VND</v>
      </c>
      <c r="K1343" s="492"/>
      <c r="L1343" s="548" cm="1">
        <f t="array" ref="L1343">-SUMPRODUCT('W1'!$BI$10:$NE$60*('W1'!$BI$7:$NE$7=$A1343)*('W1'!$BI$8:$NE$8=L$14)*('W1'!$A$10:$A$60=$B1343))*$H$10</f>
        <v>-25062.483333333334</v>
      </c>
      <c r="M1343" s="548" cm="1">
        <f t="array" ref="M1343">-SUMPRODUCT('W1'!$BI$10:$NE$60*('W1'!$BI$7:$NE$7=$A1343)*('W1'!$BI$8:$NE$8=M$14)*('W1'!$A$10:$A$60=$B1343))*$H$10</f>
        <v>-25062.483333333334</v>
      </c>
      <c r="N1343" s="548" cm="1">
        <f t="array" ref="N1343">-SUMPRODUCT('W1'!$BI$10:$NE$60*('W1'!$BI$7:$NE$7=$A1343)*('W1'!$BI$8:$NE$8=N$14)*('W1'!$A$10:$A$60=$B1343))*$H$10</f>
        <v>-25062.483333333334</v>
      </c>
      <c r="O1343" s="548" cm="1">
        <f t="array" ref="O1343">-SUMPRODUCT('W1'!$BI$10:$NE$60*('W1'!$BI$7:$NE$7=$A1343)*('W1'!$BI$8:$NE$8=O$14)*('W1'!$A$10:$A$60=$B1343))*$H$10</f>
        <v>-25062.483333333334</v>
      </c>
      <c r="P1343" s="548" cm="1">
        <f t="array" ref="P1343">-SUMPRODUCT('W1'!$BI$10:$NE$60*('W1'!$BI$7:$NE$7=$A1343)*('W1'!$BI$8:$NE$8=P$14)*('W1'!$A$10:$A$60=$B1343))*$H$10</f>
        <v>-25062.483333333334</v>
      </c>
      <c r="Q1343" s="548" cm="1">
        <f t="array" ref="Q1343">-SUMPRODUCT('W1'!$BI$10:$NE$60*('W1'!$BI$7:$NE$7=$A1343)*('W1'!$BI$8:$NE$8=Q$14)*('W1'!$A$10:$A$60=$B1343))*$H$10</f>
        <v>-25062.483333333334</v>
      </c>
      <c r="R1343" s="548" cm="1">
        <f t="array" ref="R1343">-SUMPRODUCT('W1'!$BI$10:$NE$60*('W1'!$BI$7:$NE$7=$A1343)*('W1'!$BI$8:$NE$8=R$14)*('W1'!$A$10:$A$60=$B1343))*$H$10</f>
        <v>-25062.483333333334</v>
      </c>
      <c r="S1343" s="548" cm="1">
        <f t="array" ref="S1343">-SUMPRODUCT('W1'!$BI$10:$NE$60*('W1'!$BI$7:$NE$7=$A1343)*('W1'!$BI$8:$NE$8=S$14)*('W1'!$A$10:$A$60=$B1343))*$H$10</f>
        <v>-25062.483333333334</v>
      </c>
      <c r="T1343" s="548" cm="1">
        <f t="array" ref="T1343">-SUMPRODUCT('W1'!$BI$10:$NE$60*('W1'!$BI$7:$NE$7=$A1343)*('W1'!$BI$8:$NE$8=T$14)*('W1'!$A$10:$A$60=$B1343))*$H$10</f>
        <v>-25062.483333333334</v>
      </c>
      <c r="U1343" s="548" cm="1">
        <f t="array" ref="U1343">-SUMPRODUCT('W1'!$BI$10:$NE$60*('W1'!$BI$7:$NE$7=$A1343)*('W1'!$BI$8:$NE$8=U$14)*('W1'!$A$10:$A$60=$B1343))*$H$10</f>
        <v>-25062.483333333334</v>
      </c>
      <c r="V1343" s="548" cm="1">
        <f t="array" ref="V1343">-SUMPRODUCT('W1'!$BI$10:$NE$60*('W1'!$BI$7:$NE$7=$A1343)*('W1'!$BI$8:$NE$8=V$14)*('W1'!$A$10:$A$60=$B1343))*$H$10</f>
        <v>-25062.483333333334</v>
      </c>
      <c r="W1343" s="548" cm="1">
        <f t="array" ref="W1343">-SUMPRODUCT('W1'!$BI$10:$NE$60*('W1'!$BI$7:$NE$7=$A1343)*('W1'!$BI$8:$NE$8=W$14)*('W1'!$A$10:$A$60=$B1343))*$H$10</f>
        <v>-25062.483333333334</v>
      </c>
      <c r="X1343" s="548" cm="1">
        <f t="array" ref="X1343">-SUMPRODUCT('W1'!$BI$10:$NE$60*('W1'!$BI$7:$NE$7=$A1343)*('W1'!$BI$8:$NE$8=X$14)*('W1'!$A$10:$A$60=$B1343))*$H$10</f>
        <v>0</v>
      </c>
      <c r="Y1343" s="548" cm="1">
        <f t="array" ref="Y1343">-SUMPRODUCT('W1'!$BI$10:$NE$60*('W1'!$BI$7:$NE$7=$A1343)*('W1'!$BI$8:$NE$8=Y$14)*('W1'!$A$10:$A$60=$B1343))*$H$10</f>
        <v>0</v>
      </c>
      <c r="Z1343" s="548" cm="1">
        <f t="array" ref="Z1343">-SUMPRODUCT('W1'!$BI$10:$NE$60*('W1'!$BI$7:$NE$7=$A1343)*('W1'!$BI$8:$NE$8=Z$14)*('W1'!$A$10:$A$60=$B1343))*$H$10</f>
        <v>0</v>
      </c>
      <c r="AA1343" s="548"/>
      <c r="AB1343" s="548"/>
      <c r="AC1343" s="548"/>
      <c r="AD1343" s="548"/>
      <c r="AE1343" s="548"/>
      <c r="AF1343" s="548"/>
      <c r="AG1343" s="548"/>
      <c r="AH1343" s="548"/>
      <c r="AI1343" s="548"/>
      <c r="AJ1343" s="548"/>
      <c r="AL1343" s="976"/>
      <c r="AM1343" s="263"/>
    </row>
    <row r="1344" spans="1:39" x14ac:dyDescent="0.25">
      <c r="A1344" t="s">
        <v>861</v>
      </c>
      <c r="H1344" s="454" t="s">
        <v>429</v>
      </c>
      <c r="I1344" s="496" t="str">
        <f t="shared" si="1114"/>
        <v>tr. VND</v>
      </c>
      <c r="K1344" s="549">
        <f>SUM(K1345:K1346)</f>
        <v>0</v>
      </c>
      <c r="L1344" s="549">
        <f t="shared" ref="L1344:AJ1344" si="1117">SUM(L1345:L1346)</f>
        <v>-6011.46</v>
      </c>
      <c r="M1344" s="549">
        <f t="shared" si="1117"/>
        <v>-6011.46</v>
      </c>
      <c r="N1344" s="549">
        <f t="shared" si="1117"/>
        <v>-6312.0329999999994</v>
      </c>
      <c r="O1344" s="549">
        <f t="shared" si="1117"/>
        <v>-6627.63465</v>
      </c>
      <c r="P1344" s="549">
        <f t="shared" si="1117"/>
        <v>-6959.0163825000009</v>
      </c>
      <c r="Q1344" s="549">
        <f t="shared" si="1117"/>
        <v>-7306.9672016249997</v>
      </c>
      <c r="R1344" s="549">
        <f t="shared" si="1117"/>
        <v>-7672.3155617062503</v>
      </c>
      <c r="S1344" s="549">
        <f t="shared" si="1117"/>
        <v>-8055.931339791563</v>
      </c>
      <c r="T1344" s="549">
        <f t="shared" si="1117"/>
        <v>-8458.7279067811414</v>
      </c>
      <c r="U1344" s="549">
        <f t="shared" si="1117"/>
        <v>-8881.664302120198</v>
      </c>
      <c r="V1344" s="549">
        <f t="shared" si="1117"/>
        <v>-9325.7475172262075</v>
      </c>
      <c r="W1344" s="549">
        <f t="shared" si="1117"/>
        <v>-9792.0348930875189</v>
      </c>
      <c r="X1344" s="549">
        <f t="shared" si="1117"/>
        <v>-10281.636637741896</v>
      </c>
      <c r="Y1344" s="549">
        <f t="shared" si="1117"/>
        <v>-10795.718469628988</v>
      </c>
      <c r="Z1344" s="549">
        <f t="shared" si="1117"/>
        <v>-11335.504393110441</v>
      </c>
      <c r="AA1344" s="549"/>
      <c r="AB1344" s="549"/>
      <c r="AC1344" s="549"/>
      <c r="AD1344" s="549"/>
      <c r="AE1344" s="549"/>
      <c r="AF1344" s="549"/>
      <c r="AG1344" s="549"/>
      <c r="AH1344" s="549"/>
      <c r="AI1344" s="549"/>
      <c r="AJ1344" s="549"/>
      <c r="AL1344" s="976"/>
      <c r="AM1344" s="263"/>
    </row>
    <row r="1345" spans="1:39" s="299" customFormat="1" x14ac:dyDescent="0.25">
      <c r="A1345" s="299" t="s">
        <v>861</v>
      </c>
      <c r="B1345" s="299" t="s">
        <v>449</v>
      </c>
      <c r="H1345" s="553" t="s">
        <v>430</v>
      </c>
      <c r="I1345" s="554" t="str">
        <f t="shared" si="1114"/>
        <v>tr. VND</v>
      </c>
      <c r="K1345" s="555"/>
      <c r="L1345" s="555" cm="1">
        <f t="array" ref="L1345">-SUMPRODUCT('W2'!$M$12:$V$112*('W2'!$M$7:$V$7=$A1345)*('W2'!$A$12:$A$112=$B1345))*$H$10*POWER(1+Inflation,L$11+1)</f>
        <v>-982.8</v>
      </c>
      <c r="M1345" s="555" cm="1">
        <f t="array" ref="M1345">-SUMPRODUCT('W2'!$M$12:$V$112*('W2'!$M$7:$V$7=$A1345)*('W2'!$A$12:$A$112=$B1345))*$H$10*POWER(1+Inflation,M$11+1)</f>
        <v>-982.8</v>
      </c>
      <c r="N1345" s="555" cm="1">
        <f t="array" ref="N1345">-SUMPRODUCT('W2'!$M$12:$V$112*('W2'!$M$7:$V$7=$A1345)*('W2'!$A$12:$A$112=$B1345))*$H$10*POWER(1+Inflation,N$11+1)</f>
        <v>-1031.94</v>
      </c>
      <c r="O1345" s="555" cm="1">
        <f t="array" ref="O1345">-SUMPRODUCT('W2'!$M$12:$V$112*('W2'!$M$7:$V$7=$A1345)*('W2'!$A$12:$A$112=$B1345))*$H$10*POWER(1+Inflation,O$11+1)</f>
        <v>-1083.537</v>
      </c>
      <c r="P1345" s="555" cm="1">
        <f t="array" ref="P1345">-SUMPRODUCT('W2'!$M$12:$V$112*('W2'!$M$7:$V$7=$A1345)*('W2'!$A$12:$A$112=$B1345))*$H$10*POWER(1+Inflation,P$11+1)</f>
        <v>-1137.7138500000001</v>
      </c>
      <c r="Q1345" s="555" cm="1">
        <f t="array" ref="Q1345">-SUMPRODUCT('W2'!$M$12:$V$112*('W2'!$M$7:$V$7=$A1345)*('W2'!$A$12:$A$112=$B1345))*$H$10*POWER(1+Inflation,Q$11+1)</f>
        <v>-1194.5995424999999</v>
      </c>
      <c r="R1345" s="555" cm="1">
        <f t="array" ref="R1345">-SUMPRODUCT('W2'!$M$12:$V$112*('W2'!$M$7:$V$7=$A1345)*('W2'!$A$12:$A$112=$B1345))*$H$10*POWER(1+Inflation,R$11+1)</f>
        <v>-1254.3295196250001</v>
      </c>
      <c r="S1345" s="555" cm="1">
        <f t="array" ref="S1345">-SUMPRODUCT('W2'!$M$12:$V$112*('W2'!$M$7:$V$7=$A1345)*('W2'!$A$12:$A$112=$B1345))*$H$10*POWER(1+Inflation,S$11+1)</f>
        <v>-1317.04599560625</v>
      </c>
      <c r="T1345" s="555" cm="1">
        <f t="array" ref="T1345">-SUMPRODUCT('W2'!$M$12:$V$112*('W2'!$M$7:$V$7=$A1345)*('W2'!$A$12:$A$112=$B1345))*$H$10*POWER(1+Inflation,T$11+1)</f>
        <v>-1382.8982953865627</v>
      </c>
      <c r="U1345" s="555" cm="1">
        <f t="array" ref="U1345">-SUMPRODUCT('W2'!$M$12:$V$112*('W2'!$M$7:$V$7=$A1345)*('W2'!$A$12:$A$112=$B1345))*$H$10*POWER(1+Inflation,U$11+1)</f>
        <v>-1452.0432101558906</v>
      </c>
      <c r="V1345" s="555" cm="1">
        <f t="array" ref="V1345">-SUMPRODUCT('W2'!$M$12:$V$112*('W2'!$M$7:$V$7=$A1345)*('W2'!$A$12:$A$112=$B1345))*$H$10*POWER(1+Inflation,V$11+1)</f>
        <v>-1524.6453706636853</v>
      </c>
      <c r="W1345" s="555" cm="1">
        <f t="array" ref="W1345">-SUMPRODUCT('W2'!$M$12:$V$112*('W2'!$M$7:$V$7=$A1345)*('W2'!$A$12:$A$112=$B1345))*$H$10*POWER(1+Inflation,W$11+1)</f>
        <v>-1600.8776391968695</v>
      </c>
      <c r="X1345" s="555" cm="1">
        <f t="array" ref="X1345">-SUMPRODUCT('W2'!$M$12:$V$112*('W2'!$M$7:$V$7=$A1345)*('W2'!$A$12:$A$112=$B1345))*$H$10*POWER(1+Inflation,X$11+1)</f>
        <v>-1680.9215211567132</v>
      </c>
      <c r="Y1345" s="555" cm="1">
        <f t="array" ref="Y1345">-SUMPRODUCT('W2'!$M$12:$V$112*('W2'!$M$7:$V$7=$A1345)*('W2'!$A$12:$A$112=$B1345))*$H$10*POWER(1+Inflation,Y$11+1)</f>
        <v>-1764.9675972145485</v>
      </c>
      <c r="Z1345" s="555" cm="1">
        <f t="array" ref="Z1345">-SUMPRODUCT('W2'!$M$12:$V$112*('W2'!$M$7:$V$7=$A1345)*('W2'!$A$12:$A$112=$B1345))*$H$10*POWER(1+Inflation,Z$11+1)</f>
        <v>-1853.2159770752762</v>
      </c>
      <c r="AA1345" s="555"/>
      <c r="AB1345" s="555"/>
      <c r="AC1345" s="555"/>
      <c r="AD1345" s="555"/>
      <c r="AE1345" s="555"/>
      <c r="AF1345" s="555"/>
      <c r="AG1345" s="555"/>
      <c r="AH1345" s="555"/>
      <c r="AI1345" s="555"/>
      <c r="AJ1345" s="555"/>
      <c r="AL1345" s="982"/>
      <c r="AM1345" s="975"/>
    </row>
    <row r="1346" spans="1:39" s="299" customFormat="1" x14ac:dyDescent="0.25">
      <c r="A1346" s="299" t="s">
        <v>861</v>
      </c>
      <c r="B1346" s="299" t="s">
        <v>450</v>
      </c>
      <c r="H1346" s="553" t="s">
        <v>431</v>
      </c>
      <c r="I1346" s="554" t="str">
        <f t="shared" si="1114"/>
        <v>tr. VND</v>
      </c>
      <c r="K1346" s="555"/>
      <c r="L1346" s="555" cm="1">
        <f t="array" ref="L1346">-SUMPRODUCT('W2'!$M$12:$V$112*('W2'!$M$7:$V$7=$A1346)*('W2'!$A$12:$A$112=$B1346))*$H$10*POWER(1+Inflation,L$11+1)</f>
        <v>-5028.66</v>
      </c>
      <c r="M1346" s="555" cm="1">
        <f t="array" ref="M1346">-SUMPRODUCT('W2'!$M$12:$V$112*('W2'!$M$7:$V$7=$A1346)*('W2'!$A$12:$A$112=$B1346))*$H$10*POWER(1+Inflation,M$11+1)</f>
        <v>-5028.66</v>
      </c>
      <c r="N1346" s="555" cm="1">
        <f t="array" ref="N1346">-SUMPRODUCT('W2'!$M$12:$V$112*('W2'!$M$7:$V$7=$A1346)*('W2'!$A$12:$A$112=$B1346))*$H$10*POWER(1+Inflation,N$11+1)</f>
        <v>-5280.0929999999998</v>
      </c>
      <c r="O1346" s="555" cm="1">
        <f t="array" ref="O1346">-SUMPRODUCT('W2'!$M$12:$V$112*('W2'!$M$7:$V$7=$A1346)*('W2'!$A$12:$A$112=$B1346))*$H$10*POWER(1+Inflation,O$11+1)</f>
        <v>-5544.0976499999997</v>
      </c>
      <c r="P1346" s="555" cm="1">
        <f t="array" ref="P1346">-SUMPRODUCT('W2'!$M$12:$V$112*('W2'!$M$7:$V$7=$A1346)*('W2'!$A$12:$A$112=$B1346))*$H$10*POWER(1+Inflation,P$11+1)</f>
        <v>-5821.3025325000008</v>
      </c>
      <c r="Q1346" s="555" cm="1">
        <f t="array" ref="Q1346">-SUMPRODUCT('W2'!$M$12:$V$112*('W2'!$M$7:$V$7=$A1346)*('W2'!$A$12:$A$112=$B1346))*$H$10*POWER(1+Inflation,Q$11+1)</f>
        <v>-6112.3676591249996</v>
      </c>
      <c r="R1346" s="555" cm="1">
        <f t="array" ref="R1346">-SUMPRODUCT('W2'!$M$12:$V$112*('W2'!$M$7:$V$7=$A1346)*('W2'!$A$12:$A$112=$B1346))*$H$10*POWER(1+Inflation,R$11+1)</f>
        <v>-6417.9860420812502</v>
      </c>
      <c r="S1346" s="555" cm="1">
        <f t="array" ref="S1346">-SUMPRODUCT('W2'!$M$12:$V$112*('W2'!$M$7:$V$7=$A1346)*('W2'!$A$12:$A$112=$B1346))*$H$10*POWER(1+Inflation,S$11+1)</f>
        <v>-6738.8853441853125</v>
      </c>
      <c r="T1346" s="555" cm="1">
        <f t="array" ref="T1346">-SUMPRODUCT('W2'!$M$12:$V$112*('W2'!$M$7:$V$7=$A1346)*('W2'!$A$12:$A$112=$B1346))*$H$10*POWER(1+Inflation,T$11+1)</f>
        <v>-7075.8296113945789</v>
      </c>
      <c r="U1346" s="555" cm="1">
        <f t="array" ref="U1346">-SUMPRODUCT('W2'!$M$12:$V$112*('W2'!$M$7:$V$7=$A1346)*('W2'!$A$12:$A$112=$B1346))*$H$10*POWER(1+Inflation,U$11+1)</f>
        <v>-7429.6210919643072</v>
      </c>
      <c r="V1346" s="555" cm="1">
        <f t="array" ref="V1346">-SUMPRODUCT('W2'!$M$12:$V$112*('W2'!$M$7:$V$7=$A1346)*('W2'!$A$12:$A$112=$B1346))*$H$10*POWER(1+Inflation,V$11+1)</f>
        <v>-7801.1021465625226</v>
      </c>
      <c r="W1346" s="555" cm="1">
        <f t="array" ref="W1346">-SUMPRODUCT('W2'!$M$12:$V$112*('W2'!$M$7:$V$7=$A1346)*('W2'!$A$12:$A$112=$B1346))*$H$10*POWER(1+Inflation,W$11+1)</f>
        <v>-8191.1572538906494</v>
      </c>
      <c r="X1346" s="555" cm="1">
        <f t="array" ref="X1346">-SUMPRODUCT('W2'!$M$12:$V$112*('W2'!$M$7:$V$7=$A1346)*('W2'!$A$12:$A$112=$B1346))*$H$10*POWER(1+Inflation,X$11+1)</f>
        <v>-8600.7151165851828</v>
      </c>
      <c r="Y1346" s="555" cm="1">
        <f t="array" ref="Y1346">-SUMPRODUCT('W2'!$M$12:$V$112*('W2'!$M$7:$V$7=$A1346)*('W2'!$A$12:$A$112=$B1346))*$H$10*POWER(1+Inflation,Y$11+1)</f>
        <v>-9030.7508724144391</v>
      </c>
      <c r="Z1346" s="555" cm="1">
        <f t="array" ref="Z1346">-SUMPRODUCT('W2'!$M$12:$V$112*('W2'!$M$7:$V$7=$A1346)*('W2'!$A$12:$A$112=$B1346))*$H$10*POWER(1+Inflation,Z$11+1)</f>
        <v>-9482.2884160351641</v>
      </c>
      <c r="AA1346" s="555"/>
      <c r="AB1346" s="555"/>
      <c r="AC1346" s="555"/>
      <c r="AD1346" s="555"/>
      <c r="AE1346" s="555"/>
      <c r="AF1346" s="555"/>
      <c r="AG1346" s="555"/>
      <c r="AH1346" s="555"/>
      <c r="AI1346" s="555"/>
      <c r="AJ1346" s="555"/>
      <c r="AL1346" s="982"/>
      <c r="AM1346" s="975"/>
    </row>
    <row r="1347" spans="1:39" x14ac:dyDescent="0.25">
      <c r="A1347" t="s">
        <v>861</v>
      </c>
      <c r="B1347" t="s">
        <v>451</v>
      </c>
      <c r="H1347" s="454" t="s">
        <v>656</v>
      </c>
      <c r="I1347" s="496" t="str">
        <f t="shared" si="1114"/>
        <v>tr. VND</v>
      </c>
      <c r="K1347" s="549"/>
      <c r="L1347" s="549" cm="1">
        <f t="array" ref="L1347">-SUMPRODUCT('W2'!$M$12:$V$112*('W2'!$M$7:$V$7=$A1347)*('W2'!$A$12:$A$112=$B1347))*$H$10*POWER(1+Inflation,L$11+1)</f>
        <v>-2400</v>
      </c>
      <c r="M1347" s="549" cm="1">
        <f t="array" ref="M1347">-SUMPRODUCT('W2'!$M$12:$V$112*('W2'!$M$7:$V$7=$A1347)*('W2'!$A$12:$A$112=$B1347))*$H$10*POWER(1+Inflation,M$11+1)</f>
        <v>-2400</v>
      </c>
      <c r="N1347" s="549" cm="1">
        <f t="array" ref="N1347">-SUMPRODUCT('W2'!$M$12:$V$112*('W2'!$M$7:$V$7=$A1347)*('W2'!$A$12:$A$112=$B1347))*$H$10*POWER(1+Inflation,N$11+1)</f>
        <v>-2520</v>
      </c>
      <c r="O1347" s="549" cm="1">
        <f t="array" ref="O1347">-SUMPRODUCT('W2'!$M$12:$V$112*('W2'!$M$7:$V$7=$A1347)*('W2'!$A$12:$A$112=$B1347))*$H$10*POWER(1+Inflation,O$11+1)</f>
        <v>-2646</v>
      </c>
      <c r="P1347" s="549" cm="1">
        <f t="array" ref="P1347">-SUMPRODUCT('W2'!$M$12:$V$112*('W2'!$M$7:$V$7=$A1347)*('W2'!$A$12:$A$112=$B1347))*$H$10*POWER(1+Inflation,P$11+1)</f>
        <v>-2778.3</v>
      </c>
      <c r="Q1347" s="549" cm="1">
        <f t="array" ref="Q1347">-SUMPRODUCT('W2'!$M$12:$V$112*('W2'!$M$7:$V$7=$A1347)*('W2'!$A$12:$A$112=$B1347))*$H$10*POWER(1+Inflation,Q$11+1)</f>
        <v>-2917.2150000000001</v>
      </c>
      <c r="R1347" s="549" cm="1">
        <f t="array" ref="R1347">-SUMPRODUCT('W2'!$M$12:$V$112*('W2'!$M$7:$V$7=$A1347)*('W2'!$A$12:$A$112=$B1347))*$H$10*POWER(1+Inflation,R$11+1)</f>
        <v>-3063.0757500000004</v>
      </c>
      <c r="S1347" s="549" cm="1">
        <f t="array" ref="S1347">-SUMPRODUCT('W2'!$M$12:$V$112*('W2'!$M$7:$V$7=$A1347)*('W2'!$A$12:$A$112=$B1347))*$H$10*POWER(1+Inflation,S$11+1)</f>
        <v>-3216.2295374999999</v>
      </c>
      <c r="T1347" s="549" cm="1">
        <f t="array" ref="T1347">-SUMPRODUCT('W2'!$M$12:$V$112*('W2'!$M$7:$V$7=$A1347)*('W2'!$A$12:$A$112=$B1347))*$H$10*POWER(1+Inflation,T$11+1)</f>
        <v>-3377.0410143750005</v>
      </c>
      <c r="U1347" s="549" cm="1">
        <f t="array" ref="U1347">-SUMPRODUCT('W2'!$M$12:$V$112*('W2'!$M$7:$V$7=$A1347)*('W2'!$A$12:$A$112=$B1347))*$H$10*POWER(1+Inflation,U$11+1)</f>
        <v>-3545.89306509375</v>
      </c>
      <c r="V1347" s="549" cm="1">
        <f t="array" ref="V1347">-SUMPRODUCT('W2'!$M$12:$V$112*('W2'!$M$7:$V$7=$A1347)*('W2'!$A$12:$A$112=$B1347))*$H$10*POWER(1+Inflation,V$11+1)</f>
        <v>-3723.187718348438</v>
      </c>
      <c r="W1347" s="549" cm="1">
        <f t="array" ref="W1347">-SUMPRODUCT('W2'!$M$12:$V$112*('W2'!$M$7:$V$7=$A1347)*('W2'!$A$12:$A$112=$B1347))*$H$10*POWER(1+Inflation,W$11+1)</f>
        <v>-3909.3471042658598</v>
      </c>
      <c r="X1347" s="549" cm="1">
        <f t="array" ref="X1347">-SUMPRODUCT('W2'!$M$12:$V$112*('W2'!$M$7:$V$7=$A1347)*('W2'!$A$12:$A$112=$B1347))*$H$10*POWER(1+Inflation,X$11+1)</f>
        <v>-4104.8144594791529</v>
      </c>
      <c r="Y1347" s="549" cm="1">
        <f t="array" ref="Y1347">-SUMPRODUCT('W2'!$M$12:$V$112*('W2'!$M$7:$V$7=$A1347)*('W2'!$A$12:$A$112=$B1347))*$H$10*POWER(1+Inflation,Y$11+1)</f>
        <v>-4310.0551824531103</v>
      </c>
      <c r="Z1347" s="549" cm="1">
        <f t="array" ref="Z1347">-SUMPRODUCT('W2'!$M$12:$V$112*('W2'!$M$7:$V$7=$A1347)*('W2'!$A$12:$A$112=$B1347))*$H$10*POWER(1+Inflation,Z$11+1)</f>
        <v>-4525.5579415757666</v>
      </c>
      <c r="AA1347" s="549"/>
      <c r="AB1347" s="549"/>
      <c r="AC1347" s="549"/>
      <c r="AD1347" s="549"/>
      <c r="AE1347" s="549"/>
      <c r="AF1347" s="549"/>
      <c r="AG1347" s="549"/>
      <c r="AH1347" s="549"/>
      <c r="AI1347" s="549"/>
      <c r="AJ1347" s="549"/>
      <c r="AL1347" s="976"/>
      <c r="AM1347" s="263"/>
    </row>
    <row r="1348" spans="1:39" x14ac:dyDescent="0.25">
      <c r="A1348" t="s">
        <v>861</v>
      </c>
      <c r="B1348" t="s">
        <v>452</v>
      </c>
      <c r="H1348" s="454" t="s">
        <v>432</v>
      </c>
      <c r="I1348" s="496" t="str">
        <f t="shared" si="1114"/>
        <v>tr. VND</v>
      </c>
      <c r="K1348" s="549"/>
      <c r="L1348" s="549" cm="1">
        <f t="array" ref="L1348">-SUMPRODUCT('W2'!$M$12:$V$112*('W2'!$M$7:$V$7=$A1348)*('W2'!$A$12:$A$112=$B1348))*$H$10*POWER(1+Inflation,L$11+1)</f>
        <v>-9022.4939999999988</v>
      </c>
      <c r="M1348" s="549" cm="1">
        <f t="array" ref="M1348">-SUMPRODUCT('W2'!$M$12:$V$112*('W2'!$M$7:$V$7=$A1348)*('W2'!$A$12:$A$112=$B1348))*$H$10*POWER(1+Inflation,M$11+1)</f>
        <v>-9022.4939999999988</v>
      </c>
      <c r="N1348" s="549" cm="1">
        <f t="array" ref="N1348">-SUMPRODUCT('W2'!$M$12:$V$112*('W2'!$M$7:$V$7=$A1348)*('W2'!$A$12:$A$112=$B1348))*$H$10*POWER(1+Inflation,N$11+1)</f>
        <v>-9473.6186999999991</v>
      </c>
      <c r="O1348" s="549" cm="1">
        <f t="array" ref="O1348">-SUMPRODUCT('W2'!$M$12:$V$112*('W2'!$M$7:$V$7=$A1348)*('W2'!$A$12:$A$112=$B1348))*$H$10*POWER(1+Inflation,O$11+1)</f>
        <v>-9947.2996349999994</v>
      </c>
      <c r="P1348" s="549" cm="1">
        <f t="array" ref="P1348">-SUMPRODUCT('W2'!$M$12:$V$112*('W2'!$M$7:$V$7=$A1348)*('W2'!$A$12:$A$112=$B1348))*$H$10*POWER(1+Inflation,P$11+1)</f>
        <v>-10444.66461675</v>
      </c>
      <c r="Q1348" s="549" cm="1">
        <f t="array" ref="Q1348">-SUMPRODUCT('W2'!$M$12:$V$112*('W2'!$M$7:$V$7=$A1348)*('W2'!$A$12:$A$112=$B1348))*$H$10*POWER(1+Inflation,Q$11+1)</f>
        <v>-10966.897847587499</v>
      </c>
      <c r="R1348" s="549" cm="1">
        <f t="array" ref="R1348">-SUMPRODUCT('W2'!$M$12:$V$112*('W2'!$M$7:$V$7=$A1348)*('W2'!$A$12:$A$112=$B1348))*$H$10*POWER(1+Inflation,R$11+1)</f>
        <v>-11515.242739966874</v>
      </c>
      <c r="S1348" s="549" cm="1">
        <f t="array" ref="S1348">-SUMPRODUCT('W2'!$M$12:$V$112*('W2'!$M$7:$V$7=$A1348)*('W2'!$A$12:$A$112=$B1348))*$H$10*POWER(1+Inflation,S$11+1)</f>
        <v>-12091.004876965217</v>
      </c>
      <c r="T1348" s="549" cm="1">
        <f t="array" ref="T1348">-SUMPRODUCT('W2'!$M$12:$V$112*('W2'!$M$7:$V$7=$A1348)*('W2'!$A$12:$A$112=$B1348))*$H$10*POWER(1+Inflation,T$11+1)</f>
        <v>-12695.55512081348</v>
      </c>
      <c r="U1348" s="549" cm="1">
        <f t="array" ref="U1348">-SUMPRODUCT('W2'!$M$12:$V$112*('W2'!$M$7:$V$7=$A1348)*('W2'!$A$12:$A$112=$B1348))*$H$10*POWER(1+Inflation,U$11+1)</f>
        <v>-13330.332876854152</v>
      </c>
      <c r="V1348" s="549" cm="1">
        <f t="array" ref="V1348">-SUMPRODUCT('W2'!$M$12:$V$112*('W2'!$M$7:$V$7=$A1348)*('W2'!$A$12:$A$112=$B1348))*$H$10*POWER(1+Inflation,V$11+1)</f>
        <v>-13996.84952069686</v>
      </c>
      <c r="W1348" s="549" cm="1">
        <f t="array" ref="W1348">-SUMPRODUCT('W2'!$M$12:$V$112*('W2'!$M$7:$V$7=$A1348)*('W2'!$A$12:$A$112=$B1348))*$H$10*POWER(1+Inflation,W$11+1)</f>
        <v>-14696.691996731704</v>
      </c>
      <c r="X1348" s="549" cm="1">
        <f t="array" ref="X1348">-SUMPRODUCT('W2'!$M$12:$V$112*('W2'!$M$7:$V$7=$A1348)*('W2'!$A$12:$A$112=$B1348))*$H$10*POWER(1+Inflation,X$11+1)</f>
        <v>-15431.52659656829</v>
      </c>
      <c r="Y1348" s="549" cm="1">
        <f t="array" ref="Y1348">-SUMPRODUCT('W2'!$M$12:$V$112*('W2'!$M$7:$V$7=$A1348)*('W2'!$A$12:$A$112=$B1348))*$H$10*POWER(1+Inflation,Y$11+1)</f>
        <v>-16203.102926396703</v>
      </c>
      <c r="Z1348" s="549" cm="1">
        <f t="array" ref="Z1348">-SUMPRODUCT('W2'!$M$12:$V$112*('W2'!$M$7:$V$7=$A1348)*('W2'!$A$12:$A$112=$B1348))*$H$10*POWER(1+Inflation,Z$11+1)</f>
        <v>-17013.25807271654</v>
      </c>
      <c r="AA1348" s="549"/>
      <c r="AB1348" s="549"/>
      <c r="AC1348" s="549"/>
      <c r="AD1348" s="549"/>
      <c r="AE1348" s="549"/>
      <c r="AF1348" s="549"/>
      <c r="AG1348" s="549"/>
      <c r="AH1348" s="549"/>
      <c r="AI1348" s="549"/>
      <c r="AJ1348" s="549"/>
      <c r="AL1348" s="976"/>
      <c r="AM1348" s="263"/>
    </row>
    <row r="1349" spans="1:39" x14ac:dyDescent="0.25">
      <c r="A1349" t="s">
        <v>861</v>
      </c>
      <c r="B1349" t="s">
        <v>453</v>
      </c>
      <c r="H1349" s="454" t="s">
        <v>433</v>
      </c>
      <c r="I1349" s="496" t="str">
        <f t="shared" si="1114"/>
        <v>tr. VND</v>
      </c>
      <c r="K1349" s="549"/>
      <c r="L1349" s="549" cm="1">
        <f t="array" ref="L1349">-SUMPRODUCT('W2'!$M$12:$V$112*('W2'!$M$7:$V$7=$A1349)*('W2'!$A$12:$A$112=$B1349))*$H$10*POWER(1+Inflation,L$11+1)</f>
        <v>-552</v>
      </c>
      <c r="M1349" s="549" cm="1">
        <f t="array" ref="M1349">-SUMPRODUCT('W2'!$M$12:$V$112*('W2'!$M$7:$V$7=$A1349)*('W2'!$A$12:$A$112=$B1349))*$H$10*POWER(1+Inflation,M$11+1)</f>
        <v>-552</v>
      </c>
      <c r="N1349" s="549" cm="1">
        <f t="array" ref="N1349">-SUMPRODUCT('W2'!$M$12:$V$112*('W2'!$M$7:$V$7=$A1349)*('W2'!$A$12:$A$112=$B1349))*$H$10*POWER(1+Inflation,N$11+1)</f>
        <v>-579.6</v>
      </c>
      <c r="O1349" s="549" cm="1">
        <f t="array" ref="O1349">-SUMPRODUCT('W2'!$M$12:$V$112*('W2'!$M$7:$V$7=$A1349)*('W2'!$A$12:$A$112=$B1349))*$H$10*POWER(1+Inflation,O$11+1)</f>
        <v>-608.58000000000004</v>
      </c>
      <c r="P1349" s="549" cm="1">
        <f t="array" ref="P1349">-SUMPRODUCT('W2'!$M$12:$V$112*('W2'!$M$7:$V$7=$A1349)*('W2'!$A$12:$A$112=$B1349))*$H$10*POWER(1+Inflation,P$11+1)</f>
        <v>-639.00900000000001</v>
      </c>
      <c r="Q1349" s="549" cm="1">
        <f t="array" ref="Q1349">-SUMPRODUCT('W2'!$M$12:$V$112*('W2'!$M$7:$V$7=$A1349)*('W2'!$A$12:$A$112=$B1349))*$H$10*POWER(1+Inflation,Q$11+1)</f>
        <v>-670.95945000000006</v>
      </c>
      <c r="R1349" s="549" cm="1">
        <f t="array" ref="R1349">-SUMPRODUCT('W2'!$M$12:$V$112*('W2'!$M$7:$V$7=$A1349)*('W2'!$A$12:$A$112=$B1349))*$H$10*POWER(1+Inflation,R$11+1)</f>
        <v>-704.50742250000008</v>
      </c>
      <c r="S1349" s="549" cm="1">
        <f t="array" ref="S1349">-SUMPRODUCT('W2'!$M$12:$V$112*('W2'!$M$7:$V$7=$A1349)*('W2'!$A$12:$A$112=$B1349))*$H$10*POWER(1+Inflation,S$11+1)</f>
        <v>-739.732793625</v>
      </c>
      <c r="T1349" s="549" cm="1">
        <f t="array" ref="T1349">-SUMPRODUCT('W2'!$M$12:$V$112*('W2'!$M$7:$V$7=$A1349)*('W2'!$A$12:$A$112=$B1349))*$H$10*POWER(1+Inflation,T$11+1)</f>
        <v>-776.71943330625015</v>
      </c>
      <c r="U1349" s="549" cm="1">
        <f t="array" ref="U1349">-SUMPRODUCT('W2'!$M$12:$V$112*('W2'!$M$7:$V$7=$A1349)*('W2'!$A$12:$A$112=$B1349))*$H$10*POWER(1+Inflation,U$11+1)</f>
        <v>-815.55540497156255</v>
      </c>
      <c r="V1349" s="549" cm="1">
        <f t="array" ref="V1349">-SUMPRODUCT('W2'!$M$12:$V$112*('W2'!$M$7:$V$7=$A1349)*('W2'!$A$12:$A$112=$B1349))*$H$10*POWER(1+Inflation,V$11+1)</f>
        <v>-856.33317522014067</v>
      </c>
      <c r="W1349" s="549" cm="1">
        <f t="array" ref="W1349">-SUMPRODUCT('W2'!$M$12:$V$112*('W2'!$M$7:$V$7=$A1349)*('W2'!$A$12:$A$112=$B1349))*$H$10*POWER(1+Inflation,W$11+1)</f>
        <v>-899.14983398114771</v>
      </c>
      <c r="X1349" s="549" cm="1">
        <f t="array" ref="X1349">-SUMPRODUCT('W2'!$M$12:$V$112*('W2'!$M$7:$V$7=$A1349)*('W2'!$A$12:$A$112=$B1349))*$H$10*POWER(1+Inflation,X$11+1)</f>
        <v>-944.10732568020524</v>
      </c>
      <c r="Y1349" s="549" cm="1">
        <f t="array" ref="Y1349">-SUMPRODUCT('W2'!$M$12:$V$112*('W2'!$M$7:$V$7=$A1349)*('W2'!$A$12:$A$112=$B1349))*$H$10*POWER(1+Inflation,Y$11+1)</f>
        <v>-991.31269196421533</v>
      </c>
      <c r="Z1349" s="549" cm="1">
        <f t="array" ref="Z1349">-SUMPRODUCT('W2'!$M$12:$V$112*('W2'!$M$7:$V$7=$A1349)*('W2'!$A$12:$A$112=$B1349))*$H$10*POWER(1+Inflation,Z$11+1)</f>
        <v>-1040.8783265624263</v>
      </c>
      <c r="AA1349" s="549"/>
      <c r="AB1349" s="549"/>
      <c r="AC1349" s="549"/>
      <c r="AD1349" s="549"/>
      <c r="AE1349" s="549"/>
      <c r="AF1349" s="549"/>
      <c r="AG1349" s="549"/>
      <c r="AH1349" s="549"/>
      <c r="AI1349" s="549"/>
      <c r="AJ1349" s="549"/>
      <c r="AL1349" s="976"/>
      <c r="AM1349" s="263"/>
    </row>
    <row r="1350" spans="1:39" x14ac:dyDescent="0.25">
      <c r="A1350" t="s">
        <v>861</v>
      </c>
      <c r="B1350" t="s">
        <v>521</v>
      </c>
      <c r="H1350" s="454" t="s">
        <v>520</v>
      </c>
      <c r="I1350" s="496" t="str">
        <f t="shared" si="1114"/>
        <v>tr. VND</v>
      </c>
      <c r="K1350" s="549"/>
      <c r="L1350" s="549" cm="1">
        <f t="array" ref="L1350">-SUMPRODUCT('W2'!$M$12:$V$112*('W2'!$M$7:$V$7=$A1350)*('W2'!$A$12:$A$112=$B1350))*$H$10</f>
        <v>-601.49959999999999</v>
      </c>
      <c r="M1350" s="549" cm="1">
        <f t="array" ref="M1350">-SUMPRODUCT('W2'!$M$12:$V$112*('W2'!$M$7:$V$7=$A1350)*('W2'!$A$12:$A$112=$B1350))*$H$10</f>
        <v>-601.49959999999999</v>
      </c>
      <c r="N1350" s="549" cm="1">
        <f t="array" ref="N1350">-SUMPRODUCT('W2'!$M$12:$V$112*('W2'!$M$7:$V$7=$A1350)*('W2'!$A$12:$A$112=$B1350))*$H$10</f>
        <v>-601.49959999999999</v>
      </c>
      <c r="O1350" s="549" cm="1">
        <f t="array" ref="O1350">-SUMPRODUCT('W2'!$M$12:$V$112*('W2'!$M$7:$V$7=$A1350)*('W2'!$A$12:$A$112=$B1350))*$H$10</f>
        <v>-601.49959999999999</v>
      </c>
      <c r="P1350" s="549" cm="1">
        <f t="array" ref="P1350">-SUMPRODUCT('W2'!$M$12:$V$112*('W2'!$M$7:$V$7=$A1350)*('W2'!$A$12:$A$112=$B1350))*$H$10</f>
        <v>-601.49959999999999</v>
      </c>
      <c r="Q1350" s="549" cm="1">
        <f t="array" ref="Q1350">-SUMPRODUCT('W2'!$M$12:$V$112*('W2'!$M$7:$V$7=$A1350)*('W2'!$A$12:$A$112=$B1350))*$H$10</f>
        <v>-601.49959999999999</v>
      </c>
      <c r="R1350" s="549" cm="1">
        <f t="array" ref="R1350">-SUMPRODUCT('W2'!$M$12:$V$112*('W2'!$M$7:$V$7=$A1350)*('W2'!$A$12:$A$112=$B1350))*$H$10</f>
        <v>-601.49959999999999</v>
      </c>
      <c r="S1350" s="549" cm="1">
        <f t="array" ref="S1350">-SUMPRODUCT('W2'!$M$12:$V$112*('W2'!$M$7:$V$7=$A1350)*('W2'!$A$12:$A$112=$B1350))*$H$10</f>
        <v>-601.49959999999999</v>
      </c>
      <c r="T1350" s="549" cm="1">
        <f t="array" ref="T1350">-SUMPRODUCT('W2'!$M$12:$V$112*('W2'!$M$7:$V$7=$A1350)*('W2'!$A$12:$A$112=$B1350))*$H$10</f>
        <v>-601.49959999999999</v>
      </c>
      <c r="U1350" s="549" cm="1">
        <f t="array" ref="U1350">-SUMPRODUCT('W2'!$M$12:$V$112*('W2'!$M$7:$V$7=$A1350)*('W2'!$A$12:$A$112=$B1350))*$H$10</f>
        <v>-601.49959999999999</v>
      </c>
      <c r="V1350" s="549" cm="1">
        <f t="array" ref="V1350">-SUMPRODUCT('W2'!$M$12:$V$112*('W2'!$M$7:$V$7=$A1350)*('W2'!$A$12:$A$112=$B1350))*$H$10</f>
        <v>-601.49959999999999</v>
      </c>
      <c r="W1350" s="549" cm="1">
        <f t="array" ref="W1350">-SUMPRODUCT('W2'!$M$12:$V$112*('W2'!$M$7:$V$7=$A1350)*('W2'!$A$12:$A$112=$B1350))*$H$10</f>
        <v>-601.49959999999999</v>
      </c>
      <c r="X1350" s="549" cm="1">
        <f t="array" ref="X1350">-SUMPRODUCT('W2'!$M$12:$V$112*('W2'!$M$7:$V$7=$A1350)*('W2'!$A$12:$A$112=$B1350))*$H$10</f>
        <v>-601.49959999999999</v>
      </c>
      <c r="Y1350" s="549" cm="1">
        <f t="array" ref="Y1350">-SUMPRODUCT('W2'!$M$12:$V$112*('W2'!$M$7:$V$7=$A1350)*('W2'!$A$12:$A$112=$B1350))*$H$10</f>
        <v>-601.49959999999999</v>
      </c>
      <c r="Z1350" s="549" cm="1">
        <f t="array" ref="Z1350">-SUMPRODUCT('W2'!$M$12:$V$112*('W2'!$M$7:$V$7=$A1350)*('W2'!$A$12:$A$112=$B1350))*$H$10</f>
        <v>-601.49959999999999</v>
      </c>
      <c r="AA1350" s="549"/>
      <c r="AB1350" s="549"/>
      <c r="AC1350" s="549"/>
      <c r="AD1350" s="549"/>
      <c r="AE1350" s="549"/>
      <c r="AF1350" s="549"/>
      <c r="AG1350" s="549"/>
      <c r="AH1350" s="549"/>
      <c r="AI1350" s="549"/>
      <c r="AJ1350" s="549"/>
      <c r="AL1350" s="976"/>
      <c r="AM1350" s="263"/>
    </row>
    <row r="1351" spans="1:39" x14ac:dyDescent="0.25">
      <c r="A1351" t="s">
        <v>861</v>
      </c>
      <c r="K1351" s="243"/>
      <c r="L1351" s="243"/>
      <c r="M1351" s="243"/>
      <c r="N1351" s="243"/>
      <c r="O1351" s="243"/>
      <c r="P1351" s="243"/>
      <c r="Q1351" s="243"/>
      <c r="R1351" s="243"/>
      <c r="S1351" s="243"/>
      <c r="T1351" s="243"/>
      <c r="U1351" s="243"/>
      <c r="V1351" s="243"/>
      <c r="W1351" s="243"/>
      <c r="X1351" s="243"/>
      <c r="Y1351" s="243"/>
      <c r="Z1351" s="243"/>
      <c r="AA1351" s="243"/>
      <c r="AB1351" s="243"/>
      <c r="AC1351" s="243"/>
      <c r="AD1351" s="243"/>
      <c r="AE1351" s="243"/>
      <c r="AF1351" s="243"/>
      <c r="AG1351" s="243"/>
      <c r="AH1351" s="243"/>
      <c r="AI1351" s="243"/>
      <c r="AJ1351" s="243"/>
      <c r="AL1351" s="976"/>
    </row>
    <row r="1352" spans="1:39" s="1" customFormat="1" x14ac:dyDescent="0.25">
      <c r="A1352" s="1" t="s">
        <v>861</v>
      </c>
      <c r="H1352" s="266" t="s">
        <v>435</v>
      </c>
      <c r="I1352" s="267" t="str">
        <f t="shared" ref="I1352:I1355" si="1118">IF($H$9="USD","USD","tr. VND")</f>
        <v>tr. VND</v>
      </c>
      <c r="K1352" s="269">
        <f>K1353+K1356+K1359</f>
        <v>0</v>
      </c>
      <c r="L1352" s="269">
        <f t="shared" ref="L1352:AJ1352" si="1119">L1353+L1356+L1359</f>
        <v>-92494.065303826777</v>
      </c>
      <c r="M1352" s="269">
        <f t="shared" si="1119"/>
        <v>-128793.29243442416</v>
      </c>
      <c r="N1352" s="269">
        <f t="shared" si="1119"/>
        <v>-187365.60190480959</v>
      </c>
      <c r="O1352" s="269">
        <f t="shared" si="1119"/>
        <v>-191595.4979197002</v>
      </c>
      <c r="P1352" s="269">
        <f t="shared" si="1119"/>
        <v>-195935.14761304564</v>
      </c>
      <c r="Q1352" s="269">
        <f t="shared" si="1119"/>
        <v>-200388.00384632294</v>
      </c>
      <c r="R1352" s="269">
        <f t="shared" si="1119"/>
        <v>-204957.65142763397</v>
      </c>
      <c r="S1352" s="269">
        <f t="shared" si="1119"/>
        <v>-209647.81289510772</v>
      </c>
      <c r="T1352" s="269">
        <f t="shared" si="1119"/>
        <v>-214462.35457319432</v>
      </c>
      <c r="U1352" s="269">
        <f t="shared" si="1119"/>
        <v>-219405.29291516927</v>
      </c>
      <c r="V1352" s="269">
        <f t="shared" si="1119"/>
        <v>-224480.80114582658</v>
      </c>
      <c r="W1352" s="269">
        <f t="shared" si="1119"/>
        <v>-229693.21621903207</v>
      </c>
      <c r="X1352" s="269">
        <f t="shared" si="1119"/>
        <v>-234044.54677220009</v>
      </c>
      <c r="Y1352" s="269">
        <f t="shared" si="1119"/>
        <v>-239544.47809385488</v>
      </c>
      <c r="Z1352" s="269">
        <f t="shared" si="1119"/>
        <v>-245195.38412123729</v>
      </c>
      <c r="AA1352" s="269"/>
      <c r="AB1352" s="269"/>
      <c r="AC1352" s="269"/>
      <c r="AD1352" s="269"/>
      <c r="AE1352" s="269"/>
      <c r="AF1352" s="269"/>
      <c r="AG1352" s="269"/>
      <c r="AH1352" s="269"/>
      <c r="AI1352" s="269"/>
      <c r="AJ1352" s="269"/>
      <c r="AL1352" s="220"/>
      <c r="AM1352" s="17"/>
    </row>
    <row r="1353" spans="1:39" x14ac:dyDescent="0.25">
      <c r="A1353" t="s">
        <v>861</v>
      </c>
      <c r="H1353" s="636" t="s">
        <v>454</v>
      </c>
      <c r="I1353" s="637" t="str">
        <f t="shared" si="1118"/>
        <v>tr. VND</v>
      </c>
      <c r="K1353" s="638">
        <f>SUM(K1354:K1355)</f>
        <v>0</v>
      </c>
      <c r="L1353" s="638">
        <f t="shared" ref="L1353:AJ1353" si="1120">SUM(L1354:L1355)</f>
        <v>-83121.831936000002</v>
      </c>
      <c r="M1353" s="638">
        <f t="shared" si="1120"/>
        <v>-116370.56471040001</v>
      </c>
      <c r="N1353" s="638">
        <f t="shared" si="1120"/>
        <v>-169568.53714944003</v>
      </c>
      <c r="O1353" s="638">
        <f t="shared" si="1120"/>
        <v>-172959.90789242883</v>
      </c>
      <c r="P1353" s="638">
        <f t="shared" si="1120"/>
        <v>-176419.10605027739</v>
      </c>
      <c r="Q1353" s="638">
        <f t="shared" si="1120"/>
        <v>-179947.48817128292</v>
      </c>
      <c r="R1353" s="638">
        <f t="shared" si="1120"/>
        <v>-183546.43793470861</v>
      </c>
      <c r="S1353" s="638">
        <f t="shared" si="1120"/>
        <v>-187217.36669340279</v>
      </c>
      <c r="T1353" s="638">
        <f t="shared" si="1120"/>
        <v>-190961.71402727079</v>
      </c>
      <c r="U1353" s="638">
        <f t="shared" si="1120"/>
        <v>-194780.9483078162</v>
      </c>
      <c r="V1353" s="638">
        <f t="shared" si="1120"/>
        <v>-198676.56727397256</v>
      </c>
      <c r="W1353" s="638">
        <f t="shared" si="1120"/>
        <v>-202650.09861945201</v>
      </c>
      <c r="X1353" s="638">
        <f t="shared" si="1120"/>
        <v>-206703.10059184101</v>
      </c>
      <c r="Y1353" s="638">
        <f t="shared" si="1120"/>
        <v>-210837.16260367786</v>
      </c>
      <c r="Z1353" s="638">
        <f t="shared" si="1120"/>
        <v>-215053.90585575142</v>
      </c>
      <c r="AA1353" s="638"/>
      <c r="AB1353" s="638"/>
      <c r="AC1353" s="638"/>
      <c r="AD1353" s="638"/>
      <c r="AE1353" s="638"/>
      <c r="AF1353" s="638"/>
      <c r="AG1353" s="638"/>
      <c r="AH1353" s="638"/>
      <c r="AI1353" s="638"/>
      <c r="AJ1353" s="638"/>
      <c r="AL1353" s="222"/>
      <c r="AM1353" s="263"/>
    </row>
    <row r="1354" spans="1:39" s="299" customFormat="1" x14ac:dyDescent="0.25">
      <c r="A1354" s="299" t="s">
        <v>861</v>
      </c>
      <c r="B1354" s="299" t="s">
        <v>459</v>
      </c>
      <c r="H1354" s="553" t="s">
        <v>167</v>
      </c>
      <c r="I1354" s="554" t="str">
        <f t="shared" si="1118"/>
        <v>tr. VND</v>
      </c>
      <c r="K1354" s="555"/>
      <c r="L1354" s="555" cm="1">
        <f t="array" ref="L1354">-SUMPRODUCT('W2'!$M$12:$V$112*('W2'!$M$7:$V$7=$A1354)*('W2'!$A$12:$A$112=$B1354))*L1331*$H$10*POWER(1+INDEX('Cover Page'!$H$8:$AJ$8,MATCH($A1354,'Cover Page'!$H$5:$AJ$5,0)),1+L$13)</f>
        <v>-77303.303700479999</v>
      </c>
      <c r="M1354" s="555" cm="1">
        <f t="array" ref="M1354">-SUMPRODUCT('W2'!$M$12:$V$112*('W2'!$M$7:$V$7=$A1354)*('W2'!$A$12:$A$112=$B1354))*M1331*$H$10*POWER(1+INDEX('Cover Page'!$H$8:$AJ$8,MATCH($A1354,'Cover Page'!$H$5:$AJ$5,0)),1+M$13)</f>
        <v>-108224.625180672</v>
      </c>
      <c r="N1354" s="555" cm="1">
        <f t="array" ref="N1354">-SUMPRODUCT('W2'!$M$12:$V$112*('W2'!$M$7:$V$7=$A1354)*('W2'!$A$12:$A$112=$B1354))*N1331*$H$10*POWER(1+INDEX('Cover Page'!$H$8:$AJ$8,MATCH($A1354,'Cover Page'!$H$5:$AJ$5,0)),1+N$13)</f>
        <v>-157698.73954897921</v>
      </c>
      <c r="O1354" s="555" cm="1">
        <f t="array" ref="O1354">-SUMPRODUCT('W2'!$M$12:$V$112*('W2'!$M$7:$V$7=$A1354)*('W2'!$A$12:$A$112=$B1354))*O1331*$H$10*POWER(1+INDEX('Cover Page'!$H$8:$AJ$8,MATCH($A1354,'Cover Page'!$H$5:$AJ$5,0)),1+O$13)</f>
        <v>-160852.71433995879</v>
      </c>
      <c r="P1354" s="555" cm="1">
        <f t="array" ref="P1354">-SUMPRODUCT('W2'!$M$12:$V$112*('W2'!$M$7:$V$7=$A1354)*('W2'!$A$12:$A$112=$B1354))*P1331*$H$10*POWER(1+INDEX('Cover Page'!$H$8:$AJ$8,MATCH($A1354,'Cover Page'!$H$5:$AJ$5,0)),1+P$13)</f>
        <v>-164069.76862675796</v>
      </c>
      <c r="Q1354" s="555" cm="1">
        <f t="array" ref="Q1354">-SUMPRODUCT('W2'!$M$12:$V$112*('W2'!$M$7:$V$7=$A1354)*('W2'!$A$12:$A$112=$B1354))*Q1331*$H$10*POWER(1+INDEX('Cover Page'!$H$8:$AJ$8,MATCH($A1354,'Cover Page'!$H$5:$AJ$5,0)),1+Q$13)</f>
        <v>-167351.16399929312</v>
      </c>
      <c r="R1354" s="555" cm="1">
        <f t="array" ref="R1354">-SUMPRODUCT('W2'!$M$12:$V$112*('W2'!$M$7:$V$7=$A1354)*('W2'!$A$12:$A$112=$B1354))*R1331*$H$10*POWER(1+INDEX('Cover Page'!$H$8:$AJ$8,MATCH($A1354,'Cover Page'!$H$5:$AJ$5,0)),1+R$13)</f>
        <v>-170698.18727927899</v>
      </c>
      <c r="S1354" s="555" cm="1">
        <f t="array" ref="S1354">-SUMPRODUCT('W2'!$M$12:$V$112*('W2'!$M$7:$V$7=$A1354)*('W2'!$A$12:$A$112=$B1354))*S1331*$H$10*POWER(1+INDEX('Cover Page'!$H$8:$AJ$8,MATCH($A1354,'Cover Page'!$H$5:$AJ$5,0)),1+S$13)</f>
        <v>-174112.15102486458</v>
      </c>
      <c r="T1354" s="555" cm="1">
        <f t="array" ref="T1354">-SUMPRODUCT('W2'!$M$12:$V$112*('W2'!$M$7:$V$7=$A1354)*('W2'!$A$12:$A$112=$B1354))*T1331*$H$10*POWER(1+INDEX('Cover Page'!$H$8:$AJ$8,MATCH($A1354,'Cover Page'!$H$5:$AJ$5,0)),1+T$13)</f>
        <v>-177594.39404536181</v>
      </c>
      <c r="U1354" s="555" cm="1">
        <f t="array" ref="U1354">-SUMPRODUCT('W2'!$M$12:$V$112*('W2'!$M$7:$V$7=$A1354)*('W2'!$A$12:$A$112=$B1354))*U1331*$H$10*POWER(1+INDEX('Cover Page'!$H$8:$AJ$8,MATCH($A1354,'Cover Page'!$H$5:$AJ$5,0)),1+U$13)</f>
        <v>-181146.28192626906</v>
      </c>
      <c r="V1354" s="555" cm="1">
        <f t="array" ref="V1354">-SUMPRODUCT('W2'!$M$12:$V$112*('W2'!$M$7:$V$7=$A1354)*('W2'!$A$12:$A$112=$B1354))*V1331*$H$10*POWER(1+INDEX('Cover Page'!$H$8:$AJ$8,MATCH($A1354,'Cover Page'!$H$5:$AJ$5,0)),1+V$13)</f>
        <v>-184769.20756479446</v>
      </c>
      <c r="W1354" s="555" cm="1">
        <f t="array" ref="W1354">-SUMPRODUCT('W2'!$M$12:$V$112*('W2'!$M$7:$V$7=$A1354)*('W2'!$A$12:$A$112=$B1354))*W1331*$H$10*POWER(1+INDEX('Cover Page'!$H$8:$AJ$8,MATCH($A1354,'Cover Page'!$H$5:$AJ$5,0)),1+W$13)</f>
        <v>-188464.59171609036</v>
      </c>
      <c r="X1354" s="555" cm="1">
        <f t="array" ref="X1354">-SUMPRODUCT('W2'!$M$12:$V$112*('W2'!$M$7:$V$7=$A1354)*('W2'!$A$12:$A$112=$B1354))*X1331*$H$10*POWER(1+INDEX('Cover Page'!$H$8:$AJ$8,MATCH($A1354,'Cover Page'!$H$5:$AJ$5,0)),1+X$13)</f>
        <v>-192233.88355041214</v>
      </c>
      <c r="Y1354" s="555" cm="1">
        <f t="array" ref="Y1354">-SUMPRODUCT('W2'!$M$12:$V$112*('W2'!$M$7:$V$7=$A1354)*('W2'!$A$12:$A$112=$B1354))*Y1331*$H$10*POWER(1+INDEX('Cover Page'!$H$8:$AJ$8,MATCH($A1354,'Cover Page'!$H$5:$AJ$5,0)),1+Y$13)</f>
        <v>-196078.56122142039</v>
      </c>
      <c r="Z1354" s="555" cm="1">
        <f t="array" ref="Z1354">-SUMPRODUCT('W2'!$M$12:$V$112*('W2'!$M$7:$V$7=$A1354)*('W2'!$A$12:$A$112=$B1354))*Z1331*$H$10*POWER(1+INDEX('Cover Page'!$H$8:$AJ$8,MATCH($A1354,'Cover Page'!$H$5:$AJ$5,0)),1+Z$13)</f>
        <v>-200000.13244584881</v>
      </c>
      <c r="AA1354" s="555"/>
      <c r="AB1354" s="555"/>
      <c r="AC1354" s="555"/>
      <c r="AD1354" s="555"/>
      <c r="AE1354" s="555"/>
      <c r="AF1354" s="555"/>
      <c r="AG1354" s="555"/>
      <c r="AH1354" s="555"/>
      <c r="AI1354" s="555"/>
      <c r="AJ1354" s="555"/>
      <c r="AL1354" s="982"/>
      <c r="AM1354" s="975"/>
    </row>
    <row r="1355" spans="1:39" s="299" customFormat="1" x14ac:dyDescent="0.25">
      <c r="A1355" s="299" t="s">
        <v>861</v>
      </c>
      <c r="H1355" s="553" t="s">
        <v>203</v>
      </c>
      <c r="I1355" s="554" t="str">
        <f t="shared" si="1118"/>
        <v>tr. VND</v>
      </c>
      <c r="K1355" s="639"/>
      <c r="L1355" s="639">
        <f>L1354/(1-L1329)-L1354</f>
        <v>-5818.5282355200034</v>
      </c>
      <c r="M1355" s="639">
        <f t="shared" ref="M1355:AJ1355" si="1121">M1354/(1-M1329)-M1354</f>
        <v>-8145.9395297280134</v>
      </c>
      <c r="N1355" s="639">
        <f t="shared" si="1121"/>
        <v>-11869.797600460821</v>
      </c>
      <c r="O1355" s="639">
        <f t="shared" si="1121"/>
        <v>-12107.193552470038</v>
      </c>
      <c r="P1355" s="639">
        <f t="shared" si="1121"/>
        <v>-12349.337423519435</v>
      </c>
      <c r="Q1355" s="639">
        <f t="shared" si="1121"/>
        <v>-12596.324171989807</v>
      </c>
      <c r="R1355" s="639">
        <f t="shared" si="1121"/>
        <v>-12848.250655429612</v>
      </c>
      <c r="S1355" s="639">
        <f t="shared" si="1121"/>
        <v>-13105.215668538207</v>
      </c>
      <c r="T1355" s="639">
        <f t="shared" si="1121"/>
        <v>-13367.319981908979</v>
      </c>
      <c r="U1355" s="639">
        <f t="shared" si="1121"/>
        <v>-13634.66638154714</v>
      </c>
      <c r="V1355" s="639">
        <f t="shared" si="1121"/>
        <v>-13907.359709178098</v>
      </c>
      <c r="W1355" s="639">
        <f t="shared" si="1121"/>
        <v>-14185.506903361646</v>
      </c>
      <c r="X1355" s="639">
        <f t="shared" si="1121"/>
        <v>-14469.21704142887</v>
      </c>
      <c r="Y1355" s="639">
        <f t="shared" si="1121"/>
        <v>-14758.601382257475</v>
      </c>
      <c r="Z1355" s="639">
        <f t="shared" si="1121"/>
        <v>-15053.773409902613</v>
      </c>
      <c r="AA1355" s="639"/>
      <c r="AB1355" s="639"/>
      <c r="AC1355" s="639"/>
      <c r="AD1355" s="639"/>
      <c r="AE1355" s="639"/>
      <c r="AF1355" s="639"/>
      <c r="AG1355" s="639"/>
      <c r="AH1355" s="639"/>
      <c r="AI1355" s="639"/>
      <c r="AJ1355" s="639"/>
      <c r="AL1355" s="982"/>
      <c r="AM1355" s="975"/>
    </row>
    <row r="1356" spans="1:39" x14ac:dyDescent="0.25">
      <c r="A1356" t="s">
        <v>861</v>
      </c>
      <c r="H1356" s="454" t="s">
        <v>676</v>
      </c>
      <c r="I1356" s="496" t="s">
        <v>672</v>
      </c>
      <c r="K1356" s="616">
        <f t="shared" ref="K1356:AJ1356" si="1122">SUM(K1357:K1358)</f>
        <v>0</v>
      </c>
      <c r="L1356" s="616">
        <f t="shared" si="1122"/>
        <v>-632.43325753344004</v>
      </c>
      <c r="M1356" s="616">
        <f t="shared" si="1122"/>
        <v>-885.40656054681608</v>
      </c>
      <c r="N1356" s="616">
        <f t="shared" si="1122"/>
        <v>-1328.1098408202242</v>
      </c>
      <c r="O1356" s="616">
        <f t="shared" si="1122"/>
        <v>-1394.5153328612353</v>
      </c>
      <c r="P1356" s="616">
        <f t="shared" si="1122"/>
        <v>-1464.2410995042972</v>
      </c>
      <c r="Q1356" s="616">
        <f t="shared" si="1122"/>
        <v>-1537.453154479512</v>
      </c>
      <c r="R1356" s="616">
        <f t="shared" si="1122"/>
        <v>-1614.3258122034877</v>
      </c>
      <c r="S1356" s="616">
        <f t="shared" si="1122"/>
        <v>-1695.0421028136618</v>
      </c>
      <c r="T1356" s="616">
        <f t="shared" si="1122"/>
        <v>-1779.7942079543452</v>
      </c>
      <c r="U1356" s="616">
        <f t="shared" si="1122"/>
        <v>-1868.7839183520623</v>
      </c>
      <c r="V1356" s="616">
        <f t="shared" si="1122"/>
        <v>-1962.2231142696655</v>
      </c>
      <c r="W1356" s="616">
        <f t="shared" si="1122"/>
        <v>-2060.3342699831487</v>
      </c>
      <c r="X1356" s="616">
        <f t="shared" si="1122"/>
        <v>-2163.3509834823062</v>
      </c>
      <c r="Y1356" s="616">
        <f t="shared" si="1122"/>
        <v>-2271.5185326564215</v>
      </c>
      <c r="Z1356" s="616">
        <f t="shared" si="1122"/>
        <v>-2385.0944592892429</v>
      </c>
      <c r="AA1356" s="616"/>
      <c r="AB1356" s="616"/>
      <c r="AC1356" s="616"/>
      <c r="AD1356" s="616"/>
      <c r="AE1356" s="616"/>
      <c r="AF1356" s="616"/>
      <c r="AG1356" s="616"/>
      <c r="AH1356" s="616"/>
      <c r="AI1356" s="616"/>
      <c r="AJ1356" s="616"/>
      <c r="AL1356" s="222"/>
      <c r="AM1356" s="263"/>
    </row>
    <row r="1357" spans="1:39" s="299" customFormat="1" x14ac:dyDescent="0.25">
      <c r="A1357" s="299" t="s">
        <v>861</v>
      </c>
      <c r="B1357" s="299" t="s">
        <v>667</v>
      </c>
      <c r="H1357" s="553" t="s">
        <v>673</v>
      </c>
      <c r="I1357" s="554" t="s">
        <v>672</v>
      </c>
      <c r="K1357" s="555"/>
      <c r="L1357" s="555" cm="1">
        <f t="array" ref="L1357">-SUMPRODUCT('W2'!$M$12:$V$112*('W2'!$M$7:$V$7=$A1357)*('W2'!$A$12:$A$112=$B1357))*L1337*$H$10*POWER(1+Inflation,L$11+1)</f>
        <v>-632.43325753344004</v>
      </c>
      <c r="M1357" s="555" cm="1">
        <f t="array" ref="M1357">-SUMPRODUCT('W2'!$M$12:$V$112*('W2'!$M$7:$V$7=$A1357)*('W2'!$A$12:$A$112=$B1357))*M1337*$H$10*POWER(1+Inflation,M$11+1)</f>
        <v>-885.40656054681608</v>
      </c>
      <c r="N1357" s="555" cm="1">
        <f t="array" ref="N1357">-SUMPRODUCT('W2'!$M$12:$V$112*('W2'!$M$7:$V$7=$A1357)*('W2'!$A$12:$A$112=$B1357))*N1337*$H$10*POWER(1+Inflation,N$11+1)</f>
        <v>-1328.1098408202242</v>
      </c>
      <c r="O1357" s="555" cm="1">
        <f t="array" ref="O1357">-SUMPRODUCT('W2'!$M$12:$V$112*('W2'!$M$7:$V$7=$A1357)*('W2'!$A$12:$A$112=$B1357))*O1337*$H$10*POWER(1+Inflation,O$11+1)</f>
        <v>-1394.5153328612353</v>
      </c>
      <c r="P1357" s="555" cm="1">
        <f t="array" ref="P1357">-SUMPRODUCT('W2'!$M$12:$V$112*('W2'!$M$7:$V$7=$A1357)*('W2'!$A$12:$A$112=$B1357))*P1337*$H$10*POWER(1+Inflation,P$11+1)</f>
        <v>-1464.2410995042972</v>
      </c>
      <c r="Q1357" s="555" cm="1">
        <f t="array" ref="Q1357">-SUMPRODUCT('W2'!$M$12:$V$112*('W2'!$M$7:$V$7=$A1357)*('W2'!$A$12:$A$112=$B1357))*Q1337*$H$10*POWER(1+Inflation,Q$11+1)</f>
        <v>-1537.453154479512</v>
      </c>
      <c r="R1357" s="555" cm="1">
        <f t="array" ref="R1357">-SUMPRODUCT('W2'!$M$12:$V$112*('W2'!$M$7:$V$7=$A1357)*('W2'!$A$12:$A$112=$B1357))*R1337*$H$10*POWER(1+Inflation,R$11+1)</f>
        <v>-1614.3258122034877</v>
      </c>
      <c r="S1357" s="555" cm="1">
        <f t="array" ref="S1357">-SUMPRODUCT('W2'!$M$12:$V$112*('W2'!$M$7:$V$7=$A1357)*('W2'!$A$12:$A$112=$B1357))*S1337*$H$10*POWER(1+Inflation,S$11+1)</f>
        <v>-1695.0421028136618</v>
      </c>
      <c r="T1357" s="555" cm="1">
        <f t="array" ref="T1357">-SUMPRODUCT('W2'!$M$12:$V$112*('W2'!$M$7:$V$7=$A1357)*('W2'!$A$12:$A$112=$B1357))*T1337*$H$10*POWER(1+Inflation,T$11+1)</f>
        <v>-1779.7942079543452</v>
      </c>
      <c r="U1357" s="555" cm="1">
        <f t="array" ref="U1357">-SUMPRODUCT('W2'!$M$12:$V$112*('W2'!$M$7:$V$7=$A1357)*('W2'!$A$12:$A$112=$B1357))*U1337*$H$10*POWER(1+Inflation,U$11+1)</f>
        <v>-1868.7839183520623</v>
      </c>
      <c r="V1357" s="555" cm="1">
        <f t="array" ref="V1357">-SUMPRODUCT('W2'!$M$12:$V$112*('W2'!$M$7:$V$7=$A1357)*('W2'!$A$12:$A$112=$B1357))*V1337*$H$10*POWER(1+Inflation,V$11+1)</f>
        <v>-1962.2231142696655</v>
      </c>
      <c r="W1357" s="555" cm="1">
        <f t="array" ref="W1357">-SUMPRODUCT('W2'!$M$12:$V$112*('W2'!$M$7:$V$7=$A1357)*('W2'!$A$12:$A$112=$B1357))*W1337*$H$10*POWER(1+Inflation,W$11+1)</f>
        <v>-2060.3342699831487</v>
      </c>
      <c r="X1357" s="555" cm="1">
        <f t="array" ref="X1357">-SUMPRODUCT('W2'!$M$12:$V$112*('W2'!$M$7:$V$7=$A1357)*('W2'!$A$12:$A$112=$B1357))*X1337*$H$10*POWER(1+Inflation,X$11+1)</f>
        <v>-2163.3509834823062</v>
      </c>
      <c r="Y1357" s="555" cm="1">
        <f t="array" ref="Y1357">-SUMPRODUCT('W2'!$M$12:$V$112*('W2'!$M$7:$V$7=$A1357)*('W2'!$A$12:$A$112=$B1357))*Y1337*$H$10*POWER(1+Inflation,Y$11+1)</f>
        <v>-2271.5185326564215</v>
      </c>
      <c r="Z1357" s="555" cm="1">
        <f t="array" ref="Z1357">-SUMPRODUCT('W2'!$M$12:$V$112*('W2'!$M$7:$V$7=$A1357)*('W2'!$A$12:$A$112=$B1357))*Z1337*$H$10*POWER(1+Inflation,Z$11+1)</f>
        <v>-2385.0944592892429</v>
      </c>
      <c r="AA1357" s="555"/>
      <c r="AB1357" s="555"/>
      <c r="AC1357" s="555"/>
      <c r="AD1357" s="555"/>
      <c r="AE1357" s="555"/>
      <c r="AF1357" s="555"/>
      <c r="AG1357" s="555"/>
      <c r="AH1357" s="555"/>
      <c r="AI1357" s="555"/>
      <c r="AJ1357" s="555"/>
      <c r="AL1357" s="982"/>
      <c r="AM1357" s="975"/>
    </row>
    <row r="1358" spans="1:39" s="299" customFormat="1" x14ac:dyDescent="0.25">
      <c r="A1358" s="299" t="s">
        <v>861</v>
      </c>
      <c r="B1358" s="299" t="s">
        <v>668</v>
      </c>
      <c r="H1358" s="553" t="s">
        <v>674</v>
      </c>
      <c r="I1358" s="554" t="s">
        <v>672</v>
      </c>
      <c r="K1358" s="555"/>
      <c r="L1358" s="555" cm="1">
        <f t="array" ref="L1358">-SUMPRODUCT('W2'!$M$12:$V$112*('W2'!$M$7:$V$7=$A1358)*('W2'!$A$12:$A$112=$B1358))*L1338*$H$10*POWER(1+Inflation,L$11+1)</f>
        <v>0</v>
      </c>
      <c r="M1358" s="555" cm="1">
        <f t="array" ref="M1358">-SUMPRODUCT('W2'!$M$12:$V$112*('W2'!$M$7:$V$7=$A1358)*('W2'!$A$12:$A$112=$B1358))*M1338*$H$10*POWER(1+Inflation,M$11+1)</f>
        <v>0</v>
      </c>
      <c r="N1358" s="555" cm="1">
        <f t="array" ref="N1358">-SUMPRODUCT('W2'!$M$12:$V$112*('W2'!$M$7:$V$7=$A1358)*('W2'!$A$12:$A$112=$B1358))*N1338*$H$10*POWER(1+Inflation,N$11+1)</f>
        <v>0</v>
      </c>
      <c r="O1358" s="555" cm="1">
        <f t="array" ref="O1358">-SUMPRODUCT('W2'!$M$12:$V$112*('W2'!$M$7:$V$7=$A1358)*('W2'!$A$12:$A$112=$B1358))*O1338*$H$10*POWER(1+Inflation,O$11+1)</f>
        <v>0</v>
      </c>
      <c r="P1358" s="555" cm="1">
        <f t="array" ref="P1358">-SUMPRODUCT('W2'!$M$12:$V$112*('W2'!$M$7:$V$7=$A1358)*('W2'!$A$12:$A$112=$B1358))*P1338*$H$10*POWER(1+Inflation,P$11+1)</f>
        <v>0</v>
      </c>
      <c r="Q1358" s="555" cm="1">
        <f t="array" ref="Q1358">-SUMPRODUCT('W2'!$M$12:$V$112*('W2'!$M$7:$V$7=$A1358)*('W2'!$A$12:$A$112=$B1358))*Q1338*$H$10*POWER(1+Inflation,Q$11+1)</f>
        <v>0</v>
      </c>
      <c r="R1358" s="555" cm="1">
        <f t="array" ref="R1358">-SUMPRODUCT('W2'!$M$12:$V$112*('W2'!$M$7:$V$7=$A1358)*('W2'!$A$12:$A$112=$B1358))*R1338*$H$10*POWER(1+Inflation,R$11+1)</f>
        <v>0</v>
      </c>
      <c r="S1358" s="555" cm="1">
        <f t="array" ref="S1358">-SUMPRODUCT('W2'!$M$12:$V$112*('W2'!$M$7:$V$7=$A1358)*('W2'!$A$12:$A$112=$B1358))*S1338*$H$10*POWER(1+Inflation,S$11+1)</f>
        <v>0</v>
      </c>
      <c r="T1358" s="555" cm="1">
        <f t="array" ref="T1358">-SUMPRODUCT('W2'!$M$12:$V$112*('W2'!$M$7:$V$7=$A1358)*('W2'!$A$12:$A$112=$B1358))*T1338*$H$10*POWER(1+Inflation,T$11+1)</f>
        <v>0</v>
      </c>
      <c r="U1358" s="555" cm="1">
        <f t="array" ref="U1358">-SUMPRODUCT('W2'!$M$12:$V$112*('W2'!$M$7:$V$7=$A1358)*('W2'!$A$12:$A$112=$B1358))*U1338*$H$10*POWER(1+Inflation,U$11+1)</f>
        <v>0</v>
      </c>
      <c r="V1358" s="555" cm="1">
        <f t="array" ref="V1358">-SUMPRODUCT('W2'!$M$12:$V$112*('W2'!$M$7:$V$7=$A1358)*('W2'!$A$12:$A$112=$B1358))*V1338*$H$10*POWER(1+Inflation,V$11+1)</f>
        <v>0</v>
      </c>
      <c r="W1358" s="555" cm="1">
        <f t="array" ref="W1358">-SUMPRODUCT('W2'!$M$12:$V$112*('W2'!$M$7:$V$7=$A1358)*('W2'!$A$12:$A$112=$B1358))*W1338*$H$10*POWER(1+Inflation,W$11+1)</f>
        <v>0</v>
      </c>
      <c r="X1358" s="555" cm="1">
        <f t="array" ref="X1358">-SUMPRODUCT('W2'!$M$12:$V$112*('W2'!$M$7:$V$7=$A1358)*('W2'!$A$12:$A$112=$B1358))*X1338*$H$10*POWER(1+Inflation,X$11+1)</f>
        <v>0</v>
      </c>
      <c r="Y1358" s="555" cm="1">
        <f t="array" ref="Y1358">-SUMPRODUCT('W2'!$M$12:$V$112*('W2'!$M$7:$V$7=$A1358)*('W2'!$A$12:$A$112=$B1358))*Y1338*$H$10*POWER(1+Inflation,Y$11+1)</f>
        <v>0</v>
      </c>
      <c r="Z1358" s="555" cm="1">
        <f t="array" ref="Z1358">-SUMPRODUCT('W2'!$M$12:$V$112*('W2'!$M$7:$V$7=$A1358)*('W2'!$A$12:$A$112=$B1358))*Z1338*$H$10*POWER(1+Inflation,Z$11+1)</f>
        <v>0</v>
      </c>
      <c r="AA1358" s="555"/>
      <c r="AB1358" s="555"/>
      <c r="AC1358" s="555"/>
      <c r="AD1358" s="555"/>
      <c r="AE1358" s="555"/>
      <c r="AF1358" s="555"/>
      <c r="AG1358" s="555"/>
      <c r="AH1358" s="555"/>
      <c r="AI1358" s="555"/>
      <c r="AJ1358" s="555"/>
      <c r="AL1358" s="982"/>
      <c r="AM1358" s="975"/>
    </row>
    <row r="1359" spans="1:39" x14ac:dyDescent="0.25">
      <c r="A1359" t="s">
        <v>861</v>
      </c>
      <c r="H1359" s="454" t="s">
        <v>180</v>
      </c>
      <c r="I1359" s="496" t="str">
        <f t="shared" ref="I1359:I1362" si="1123">IF($H$9="USD","USD","tr. VND")</f>
        <v>tr. VND</v>
      </c>
      <c r="K1359" s="616">
        <f>SUM(K1360:K1362)</f>
        <v>0</v>
      </c>
      <c r="L1359" s="616">
        <f>SUM(L1360:L1362)</f>
        <v>-8739.800110293334</v>
      </c>
      <c r="M1359" s="616">
        <f t="shared" ref="M1359:AJ1359" si="1124">SUM(M1360:M1362)</f>
        <v>-11537.321163477332</v>
      </c>
      <c r="N1359" s="616">
        <f t="shared" si="1124"/>
        <v>-16468.954914549333</v>
      </c>
      <c r="O1359" s="616">
        <f t="shared" si="1124"/>
        <v>-17241.074694410134</v>
      </c>
      <c r="P1359" s="616">
        <f t="shared" si="1124"/>
        <v>-18051.800463263975</v>
      </c>
      <c r="Q1359" s="616">
        <f t="shared" si="1124"/>
        <v>-18903.062520560507</v>
      </c>
      <c r="R1359" s="616">
        <f t="shared" si="1124"/>
        <v>-19796.887680721866</v>
      </c>
      <c r="S1359" s="616">
        <f t="shared" si="1124"/>
        <v>-20735.404098891289</v>
      </c>
      <c r="T1359" s="616">
        <f t="shared" si="1124"/>
        <v>-21720.846337969193</v>
      </c>
      <c r="U1359" s="616">
        <f t="shared" si="1124"/>
        <v>-22755.560689000984</v>
      </c>
      <c r="V1359" s="616">
        <f t="shared" si="1124"/>
        <v>-23842.010757584365</v>
      </c>
      <c r="W1359" s="616">
        <f t="shared" si="1124"/>
        <v>-24982.783329596918</v>
      </c>
      <c r="X1359" s="616">
        <f t="shared" si="1124"/>
        <v>-25178.095196876766</v>
      </c>
      <c r="Y1359" s="616">
        <f t="shared" si="1124"/>
        <v>-26435.796957520601</v>
      </c>
      <c r="Z1359" s="616">
        <f t="shared" si="1124"/>
        <v>-27756.383806196634</v>
      </c>
      <c r="AA1359" s="616"/>
      <c r="AB1359" s="616"/>
      <c r="AC1359" s="616"/>
      <c r="AD1359" s="616"/>
      <c r="AE1359" s="616"/>
      <c r="AF1359" s="616"/>
      <c r="AG1359" s="616"/>
      <c r="AH1359" s="616"/>
      <c r="AI1359" s="616"/>
      <c r="AJ1359" s="616"/>
      <c r="AL1359" s="222"/>
      <c r="AM1359" s="263"/>
    </row>
    <row r="1360" spans="1:39" s="299" customFormat="1" x14ac:dyDescent="0.25">
      <c r="A1360" s="299" t="s">
        <v>861</v>
      </c>
      <c r="B1360" s="299" t="s">
        <v>174</v>
      </c>
      <c r="H1360" s="553" t="s">
        <v>73</v>
      </c>
      <c r="I1360" s="554" t="str">
        <f t="shared" si="1123"/>
        <v>tr. VND</v>
      </c>
      <c r="K1360" s="555"/>
      <c r="L1360" s="555" cm="1">
        <f t="array" ref="L1360">-SUMPRODUCT('W2'!$M$12:$V$112*('W2'!$M$7:$V$7=$A1360)*('W2'!$A$12:$A$112=$B1360))*L1330*24*$H$10*POWER(1+Inflation,L$11+1)</f>
        <v>-5749.8011999999999</v>
      </c>
      <c r="M1360" s="555" cm="1">
        <f t="array" ref="M1360">-SUMPRODUCT('W2'!$M$12:$V$112*('W2'!$M$7:$V$7=$A1360)*('W2'!$A$12:$A$112=$B1360))*M1330*24*$H$10*POWER(1+Inflation,M$11+1)</f>
        <v>-8049.7216799999978</v>
      </c>
      <c r="N1360" s="555" cm="1">
        <f t="array" ref="N1360">-SUMPRODUCT('W2'!$M$12:$V$112*('W2'!$M$7:$V$7=$A1360)*('W2'!$A$12:$A$112=$B1360))*N1330*24*$H$10*POWER(1+Inflation,N$11+1)</f>
        <v>-12074.58252</v>
      </c>
      <c r="O1360" s="555" cm="1">
        <f t="array" ref="O1360">-SUMPRODUCT('W2'!$M$12:$V$112*('W2'!$M$7:$V$7=$A1360)*('W2'!$A$12:$A$112=$B1360))*O1330*24*$H$10*POWER(1+Inflation,O$11+1)</f>
        <v>-12678.311646</v>
      </c>
      <c r="P1360" s="555" cm="1">
        <f t="array" ref="P1360">-SUMPRODUCT('W2'!$M$12:$V$112*('W2'!$M$7:$V$7=$A1360)*('W2'!$A$12:$A$112=$B1360))*P1330*24*$H$10*POWER(1+Inflation,P$11+1)</f>
        <v>-13312.227228300002</v>
      </c>
      <c r="Q1360" s="555" cm="1">
        <f t="array" ref="Q1360">-SUMPRODUCT('W2'!$M$12:$V$112*('W2'!$M$7:$V$7=$A1360)*('W2'!$A$12:$A$112=$B1360))*Q1330*24*$H$10*POWER(1+Inflation,Q$11+1)</f>
        <v>-13977.838589715</v>
      </c>
      <c r="R1360" s="555" cm="1">
        <f t="array" ref="R1360">-SUMPRODUCT('W2'!$M$12:$V$112*('W2'!$M$7:$V$7=$A1360)*('W2'!$A$12:$A$112=$B1360))*R1330*24*$H$10*POWER(1+Inflation,R$11+1)</f>
        <v>-14676.730519200752</v>
      </c>
      <c r="S1360" s="555" cm="1">
        <f t="array" ref="S1360">-SUMPRODUCT('W2'!$M$12:$V$112*('W2'!$M$7:$V$7=$A1360)*('W2'!$A$12:$A$112=$B1360))*S1330*24*$H$10*POWER(1+Inflation,S$11+1)</f>
        <v>-15410.567045160788</v>
      </c>
      <c r="T1360" s="555" cm="1">
        <f t="array" ref="T1360">-SUMPRODUCT('W2'!$M$12:$V$112*('W2'!$M$7:$V$7=$A1360)*('W2'!$A$12:$A$112=$B1360))*T1330*24*$H$10*POWER(1+Inflation,T$11+1)</f>
        <v>-16181.095397418829</v>
      </c>
      <c r="U1360" s="555" cm="1">
        <f t="array" ref="U1360">-SUMPRODUCT('W2'!$M$12:$V$112*('W2'!$M$7:$V$7=$A1360)*('W2'!$A$12:$A$112=$B1360))*U1330*24*$H$10*POWER(1+Inflation,U$11+1)</f>
        <v>-16990.150167289768</v>
      </c>
      <c r="V1360" s="555" cm="1">
        <f t="array" ref="V1360">-SUMPRODUCT('W2'!$M$12:$V$112*('W2'!$M$7:$V$7=$A1360)*('W2'!$A$12:$A$112=$B1360))*V1330*24*$H$10*POWER(1+Inflation,V$11+1)</f>
        <v>-17839.657675654256</v>
      </c>
      <c r="W1360" s="555" cm="1">
        <f t="array" ref="W1360">-SUMPRODUCT('W2'!$M$12:$V$112*('W2'!$M$7:$V$7=$A1360)*('W2'!$A$12:$A$112=$B1360))*W1330*24*$H$10*POWER(1+Inflation,W$11+1)</f>
        <v>-18731.640559436972</v>
      </c>
      <c r="X1360" s="555" cm="1">
        <f t="array" ref="X1360">-SUMPRODUCT('W2'!$M$12:$V$112*('W2'!$M$7:$V$7=$A1360)*('W2'!$A$12:$A$112=$B1360))*X1330*24*$H$10*POWER(1+Inflation,X$11+1)</f>
        <v>-19668.222587408822</v>
      </c>
      <c r="Y1360" s="555" cm="1">
        <f t="array" ref="Y1360">-SUMPRODUCT('W2'!$M$12:$V$112*('W2'!$M$7:$V$7=$A1360)*('W2'!$A$12:$A$112=$B1360))*Y1330*24*$H$10*POWER(1+Inflation,Y$11+1)</f>
        <v>-20651.633716779259</v>
      </c>
      <c r="Z1360" s="555" cm="1">
        <f t="array" ref="Z1360">-SUMPRODUCT('W2'!$M$12:$V$112*('W2'!$M$7:$V$7=$A1360)*('W2'!$A$12:$A$112=$B1360))*Z1330*24*$H$10*POWER(1+Inflation,Z$11+1)</f>
        <v>-21684.215402618225</v>
      </c>
      <c r="AA1360" s="555"/>
      <c r="AB1360" s="555"/>
      <c r="AC1360" s="555"/>
      <c r="AD1360" s="555"/>
      <c r="AE1360" s="555"/>
      <c r="AF1360" s="555"/>
      <c r="AG1360" s="555"/>
      <c r="AH1360" s="555"/>
      <c r="AI1360" s="555"/>
      <c r="AJ1360" s="555"/>
      <c r="AL1360" s="982"/>
      <c r="AM1360" s="975"/>
    </row>
    <row r="1361" spans="1:39" s="299" customFormat="1" x14ac:dyDescent="0.25">
      <c r="A1361" s="299" t="s">
        <v>861</v>
      </c>
      <c r="B1361" s="299" t="s">
        <v>462</v>
      </c>
      <c r="H1361" s="553" t="s">
        <v>192</v>
      </c>
      <c r="I1361" s="554" t="str">
        <f t="shared" si="1123"/>
        <v>tr. VND</v>
      </c>
      <c r="K1361" s="555"/>
      <c r="L1361" s="555" cm="1">
        <f t="array" ref="L1361">-SUMPRODUCT('W2'!$M$12:$V$112*('W2'!$M$7:$V$7=$A1361)*('W2'!$A$12:$A$112=$B1361))*L1331*$H$10*POWER(1+Inflation,L$11+1)</f>
        <v>-975.00902399999995</v>
      </c>
      <c r="M1361" s="555" cm="1">
        <f t="array" ref="M1361">-SUMPRODUCT('W2'!$M$12:$V$112*('W2'!$M$7:$V$7=$A1361)*('W2'!$A$12:$A$112=$B1361))*M1331*$H$10*POWER(1+Inflation,M$11+1)</f>
        <v>-1365.0126335999998</v>
      </c>
      <c r="N1361" s="555" cm="1">
        <f t="array" ref="N1361">-SUMPRODUCT('W2'!$M$12:$V$112*('W2'!$M$7:$V$7=$A1361)*('W2'!$A$12:$A$112=$B1361))*N1331*$H$10*POWER(1+Inflation,N$11+1)</f>
        <v>-2047.5189504</v>
      </c>
      <c r="O1361" s="555" cm="1">
        <f t="array" ref="O1361">-SUMPRODUCT('W2'!$M$12:$V$112*('W2'!$M$7:$V$7=$A1361)*('W2'!$A$12:$A$112=$B1361))*O1331*$H$10*POWER(1+Inflation,O$11+1)</f>
        <v>-2149.8948979199999</v>
      </c>
      <c r="P1361" s="555" cm="1">
        <f t="array" ref="P1361">-SUMPRODUCT('W2'!$M$12:$V$112*('W2'!$M$7:$V$7=$A1361)*('W2'!$A$12:$A$112=$B1361))*P1331*$H$10*POWER(1+Inflation,P$11+1)</f>
        <v>-2257.3896428160001</v>
      </c>
      <c r="Q1361" s="555" cm="1">
        <f t="array" ref="Q1361">-SUMPRODUCT('W2'!$M$12:$V$112*('W2'!$M$7:$V$7=$A1361)*('W2'!$A$12:$A$112=$B1361))*Q1331*$H$10*POWER(1+Inflation,Q$11+1)</f>
        <v>-2370.2591249568</v>
      </c>
      <c r="R1361" s="555" cm="1">
        <f t="array" ref="R1361">-SUMPRODUCT('W2'!$M$12:$V$112*('W2'!$M$7:$V$7=$A1361)*('W2'!$A$12:$A$112=$B1361))*R1331*$H$10*POWER(1+Inflation,R$11+1)</f>
        <v>-2488.77208120464</v>
      </c>
      <c r="S1361" s="555" cm="1">
        <f t="array" ref="S1361">-SUMPRODUCT('W2'!$M$12:$V$112*('W2'!$M$7:$V$7=$A1361)*('W2'!$A$12:$A$112=$B1361))*S1331*$H$10*POWER(1+Inflation,S$11+1)</f>
        <v>-2613.2106852648717</v>
      </c>
      <c r="T1361" s="555" cm="1">
        <f t="array" ref="T1361">-SUMPRODUCT('W2'!$M$12:$V$112*('W2'!$M$7:$V$7=$A1361)*('W2'!$A$12:$A$112=$B1361))*T1331*$H$10*POWER(1+Inflation,T$11+1)</f>
        <v>-2743.8712195281159</v>
      </c>
      <c r="U1361" s="555" cm="1">
        <f t="array" ref="U1361">-SUMPRODUCT('W2'!$M$12:$V$112*('W2'!$M$7:$V$7=$A1361)*('W2'!$A$12:$A$112=$B1361))*U1331*$H$10*POWER(1+Inflation,U$11+1)</f>
        <v>-2881.0647805045214</v>
      </c>
      <c r="V1361" s="555" cm="1">
        <f t="array" ref="V1361">-SUMPRODUCT('W2'!$M$12:$V$112*('W2'!$M$7:$V$7=$A1361)*('W2'!$A$12:$A$112=$B1361))*V1331*$H$10*POWER(1+Inflation,V$11+1)</f>
        <v>-3025.1180195297475</v>
      </c>
      <c r="W1361" s="555" cm="1">
        <f t="array" ref="W1361">-SUMPRODUCT('W2'!$M$12:$V$112*('W2'!$M$7:$V$7=$A1361)*('W2'!$A$12:$A$112=$B1361))*W1331*$H$10*POWER(1+Inflation,W$11+1)</f>
        <v>-3176.3739205062352</v>
      </c>
      <c r="X1361" s="555" cm="1">
        <f t="array" ref="X1361">-SUMPRODUCT('W2'!$M$12:$V$112*('W2'!$M$7:$V$7=$A1361)*('W2'!$A$12:$A$112=$B1361))*X1331*$H$10*POWER(1+Inflation,X$11+1)</f>
        <v>-3335.1926165315472</v>
      </c>
      <c r="Y1361" s="555" cm="1">
        <f t="array" ref="Y1361">-SUMPRODUCT('W2'!$M$12:$V$112*('W2'!$M$7:$V$7=$A1361)*('W2'!$A$12:$A$112=$B1361))*Y1331*$H$10*POWER(1+Inflation,Y$11+1)</f>
        <v>-3501.9522473581237</v>
      </c>
      <c r="Z1361" s="555" cm="1">
        <f t="array" ref="Z1361">-SUMPRODUCT('W2'!$M$12:$V$112*('W2'!$M$7:$V$7=$A1361)*('W2'!$A$12:$A$112=$B1361))*Z1331*$H$10*POWER(1+Inflation,Z$11+1)</f>
        <v>-3677.0498597260307</v>
      </c>
      <c r="AA1361" s="555"/>
      <c r="AB1361" s="555"/>
      <c r="AC1361" s="555"/>
      <c r="AD1361" s="555"/>
      <c r="AE1361" s="555"/>
      <c r="AF1361" s="555"/>
      <c r="AG1361" s="555"/>
      <c r="AH1361" s="555"/>
      <c r="AI1361" s="555"/>
      <c r="AJ1361" s="555"/>
      <c r="AL1361" s="982"/>
      <c r="AM1361" s="975"/>
    </row>
    <row r="1362" spans="1:39" s="299" customFormat="1" x14ac:dyDescent="0.25">
      <c r="A1362" s="299" t="s">
        <v>861</v>
      </c>
      <c r="B1362" s="299" t="s">
        <v>140</v>
      </c>
      <c r="H1362" s="553" t="s">
        <v>175</v>
      </c>
      <c r="I1362" s="554" t="str">
        <f t="shared" si="1123"/>
        <v>tr. VND</v>
      </c>
      <c r="K1362" s="555"/>
      <c r="L1362" s="555" cm="1">
        <f t="array" ref="L1362">SUMPRODUCT('W2'!$M$12:$V$112*('W2'!$M$7:$V$7=$A1362)*('W2'!$A$12:$A$112=$B1362))*(SUM(L1342,L1360:L1361))</f>
        <v>-2014.9898862933333</v>
      </c>
      <c r="M1362" s="555" cm="1">
        <f t="array" ref="M1362">SUMPRODUCT('W2'!$M$12:$V$112*('W2'!$M$7:$V$7=$A1362)*('W2'!$A$12:$A$112=$B1362))*(SUM(M1342,M1360:M1361))</f>
        <v>-2122.5868498773334</v>
      </c>
      <c r="N1362" s="555" cm="1">
        <f t="array" ref="N1362">SUMPRODUCT('W2'!$M$12:$V$112*('W2'!$M$7:$V$7=$A1362)*('W2'!$A$12:$A$112=$B1362))*(SUM(N1342,N1360:N1361))</f>
        <v>-2346.8534441493334</v>
      </c>
      <c r="O1362" s="555" cm="1">
        <f t="array" ref="O1362">SUMPRODUCT('W2'!$M$12:$V$112*('W2'!$M$7:$V$7=$A1362)*('W2'!$A$12:$A$112=$B1362))*(SUM(O1342,O1360:O1361))</f>
        <v>-2412.8681504901338</v>
      </c>
      <c r="P1362" s="555" cm="1">
        <f t="array" ref="P1362">SUMPRODUCT('W2'!$M$12:$V$112*('W2'!$M$7:$V$7=$A1362)*('W2'!$A$12:$A$112=$B1362))*(SUM(P1342,P1360:P1361))</f>
        <v>-2482.1835921479737</v>
      </c>
      <c r="Q1362" s="555" cm="1">
        <f t="array" ref="Q1362">SUMPRODUCT('W2'!$M$12:$V$112*('W2'!$M$7:$V$7=$A1362)*('W2'!$A$12:$A$112=$B1362))*(SUM(Q1342,Q1360:Q1361))</f>
        <v>-2554.9648058887055</v>
      </c>
      <c r="R1362" s="555" cm="1">
        <f t="array" ref="R1362">SUMPRODUCT('W2'!$M$12:$V$112*('W2'!$M$7:$V$7=$A1362)*('W2'!$A$12:$A$112=$B1362))*(SUM(R1342,R1360:R1361))</f>
        <v>-2631.3850803164742</v>
      </c>
      <c r="S1362" s="555" cm="1">
        <f t="array" ref="S1362">SUMPRODUCT('W2'!$M$12:$V$112*('W2'!$M$7:$V$7=$A1362)*('W2'!$A$12:$A$112=$B1362))*(SUM(S1342,S1360:S1361))</f>
        <v>-2711.6263684656315</v>
      </c>
      <c r="T1362" s="555" cm="1">
        <f t="array" ref="T1362">SUMPRODUCT('W2'!$M$12:$V$112*('W2'!$M$7:$V$7=$A1362)*('W2'!$A$12:$A$112=$B1362))*(SUM(T1342,T1360:T1361))</f>
        <v>-2795.879721022246</v>
      </c>
      <c r="U1362" s="555" cm="1">
        <f t="array" ref="U1362">SUMPRODUCT('W2'!$M$12:$V$112*('W2'!$M$7:$V$7=$A1362)*('W2'!$A$12:$A$112=$B1362))*(SUM(U1342,U1360:U1361))</f>
        <v>-2884.3457412066919</v>
      </c>
      <c r="V1362" s="555" cm="1">
        <f t="array" ref="V1362">SUMPRODUCT('W2'!$M$12:$V$112*('W2'!$M$7:$V$7=$A1362)*('W2'!$A$12:$A$112=$B1362))*(SUM(V1342,V1360:V1361))</f>
        <v>-2977.2350624003593</v>
      </c>
      <c r="W1362" s="555" cm="1">
        <f t="array" ref="W1362">SUMPRODUCT('W2'!$M$12:$V$112*('W2'!$M$7:$V$7=$A1362)*('W2'!$A$12:$A$112=$B1362))*(SUM(W1342,W1360:W1361))</f>
        <v>-3074.7688496537107</v>
      </c>
      <c r="X1362" s="555" cm="1">
        <f t="array" ref="X1362">SUMPRODUCT('W2'!$M$12:$V$112*('W2'!$M$7:$V$7=$A1362)*('W2'!$A$12:$A$112=$B1362))*(SUM(X1342,X1360:X1361))</f>
        <v>-2174.6799929363965</v>
      </c>
      <c r="Y1362" s="555" cm="1">
        <f t="array" ref="Y1362">SUMPRODUCT('W2'!$M$12:$V$112*('W2'!$M$7:$V$7=$A1362)*('W2'!$A$12:$A$112=$B1362))*(SUM(Y1342,Y1360:Y1361))</f>
        <v>-2282.2109933832162</v>
      </c>
      <c r="Z1362" s="555" cm="1">
        <f t="array" ref="Z1362">SUMPRODUCT('W2'!$M$12:$V$112*('W2'!$M$7:$V$7=$A1362)*('W2'!$A$12:$A$112=$B1362))*(SUM(Z1342,Z1360:Z1361))</f>
        <v>-2395.1185438523776</v>
      </c>
      <c r="AA1362" s="555"/>
      <c r="AB1362" s="555"/>
      <c r="AC1362" s="555"/>
      <c r="AD1362" s="555"/>
      <c r="AE1362" s="555"/>
      <c r="AF1362" s="555"/>
      <c r="AG1362" s="555"/>
      <c r="AH1362" s="555"/>
      <c r="AI1362" s="555"/>
      <c r="AJ1362" s="555"/>
      <c r="AL1362" s="982"/>
      <c r="AM1362" s="975"/>
    </row>
    <row r="1363" spans="1:39" x14ac:dyDescent="0.25">
      <c r="A1363" t="s">
        <v>861</v>
      </c>
      <c r="K1363" s="15"/>
      <c r="L1363" s="263"/>
      <c r="M1363" s="15"/>
      <c r="N1363" s="15"/>
      <c r="O1363" s="15"/>
      <c r="P1363" s="15"/>
      <c r="Q1363" s="15"/>
      <c r="R1363" s="15"/>
      <c r="S1363" s="15"/>
      <c r="T1363" s="15"/>
      <c r="U1363" s="15"/>
      <c r="V1363" s="15"/>
      <c r="W1363" s="15"/>
      <c r="X1363" s="15"/>
      <c r="Y1363" s="15"/>
      <c r="Z1363" s="15"/>
      <c r="AA1363" s="15"/>
      <c r="AB1363" s="15"/>
      <c r="AC1363" s="15"/>
      <c r="AD1363" s="15"/>
      <c r="AE1363" s="15"/>
      <c r="AF1363" s="15"/>
      <c r="AG1363" s="15"/>
      <c r="AH1363" s="15"/>
      <c r="AI1363" s="15"/>
      <c r="AJ1363" s="15"/>
      <c r="AL1363" s="983"/>
    </row>
    <row r="1364" spans="1:39" s="300" customFormat="1" x14ac:dyDescent="0.25">
      <c r="A1364" s="300" t="s">
        <v>861</v>
      </c>
      <c r="H1364" s="301" t="s">
        <v>464</v>
      </c>
      <c r="I1364" s="302" t="str">
        <f>IF($H$9="USD","USD","tr. VND")</f>
        <v>tr. VND</v>
      </c>
      <c r="K1364" s="303">
        <f>K1342+K1352</f>
        <v>0</v>
      </c>
      <c r="L1364" s="303">
        <f t="shared" ref="L1364:AJ1364" si="1125">L1342+L1352</f>
        <v>-136144.00223716011</v>
      </c>
      <c r="M1364" s="303">
        <f t="shared" si="1125"/>
        <v>-172443.22936775751</v>
      </c>
      <c r="N1364" s="303">
        <f t="shared" si="1125"/>
        <v>-231914.83653814293</v>
      </c>
      <c r="O1364" s="303">
        <f t="shared" si="1125"/>
        <v>-237088.99513803353</v>
      </c>
      <c r="P1364" s="303">
        <f t="shared" si="1125"/>
        <v>-242420.12054562898</v>
      </c>
      <c r="Q1364" s="303">
        <f t="shared" si="1125"/>
        <v>-247914.02627886878</v>
      </c>
      <c r="R1364" s="303">
        <f t="shared" si="1125"/>
        <v>-253576.77583514043</v>
      </c>
      <c r="S1364" s="303">
        <f t="shared" si="1125"/>
        <v>-259414.69437632285</v>
      </c>
      <c r="T1364" s="303">
        <f t="shared" si="1125"/>
        <v>-265434.38098180352</v>
      </c>
      <c r="U1364" s="303">
        <f t="shared" si="1125"/>
        <v>-271642.72149754228</v>
      </c>
      <c r="V1364" s="303">
        <f t="shared" si="1125"/>
        <v>-278046.90201065154</v>
      </c>
      <c r="W1364" s="303">
        <f t="shared" si="1125"/>
        <v>-284654.42298043164</v>
      </c>
      <c r="X1364" s="303">
        <f t="shared" si="1125"/>
        <v>-265408.13139166962</v>
      </c>
      <c r="Y1364" s="303">
        <f t="shared" si="1125"/>
        <v>-272446.16696429788</v>
      </c>
      <c r="Z1364" s="303">
        <f t="shared" si="1125"/>
        <v>-279712.08245520247</v>
      </c>
      <c r="AA1364" s="303"/>
      <c r="AB1364" s="303"/>
      <c r="AC1364" s="303"/>
      <c r="AD1364" s="303"/>
      <c r="AE1364" s="303"/>
      <c r="AF1364" s="303"/>
      <c r="AG1364" s="303"/>
      <c r="AH1364" s="303"/>
      <c r="AI1364" s="303"/>
      <c r="AJ1364" s="303"/>
      <c r="AL1364" s="984"/>
    </row>
    <row r="1365" spans="1:39" x14ac:dyDescent="0.25">
      <c r="A1365" t="s">
        <v>861</v>
      </c>
      <c r="K1365" s="15"/>
      <c r="L1365" s="15"/>
      <c r="M1365" s="15"/>
      <c r="N1365" s="15"/>
      <c r="O1365" s="15"/>
      <c r="P1365" s="15"/>
      <c r="Q1365" s="15"/>
      <c r="R1365" s="15"/>
      <c r="S1365" s="15"/>
      <c r="T1365" s="15"/>
      <c r="U1365" s="15"/>
      <c r="V1365" s="15"/>
      <c r="W1365" s="15"/>
      <c r="X1365" s="15"/>
      <c r="Y1365" s="15"/>
      <c r="Z1365" s="15"/>
      <c r="AA1365" s="15"/>
      <c r="AB1365" s="15"/>
      <c r="AC1365" s="15"/>
      <c r="AD1365" s="15"/>
      <c r="AE1365" s="15"/>
      <c r="AF1365" s="15"/>
      <c r="AG1365" s="15"/>
      <c r="AH1365" s="15"/>
      <c r="AI1365" s="15"/>
      <c r="AJ1365" s="15"/>
      <c r="AL1365" s="221"/>
    </row>
    <row r="1366" spans="1:39" x14ac:dyDescent="0.25">
      <c r="A1366" t="s">
        <v>861</v>
      </c>
      <c r="B1366" t="s">
        <v>622</v>
      </c>
      <c r="H1366" s="459" t="s">
        <v>166</v>
      </c>
      <c r="I1366" s="493" t="str">
        <f>IF($H$9="USD","USD","tr. VND")</f>
        <v>tr. VND</v>
      </c>
      <c r="K1366" s="461"/>
      <c r="L1366" s="461" cm="1">
        <f t="array" ref="L1366">-SUMPRODUCT('W2'!$M$12:$V$112*('W2'!$M$7:$V$7=$A1366)*('W2'!$A$12:$A$112=$B1366))*L1331*$H$10*POWER(1+Inflation,L$11+1)</f>
        <v>-2752.9666560000001</v>
      </c>
      <c r="M1366" s="461" cm="1">
        <f t="array" ref="M1366">-SUMPRODUCT('W2'!$M$12:$V$112*('W2'!$M$7:$V$7=$A1366)*('W2'!$A$12:$A$112=$B1366))*M1331*$H$10*POWER(1+Inflation,M$11+1)</f>
        <v>-3854.1533183999995</v>
      </c>
      <c r="N1366" s="461" cm="1">
        <f t="array" ref="N1366">-SUMPRODUCT('W2'!$M$12:$V$112*('W2'!$M$7:$V$7=$A1366)*('W2'!$A$12:$A$112=$B1366))*N1331*$H$10*POWER(1+Inflation,N$11+1)</f>
        <v>-5781.2299776</v>
      </c>
      <c r="O1366" s="461" cm="1">
        <f t="array" ref="O1366">-SUMPRODUCT('W2'!$M$12:$V$112*('W2'!$M$7:$V$7=$A1366)*('W2'!$A$12:$A$112=$B1366))*O1331*$H$10*POWER(1+Inflation,O$11+1)</f>
        <v>-6070.2914764800007</v>
      </c>
      <c r="P1366" s="461" cm="1">
        <f t="array" ref="P1366">-SUMPRODUCT('W2'!$M$12:$V$112*('W2'!$M$7:$V$7=$A1366)*('W2'!$A$12:$A$112=$B1366))*P1331*$H$10*POWER(1+Inflation,P$11+1)</f>
        <v>-6373.8060503040006</v>
      </c>
      <c r="Q1366" s="461" cm="1">
        <f t="array" ref="Q1366">-SUMPRODUCT('W2'!$M$12:$V$112*('W2'!$M$7:$V$7=$A1366)*('W2'!$A$12:$A$112=$B1366))*Q1331*$H$10*POWER(1+Inflation,Q$11+1)</f>
        <v>-6692.4963528192002</v>
      </c>
      <c r="R1366" s="461" cm="1">
        <f t="array" ref="R1366">-SUMPRODUCT('W2'!$M$12:$V$112*('W2'!$M$7:$V$7=$A1366)*('W2'!$A$12:$A$112=$B1366))*R1331*$H$10*POWER(1+Inflation,R$11+1)</f>
        <v>-7027.121170460161</v>
      </c>
      <c r="S1366" s="461" cm="1">
        <f t="array" ref="S1366">-SUMPRODUCT('W2'!$M$12:$V$112*('W2'!$M$7:$V$7=$A1366)*('W2'!$A$12:$A$112=$B1366))*S1331*$H$10*POWER(1+Inflation,S$11+1)</f>
        <v>-7378.4772289831681</v>
      </c>
      <c r="T1366" s="461" cm="1">
        <f t="array" ref="T1366">-SUMPRODUCT('W2'!$M$12:$V$112*('W2'!$M$7:$V$7=$A1366)*('W2'!$A$12:$A$112=$B1366))*T1331*$H$10*POWER(1+Inflation,T$11+1)</f>
        <v>-7747.4010904323277</v>
      </c>
      <c r="U1366" s="461" cm="1">
        <f t="array" ref="U1366">-SUMPRODUCT('W2'!$M$12:$V$112*('W2'!$M$7:$V$7=$A1366)*('W2'!$A$12:$A$112=$B1366))*U1331*$H$10*POWER(1+Inflation,U$11+1)</f>
        <v>-8134.7711449539429</v>
      </c>
      <c r="V1366" s="461" cm="1">
        <f t="array" ref="V1366">-SUMPRODUCT('W2'!$M$12:$V$112*('W2'!$M$7:$V$7=$A1366)*('W2'!$A$12:$A$112=$B1366))*V1331*$H$10*POWER(1+Inflation,V$11+1)</f>
        <v>-8541.5097022016416</v>
      </c>
      <c r="W1366" s="461" cm="1">
        <f t="array" ref="W1366">-SUMPRODUCT('W2'!$M$12:$V$112*('W2'!$M$7:$V$7=$A1366)*('W2'!$A$12:$A$112=$B1366))*W1331*$H$10*POWER(1+Inflation,W$11+1)</f>
        <v>-8968.5851873117226</v>
      </c>
      <c r="X1366" s="461" cm="1">
        <f t="array" ref="X1366">-SUMPRODUCT('W2'!$M$12:$V$112*('W2'!$M$7:$V$7=$A1366)*('W2'!$A$12:$A$112=$B1366))*X1331*$H$10*POWER(1+Inflation,X$11+1)</f>
        <v>-9417.014446677309</v>
      </c>
      <c r="Y1366" s="461" cm="1">
        <f t="array" ref="Y1366">-SUMPRODUCT('W2'!$M$12:$V$112*('W2'!$M$7:$V$7=$A1366)*('W2'!$A$12:$A$112=$B1366))*Y1331*$H$10*POWER(1+Inflation,Y$11+1)</f>
        <v>-9887.8651690111747</v>
      </c>
      <c r="Z1366" s="461" cm="1">
        <f t="array" ref="Z1366">-SUMPRODUCT('W2'!$M$12:$V$112*('W2'!$M$7:$V$7=$A1366)*('W2'!$A$12:$A$112=$B1366))*Z1331*$H$10*POWER(1+Inflation,Z$11+1)</f>
        <v>-10382.258427461735</v>
      </c>
      <c r="AA1366" s="461"/>
      <c r="AB1366" s="461"/>
      <c r="AC1366" s="461"/>
      <c r="AD1366" s="461"/>
      <c r="AE1366" s="461"/>
      <c r="AF1366" s="461"/>
      <c r="AG1366" s="461"/>
      <c r="AH1366" s="461"/>
      <c r="AI1366" s="461"/>
      <c r="AJ1366" s="461"/>
      <c r="AL1366" s="221"/>
    </row>
    <row r="1367" spans="1:39" x14ac:dyDescent="0.25">
      <c r="A1367" t="s">
        <v>861</v>
      </c>
      <c r="B1367" t="s">
        <v>527</v>
      </c>
      <c r="H1367" s="454" t="s">
        <v>469</v>
      </c>
      <c r="I1367" s="496" t="str">
        <f>IF($H$9="USD","USD","tr. VND")</f>
        <v>tr. VND</v>
      </c>
      <c r="K1367" s="457"/>
      <c r="L1367" s="457" cm="1">
        <f t="array" ref="L1367">-SUMPRODUCT('W2'!$M$12:$V$112*('W2'!$M$7:$V$7=$A1367)*('W2'!$A$12:$A$112=$B1367))*L1331*$H$10*POWER(1+Inflation,L$11+1)</f>
        <v>0</v>
      </c>
      <c r="M1367" s="457" cm="1">
        <f t="array" ref="M1367">-SUMPRODUCT('W2'!$M$12:$V$112*('W2'!$M$7:$V$7=$A1367)*('W2'!$A$12:$A$112=$B1367))*M1331*$H$10*POWER(1+Inflation,M$11+1)</f>
        <v>0</v>
      </c>
      <c r="N1367" s="457" cm="1">
        <f t="array" ref="N1367">-SUMPRODUCT('W2'!$M$12:$V$112*('W2'!$M$7:$V$7=$A1367)*('W2'!$A$12:$A$112=$B1367))*N1331*$H$10*POWER(1+Inflation,N$11+1)</f>
        <v>0</v>
      </c>
      <c r="O1367" s="457" cm="1">
        <f t="array" ref="O1367">-SUMPRODUCT('W2'!$M$12:$V$112*('W2'!$M$7:$V$7=$A1367)*('W2'!$A$12:$A$112=$B1367))*O1331*$H$10*POWER(1+Inflation,O$11+1)</f>
        <v>0</v>
      </c>
      <c r="P1367" s="457" cm="1">
        <f t="array" ref="P1367">-SUMPRODUCT('W2'!$M$12:$V$112*('W2'!$M$7:$V$7=$A1367)*('W2'!$A$12:$A$112=$B1367))*P1331*$H$10*POWER(1+Inflation,P$11+1)</f>
        <v>0</v>
      </c>
      <c r="Q1367" s="457" cm="1">
        <f t="array" ref="Q1367">-SUMPRODUCT('W2'!$M$12:$V$112*('W2'!$M$7:$V$7=$A1367)*('W2'!$A$12:$A$112=$B1367))*Q1331*$H$10*POWER(1+Inflation,Q$11+1)</f>
        <v>0</v>
      </c>
      <c r="R1367" s="457" cm="1">
        <f t="array" ref="R1367">-SUMPRODUCT('W2'!$M$12:$V$112*('W2'!$M$7:$V$7=$A1367)*('W2'!$A$12:$A$112=$B1367))*R1331*$H$10*POWER(1+Inflation,R$11+1)</f>
        <v>0</v>
      </c>
      <c r="S1367" s="457" cm="1">
        <f t="array" ref="S1367">-SUMPRODUCT('W2'!$M$12:$V$112*('W2'!$M$7:$V$7=$A1367)*('W2'!$A$12:$A$112=$B1367))*S1331*$H$10*POWER(1+Inflation,S$11+1)</f>
        <v>0</v>
      </c>
      <c r="T1367" s="457" cm="1">
        <f t="array" ref="T1367">-SUMPRODUCT('W2'!$M$12:$V$112*('W2'!$M$7:$V$7=$A1367)*('W2'!$A$12:$A$112=$B1367))*T1331*$H$10*POWER(1+Inflation,T$11+1)</f>
        <v>0</v>
      </c>
      <c r="U1367" s="457" cm="1">
        <f t="array" ref="U1367">-SUMPRODUCT('W2'!$M$12:$V$112*('W2'!$M$7:$V$7=$A1367)*('W2'!$A$12:$A$112=$B1367))*U1331*$H$10*POWER(1+Inflation,U$11+1)</f>
        <v>0</v>
      </c>
      <c r="V1367" s="457" cm="1">
        <f t="array" ref="V1367">-SUMPRODUCT('W2'!$M$12:$V$112*('W2'!$M$7:$V$7=$A1367)*('W2'!$A$12:$A$112=$B1367))*V1331*$H$10*POWER(1+Inflation,V$11+1)</f>
        <v>0</v>
      </c>
      <c r="W1367" s="457" cm="1">
        <f t="array" ref="W1367">-SUMPRODUCT('W2'!$M$12:$V$112*('W2'!$M$7:$V$7=$A1367)*('W2'!$A$12:$A$112=$B1367))*W1331*$H$10*POWER(1+Inflation,W$11+1)</f>
        <v>0</v>
      </c>
      <c r="X1367" s="457" cm="1">
        <f t="array" ref="X1367">-SUMPRODUCT('W2'!$M$12:$V$112*('W2'!$M$7:$V$7=$A1367)*('W2'!$A$12:$A$112=$B1367))*X1331*$H$10*POWER(1+Inflation,X$11+1)</f>
        <v>0</v>
      </c>
      <c r="Y1367" s="457" cm="1">
        <f t="array" ref="Y1367">-SUMPRODUCT('W2'!$M$12:$V$112*('W2'!$M$7:$V$7=$A1367)*('W2'!$A$12:$A$112=$B1367))*Y1331*$H$10*POWER(1+Inflation,Y$11+1)</f>
        <v>0</v>
      </c>
      <c r="Z1367" s="457" cm="1">
        <f t="array" ref="Z1367">-SUMPRODUCT('W2'!$M$12:$V$112*('W2'!$M$7:$V$7=$A1367)*('W2'!$A$12:$A$112=$B1367))*Z1331*$H$10*POWER(1+Inflation,Z$11+1)</f>
        <v>0</v>
      </c>
      <c r="AA1367" s="457"/>
      <c r="AB1367" s="457"/>
      <c r="AC1367" s="457"/>
      <c r="AD1367" s="457"/>
      <c r="AE1367" s="457"/>
      <c r="AF1367" s="457"/>
      <c r="AG1367" s="457"/>
      <c r="AH1367" s="457"/>
      <c r="AI1367" s="457"/>
      <c r="AJ1367" s="457"/>
      <c r="AL1367" s="221"/>
    </row>
    <row r="1368" spans="1:39" x14ac:dyDescent="0.25">
      <c r="A1368" t="s">
        <v>861</v>
      </c>
      <c r="B1368" t="s">
        <v>522</v>
      </c>
      <c r="H1368" s="454" t="s">
        <v>468</v>
      </c>
      <c r="I1368" s="496" t="str">
        <f>IF($H$9="USD","USD","tr. VND")</f>
        <v>tr. VND</v>
      </c>
      <c r="K1368" s="454"/>
      <c r="L1368" s="457" cm="1">
        <f t="array" ref="L1368">-SUMPRODUCT('W2'!$M$12:$V$112*('W2'!$M$7:$V$7=$A1368)*('W2'!$A$12:$A$112=$B1368))*L1331*$H$10*POWER(1+Inflation,L$11+1)</f>
        <v>0</v>
      </c>
      <c r="M1368" s="457" cm="1">
        <f t="array" ref="M1368">-SUMPRODUCT('W2'!$M$12:$V$112*('W2'!$M$7:$V$7=$A1368)*('W2'!$A$12:$A$112=$B1368))*M1331*$H$10*POWER(1+Inflation,M$11+1)</f>
        <v>0</v>
      </c>
      <c r="N1368" s="457" cm="1">
        <f t="array" ref="N1368">-SUMPRODUCT('W2'!$M$12:$V$112*('W2'!$M$7:$V$7=$A1368)*('W2'!$A$12:$A$112=$B1368))*N1331*$H$10*POWER(1+Inflation,N$11+1)</f>
        <v>0</v>
      </c>
      <c r="O1368" s="457" cm="1">
        <f t="array" ref="O1368">-SUMPRODUCT('W2'!$M$12:$V$112*('W2'!$M$7:$V$7=$A1368)*('W2'!$A$12:$A$112=$B1368))*O1331*$H$10*POWER(1+Inflation,O$11+1)</f>
        <v>0</v>
      </c>
      <c r="P1368" s="457" cm="1">
        <f t="array" ref="P1368">-SUMPRODUCT('W2'!$M$12:$V$112*('W2'!$M$7:$V$7=$A1368)*('W2'!$A$12:$A$112=$B1368))*P1331*$H$10*POWER(1+Inflation,P$11+1)</f>
        <v>0</v>
      </c>
      <c r="Q1368" s="457" cm="1">
        <f t="array" ref="Q1368">-SUMPRODUCT('W2'!$M$12:$V$112*('W2'!$M$7:$V$7=$A1368)*('W2'!$A$12:$A$112=$B1368))*Q1331*$H$10*POWER(1+Inflation,Q$11+1)</f>
        <v>0</v>
      </c>
      <c r="R1368" s="457" cm="1">
        <f t="array" ref="R1368">-SUMPRODUCT('W2'!$M$12:$V$112*('W2'!$M$7:$V$7=$A1368)*('W2'!$A$12:$A$112=$B1368))*R1331*$H$10*POWER(1+Inflation,R$11+1)</f>
        <v>0</v>
      </c>
      <c r="S1368" s="457" cm="1">
        <f t="array" ref="S1368">-SUMPRODUCT('W2'!$M$12:$V$112*('W2'!$M$7:$V$7=$A1368)*('W2'!$A$12:$A$112=$B1368))*S1331*$H$10*POWER(1+Inflation,S$11+1)</f>
        <v>0</v>
      </c>
      <c r="T1368" s="457" cm="1">
        <f t="array" ref="T1368">-SUMPRODUCT('W2'!$M$12:$V$112*('W2'!$M$7:$V$7=$A1368)*('W2'!$A$12:$A$112=$B1368))*T1331*$H$10*POWER(1+Inflation,T$11+1)</f>
        <v>0</v>
      </c>
      <c r="U1368" s="457" cm="1">
        <f t="array" ref="U1368">-SUMPRODUCT('W2'!$M$12:$V$112*('W2'!$M$7:$V$7=$A1368)*('W2'!$A$12:$A$112=$B1368))*U1331*$H$10*POWER(1+Inflation,U$11+1)</f>
        <v>0</v>
      </c>
      <c r="V1368" s="457" cm="1">
        <f t="array" ref="V1368">-SUMPRODUCT('W2'!$M$12:$V$112*('W2'!$M$7:$V$7=$A1368)*('W2'!$A$12:$A$112=$B1368))*V1331*$H$10*POWER(1+Inflation,V$11+1)</f>
        <v>0</v>
      </c>
      <c r="W1368" s="457" cm="1">
        <f t="array" ref="W1368">-SUMPRODUCT('W2'!$M$12:$V$112*('W2'!$M$7:$V$7=$A1368)*('W2'!$A$12:$A$112=$B1368))*W1331*$H$10*POWER(1+Inflation,W$11+1)</f>
        <v>0</v>
      </c>
      <c r="X1368" s="457" cm="1">
        <f t="array" ref="X1368">-SUMPRODUCT('W2'!$M$12:$V$112*('W2'!$M$7:$V$7=$A1368)*('W2'!$A$12:$A$112=$B1368))*X1331*$H$10*POWER(1+Inflation,X$11+1)</f>
        <v>0</v>
      </c>
      <c r="Y1368" s="457" cm="1">
        <f t="array" ref="Y1368">-SUMPRODUCT('W2'!$M$12:$V$112*('W2'!$M$7:$V$7=$A1368)*('W2'!$A$12:$A$112=$B1368))*Y1331*$H$10*POWER(1+Inflation,Y$11+1)</f>
        <v>0</v>
      </c>
      <c r="Z1368" s="457" cm="1">
        <f t="array" ref="Z1368">-SUMPRODUCT('W2'!$M$12:$V$112*('W2'!$M$7:$V$7=$A1368)*('W2'!$A$12:$A$112=$B1368))*Z1331*$H$10*POWER(1+Inflation,Z$11+1)</f>
        <v>0</v>
      </c>
      <c r="AA1368" s="457"/>
      <c r="AB1368" s="457"/>
      <c r="AC1368" s="457"/>
      <c r="AD1368" s="457"/>
      <c r="AE1368" s="457"/>
      <c r="AF1368" s="457"/>
      <c r="AG1368" s="457"/>
      <c r="AH1368" s="457"/>
      <c r="AI1368" s="457"/>
      <c r="AJ1368" s="457"/>
      <c r="AL1368" s="221"/>
    </row>
    <row r="1369" spans="1:39" x14ac:dyDescent="0.25">
      <c r="A1369" t="s">
        <v>861</v>
      </c>
      <c r="H1369" s="454" t="s">
        <v>470</v>
      </c>
      <c r="I1369" s="496" t="str">
        <f>IF($H$9="USD","USD","tr. VND")</f>
        <v>tr. VND</v>
      </c>
      <c r="K1369" s="454"/>
      <c r="L1369" s="457" cm="1">
        <f t="array" ref="L1369">-SUMPRODUCT('Lãi vay'!$E$5:$AI$54*('Lãi vay'!$A$5:$A$54=$A1369)*('Lãi vay'!$B$5:$B$54="Lãi vay")*('Lãi vay'!$E$3:$AI$3=L$14))*$H$10</f>
        <v>-14736.740200000002</v>
      </c>
      <c r="M1369" s="457" cm="1">
        <f t="array" ref="M1369">-SUMPRODUCT('Lãi vay'!$E$5:$AI$54*('Lãi vay'!$A$5:$A$54=$A1369)*('Lãi vay'!$B$5:$B$54="Lãi vay")*('Lãi vay'!$E$3:$AI$3=M$14))*$H$10</f>
        <v>-14150.297154424765</v>
      </c>
      <c r="N1369" s="457" cm="1">
        <f t="array" ref="N1369">-SUMPRODUCT('Lãi vay'!$E$5:$AI$54*('Lãi vay'!$A$5:$A$54=$A1369)*('Lãi vay'!$B$5:$B$54="Lãi vay")*('Lãi vay'!$E$3:$AI$3=N$14))*$H$10</f>
        <v>-13522.803095659263</v>
      </c>
      <c r="O1369" s="457" cm="1">
        <f t="array" ref="O1369">-SUMPRODUCT('Lãi vay'!$E$5:$AI$54*('Lãi vay'!$A$5:$A$54=$A1369)*('Lãi vay'!$B$5:$B$54="Lãi vay")*('Lãi vay'!$E$3:$AI$3=O$14))*$H$10</f>
        <v>-12851.384452780176</v>
      </c>
      <c r="P1369" s="457" cm="1">
        <f t="array" ref="P1369">-SUMPRODUCT('Lãi vay'!$E$5:$AI$54*('Lãi vay'!$A$5:$A$54=$A1369)*('Lãi vay'!$B$5:$B$54="Lãi vay")*('Lãi vay'!$E$3:$AI$3=P$14))*$H$10</f>
        <v>-12132.96650489955</v>
      </c>
      <c r="Q1369" s="457" cm="1">
        <f t="array" ref="Q1369">-SUMPRODUCT('Lãi vay'!$E$5:$AI$54*('Lãi vay'!$A$5:$A$54=$A1369)*('Lãi vay'!$B$5:$B$54="Lãi vay")*('Lãi vay'!$E$3:$AI$3=Q$14))*$H$10</f>
        <v>-11364.259300667285</v>
      </c>
      <c r="R1369" s="457" cm="1">
        <f t="array" ref="R1369">-SUMPRODUCT('Lãi vay'!$E$5:$AI$54*('Lãi vay'!$A$5:$A$54=$A1369)*('Lãi vay'!$B$5:$B$54="Lãi vay")*('Lãi vay'!$E$3:$AI$3=R$14))*$H$10</f>
        <v>-10541.742592138758</v>
      </c>
      <c r="S1369" s="457" cm="1">
        <f t="array" ref="S1369">-SUMPRODUCT('Lãi vay'!$E$5:$AI$54*('Lãi vay'!$A$5:$A$54=$A1369)*('Lãi vay'!$B$5:$B$54="Lãi vay")*('Lãi vay'!$E$3:$AI$3=S$14))*$H$10</f>
        <v>-9661.649714013236</v>
      </c>
      <c r="T1369" s="457" cm="1">
        <f t="array" ref="T1369">-SUMPRODUCT('Lãi vay'!$E$5:$AI$54*('Lãi vay'!$A$5:$A$54=$A1369)*('Lãi vay'!$B$5:$B$54="Lãi vay")*('Lãi vay'!$E$3:$AI$3=T$14))*$H$10</f>
        <v>-8719.950334418927</v>
      </c>
      <c r="U1369" s="457" cm="1">
        <f t="array" ref="U1369">-SUMPRODUCT('Lãi vay'!$E$5:$AI$54*('Lãi vay'!$A$5:$A$54=$A1369)*('Lãi vay'!$B$5:$B$54="Lãi vay")*('Lãi vay'!$E$3:$AI$3=U$14))*$H$10</f>
        <v>-7712.3319982530165</v>
      </c>
      <c r="V1369" s="457" cm="1">
        <f t="array" ref="V1369">-SUMPRODUCT('Lãi vay'!$E$5:$AI$54*('Lãi vay'!$A$5:$A$54=$A1369)*('Lãi vay'!$B$5:$B$54="Lãi vay")*('Lãi vay'!$E$3:$AI$3=V$14))*$H$10</f>
        <v>-6634.1803785554921</v>
      </c>
      <c r="W1369" s="457" cm="1">
        <f t="array" ref="W1369">-SUMPRODUCT('Lãi vay'!$E$5:$AI$54*('Lãi vay'!$A$5:$A$54=$A1369)*('Lãi vay'!$B$5:$B$54="Lãi vay")*('Lãi vay'!$E$3:$AI$3=W$14))*$H$10</f>
        <v>-5480.55814547914</v>
      </c>
      <c r="X1369" s="457" cm="1">
        <f t="array" ref="X1369">-SUMPRODUCT('Lãi vay'!$E$5:$AI$54*('Lãi vay'!$A$5:$A$54=$A1369)*('Lãi vay'!$B$5:$B$54="Lãi vay")*('Lãi vay'!$E$3:$AI$3=X$14))*$H$10</f>
        <v>-4246.1823560874445</v>
      </c>
      <c r="Y1369" s="457" cm="1">
        <f t="array" ref="Y1369">-SUMPRODUCT('Lãi vay'!$E$5:$AI$54*('Lãi vay'!$A$5:$A$54=$A1369)*('Lãi vay'!$B$5:$B$54="Lãi vay")*('Lãi vay'!$E$3:$AI$3=Y$14))*$H$10</f>
        <v>-2925.4002614383289</v>
      </c>
      <c r="Z1369" s="457" cm="1">
        <f t="array" ref="Z1369">-SUMPRODUCT('Lãi vay'!$E$5:$AI$54*('Lãi vay'!$A$5:$A$54=$A1369)*('Lãi vay'!$B$5:$B$54="Lãi vay")*('Lãi vay'!$E$3:$AI$3=Z$14))*$H$10</f>
        <v>-1512.1634201637758</v>
      </c>
      <c r="AA1369" s="457"/>
      <c r="AB1369" s="457"/>
      <c r="AC1369" s="457"/>
      <c r="AD1369" s="457"/>
      <c r="AE1369" s="457"/>
      <c r="AF1369" s="457"/>
      <c r="AG1369" s="457"/>
      <c r="AH1369" s="457"/>
      <c r="AI1369" s="457"/>
      <c r="AJ1369" s="457"/>
      <c r="AL1369" s="221"/>
    </row>
    <row r="1370" spans="1:39" x14ac:dyDescent="0.25">
      <c r="A1370" t="s">
        <v>861</v>
      </c>
      <c r="K1370" s="15"/>
      <c r="L1370" s="15"/>
      <c r="M1370" s="15"/>
      <c r="N1370" s="15"/>
      <c r="O1370" s="15"/>
      <c r="P1370" s="15"/>
      <c r="Q1370" s="15"/>
      <c r="R1370" s="15"/>
      <c r="S1370" s="15"/>
      <c r="T1370" s="15"/>
      <c r="U1370" s="15"/>
      <c r="V1370" s="15"/>
      <c r="W1370" s="15"/>
      <c r="X1370" s="15"/>
      <c r="Y1370" s="15"/>
      <c r="Z1370" s="15"/>
      <c r="AA1370" s="15"/>
      <c r="AB1370" s="15"/>
      <c r="AC1370" s="15"/>
      <c r="AD1370" s="15"/>
      <c r="AE1370" s="15"/>
      <c r="AF1370" s="15"/>
      <c r="AG1370" s="15"/>
      <c r="AH1370" s="15"/>
      <c r="AI1370" s="15"/>
      <c r="AJ1370" s="15"/>
      <c r="AL1370" s="221"/>
    </row>
    <row r="1371" spans="1:39" s="16" customFormat="1" x14ac:dyDescent="0.25">
      <c r="A1371" s="16" t="s">
        <v>861</v>
      </c>
      <c r="H1371" s="270" t="s">
        <v>472</v>
      </c>
      <c r="I1371" s="271" t="str">
        <f>IF($H$9="USD","USD","tr. VND")</f>
        <v>tr. VND</v>
      </c>
      <c r="K1371" s="272">
        <f t="shared" ref="K1371" si="1126">K1364+SUM(K1366:K1369)</f>
        <v>0</v>
      </c>
      <c r="L1371" s="272">
        <f>L1364+SUM(L1366:L1369)</f>
        <v>-153633.70909316011</v>
      </c>
      <c r="M1371" s="272">
        <f t="shared" ref="M1371:AJ1371" si="1127">M1364+SUM(M1366:M1369)</f>
        <v>-190447.67984058228</v>
      </c>
      <c r="N1371" s="272">
        <f t="shared" si="1127"/>
        <v>-251218.86961140219</v>
      </c>
      <c r="O1371" s="272">
        <f t="shared" si="1127"/>
        <v>-256010.6710672937</v>
      </c>
      <c r="P1371" s="272">
        <f t="shared" si="1127"/>
        <v>-260926.89310083253</v>
      </c>
      <c r="Q1371" s="272">
        <f t="shared" si="1127"/>
        <v>-265970.78193235525</v>
      </c>
      <c r="R1371" s="272">
        <f t="shared" si="1127"/>
        <v>-271145.63959773933</v>
      </c>
      <c r="S1371" s="272">
        <f t="shared" si="1127"/>
        <v>-276454.82131931925</v>
      </c>
      <c r="T1371" s="272">
        <f t="shared" si="1127"/>
        <v>-281901.7324066548</v>
      </c>
      <c r="U1371" s="272">
        <f t="shared" si="1127"/>
        <v>-287489.82464074926</v>
      </c>
      <c r="V1371" s="272">
        <f t="shared" si="1127"/>
        <v>-293222.59209140867</v>
      </c>
      <c r="W1371" s="272">
        <f t="shared" si="1127"/>
        <v>-299103.56631322252</v>
      </c>
      <c r="X1371" s="272">
        <f t="shared" si="1127"/>
        <v>-279071.32819443441</v>
      </c>
      <c r="Y1371" s="272">
        <f t="shared" si="1127"/>
        <v>-285259.43239474739</v>
      </c>
      <c r="Z1371" s="272">
        <f t="shared" si="1127"/>
        <v>-291606.50430282799</v>
      </c>
      <c r="AA1371" s="272"/>
      <c r="AB1371" s="272"/>
      <c r="AC1371" s="272"/>
      <c r="AD1371" s="272"/>
      <c r="AE1371" s="272"/>
      <c r="AF1371" s="272"/>
      <c r="AG1371" s="272"/>
      <c r="AH1371" s="272"/>
      <c r="AI1371" s="272"/>
      <c r="AJ1371" s="272"/>
      <c r="AL1371" s="223"/>
    </row>
    <row r="1372" spans="1:39" x14ac:dyDescent="0.25">
      <c r="A1372" t="s">
        <v>861</v>
      </c>
    </row>
    <row r="1373" spans="1:39" s="24" customFormat="1" ht="17.25" x14ac:dyDescent="0.3">
      <c r="A1373" s="24" t="s">
        <v>861</v>
      </c>
      <c r="H1373" s="643" t="s">
        <v>473</v>
      </c>
      <c r="I1373" s="643"/>
      <c r="K1373" s="643"/>
      <c r="L1373" s="643"/>
      <c r="M1373" s="643"/>
      <c r="N1373" s="643"/>
      <c r="O1373" s="643"/>
      <c r="P1373" s="643"/>
      <c r="Q1373" s="643"/>
      <c r="R1373" s="643"/>
      <c r="S1373" s="643"/>
      <c r="T1373" s="643"/>
      <c r="U1373" s="643"/>
      <c r="V1373" s="643"/>
      <c r="W1373" s="643"/>
      <c r="X1373" s="643"/>
      <c r="Y1373" s="643"/>
      <c r="Z1373" s="643"/>
      <c r="AA1373" s="643"/>
      <c r="AB1373" s="643"/>
      <c r="AC1373" s="643"/>
      <c r="AD1373" s="643"/>
      <c r="AE1373" s="643"/>
      <c r="AF1373" s="643"/>
      <c r="AG1373" s="643"/>
      <c r="AH1373" s="643"/>
      <c r="AI1373" s="643"/>
      <c r="AJ1373" s="643"/>
    </row>
    <row r="1374" spans="1:39" s="1" customFormat="1" x14ac:dyDescent="0.25">
      <c r="A1374" s="1" t="s">
        <v>861</v>
      </c>
      <c r="H1374" s="273" t="s">
        <v>434</v>
      </c>
      <c r="I1374" s="274" t="str">
        <f>IF($H$9="USD","USD/tấn","tr. VND/tấn")</f>
        <v>tr. VND/tấn</v>
      </c>
      <c r="K1374" s="278">
        <f t="shared" ref="K1374" si="1128">SUM(K1375:K1376,K1379:K1382,)</f>
        <v>0</v>
      </c>
      <c r="L1374" s="278">
        <f>SUM(L1375:L1376,L1379:L1382,)</f>
        <v>14.093866286457756</v>
      </c>
      <c r="M1374" s="278">
        <f t="shared" ref="M1374:AJ1374" si="1129">SUM(M1375:M1376,M1379:M1382,)</f>
        <v>10.067047347469824</v>
      </c>
      <c r="N1374" s="278">
        <f t="shared" si="1129"/>
        <v>7.1921175630239942</v>
      </c>
      <c r="O1374" s="278">
        <f t="shared" si="1129"/>
        <v>7.3445612038088699</v>
      </c>
      <c r="P1374" s="278">
        <f t="shared" si="1129"/>
        <v>7.5046270266329884</v>
      </c>
      <c r="Q1374" s="278">
        <f t="shared" si="1129"/>
        <v>7.672696140598311</v>
      </c>
      <c r="R1374" s="278">
        <f t="shared" si="1129"/>
        <v>7.8491687102619006</v>
      </c>
      <c r="S1374" s="278">
        <f t="shared" si="1129"/>
        <v>8.034464908408669</v>
      </c>
      <c r="T1374" s="278">
        <f t="shared" si="1129"/>
        <v>8.2290259164627795</v>
      </c>
      <c r="U1374" s="278">
        <f t="shared" si="1129"/>
        <v>8.4333149749195915</v>
      </c>
      <c r="V1374" s="278">
        <f t="shared" si="1129"/>
        <v>8.6478184862992435</v>
      </c>
      <c r="W1374" s="278">
        <f t="shared" si="1129"/>
        <v>8.8730471732478833</v>
      </c>
      <c r="X1374" s="278">
        <f t="shared" si="1129"/>
        <v>5.0633998459829019</v>
      </c>
      <c r="Y1374" s="278">
        <f t="shared" si="1129"/>
        <v>5.3117144733437733</v>
      </c>
      <c r="Z1374" s="278">
        <f t="shared" si="1129"/>
        <v>5.5724448320726889</v>
      </c>
      <c r="AA1374" s="278"/>
      <c r="AB1374" s="278"/>
      <c r="AC1374" s="278"/>
      <c r="AD1374" s="278"/>
      <c r="AE1374" s="278"/>
      <c r="AF1374" s="278"/>
      <c r="AG1374" s="278"/>
      <c r="AH1374" s="278"/>
      <c r="AI1374" s="278"/>
      <c r="AJ1374" s="278"/>
      <c r="AL1374" s="981"/>
      <c r="AM1374" s="39"/>
    </row>
    <row r="1375" spans="1:39" x14ac:dyDescent="0.25">
      <c r="A1375" t="s">
        <v>861</v>
      </c>
      <c r="C1375" t="s">
        <v>367</v>
      </c>
      <c r="H1375" s="556" t="s">
        <v>190</v>
      </c>
      <c r="I1375" s="557" t="str">
        <f t="shared" ref="I1375:I1408" si="1130">IF($H$9="USD","USD/tấn","tr. VND/tấn")</f>
        <v>tr. VND/tấn</v>
      </c>
      <c r="K1375" s="562"/>
      <c r="L1375" s="563">
        <f t="shared" ref="L1375:AJ1375" si="1131">-IF($H$9="VND",L1343/L1331/$H$10/10^3,L1343/L1331/$H$10*10^3)</f>
        <v>8.0922748971220972</v>
      </c>
      <c r="M1375" s="563">
        <f t="shared" si="1131"/>
        <v>5.7801963550872131</v>
      </c>
      <c r="N1375" s="563">
        <f t="shared" si="1131"/>
        <v>4.0461374485610486</v>
      </c>
      <c r="O1375" s="563">
        <f t="shared" si="1131"/>
        <v>4.0461374485610486</v>
      </c>
      <c r="P1375" s="563">
        <f t="shared" si="1131"/>
        <v>4.0461374485610486</v>
      </c>
      <c r="Q1375" s="563">
        <f t="shared" si="1131"/>
        <v>4.0461374485610486</v>
      </c>
      <c r="R1375" s="563">
        <f t="shared" si="1131"/>
        <v>4.0461374485610486</v>
      </c>
      <c r="S1375" s="563">
        <f t="shared" si="1131"/>
        <v>4.0461374485610486</v>
      </c>
      <c r="T1375" s="563">
        <f t="shared" si="1131"/>
        <v>4.0461374485610486</v>
      </c>
      <c r="U1375" s="563">
        <f t="shared" si="1131"/>
        <v>4.0461374485610486</v>
      </c>
      <c r="V1375" s="563">
        <f t="shared" si="1131"/>
        <v>4.0461374485610486</v>
      </c>
      <c r="W1375" s="563">
        <f t="shared" si="1131"/>
        <v>4.0461374485610486</v>
      </c>
      <c r="X1375" s="563">
        <f t="shared" si="1131"/>
        <v>0</v>
      </c>
      <c r="Y1375" s="563">
        <f t="shared" si="1131"/>
        <v>0</v>
      </c>
      <c r="Z1375" s="563">
        <f t="shared" si="1131"/>
        <v>0</v>
      </c>
      <c r="AA1375" s="563"/>
      <c r="AB1375" s="563"/>
      <c r="AC1375" s="563"/>
      <c r="AD1375" s="563"/>
      <c r="AE1375" s="563"/>
      <c r="AF1375" s="563"/>
      <c r="AG1375" s="563"/>
      <c r="AH1375" s="563"/>
      <c r="AI1375" s="563"/>
      <c r="AJ1375" s="563"/>
      <c r="AL1375" s="976"/>
      <c r="AM1375" s="15"/>
    </row>
    <row r="1376" spans="1:39" x14ac:dyDescent="0.25">
      <c r="A1376" t="s">
        <v>861</v>
      </c>
      <c r="H1376" s="558" t="s">
        <v>429</v>
      </c>
      <c r="I1376" s="559" t="str">
        <f t="shared" si="1130"/>
        <v>tr. VND/tấn</v>
      </c>
      <c r="K1376" s="564">
        <f>SUM(K1377:K1378)</f>
        <v>0</v>
      </c>
      <c r="L1376" s="564">
        <f t="shared" ref="L1376:AJ1376" si="1132">SUM(L1377:L1378)</f>
        <v>1.9410042574812794</v>
      </c>
      <c r="M1376" s="564">
        <f t="shared" si="1132"/>
        <v>1.3864316124866283</v>
      </c>
      <c r="N1376" s="564">
        <f t="shared" si="1132"/>
        <v>1.0190272351776717</v>
      </c>
      <c r="O1376" s="564">
        <f t="shared" si="1132"/>
        <v>1.0699785969365552</v>
      </c>
      <c r="P1376" s="564">
        <f t="shared" si="1132"/>
        <v>1.1234775267833832</v>
      </c>
      <c r="Q1376" s="564">
        <f t="shared" si="1132"/>
        <v>1.179651403122552</v>
      </c>
      <c r="R1376" s="564">
        <f t="shared" si="1132"/>
        <v>1.2386339732786797</v>
      </c>
      <c r="S1376" s="564">
        <f t="shared" si="1132"/>
        <v>1.3005656719426137</v>
      </c>
      <c r="T1376" s="564">
        <f t="shared" si="1132"/>
        <v>1.3655939555397447</v>
      </c>
      <c r="U1376" s="564">
        <f t="shared" si="1132"/>
        <v>1.4338736533167316</v>
      </c>
      <c r="V1376" s="564">
        <f t="shared" si="1132"/>
        <v>1.5055673359825681</v>
      </c>
      <c r="W1376" s="564">
        <f t="shared" si="1132"/>
        <v>1.5808457027816967</v>
      </c>
      <c r="X1376" s="564">
        <f t="shared" si="1132"/>
        <v>1.6598879879207817</v>
      </c>
      <c r="Y1376" s="564">
        <f t="shared" si="1132"/>
        <v>1.7428823873168202</v>
      </c>
      <c r="Z1376" s="564">
        <f t="shared" si="1132"/>
        <v>1.8300265066826618</v>
      </c>
      <c r="AA1376" s="564"/>
      <c r="AB1376" s="564"/>
      <c r="AC1376" s="564"/>
      <c r="AD1376" s="564"/>
      <c r="AE1376" s="564"/>
      <c r="AF1376" s="564"/>
      <c r="AG1376" s="564"/>
      <c r="AH1376" s="564"/>
      <c r="AI1376" s="564"/>
      <c r="AJ1376" s="564"/>
      <c r="AL1376" s="976"/>
      <c r="AM1376" s="15"/>
    </row>
    <row r="1377" spans="1:39" s="299" customFormat="1" x14ac:dyDescent="0.25">
      <c r="A1377" s="299" t="s">
        <v>861</v>
      </c>
      <c r="C1377" s="299" t="s">
        <v>367</v>
      </c>
      <c r="H1377" s="560" t="s">
        <v>430</v>
      </c>
      <c r="I1377" s="561" t="str">
        <f t="shared" si="1130"/>
        <v>tr. VND/tấn</v>
      </c>
      <c r="K1377" s="565"/>
      <c r="L1377" s="565">
        <f t="shared" ref="L1377:AJ1377" si="1133">-IF($H$9="VND",L1345/L1331/$H$10/10^3,L1345/L1331/$H$10*10^3)</f>
        <v>0.31733039631846527</v>
      </c>
      <c r="M1377" s="565">
        <f t="shared" si="1133"/>
        <v>0.22666456879890379</v>
      </c>
      <c r="N1377" s="565">
        <f t="shared" si="1133"/>
        <v>0.16659845806719425</v>
      </c>
      <c r="O1377" s="565">
        <f t="shared" si="1133"/>
        <v>0.17492838097055399</v>
      </c>
      <c r="P1377" s="565">
        <f t="shared" si="1133"/>
        <v>0.18367480001908168</v>
      </c>
      <c r="Q1377" s="565">
        <f t="shared" si="1133"/>
        <v>0.19285854002003575</v>
      </c>
      <c r="R1377" s="565">
        <f t="shared" si="1133"/>
        <v>0.20250146702103758</v>
      </c>
      <c r="S1377" s="565">
        <f t="shared" si="1133"/>
        <v>0.21262654037208945</v>
      </c>
      <c r="T1377" s="565">
        <f t="shared" si="1133"/>
        <v>0.22325786739069392</v>
      </c>
      <c r="U1377" s="565">
        <f t="shared" si="1133"/>
        <v>0.23442076076022861</v>
      </c>
      <c r="V1377" s="565">
        <f t="shared" si="1133"/>
        <v>0.24614179879824005</v>
      </c>
      <c r="W1377" s="565">
        <f t="shared" si="1133"/>
        <v>0.25844888873815203</v>
      </c>
      <c r="X1377" s="565">
        <f t="shared" si="1133"/>
        <v>0.27137133317505963</v>
      </c>
      <c r="Y1377" s="565">
        <f t="shared" si="1133"/>
        <v>0.28493989983381263</v>
      </c>
      <c r="Z1377" s="565">
        <f t="shared" si="1133"/>
        <v>0.29918689482550326</v>
      </c>
      <c r="AA1377" s="565"/>
      <c r="AB1377" s="565"/>
      <c r="AC1377" s="565"/>
      <c r="AD1377" s="565"/>
      <c r="AE1377" s="565"/>
      <c r="AF1377" s="565"/>
      <c r="AG1377" s="565"/>
      <c r="AH1377" s="565"/>
      <c r="AI1377" s="565"/>
      <c r="AJ1377" s="565"/>
      <c r="AL1377" s="982"/>
      <c r="AM1377" s="876"/>
    </row>
    <row r="1378" spans="1:39" s="299" customFormat="1" x14ac:dyDescent="0.25">
      <c r="A1378" s="299" t="s">
        <v>861</v>
      </c>
      <c r="C1378" s="299" t="s">
        <v>367</v>
      </c>
      <c r="H1378" s="560" t="s">
        <v>431</v>
      </c>
      <c r="I1378" s="561" t="str">
        <f t="shared" si="1130"/>
        <v>tr. VND/tấn</v>
      </c>
      <c r="K1378" s="565"/>
      <c r="L1378" s="565">
        <f t="shared" ref="L1378:AJ1378" si="1134">-IF($H$9="VND",L1346/L1331/$H$10/10^3,L1346/L1331/$H$10*10^3)</f>
        <v>1.6236738611628141</v>
      </c>
      <c r="M1378" s="565">
        <f t="shared" si="1134"/>
        <v>1.1597670436877245</v>
      </c>
      <c r="N1378" s="565">
        <f t="shared" si="1134"/>
        <v>0.85242877711047738</v>
      </c>
      <c r="O1378" s="565">
        <f t="shared" si="1134"/>
        <v>0.89505021596600121</v>
      </c>
      <c r="P1378" s="565">
        <f t="shared" si="1134"/>
        <v>0.93980272676430154</v>
      </c>
      <c r="Q1378" s="565">
        <f t="shared" si="1134"/>
        <v>0.98679286310251635</v>
      </c>
      <c r="R1378" s="565">
        <f t="shared" si="1134"/>
        <v>1.0361325062576421</v>
      </c>
      <c r="S1378" s="565">
        <f t="shared" si="1134"/>
        <v>1.0879391315705242</v>
      </c>
      <c r="T1378" s="565">
        <f t="shared" si="1134"/>
        <v>1.1423360881490507</v>
      </c>
      <c r="U1378" s="565">
        <f t="shared" si="1134"/>
        <v>1.1994528925565029</v>
      </c>
      <c r="V1378" s="565">
        <f t="shared" si="1134"/>
        <v>1.2594255371843281</v>
      </c>
      <c r="W1378" s="565">
        <f t="shared" si="1134"/>
        <v>1.3223968140435447</v>
      </c>
      <c r="X1378" s="565">
        <f t="shared" si="1134"/>
        <v>1.3885166547457222</v>
      </c>
      <c r="Y1378" s="565">
        <f t="shared" si="1134"/>
        <v>1.4579424874830076</v>
      </c>
      <c r="Z1378" s="565">
        <f t="shared" si="1134"/>
        <v>1.5308396118571586</v>
      </c>
      <c r="AA1378" s="565"/>
      <c r="AB1378" s="565"/>
      <c r="AC1378" s="565"/>
      <c r="AD1378" s="565"/>
      <c r="AE1378" s="565"/>
      <c r="AF1378" s="565"/>
      <c r="AG1378" s="565"/>
      <c r="AH1378" s="565"/>
      <c r="AI1378" s="565"/>
      <c r="AJ1378" s="565"/>
      <c r="AL1378" s="982"/>
      <c r="AM1378" s="876"/>
    </row>
    <row r="1379" spans="1:39" x14ac:dyDescent="0.25">
      <c r="A1379" t="s">
        <v>861</v>
      </c>
      <c r="C1379" t="s">
        <v>367</v>
      </c>
      <c r="H1379" s="558" t="s">
        <v>656</v>
      </c>
      <c r="I1379" s="559" t="str">
        <f t="shared" si="1130"/>
        <v>tr. VND/tấn</v>
      </c>
      <c r="K1379" s="564"/>
      <c r="L1379" s="564">
        <f t="shared" ref="L1379:AJ1379" si="1135">-IF($H$9="VND",L1347/L1331/$H$10/10^3,L1347/L1331/$H$10*10^3)</f>
        <v>0.77492160273129496</v>
      </c>
      <c r="M1379" s="564">
        <f t="shared" si="1135"/>
        <v>0.55351543052235352</v>
      </c>
      <c r="N1379" s="564">
        <f t="shared" si="1135"/>
        <v>0.40683384143392981</v>
      </c>
      <c r="O1379" s="564">
        <f t="shared" si="1135"/>
        <v>0.42717553350562631</v>
      </c>
      <c r="P1379" s="564">
        <f t="shared" si="1135"/>
        <v>0.44853431018090767</v>
      </c>
      <c r="Q1379" s="564">
        <f t="shared" si="1135"/>
        <v>0.47096102568995302</v>
      </c>
      <c r="R1379" s="564">
        <f t="shared" si="1135"/>
        <v>0.49450907697445079</v>
      </c>
      <c r="S1379" s="564">
        <f t="shared" si="1135"/>
        <v>0.51923453082317328</v>
      </c>
      <c r="T1379" s="564">
        <f t="shared" si="1135"/>
        <v>0.54519625736433197</v>
      </c>
      <c r="U1379" s="564">
        <f t="shared" si="1135"/>
        <v>0.57245607023254841</v>
      </c>
      <c r="V1379" s="564">
        <f t="shared" si="1135"/>
        <v>0.60107887374417601</v>
      </c>
      <c r="W1379" s="564">
        <f t="shared" si="1135"/>
        <v>0.63113281743138472</v>
      </c>
      <c r="X1379" s="564">
        <f t="shared" si="1135"/>
        <v>0.662689458302954</v>
      </c>
      <c r="Y1379" s="564">
        <f t="shared" si="1135"/>
        <v>0.69582393121810171</v>
      </c>
      <c r="Z1379" s="564">
        <f t="shared" si="1135"/>
        <v>0.73061512777900695</v>
      </c>
      <c r="AA1379" s="564"/>
      <c r="AB1379" s="564"/>
      <c r="AC1379" s="564"/>
      <c r="AD1379" s="564"/>
      <c r="AE1379" s="564"/>
      <c r="AF1379" s="564"/>
      <c r="AG1379" s="564"/>
      <c r="AH1379" s="564"/>
      <c r="AI1379" s="564"/>
      <c r="AJ1379" s="564"/>
      <c r="AL1379" s="976"/>
      <c r="AM1379" s="15"/>
    </row>
    <row r="1380" spans="1:39" x14ac:dyDescent="0.25">
      <c r="A1380" t="s">
        <v>861</v>
      </c>
      <c r="C1380" t="s">
        <v>367</v>
      </c>
      <c r="H1380" s="558" t="s">
        <v>432</v>
      </c>
      <c r="I1380" s="559" t="str">
        <f t="shared" si="1130"/>
        <v>tr. VND/tấn</v>
      </c>
      <c r="K1380" s="564"/>
      <c r="L1380" s="564">
        <f t="shared" ref="L1380:AJ1380" si="1136">-IF($H$9="VND",L1348/L1331/$H$10/10^3,L1348/L1331/$H$10*10^3)</f>
        <v>2.9132189629639549</v>
      </c>
      <c r="M1380" s="564">
        <f t="shared" si="1136"/>
        <v>2.0808706878313963</v>
      </c>
      <c r="N1380" s="564">
        <f t="shared" si="1136"/>
        <v>1.5294399555560763</v>
      </c>
      <c r="O1380" s="564">
        <f t="shared" si="1136"/>
        <v>1.6059119533338804</v>
      </c>
      <c r="P1380" s="564">
        <f t="shared" si="1136"/>
        <v>1.6862075510005743</v>
      </c>
      <c r="Q1380" s="564">
        <f t="shared" si="1136"/>
        <v>1.7705179285506027</v>
      </c>
      <c r="R1380" s="564">
        <f t="shared" si="1136"/>
        <v>1.8590438249781329</v>
      </c>
      <c r="S1380" s="564">
        <f t="shared" si="1136"/>
        <v>1.9519960162270396</v>
      </c>
      <c r="T1380" s="564">
        <f t="shared" si="1136"/>
        <v>2.0495958170383921</v>
      </c>
      <c r="U1380" s="564">
        <f t="shared" si="1136"/>
        <v>2.1520756078903109</v>
      </c>
      <c r="V1380" s="564">
        <f t="shared" si="1136"/>
        <v>2.2596793882848267</v>
      </c>
      <c r="W1380" s="564">
        <f t="shared" si="1136"/>
        <v>2.3726633576990679</v>
      </c>
      <c r="X1380" s="564">
        <f t="shared" si="1136"/>
        <v>2.4912965255840218</v>
      </c>
      <c r="Y1380" s="564">
        <f t="shared" si="1136"/>
        <v>2.6158613518632223</v>
      </c>
      <c r="Z1380" s="564">
        <f t="shared" si="1136"/>
        <v>2.7466544194563838</v>
      </c>
      <c r="AA1380" s="564"/>
      <c r="AB1380" s="564"/>
      <c r="AC1380" s="564"/>
      <c r="AD1380" s="564"/>
      <c r="AE1380" s="564"/>
      <c r="AF1380" s="564"/>
      <c r="AG1380" s="564"/>
      <c r="AH1380" s="564"/>
      <c r="AI1380" s="564"/>
      <c r="AJ1380" s="564"/>
      <c r="AL1380" s="976"/>
      <c r="AM1380" s="15"/>
    </row>
    <row r="1381" spans="1:39" x14ac:dyDescent="0.25">
      <c r="A1381" t="s">
        <v>861</v>
      </c>
      <c r="C1381" t="s">
        <v>367</v>
      </c>
      <c r="H1381" s="558" t="s">
        <v>433</v>
      </c>
      <c r="I1381" s="559" t="str">
        <f t="shared" si="1130"/>
        <v>tr. VND/tấn</v>
      </c>
      <c r="K1381" s="564"/>
      <c r="L1381" s="564">
        <f t="shared" ref="L1381:AJ1381" si="1137">-IF($H$9="VND",L1349/L1331/$H$10/10^3,L1349/L1331/$H$10*10^3)</f>
        <v>0.17823196862819785</v>
      </c>
      <c r="M1381" s="564">
        <f t="shared" si="1137"/>
        <v>0.12730854902014133</v>
      </c>
      <c r="N1381" s="564">
        <f t="shared" si="1137"/>
        <v>9.3571783529803873E-2</v>
      </c>
      <c r="O1381" s="564">
        <f t="shared" si="1137"/>
        <v>9.8250372706294054E-2</v>
      </c>
      <c r="P1381" s="564">
        <f t="shared" si="1137"/>
        <v>0.10316289134160876</v>
      </c>
      <c r="Q1381" s="564">
        <f t="shared" si="1137"/>
        <v>0.1083210359086892</v>
      </c>
      <c r="R1381" s="564">
        <f t="shared" si="1137"/>
        <v>0.11373708770412366</v>
      </c>
      <c r="S1381" s="564">
        <f t="shared" si="1137"/>
        <v>0.11942394208932984</v>
      </c>
      <c r="T1381" s="564">
        <f t="shared" si="1137"/>
        <v>0.12539513919379636</v>
      </c>
      <c r="U1381" s="564">
        <f t="shared" si="1137"/>
        <v>0.13166489615348614</v>
      </c>
      <c r="V1381" s="564">
        <f t="shared" si="1137"/>
        <v>0.13824814096116045</v>
      </c>
      <c r="W1381" s="564">
        <f t="shared" si="1137"/>
        <v>0.14516054800921852</v>
      </c>
      <c r="X1381" s="564">
        <f t="shared" si="1137"/>
        <v>0.15241857540967946</v>
      </c>
      <c r="Y1381" s="564">
        <f t="shared" si="1137"/>
        <v>0.16003950418016336</v>
      </c>
      <c r="Z1381" s="564">
        <f t="shared" si="1137"/>
        <v>0.16804147938917158</v>
      </c>
      <c r="AA1381" s="564"/>
      <c r="AB1381" s="564"/>
      <c r="AC1381" s="564"/>
      <c r="AD1381" s="564"/>
      <c r="AE1381" s="564"/>
      <c r="AF1381" s="564"/>
      <c r="AG1381" s="564"/>
      <c r="AH1381" s="564"/>
      <c r="AI1381" s="564"/>
      <c r="AJ1381" s="564"/>
      <c r="AL1381" s="976"/>
      <c r="AM1381" s="15"/>
    </row>
    <row r="1382" spans="1:39" x14ac:dyDescent="0.25">
      <c r="A1382" t="s">
        <v>861</v>
      </c>
      <c r="C1382" t="s">
        <v>367</v>
      </c>
      <c r="H1382" s="558" t="s">
        <v>520</v>
      </c>
      <c r="I1382" s="559" t="str">
        <f t="shared" si="1130"/>
        <v>tr. VND/tấn</v>
      </c>
      <c r="K1382" s="564"/>
      <c r="L1382" s="564">
        <f t="shared" ref="L1382:AJ1382" si="1138">-IF($H$9="VND",L1350/L1331/$H$10/10^3,L1350/L1331/$H$10*10^3)</f>
        <v>0.19421459753093032</v>
      </c>
      <c r="M1382" s="564">
        <f t="shared" si="1138"/>
        <v>0.13872471252209312</v>
      </c>
      <c r="N1382" s="564">
        <f t="shared" si="1138"/>
        <v>9.7107298765465158E-2</v>
      </c>
      <c r="O1382" s="564">
        <f t="shared" si="1138"/>
        <v>9.7107298765465158E-2</v>
      </c>
      <c r="P1382" s="564">
        <f t="shared" si="1138"/>
        <v>9.7107298765465158E-2</v>
      </c>
      <c r="Q1382" s="564">
        <f t="shared" si="1138"/>
        <v>9.7107298765465158E-2</v>
      </c>
      <c r="R1382" s="564">
        <f t="shared" si="1138"/>
        <v>9.7107298765465158E-2</v>
      </c>
      <c r="S1382" s="564">
        <f t="shared" si="1138"/>
        <v>9.7107298765465158E-2</v>
      </c>
      <c r="T1382" s="564">
        <f t="shared" si="1138"/>
        <v>9.7107298765465158E-2</v>
      </c>
      <c r="U1382" s="564">
        <f t="shared" si="1138"/>
        <v>9.7107298765465158E-2</v>
      </c>
      <c r="V1382" s="564">
        <f t="shared" si="1138"/>
        <v>9.7107298765465158E-2</v>
      </c>
      <c r="W1382" s="564">
        <f t="shared" si="1138"/>
        <v>9.7107298765465158E-2</v>
      </c>
      <c r="X1382" s="564">
        <f t="shared" si="1138"/>
        <v>9.7107298765465158E-2</v>
      </c>
      <c r="Y1382" s="564">
        <f t="shared" si="1138"/>
        <v>9.7107298765465158E-2</v>
      </c>
      <c r="Z1382" s="564">
        <f t="shared" si="1138"/>
        <v>9.7107298765465158E-2</v>
      </c>
      <c r="AA1382" s="564"/>
      <c r="AB1382" s="564"/>
      <c r="AC1382" s="564"/>
      <c r="AD1382" s="564"/>
      <c r="AE1382" s="564"/>
      <c r="AF1382" s="564"/>
      <c r="AG1382" s="564"/>
      <c r="AH1382" s="564"/>
      <c r="AI1382" s="564"/>
      <c r="AJ1382" s="564"/>
      <c r="AL1382" s="976"/>
      <c r="AM1382" s="15"/>
    </row>
    <row r="1383" spans="1:39" x14ac:dyDescent="0.25">
      <c r="A1383" t="s">
        <v>861</v>
      </c>
      <c r="H1383" s="247"/>
      <c r="I1383" s="275"/>
      <c r="K1383" s="279"/>
      <c r="L1383" s="279"/>
      <c r="M1383" s="279"/>
      <c r="N1383" s="279"/>
      <c r="O1383" s="279"/>
      <c r="P1383" s="279"/>
      <c r="Q1383" s="279"/>
      <c r="R1383" s="279"/>
      <c r="S1383" s="279"/>
      <c r="T1383" s="279"/>
      <c r="U1383" s="279"/>
      <c r="V1383" s="279"/>
      <c r="W1383" s="279"/>
      <c r="X1383" s="279"/>
      <c r="Y1383" s="279"/>
      <c r="Z1383" s="279"/>
      <c r="AA1383" s="279"/>
      <c r="AB1383" s="279"/>
      <c r="AC1383" s="279"/>
      <c r="AD1383" s="279"/>
      <c r="AE1383" s="279"/>
      <c r="AF1383" s="279"/>
      <c r="AG1383" s="279"/>
      <c r="AH1383" s="279"/>
      <c r="AI1383" s="279"/>
      <c r="AJ1383" s="279"/>
      <c r="AL1383" s="976"/>
      <c r="AM1383" s="15"/>
    </row>
    <row r="1384" spans="1:39" s="1" customFormat="1" x14ac:dyDescent="0.25">
      <c r="A1384" s="1" t="s">
        <v>861</v>
      </c>
      <c r="H1384" s="273" t="s">
        <v>435</v>
      </c>
      <c r="I1384" s="274" t="str">
        <f t="shared" si="1130"/>
        <v>tr. VND/tấn</v>
      </c>
      <c r="K1384" s="280">
        <f>K1385+K1388+K1391</f>
        <v>0</v>
      </c>
      <c r="L1384" s="280">
        <f t="shared" ref="L1384:AJ1384" si="1139">L1385+L1388+L1391</f>
        <v>29.864853886822708</v>
      </c>
      <c r="M1384" s="280">
        <f t="shared" si="1139"/>
        <v>29.703781129263195</v>
      </c>
      <c r="N1384" s="280">
        <f t="shared" si="1139"/>
        <v>30.248677609330997</v>
      </c>
      <c r="O1384" s="280">
        <f t="shared" si="1139"/>
        <v>30.931560484173868</v>
      </c>
      <c r="P1384" s="280">
        <f t="shared" si="1139"/>
        <v>31.632162212436292</v>
      </c>
      <c r="Q1384" s="280">
        <f t="shared" si="1139"/>
        <v>32.351040230982811</v>
      </c>
      <c r="R1384" s="280">
        <f t="shared" si="1139"/>
        <v>33.088773278405036</v>
      </c>
      <c r="S1384" s="280">
        <f t="shared" si="1139"/>
        <v>33.845962328705731</v>
      </c>
      <c r="T1384" s="280">
        <f t="shared" si="1139"/>
        <v>34.623231569038957</v>
      </c>
      <c r="U1384" s="280">
        <f t="shared" si="1139"/>
        <v>35.421229423656705</v>
      </c>
      <c r="V1384" s="280">
        <f t="shared" si="1139"/>
        <v>36.240629626318551</v>
      </c>
      <c r="W1384" s="280">
        <f t="shared" si="1139"/>
        <v>37.082132343532962</v>
      </c>
      <c r="X1384" s="280">
        <f t="shared" si="1139"/>
        <v>37.784619853173496</v>
      </c>
      <c r="Y1384" s="280">
        <f t="shared" si="1139"/>
        <v>38.672539768733671</v>
      </c>
      <c r="Z1384" s="280">
        <f t="shared" si="1139"/>
        <v>39.584833342821817</v>
      </c>
      <c r="AA1384" s="280"/>
      <c r="AB1384" s="280"/>
      <c r="AC1384" s="280"/>
      <c r="AD1384" s="280"/>
      <c r="AE1384" s="280"/>
      <c r="AF1384" s="280"/>
      <c r="AG1384" s="280"/>
      <c r="AH1384" s="280"/>
      <c r="AI1384" s="280"/>
      <c r="AJ1384" s="280"/>
      <c r="AL1384" s="220"/>
      <c r="AM1384" s="39"/>
    </row>
    <row r="1385" spans="1:39" x14ac:dyDescent="0.25">
      <c r="A1385" t="s">
        <v>861</v>
      </c>
      <c r="H1385" s="556" t="s">
        <v>454</v>
      </c>
      <c r="I1385" s="557" t="str">
        <f t="shared" si="1130"/>
        <v>tr. VND/tấn</v>
      </c>
      <c r="K1385" s="566">
        <f>SUM(K1386:K1387)</f>
        <v>0</v>
      </c>
      <c r="L1385" s="566">
        <f t="shared" ref="L1385:AJ1385" si="1140">SUM(L1386:L1387)</f>
        <v>26.838709677419356</v>
      </c>
      <c r="M1385" s="566">
        <f t="shared" si="1140"/>
        <v>26.838709677419359</v>
      </c>
      <c r="N1385" s="566">
        <f t="shared" si="1140"/>
        <v>27.375483870967745</v>
      </c>
      <c r="O1385" s="566">
        <f t="shared" si="1140"/>
        <v>27.922993548387105</v>
      </c>
      <c r="P1385" s="566">
        <f t="shared" si="1140"/>
        <v>28.481453419354843</v>
      </c>
      <c r="Q1385" s="566">
        <f t="shared" si="1140"/>
        <v>29.05108248774194</v>
      </c>
      <c r="R1385" s="566">
        <f t="shared" si="1140"/>
        <v>29.632104137496778</v>
      </c>
      <c r="S1385" s="566">
        <f t="shared" si="1140"/>
        <v>30.224746220246715</v>
      </c>
      <c r="T1385" s="566">
        <f t="shared" si="1140"/>
        <v>30.829241144651643</v>
      </c>
      <c r="U1385" s="566">
        <f t="shared" si="1140"/>
        <v>31.445825967544675</v>
      </c>
      <c r="V1385" s="566">
        <f t="shared" si="1140"/>
        <v>32.074742486895573</v>
      </c>
      <c r="W1385" s="566">
        <f t="shared" si="1140"/>
        <v>32.71623733663349</v>
      </c>
      <c r="X1385" s="566">
        <f t="shared" si="1140"/>
        <v>33.370562083366146</v>
      </c>
      <c r="Y1385" s="566">
        <f t="shared" si="1140"/>
        <v>34.037973325033477</v>
      </c>
      <c r="Z1385" s="566">
        <f t="shared" si="1140"/>
        <v>34.718732791534151</v>
      </c>
      <c r="AA1385" s="566"/>
      <c r="AB1385" s="566"/>
      <c r="AC1385" s="566"/>
      <c r="AD1385" s="566"/>
      <c r="AE1385" s="566"/>
      <c r="AF1385" s="566"/>
      <c r="AG1385" s="566"/>
      <c r="AH1385" s="566"/>
      <c r="AI1385" s="566"/>
      <c r="AJ1385" s="566"/>
      <c r="AL1385" s="222"/>
      <c r="AM1385" s="15"/>
    </row>
    <row r="1386" spans="1:39" s="299" customFormat="1" x14ac:dyDescent="0.25">
      <c r="A1386" s="299" t="s">
        <v>861</v>
      </c>
      <c r="C1386" s="299" t="s">
        <v>504</v>
      </c>
      <c r="E1386" s="331"/>
      <c r="F1386" s="331"/>
      <c r="H1386" s="560" t="s">
        <v>167</v>
      </c>
      <c r="I1386" s="561" t="str">
        <f t="shared" si="1130"/>
        <v>tr. VND/tấn</v>
      </c>
      <c r="K1386" s="565"/>
      <c r="L1386" s="565">
        <f t="shared" ref="L1386" si="1141">-IF($H$9="VND",L1354/L1331/$H$10/10^3,L1354/L1331/$H$10*10^3)</f>
        <v>24.96</v>
      </c>
      <c r="M1386" s="565">
        <f>-IF($H$9="VND",M1354/M1331/$H$10/10^3,M1354/M1331/$H$10*10^3)</f>
        <v>24.96</v>
      </c>
      <c r="N1386" s="565">
        <f t="shared" ref="N1386:AJ1386" si="1142">-IF($H$9="VND",N1354/N1331/$H$10/10^3,N1354/N1331/$H$10*10^3)</f>
        <v>25.459199999999999</v>
      </c>
      <c r="O1386" s="565">
        <f t="shared" si="1142"/>
        <v>25.968384000000004</v>
      </c>
      <c r="P1386" s="565">
        <f t="shared" si="1142"/>
        <v>26.487751680000002</v>
      </c>
      <c r="Q1386" s="565">
        <f t="shared" si="1142"/>
        <v>27.017506713600003</v>
      </c>
      <c r="R1386" s="565">
        <f t="shared" si="1142"/>
        <v>27.557856847872003</v>
      </c>
      <c r="S1386" s="565">
        <f t="shared" si="1142"/>
        <v>28.109013984829442</v>
      </c>
      <c r="T1386" s="565">
        <f t="shared" si="1142"/>
        <v>28.671194264526026</v>
      </c>
      <c r="U1386" s="565">
        <f t="shared" si="1142"/>
        <v>29.244618149816546</v>
      </c>
      <c r="V1386" s="565">
        <f t="shared" si="1142"/>
        <v>29.829510512812881</v>
      </c>
      <c r="W1386" s="565">
        <f t="shared" si="1142"/>
        <v>30.426100723069144</v>
      </c>
      <c r="X1386" s="565">
        <f t="shared" si="1142"/>
        <v>31.034622737530515</v>
      </c>
      <c r="Y1386" s="565">
        <f t="shared" si="1142"/>
        <v>31.655315192281126</v>
      </c>
      <c r="Z1386" s="565">
        <f t="shared" si="1142"/>
        <v>32.288421496126759</v>
      </c>
      <c r="AA1386" s="565"/>
      <c r="AB1386" s="565"/>
      <c r="AC1386" s="565"/>
      <c r="AD1386" s="565"/>
      <c r="AE1386" s="565"/>
      <c r="AF1386" s="565"/>
      <c r="AG1386" s="565"/>
      <c r="AH1386" s="565"/>
      <c r="AI1386" s="565"/>
      <c r="AJ1386" s="565"/>
      <c r="AL1386" s="982"/>
      <c r="AM1386" s="876"/>
    </row>
    <row r="1387" spans="1:39" s="299" customFormat="1" x14ac:dyDescent="0.25">
      <c r="A1387" s="299" t="s">
        <v>861</v>
      </c>
      <c r="C1387" s="299" t="s">
        <v>387</v>
      </c>
      <c r="E1387" s="331"/>
      <c r="F1387" s="331"/>
      <c r="H1387" s="640" t="s">
        <v>203</v>
      </c>
      <c r="I1387" s="641" t="str">
        <f t="shared" si="1130"/>
        <v>tr. VND/tấn</v>
      </c>
      <c r="K1387" s="642"/>
      <c r="L1387" s="642">
        <f t="shared" ref="L1387:AJ1387" si="1143">-IF($H$9="VND",L1355/L1331/$H$10/10^3,L1355/L1331/$H$10*10^3)</f>
        <v>1.8787096774193559</v>
      </c>
      <c r="M1387" s="642">
        <f t="shared" si="1143"/>
        <v>1.8787096774193583</v>
      </c>
      <c r="N1387" s="642">
        <f t="shared" si="1143"/>
        <v>1.9162838709677454</v>
      </c>
      <c r="O1387" s="642">
        <f t="shared" si="1143"/>
        <v>1.9546095483871007</v>
      </c>
      <c r="P1387" s="642">
        <f t="shared" si="1143"/>
        <v>1.9937017393548417</v>
      </c>
      <c r="Q1387" s="642">
        <f t="shared" si="1143"/>
        <v>2.0335757741419362</v>
      </c>
      <c r="R1387" s="642">
        <f t="shared" si="1143"/>
        <v>2.0742472896247759</v>
      </c>
      <c r="S1387" s="642">
        <f t="shared" si="1143"/>
        <v>2.1157322354172718</v>
      </c>
      <c r="T1387" s="642">
        <f t="shared" si="1143"/>
        <v>2.1580468801256183</v>
      </c>
      <c r="U1387" s="642">
        <f t="shared" si="1143"/>
        <v>2.2012078177281285</v>
      </c>
      <c r="V1387" s="642">
        <f t="shared" si="1143"/>
        <v>2.2452319740826931</v>
      </c>
      <c r="W1387" s="642">
        <f t="shared" si="1143"/>
        <v>2.2901366135643446</v>
      </c>
      <c r="X1387" s="642">
        <f t="shared" si="1143"/>
        <v>2.3359393458356301</v>
      </c>
      <c r="Y1387" s="642">
        <f t="shared" si="1143"/>
        <v>2.3826581327523475</v>
      </c>
      <c r="Z1387" s="642">
        <f t="shared" si="1143"/>
        <v>2.430311295407392</v>
      </c>
      <c r="AA1387" s="642"/>
      <c r="AB1387" s="642"/>
      <c r="AC1387" s="642"/>
      <c r="AD1387" s="642"/>
      <c r="AE1387" s="642"/>
      <c r="AF1387" s="642"/>
      <c r="AG1387" s="642"/>
      <c r="AH1387" s="642"/>
      <c r="AI1387" s="642"/>
      <c r="AJ1387" s="642"/>
      <c r="AL1387" s="982"/>
      <c r="AM1387" s="876"/>
    </row>
    <row r="1388" spans="1:39" x14ac:dyDescent="0.25">
      <c r="A1388" t="s">
        <v>861</v>
      </c>
      <c r="H1388" s="558" t="s">
        <v>676</v>
      </c>
      <c r="I1388" s="559" t="str">
        <f t="shared" si="1130"/>
        <v>tr. VND/tấn</v>
      </c>
      <c r="K1388" s="567">
        <f>SUM(K1389:K1390)</f>
        <v>0</v>
      </c>
      <c r="L1388" s="567">
        <f t="shared" ref="L1388:AJ1388" si="1144">SUM(L1389:L1390)</f>
        <v>0.20420258064516131</v>
      </c>
      <c r="M1388" s="567">
        <f t="shared" si="1144"/>
        <v>0.20420258064516134</v>
      </c>
      <c r="N1388" s="567">
        <f t="shared" si="1144"/>
        <v>0.21441270967741941</v>
      </c>
      <c r="O1388" s="567">
        <f t="shared" si="1144"/>
        <v>0.22513334516129035</v>
      </c>
      <c r="P1388" s="567">
        <f t="shared" si="1144"/>
        <v>0.23639001241935489</v>
      </c>
      <c r="Q1388" s="567">
        <f t="shared" si="1144"/>
        <v>0.24820951304032263</v>
      </c>
      <c r="R1388" s="567">
        <f t="shared" si="1144"/>
        <v>0.26061998869233877</v>
      </c>
      <c r="S1388" s="567">
        <f t="shared" si="1144"/>
        <v>0.27365098812695565</v>
      </c>
      <c r="T1388" s="567">
        <f t="shared" si="1144"/>
        <v>0.28733353753330354</v>
      </c>
      <c r="U1388" s="567">
        <f t="shared" si="1144"/>
        <v>0.30170021440996864</v>
      </c>
      <c r="V1388" s="567">
        <f t="shared" si="1144"/>
        <v>0.31678522513046709</v>
      </c>
      <c r="W1388" s="567">
        <f t="shared" si="1144"/>
        <v>0.33262448638699044</v>
      </c>
      <c r="X1388" s="567">
        <f t="shared" si="1144"/>
        <v>0.34925571070633998</v>
      </c>
      <c r="Y1388" s="567">
        <f t="shared" si="1144"/>
        <v>0.36671849624165698</v>
      </c>
      <c r="Z1388" s="567">
        <f t="shared" si="1144"/>
        <v>0.38505442105373988</v>
      </c>
      <c r="AA1388" s="567"/>
      <c r="AB1388" s="567"/>
      <c r="AC1388" s="567"/>
      <c r="AD1388" s="567"/>
      <c r="AE1388" s="567"/>
      <c r="AF1388" s="567"/>
      <c r="AG1388" s="567"/>
      <c r="AH1388" s="567"/>
      <c r="AI1388" s="567"/>
      <c r="AJ1388" s="567"/>
      <c r="AL1388" s="222"/>
      <c r="AM1388" s="15"/>
    </row>
    <row r="1389" spans="1:39" s="299" customFormat="1" x14ac:dyDescent="0.25">
      <c r="A1389" s="299" t="s">
        <v>861</v>
      </c>
      <c r="C1389" s="299" t="s">
        <v>367</v>
      </c>
      <c r="E1389" s="331"/>
      <c r="F1389" s="331"/>
      <c r="H1389" s="560" t="s">
        <v>673</v>
      </c>
      <c r="I1389" s="561" t="str">
        <f t="shared" si="1130"/>
        <v>tr. VND/tấn</v>
      </c>
      <c r="K1389" s="565"/>
      <c r="L1389" s="565">
        <f>-IF($H$9="VND",L1357/L1331/$H$10/10^3,L1357/L1331/$H$10*10^3)</f>
        <v>0.20420258064516131</v>
      </c>
      <c r="M1389" s="565">
        <f t="shared" ref="M1389:AJ1389" si="1145">-IF($H$9="VND",M1357/M1331/$H$10/10^3,M1357/M1331/$H$10*10^3)</f>
        <v>0.20420258064516134</v>
      </c>
      <c r="N1389" s="565">
        <f t="shared" si="1145"/>
        <v>0.21441270967741941</v>
      </c>
      <c r="O1389" s="565">
        <f t="shared" si="1145"/>
        <v>0.22513334516129035</v>
      </c>
      <c r="P1389" s="565">
        <f t="shared" si="1145"/>
        <v>0.23639001241935489</v>
      </c>
      <c r="Q1389" s="565">
        <f t="shared" si="1145"/>
        <v>0.24820951304032263</v>
      </c>
      <c r="R1389" s="565">
        <f t="shared" si="1145"/>
        <v>0.26061998869233877</v>
      </c>
      <c r="S1389" s="565">
        <f t="shared" si="1145"/>
        <v>0.27365098812695565</v>
      </c>
      <c r="T1389" s="565">
        <f t="shared" si="1145"/>
        <v>0.28733353753330354</v>
      </c>
      <c r="U1389" s="565">
        <f t="shared" si="1145"/>
        <v>0.30170021440996864</v>
      </c>
      <c r="V1389" s="565">
        <f t="shared" si="1145"/>
        <v>0.31678522513046709</v>
      </c>
      <c r="W1389" s="565">
        <f t="shared" si="1145"/>
        <v>0.33262448638699044</v>
      </c>
      <c r="X1389" s="565">
        <f t="shared" si="1145"/>
        <v>0.34925571070633998</v>
      </c>
      <c r="Y1389" s="565">
        <f t="shared" si="1145"/>
        <v>0.36671849624165698</v>
      </c>
      <c r="Z1389" s="565">
        <f t="shared" si="1145"/>
        <v>0.38505442105373988</v>
      </c>
      <c r="AA1389" s="565"/>
      <c r="AB1389" s="565"/>
      <c r="AC1389" s="565"/>
      <c r="AD1389" s="565"/>
      <c r="AE1389" s="565"/>
      <c r="AF1389" s="565"/>
      <c r="AG1389" s="565"/>
      <c r="AH1389" s="565"/>
      <c r="AI1389" s="565"/>
      <c r="AJ1389" s="565"/>
      <c r="AL1389" s="982"/>
      <c r="AM1389" s="876"/>
    </row>
    <row r="1390" spans="1:39" s="299" customFormat="1" x14ac:dyDescent="0.25">
      <c r="A1390" s="299" t="s">
        <v>861</v>
      </c>
      <c r="C1390" s="299" t="s">
        <v>367</v>
      </c>
      <c r="E1390" s="331"/>
      <c r="F1390" s="331"/>
      <c r="H1390" s="560" t="s">
        <v>674</v>
      </c>
      <c r="I1390" s="561" t="str">
        <f t="shared" si="1130"/>
        <v>tr. VND/tấn</v>
      </c>
      <c r="K1390" s="565"/>
      <c r="L1390" s="565">
        <f>-IF($H$9="VND",L1358/L1331/$H$10/10^3,L1358/L1331/$H$10*10^3)</f>
        <v>0</v>
      </c>
      <c r="M1390" s="565">
        <f t="shared" ref="M1390:AJ1390" si="1146">-IF($H$9="VND",M1358/M1331/$H$10/10^3,M1358/M1331/$H$10*10^3)</f>
        <v>0</v>
      </c>
      <c r="N1390" s="565">
        <f t="shared" si="1146"/>
        <v>0</v>
      </c>
      <c r="O1390" s="565">
        <f t="shared" si="1146"/>
        <v>0</v>
      </c>
      <c r="P1390" s="565">
        <f t="shared" si="1146"/>
        <v>0</v>
      </c>
      <c r="Q1390" s="565">
        <f t="shared" si="1146"/>
        <v>0</v>
      </c>
      <c r="R1390" s="565">
        <f t="shared" si="1146"/>
        <v>0</v>
      </c>
      <c r="S1390" s="565">
        <f t="shared" si="1146"/>
        <v>0</v>
      </c>
      <c r="T1390" s="565">
        <f t="shared" si="1146"/>
        <v>0</v>
      </c>
      <c r="U1390" s="565">
        <f t="shared" si="1146"/>
        <v>0</v>
      </c>
      <c r="V1390" s="565">
        <f t="shared" si="1146"/>
        <v>0</v>
      </c>
      <c r="W1390" s="565">
        <f t="shared" si="1146"/>
        <v>0</v>
      </c>
      <c r="X1390" s="565">
        <f t="shared" si="1146"/>
        <v>0</v>
      </c>
      <c r="Y1390" s="565">
        <f t="shared" si="1146"/>
        <v>0</v>
      </c>
      <c r="Z1390" s="565">
        <f t="shared" si="1146"/>
        <v>0</v>
      </c>
      <c r="AA1390" s="565"/>
      <c r="AB1390" s="565"/>
      <c r="AC1390" s="565"/>
      <c r="AD1390" s="565"/>
      <c r="AE1390" s="565"/>
      <c r="AF1390" s="565"/>
      <c r="AG1390" s="565"/>
      <c r="AH1390" s="565"/>
      <c r="AI1390" s="565"/>
      <c r="AJ1390" s="565"/>
      <c r="AL1390" s="982"/>
      <c r="AM1390" s="876"/>
    </row>
    <row r="1391" spans="1:39" x14ac:dyDescent="0.25">
      <c r="A1391" t="s">
        <v>861</v>
      </c>
      <c r="H1391" s="558" t="s">
        <v>180</v>
      </c>
      <c r="I1391" s="559" t="str">
        <f t="shared" si="1130"/>
        <v>tr. VND/tấn</v>
      </c>
      <c r="K1391" s="567">
        <f>SUM(K1392:K1394)</f>
        <v>0</v>
      </c>
      <c r="L1391" s="567">
        <f>SUM(L1392:L1394)</f>
        <v>2.8219416287581907</v>
      </c>
      <c r="M1391" s="567">
        <f t="shared" ref="M1391:AJ1391" si="1147">SUM(M1392:M1394)</f>
        <v>2.660868871198673</v>
      </c>
      <c r="N1391" s="567">
        <f t="shared" si="1147"/>
        <v>2.6587810286858344</v>
      </c>
      <c r="O1391" s="567">
        <f t="shared" si="1147"/>
        <v>2.7834335906254735</v>
      </c>
      <c r="P1391" s="567">
        <f t="shared" si="1147"/>
        <v>2.9143187806620943</v>
      </c>
      <c r="Q1391" s="567">
        <f t="shared" si="1147"/>
        <v>3.0517482302005461</v>
      </c>
      <c r="R1391" s="567">
        <f t="shared" si="1147"/>
        <v>3.1960491522159202</v>
      </c>
      <c r="S1391" s="567">
        <f t="shared" si="1147"/>
        <v>3.3475651203320633</v>
      </c>
      <c r="T1391" s="567">
        <f t="shared" si="1147"/>
        <v>3.5066568868540129</v>
      </c>
      <c r="U1391" s="567">
        <f t="shared" si="1147"/>
        <v>3.6737032417020608</v>
      </c>
      <c r="V1391" s="567">
        <f t="shared" si="1147"/>
        <v>3.8491019142925103</v>
      </c>
      <c r="W1391" s="567">
        <f t="shared" si="1147"/>
        <v>4.0332705205124837</v>
      </c>
      <c r="X1391" s="567">
        <f t="shared" si="1147"/>
        <v>4.0648020591010132</v>
      </c>
      <c r="Y1391" s="567">
        <f t="shared" si="1147"/>
        <v>4.2678479474585318</v>
      </c>
      <c r="Z1391" s="567">
        <f t="shared" si="1147"/>
        <v>4.4810461302339286</v>
      </c>
      <c r="AA1391" s="567"/>
      <c r="AB1391" s="567"/>
      <c r="AC1391" s="567"/>
      <c r="AD1391" s="567"/>
      <c r="AE1391" s="567"/>
      <c r="AF1391" s="567"/>
      <c r="AG1391" s="567"/>
      <c r="AH1391" s="567"/>
      <c r="AI1391" s="567"/>
      <c r="AJ1391" s="567"/>
      <c r="AL1391" s="222"/>
      <c r="AM1391" s="15"/>
    </row>
    <row r="1392" spans="1:39" s="299" customFormat="1" x14ac:dyDescent="0.25">
      <c r="A1392" s="299" t="s">
        <v>861</v>
      </c>
      <c r="C1392" s="299" t="s">
        <v>367</v>
      </c>
      <c r="H1392" s="560" t="s">
        <v>73</v>
      </c>
      <c r="I1392" s="561" t="str">
        <f t="shared" si="1130"/>
        <v>tr. VND/tấn</v>
      </c>
      <c r="K1392" s="565"/>
      <c r="L1392" s="565">
        <f t="shared" ref="L1392:AJ1392" si="1148">-IF($H$9="VND",L1360/L1331/$H$10/10^3,L1360/L1331/$H$10*10^3)</f>
        <v>1.8565188172043012</v>
      </c>
      <c r="M1392" s="565">
        <f t="shared" si="1148"/>
        <v>1.8565188172043008</v>
      </c>
      <c r="N1392" s="565">
        <f t="shared" si="1148"/>
        <v>1.949344758064516</v>
      </c>
      <c r="O1392" s="565">
        <f t="shared" si="1148"/>
        <v>2.046811995967742</v>
      </c>
      <c r="P1392" s="565">
        <f t="shared" si="1148"/>
        <v>2.1491525957661293</v>
      </c>
      <c r="Q1392" s="565">
        <f t="shared" si="1148"/>
        <v>2.2566102255544358</v>
      </c>
      <c r="R1392" s="565">
        <f t="shared" si="1148"/>
        <v>2.3694407368321579</v>
      </c>
      <c r="S1392" s="565">
        <f t="shared" si="1148"/>
        <v>2.4879127736737656</v>
      </c>
      <c r="T1392" s="565">
        <f t="shared" si="1148"/>
        <v>2.6123084123574536</v>
      </c>
      <c r="U1392" s="565">
        <f t="shared" si="1148"/>
        <v>2.7429238329753267</v>
      </c>
      <c r="V1392" s="565">
        <f t="shared" si="1148"/>
        <v>2.8800700246240925</v>
      </c>
      <c r="W1392" s="565">
        <f t="shared" si="1148"/>
        <v>3.0240735258552975</v>
      </c>
      <c r="X1392" s="565">
        <f t="shared" si="1148"/>
        <v>3.1752772021480626</v>
      </c>
      <c r="Y1392" s="565">
        <f t="shared" si="1148"/>
        <v>3.3340410622554648</v>
      </c>
      <c r="Z1392" s="565">
        <f t="shared" si="1148"/>
        <v>3.5007431153682393</v>
      </c>
      <c r="AA1392" s="565"/>
      <c r="AB1392" s="565"/>
      <c r="AC1392" s="565"/>
      <c r="AD1392" s="565"/>
      <c r="AE1392" s="565"/>
      <c r="AF1392" s="565"/>
      <c r="AG1392" s="565"/>
      <c r="AH1392" s="565"/>
      <c r="AI1392" s="565"/>
      <c r="AJ1392" s="565"/>
      <c r="AL1392" s="982"/>
      <c r="AM1392" s="876"/>
    </row>
    <row r="1393" spans="1:39" s="299" customFormat="1" x14ac:dyDescent="0.25">
      <c r="A1393" s="299" t="s">
        <v>861</v>
      </c>
      <c r="C1393" s="299" t="s">
        <v>370</v>
      </c>
      <c r="H1393" s="560" t="s">
        <v>192</v>
      </c>
      <c r="I1393" s="561" t="str">
        <f t="shared" si="1130"/>
        <v>tr. VND/tấn</v>
      </c>
      <c r="K1393" s="565"/>
      <c r="L1393" s="565">
        <f t="shared" ref="L1393:AJ1393" si="1149">-IF($H$9="VND",L1361/L1331/$H$10/10^3,L1361/L1331/$H$10*10^3)</f>
        <v>0.31481481481481483</v>
      </c>
      <c r="M1393" s="565">
        <f t="shared" si="1149"/>
        <v>0.31481481481481483</v>
      </c>
      <c r="N1393" s="565">
        <f t="shared" si="1149"/>
        <v>0.3305555555555556</v>
      </c>
      <c r="O1393" s="565">
        <f t="shared" si="1149"/>
        <v>0.34708333333333335</v>
      </c>
      <c r="P1393" s="565">
        <f t="shared" si="1149"/>
        <v>0.36443750000000008</v>
      </c>
      <c r="Q1393" s="565">
        <f t="shared" si="1149"/>
        <v>0.38265937500000002</v>
      </c>
      <c r="R1393" s="565">
        <f t="shared" si="1149"/>
        <v>0.40179234375000006</v>
      </c>
      <c r="S1393" s="565">
        <f t="shared" si="1149"/>
        <v>0.42188196093749997</v>
      </c>
      <c r="T1393" s="565">
        <f t="shared" si="1149"/>
        <v>0.44297605898437514</v>
      </c>
      <c r="U1393" s="565">
        <f t="shared" si="1149"/>
        <v>0.46512486193359376</v>
      </c>
      <c r="V1393" s="565">
        <f t="shared" si="1149"/>
        <v>0.48838110503027343</v>
      </c>
      <c r="W1393" s="565">
        <f t="shared" si="1149"/>
        <v>0.51280016028178721</v>
      </c>
      <c r="X1393" s="565">
        <f t="shared" si="1149"/>
        <v>0.5384401682958766</v>
      </c>
      <c r="Y1393" s="565">
        <f t="shared" si="1149"/>
        <v>0.56536217671067035</v>
      </c>
      <c r="Z1393" s="565">
        <f t="shared" si="1149"/>
        <v>0.5936302855462039</v>
      </c>
      <c r="AA1393" s="565"/>
      <c r="AB1393" s="565"/>
      <c r="AC1393" s="565"/>
      <c r="AD1393" s="565"/>
      <c r="AE1393" s="565"/>
      <c r="AF1393" s="565"/>
      <c r="AG1393" s="565"/>
      <c r="AH1393" s="565"/>
      <c r="AI1393" s="565"/>
      <c r="AJ1393" s="565"/>
      <c r="AL1393" s="982"/>
      <c r="AM1393" s="876"/>
    </row>
    <row r="1394" spans="1:39" s="299" customFormat="1" x14ac:dyDescent="0.25">
      <c r="A1394" s="299" t="s">
        <v>861</v>
      </c>
      <c r="C1394" s="299" t="s">
        <v>367</v>
      </c>
      <c r="H1394" s="560" t="s">
        <v>175</v>
      </c>
      <c r="I1394" s="561" t="str">
        <f t="shared" si="1130"/>
        <v>tr. VND/tấn</v>
      </c>
      <c r="K1394" s="565"/>
      <c r="L1394" s="565">
        <f>-IF($H$9="VND",L1362/L1331/$H$10/10^3,L1362/L1331/$H$10*10^3)</f>
        <v>0.65060799673907488</v>
      </c>
      <c r="M1394" s="565">
        <f t="shared" ref="M1394:AJ1394" si="1150">-IF($H$9="VND",M1362/M1331/$H$10/10^3,M1362/M1331/$H$10*10^3)</f>
        <v>0.48953523917955771</v>
      </c>
      <c r="N1394" s="565">
        <f t="shared" si="1150"/>
        <v>0.37888071506576265</v>
      </c>
      <c r="O1394" s="565">
        <f t="shared" si="1150"/>
        <v>0.38953826132439784</v>
      </c>
      <c r="P1394" s="565">
        <f t="shared" si="1150"/>
        <v>0.40072868489596469</v>
      </c>
      <c r="Q1394" s="565">
        <f t="shared" si="1150"/>
        <v>0.41247862964610993</v>
      </c>
      <c r="R1394" s="565">
        <f t="shared" si="1150"/>
        <v>0.42481607163376234</v>
      </c>
      <c r="S1394" s="565">
        <f t="shared" si="1150"/>
        <v>0.43777038572079757</v>
      </c>
      <c r="T1394" s="565">
        <f t="shared" si="1150"/>
        <v>0.45137241551218432</v>
      </c>
      <c r="U1394" s="565">
        <f t="shared" si="1150"/>
        <v>0.4656545467931405</v>
      </c>
      <c r="V1394" s="565">
        <f t="shared" si="1150"/>
        <v>0.48065078463814442</v>
      </c>
      <c r="W1394" s="565">
        <f t="shared" si="1150"/>
        <v>0.49639683437539861</v>
      </c>
      <c r="X1394" s="565">
        <f t="shared" si="1150"/>
        <v>0.35108468865707365</v>
      </c>
      <c r="Y1394" s="565">
        <f t="shared" si="1150"/>
        <v>0.36844470849239641</v>
      </c>
      <c r="Z1394" s="565">
        <f t="shared" si="1150"/>
        <v>0.38667272931948538</v>
      </c>
      <c r="AA1394" s="565"/>
      <c r="AB1394" s="565"/>
      <c r="AC1394" s="565"/>
      <c r="AD1394" s="565"/>
      <c r="AE1394" s="565"/>
      <c r="AF1394" s="565"/>
      <c r="AG1394" s="565"/>
      <c r="AH1394" s="565"/>
      <c r="AI1394" s="565"/>
      <c r="AJ1394" s="565"/>
      <c r="AL1394" s="982"/>
      <c r="AM1394" s="876"/>
    </row>
    <row r="1395" spans="1:39" x14ac:dyDescent="0.25">
      <c r="A1395" t="s">
        <v>861</v>
      </c>
      <c r="H1395" s="247"/>
      <c r="I1395" s="275"/>
      <c r="K1395" s="281"/>
      <c r="L1395" s="282"/>
      <c r="M1395" s="281"/>
      <c r="N1395" s="281"/>
      <c r="O1395" s="281"/>
      <c r="P1395" s="281"/>
      <c r="Q1395" s="281"/>
      <c r="R1395" s="281"/>
      <c r="S1395" s="281"/>
      <c r="T1395" s="281"/>
      <c r="U1395" s="281"/>
      <c r="V1395" s="281"/>
      <c r="W1395" s="281"/>
      <c r="X1395" s="281"/>
      <c r="Y1395" s="281"/>
      <c r="Z1395" s="281"/>
      <c r="AA1395" s="281"/>
      <c r="AB1395" s="281"/>
      <c r="AC1395" s="281"/>
      <c r="AD1395" s="281"/>
      <c r="AE1395" s="281"/>
      <c r="AF1395" s="281"/>
      <c r="AG1395" s="281"/>
      <c r="AH1395" s="281"/>
      <c r="AI1395" s="281"/>
      <c r="AJ1395" s="281"/>
      <c r="AL1395" s="983"/>
      <c r="AM1395" s="15"/>
    </row>
    <row r="1396" spans="1:39" s="16" customFormat="1" x14ac:dyDescent="0.25">
      <c r="A1396" s="16" t="s">
        <v>861</v>
      </c>
      <c r="H1396" s="276" t="s">
        <v>464</v>
      </c>
      <c r="I1396" s="277" t="str">
        <f t="shared" si="1130"/>
        <v>tr. VND/tấn</v>
      </c>
      <c r="K1396" s="283">
        <f>K1374+K1384</f>
        <v>0</v>
      </c>
      <c r="L1396" s="283">
        <f t="shared" ref="L1396:AJ1396" si="1151">L1374+L1384</f>
        <v>43.958720173280462</v>
      </c>
      <c r="M1396" s="283">
        <f t="shared" si="1151"/>
        <v>39.770828476733016</v>
      </c>
      <c r="N1396" s="283">
        <f t="shared" si="1151"/>
        <v>37.440795172354989</v>
      </c>
      <c r="O1396" s="283">
        <f t="shared" si="1151"/>
        <v>38.276121687982737</v>
      </c>
      <c r="P1396" s="283">
        <f t="shared" si="1151"/>
        <v>39.13678923906928</v>
      </c>
      <c r="Q1396" s="283">
        <f t="shared" si="1151"/>
        <v>40.023736371581123</v>
      </c>
      <c r="R1396" s="283">
        <f t="shared" si="1151"/>
        <v>40.937941988666935</v>
      </c>
      <c r="S1396" s="283">
        <f t="shared" si="1151"/>
        <v>41.880427237114404</v>
      </c>
      <c r="T1396" s="283">
        <f t="shared" si="1151"/>
        <v>42.852257485501738</v>
      </c>
      <c r="U1396" s="283">
        <f t="shared" si="1151"/>
        <v>43.854544398576294</v>
      </c>
      <c r="V1396" s="283">
        <f t="shared" si="1151"/>
        <v>44.888448112617795</v>
      </c>
      <c r="W1396" s="283">
        <f t="shared" si="1151"/>
        <v>45.955179516780845</v>
      </c>
      <c r="X1396" s="283">
        <f t="shared" si="1151"/>
        <v>42.848019699156396</v>
      </c>
      <c r="Y1396" s="283">
        <f t="shared" si="1151"/>
        <v>43.984254242077441</v>
      </c>
      <c r="Z1396" s="283">
        <f t="shared" si="1151"/>
        <v>45.157278174894508</v>
      </c>
      <c r="AA1396" s="283"/>
      <c r="AB1396" s="283"/>
      <c r="AC1396" s="283"/>
      <c r="AD1396" s="283"/>
      <c r="AE1396" s="283"/>
      <c r="AF1396" s="283"/>
      <c r="AG1396" s="283"/>
      <c r="AH1396" s="283"/>
      <c r="AI1396" s="283"/>
      <c r="AJ1396" s="283"/>
      <c r="AL1396" s="223"/>
      <c r="AM1396" s="29"/>
    </row>
    <row r="1397" spans="1:39" x14ac:dyDescent="0.25">
      <c r="A1397" t="s">
        <v>861</v>
      </c>
      <c r="H1397" s="247"/>
      <c r="I1397" s="275"/>
      <c r="K1397" s="281"/>
      <c r="L1397" s="281"/>
      <c r="M1397" s="281"/>
      <c r="N1397" s="281"/>
      <c r="O1397" s="281"/>
      <c r="P1397" s="281"/>
      <c r="Q1397" s="281"/>
      <c r="R1397" s="281"/>
      <c r="S1397" s="281"/>
      <c r="T1397" s="281"/>
      <c r="U1397" s="281"/>
      <c r="V1397" s="281"/>
      <c r="W1397" s="281"/>
      <c r="X1397" s="281"/>
      <c r="Y1397" s="281"/>
      <c r="Z1397" s="281"/>
      <c r="AA1397" s="281"/>
      <c r="AB1397" s="281"/>
      <c r="AC1397" s="281"/>
      <c r="AD1397" s="281"/>
      <c r="AE1397" s="281"/>
      <c r="AF1397" s="281"/>
      <c r="AG1397" s="281"/>
      <c r="AH1397" s="281"/>
      <c r="AI1397" s="281"/>
      <c r="AJ1397" s="281"/>
      <c r="AL1397" s="221"/>
      <c r="AM1397" s="15"/>
    </row>
    <row r="1398" spans="1:39" x14ac:dyDescent="0.25">
      <c r="A1398" t="s">
        <v>861</v>
      </c>
      <c r="C1398" t="s">
        <v>367</v>
      </c>
      <c r="H1398" s="568" t="s">
        <v>166</v>
      </c>
      <c r="I1398" s="569" t="str">
        <f t="shared" si="1130"/>
        <v>tr. VND/tấn</v>
      </c>
      <c r="K1398" s="570"/>
      <c r="L1398" s="570">
        <f>-IF($H$9="VND",L1366/L1331/$H$10/10^3,L1366/L1331/$H$10*10^3)</f>
        <v>0.88888888888888906</v>
      </c>
      <c r="M1398" s="570">
        <f t="shared" ref="M1398:AJ1398" si="1152">-IF($H$9="VND",M1366/M1331/$H$10/10^3,M1366/M1331/$H$10*10^3)</f>
        <v>0.88888888888888895</v>
      </c>
      <c r="N1398" s="570">
        <f t="shared" si="1152"/>
        <v>0.93333333333333335</v>
      </c>
      <c r="O1398" s="570">
        <f t="shared" si="1152"/>
        <v>0.9800000000000002</v>
      </c>
      <c r="P1398" s="570">
        <f t="shared" si="1152"/>
        <v>1.0290000000000001</v>
      </c>
      <c r="Q1398" s="570">
        <f t="shared" si="1152"/>
        <v>1.0804500000000004</v>
      </c>
      <c r="R1398" s="570">
        <f t="shared" si="1152"/>
        <v>1.1344725000000002</v>
      </c>
      <c r="S1398" s="570">
        <f t="shared" si="1152"/>
        <v>1.1911961249999998</v>
      </c>
      <c r="T1398" s="570">
        <f t="shared" si="1152"/>
        <v>1.2507559312500003</v>
      </c>
      <c r="U1398" s="570">
        <f t="shared" si="1152"/>
        <v>1.3132937278125001</v>
      </c>
      <c r="V1398" s="570">
        <f t="shared" si="1152"/>
        <v>1.3789584142031253</v>
      </c>
      <c r="W1398" s="570">
        <f t="shared" si="1152"/>
        <v>1.4479063349132817</v>
      </c>
      <c r="X1398" s="570">
        <f t="shared" si="1152"/>
        <v>1.5203016516589456</v>
      </c>
      <c r="Y1398" s="570">
        <f t="shared" si="1152"/>
        <v>1.5963167342418931</v>
      </c>
      <c r="Z1398" s="570">
        <f t="shared" si="1152"/>
        <v>1.6761325709539878</v>
      </c>
      <c r="AA1398" s="570"/>
      <c r="AB1398" s="570"/>
      <c r="AC1398" s="570"/>
      <c r="AD1398" s="570"/>
      <c r="AE1398" s="570"/>
      <c r="AF1398" s="570"/>
      <c r="AG1398" s="570"/>
      <c r="AH1398" s="570"/>
      <c r="AI1398" s="570"/>
      <c r="AJ1398" s="570"/>
      <c r="AL1398" s="221"/>
      <c r="AM1398" s="15"/>
    </row>
    <row r="1399" spans="1:39" x14ac:dyDescent="0.25">
      <c r="A1399" t="s">
        <v>861</v>
      </c>
      <c r="C1399" t="s">
        <v>367</v>
      </c>
      <c r="H1399" s="558" t="s">
        <v>469</v>
      </c>
      <c r="I1399" s="559" t="str">
        <f t="shared" si="1130"/>
        <v>tr. VND/tấn</v>
      </c>
      <c r="K1399" s="571"/>
      <c r="L1399" s="571">
        <f t="shared" ref="L1399:AJ1399" si="1153">-IF($H$9="VND",L1367/L1331/$H$10/10^3,L1367/L1331/$H$10*10^3)</f>
        <v>0</v>
      </c>
      <c r="M1399" s="571">
        <f t="shared" si="1153"/>
        <v>0</v>
      </c>
      <c r="N1399" s="571">
        <f t="shared" si="1153"/>
        <v>0</v>
      </c>
      <c r="O1399" s="571">
        <f t="shared" si="1153"/>
        <v>0</v>
      </c>
      <c r="P1399" s="571">
        <f t="shared" si="1153"/>
        <v>0</v>
      </c>
      <c r="Q1399" s="571">
        <f t="shared" si="1153"/>
        <v>0</v>
      </c>
      <c r="R1399" s="571">
        <f t="shared" si="1153"/>
        <v>0</v>
      </c>
      <c r="S1399" s="571">
        <f t="shared" si="1153"/>
        <v>0</v>
      </c>
      <c r="T1399" s="571">
        <f t="shared" si="1153"/>
        <v>0</v>
      </c>
      <c r="U1399" s="571">
        <f t="shared" si="1153"/>
        <v>0</v>
      </c>
      <c r="V1399" s="571">
        <f t="shared" si="1153"/>
        <v>0</v>
      </c>
      <c r="W1399" s="571">
        <f t="shared" si="1153"/>
        <v>0</v>
      </c>
      <c r="X1399" s="571">
        <f t="shared" si="1153"/>
        <v>0</v>
      </c>
      <c r="Y1399" s="571">
        <f t="shared" si="1153"/>
        <v>0</v>
      </c>
      <c r="Z1399" s="571">
        <f t="shared" si="1153"/>
        <v>0</v>
      </c>
      <c r="AA1399" s="571"/>
      <c r="AB1399" s="571"/>
      <c r="AC1399" s="571"/>
      <c r="AD1399" s="571"/>
      <c r="AE1399" s="571"/>
      <c r="AF1399" s="571"/>
      <c r="AG1399" s="571"/>
      <c r="AH1399" s="571"/>
      <c r="AI1399" s="571"/>
      <c r="AJ1399" s="571"/>
      <c r="AL1399" s="221"/>
      <c r="AM1399" s="15"/>
    </row>
    <row r="1400" spans="1:39" x14ac:dyDescent="0.25">
      <c r="A1400" t="s">
        <v>861</v>
      </c>
      <c r="C1400" t="s">
        <v>367</v>
      </c>
      <c r="H1400" s="558" t="s">
        <v>468</v>
      </c>
      <c r="I1400" s="559" t="str">
        <f t="shared" si="1130"/>
        <v>tr. VND/tấn</v>
      </c>
      <c r="K1400" s="558"/>
      <c r="L1400" s="571">
        <f t="shared" ref="L1400:AJ1400" si="1154">-IF($H$9="VND",L1368/L1331/$H$10/10^3,L1368/L1331/$H$10*10^3)</f>
        <v>0</v>
      </c>
      <c r="M1400" s="571">
        <f t="shared" si="1154"/>
        <v>0</v>
      </c>
      <c r="N1400" s="571">
        <f t="shared" si="1154"/>
        <v>0</v>
      </c>
      <c r="O1400" s="571">
        <f t="shared" si="1154"/>
        <v>0</v>
      </c>
      <c r="P1400" s="571">
        <f t="shared" si="1154"/>
        <v>0</v>
      </c>
      <c r="Q1400" s="571">
        <f t="shared" si="1154"/>
        <v>0</v>
      </c>
      <c r="R1400" s="571">
        <f t="shared" si="1154"/>
        <v>0</v>
      </c>
      <c r="S1400" s="571">
        <f t="shared" si="1154"/>
        <v>0</v>
      </c>
      <c r="T1400" s="571">
        <f t="shared" si="1154"/>
        <v>0</v>
      </c>
      <c r="U1400" s="571">
        <f t="shared" si="1154"/>
        <v>0</v>
      </c>
      <c r="V1400" s="571">
        <f t="shared" si="1154"/>
        <v>0</v>
      </c>
      <c r="W1400" s="571">
        <f t="shared" si="1154"/>
        <v>0</v>
      </c>
      <c r="X1400" s="571">
        <f t="shared" si="1154"/>
        <v>0</v>
      </c>
      <c r="Y1400" s="571">
        <f t="shared" si="1154"/>
        <v>0</v>
      </c>
      <c r="Z1400" s="571">
        <f t="shared" si="1154"/>
        <v>0</v>
      </c>
      <c r="AA1400" s="571"/>
      <c r="AB1400" s="571"/>
      <c r="AC1400" s="571"/>
      <c r="AD1400" s="571"/>
      <c r="AE1400" s="571"/>
      <c r="AF1400" s="571"/>
      <c r="AG1400" s="571"/>
      <c r="AH1400" s="571"/>
      <c r="AI1400" s="571"/>
      <c r="AJ1400" s="571"/>
      <c r="AL1400" s="221"/>
      <c r="AM1400" s="15"/>
    </row>
    <row r="1401" spans="1:39" x14ac:dyDescent="0.25">
      <c r="A1401" t="s">
        <v>861</v>
      </c>
      <c r="C1401" t="s">
        <v>367</v>
      </c>
      <c r="H1401" s="558" t="s">
        <v>470</v>
      </c>
      <c r="I1401" s="559" t="str">
        <f t="shared" si="1130"/>
        <v>tr. VND/tấn</v>
      </c>
      <c r="K1401" s="558"/>
      <c r="L1401" s="571">
        <f t="shared" ref="L1401:AJ1401" si="1155">-IF($H$9="VND",L1369/L1331/$H$10/10^3,L1369/L1331/$H$10*10^3)</f>
        <v>4.7582576395077938</v>
      </c>
      <c r="M1401" s="571">
        <f t="shared" si="1155"/>
        <v>3.2635032589377744</v>
      </c>
      <c r="N1401" s="571">
        <f t="shared" si="1155"/>
        <v>2.1831483850641651</v>
      </c>
      <c r="O1401" s="571">
        <f t="shared" si="1155"/>
        <v>2.0747532161384292</v>
      </c>
      <c r="P1401" s="571">
        <f t="shared" si="1155"/>
        <v>1.9587703853878913</v>
      </c>
      <c r="Q1401" s="571">
        <f t="shared" si="1155"/>
        <v>1.8346687564848161</v>
      </c>
      <c r="R1401" s="571">
        <f t="shared" si="1155"/>
        <v>1.7018800135585255</v>
      </c>
      <c r="S1401" s="571">
        <f t="shared" si="1155"/>
        <v>1.5597960586273947</v>
      </c>
      <c r="T1401" s="571">
        <f t="shared" si="1155"/>
        <v>1.4077662268510847</v>
      </c>
      <c r="U1401" s="571">
        <f t="shared" si="1155"/>
        <v>1.245094306850433</v>
      </c>
      <c r="V1401" s="571">
        <f t="shared" si="1155"/>
        <v>1.0710353524497356</v>
      </c>
      <c r="W1401" s="571">
        <f t="shared" si="1155"/>
        <v>0.88479227124098925</v>
      </c>
      <c r="X1401" s="571">
        <f t="shared" si="1155"/>
        <v>0.68551217434763101</v>
      </c>
      <c r="Y1401" s="571">
        <f t="shared" si="1155"/>
        <v>0.47228247067173734</v>
      </c>
      <c r="Z1401" s="571">
        <f t="shared" si="1155"/>
        <v>0.24412668773853119</v>
      </c>
      <c r="AA1401" s="571"/>
      <c r="AB1401" s="571"/>
      <c r="AC1401" s="571"/>
      <c r="AD1401" s="571"/>
      <c r="AE1401" s="571"/>
      <c r="AF1401" s="571"/>
      <c r="AG1401" s="571"/>
      <c r="AH1401" s="571"/>
      <c r="AI1401" s="571"/>
      <c r="AJ1401" s="571"/>
      <c r="AL1401" s="221"/>
      <c r="AM1401" s="15"/>
    </row>
    <row r="1402" spans="1:39" x14ac:dyDescent="0.25">
      <c r="A1402" t="s">
        <v>861</v>
      </c>
      <c r="H1402" s="247"/>
      <c r="I1402" s="275"/>
      <c r="K1402" s="247"/>
      <c r="L1402" s="247"/>
      <c r="M1402" s="247"/>
      <c r="N1402" s="247"/>
      <c r="O1402" s="247"/>
      <c r="P1402" s="247"/>
      <c r="Q1402" s="247"/>
      <c r="R1402" s="247"/>
      <c r="S1402" s="247"/>
      <c r="T1402" s="247"/>
      <c r="U1402" s="247"/>
      <c r="V1402" s="247"/>
      <c r="W1402" s="247"/>
      <c r="X1402" s="247"/>
      <c r="Y1402" s="247"/>
      <c r="Z1402" s="247"/>
      <c r="AA1402" s="247"/>
      <c r="AB1402" s="247"/>
      <c r="AC1402" s="247"/>
      <c r="AD1402" s="247"/>
      <c r="AE1402" s="247"/>
      <c r="AF1402" s="247"/>
      <c r="AG1402" s="247"/>
      <c r="AH1402" s="247"/>
      <c r="AI1402" s="247"/>
      <c r="AJ1402" s="247"/>
      <c r="AM1402" s="15"/>
    </row>
    <row r="1403" spans="1:39" s="16" customFormat="1" x14ac:dyDescent="0.25">
      <c r="A1403" s="16" t="s">
        <v>861</v>
      </c>
      <c r="H1403" s="276" t="s">
        <v>474</v>
      </c>
      <c r="I1403" s="277" t="str">
        <f t="shared" si="1130"/>
        <v>tr. VND/tấn</v>
      </c>
      <c r="K1403" s="283">
        <f t="shared" ref="K1403" si="1156">K1396+SUM(K1398:K1401)</f>
        <v>0</v>
      </c>
      <c r="L1403" s="283">
        <f>L1396+SUM(L1398:L1401)</f>
        <v>49.605866701677144</v>
      </c>
      <c r="M1403" s="283">
        <f t="shared" ref="M1403:AJ1403" si="1157">M1396+SUM(M1398:M1401)</f>
        <v>43.923220624559676</v>
      </c>
      <c r="N1403" s="283">
        <f t="shared" si="1157"/>
        <v>40.55727689075249</v>
      </c>
      <c r="O1403" s="283">
        <f t="shared" si="1157"/>
        <v>41.330874904121167</v>
      </c>
      <c r="P1403" s="283">
        <f t="shared" si="1157"/>
        <v>42.12455962445717</v>
      </c>
      <c r="Q1403" s="283">
        <f t="shared" si="1157"/>
        <v>42.938855128065939</v>
      </c>
      <c r="R1403" s="283">
        <f t="shared" si="1157"/>
        <v>43.774294502225459</v>
      </c>
      <c r="S1403" s="283">
        <f t="shared" si="1157"/>
        <v>44.6314194207418</v>
      </c>
      <c r="T1403" s="283">
        <f t="shared" si="1157"/>
        <v>45.510779643602824</v>
      </c>
      <c r="U1403" s="283">
        <f t="shared" si="1157"/>
        <v>46.412932433239227</v>
      </c>
      <c r="V1403" s="283">
        <f t="shared" si="1157"/>
        <v>47.338441879270654</v>
      </c>
      <c r="W1403" s="283">
        <f t="shared" si="1157"/>
        <v>48.287878122935119</v>
      </c>
      <c r="X1403" s="283">
        <f t="shared" si="1157"/>
        <v>45.053833525162972</v>
      </c>
      <c r="Y1403" s="283">
        <f t="shared" si="1157"/>
        <v>46.052853446991072</v>
      </c>
      <c r="Z1403" s="283">
        <f t="shared" si="1157"/>
        <v>47.077537433587025</v>
      </c>
      <c r="AA1403" s="283"/>
      <c r="AB1403" s="283"/>
      <c r="AC1403" s="283"/>
      <c r="AD1403" s="283"/>
      <c r="AE1403" s="283"/>
      <c r="AF1403" s="283"/>
      <c r="AG1403" s="283"/>
      <c r="AH1403" s="283"/>
      <c r="AI1403" s="283"/>
      <c r="AJ1403" s="283"/>
      <c r="AL1403" s="223"/>
      <c r="AM1403" s="29"/>
    </row>
    <row r="1404" spans="1:39" x14ac:dyDescent="0.25">
      <c r="A1404" t="s">
        <v>861</v>
      </c>
    </row>
    <row r="1405" spans="1:39" x14ac:dyDescent="0.25">
      <c r="A1405" t="s">
        <v>861</v>
      </c>
      <c r="H1405" s="568" t="s">
        <v>361</v>
      </c>
      <c r="I1405" s="569" t="str">
        <f t="shared" si="1130"/>
        <v>tr. VND/tấn</v>
      </c>
      <c r="K1405" s="568"/>
      <c r="L1405" s="589">
        <f>INDEX('Cover Page'!$H$12:$AJ$12,MATCH($A1405,'Cover Page'!$H$5:$AJ$5,0))</f>
        <v>6.6666666666666666E-2</v>
      </c>
      <c r="M1405" s="589">
        <f>INDEX('Cover Page'!$H$12:$AJ$12,MATCH($A1405,'Cover Page'!$H$5:$AJ$5,0))</f>
        <v>6.6666666666666666E-2</v>
      </c>
      <c r="N1405" s="589">
        <f>INDEX('Cover Page'!$H$12:$AJ$12,MATCH($A1405,'Cover Page'!$H$5:$AJ$5,0))</f>
        <v>6.6666666666666666E-2</v>
      </c>
      <c r="O1405" s="589">
        <f>INDEX('Cover Page'!$H$12:$AJ$12,MATCH($A1405,'Cover Page'!$H$5:$AJ$5,0))</f>
        <v>6.6666666666666666E-2</v>
      </c>
      <c r="P1405" s="589">
        <f>INDEX('Cover Page'!$H$12:$AJ$12,MATCH($A1405,'Cover Page'!$H$5:$AJ$5,0))</f>
        <v>6.6666666666666666E-2</v>
      </c>
      <c r="Q1405" s="589">
        <f>INDEX('Cover Page'!$H$12:$AJ$12,MATCH($A1405,'Cover Page'!$H$5:$AJ$5,0))</f>
        <v>6.6666666666666666E-2</v>
      </c>
      <c r="R1405" s="589">
        <f>INDEX('Cover Page'!$H$12:$AJ$12,MATCH($A1405,'Cover Page'!$H$5:$AJ$5,0))</f>
        <v>6.6666666666666666E-2</v>
      </c>
      <c r="S1405" s="589">
        <f>INDEX('Cover Page'!$H$12:$AJ$12,MATCH($A1405,'Cover Page'!$H$5:$AJ$5,0))</f>
        <v>6.6666666666666666E-2</v>
      </c>
      <c r="T1405" s="589">
        <f>INDEX('Cover Page'!$H$12:$AJ$12,MATCH($A1405,'Cover Page'!$H$5:$AJ$5,0))</f>
        <v>6.6666666666666666E-2</v>
      </c>
      <c r="U1405" s="589">
        <f>INDEX('Cover Page'!$H$12:$AJ$12,MATCH($A1405,'Cover Page'!$H$5:$AJ$5,0))</f>
        <v>6.6666666666666666E-2</v>
      </c>
      <c r="V1405" s="589">
        <f>INDEX('Cover Page'!$H$12:$AJ$12,MATCH($A1405,'Cover Page'!$H$5:$AJ$5,0))</f>
        <v>6.6666666666666666E-2</v>
      </c>
      <c r="W1405" s="589">
        <f>INDEX('Cover Page'!$H$12:$AJ$12,MATCH($A1405,'Cover Page'!$H$5:$AJ$5,0))</f>
        <v>6.6666666666666666E-2</v>
      </c>
      <c r="X1405" s="589">
        <f>INDEX('Cover Page'!$H$12:$AJ$12,MATCH($A1405,'Cover Page'!$H$5:$AJ$5,0))</f>
        <v>6.6666666666666666E-2</v>
      </c>
      <c r="Y1405" s="589">
        <f>INDEX('Cover Page'!$H$12:$AJ$12,MATCH($A1405,'Cover Page'!$H$5:$AJ$5,0))</f>
        <v>6.6666666666666666E-2</v>
      </c>
      <c r="Z1405" s="589">
        <f>INDEX('Cover Page'!$H$12:$AJ$12,MATCH($A1405,'Cover Page'!$H$5:$AJ$5,0))</f>
        <v>6.6666666666666666E-2</v>
      </c>
      <c r="AA1405" s="589"/>
      <c r="AB1405" s="589"/>
      <c r="AC1405" s="589"/>
      <c r="AD1405" s="589"/>
      <c r="AE1405" s="589"/>
      <c r="AF1405" s="589"/>
      <c r="AG1405" s="589"/>
      <c r="AH1405" s="589"/>
      <c r="AI1405" s="589"/>
      <c r="AJ1405" s="589"/>
      <c r="AL1405" s="32"/>
    </row>
    <row r="1406" spans="1:39" s="1" customFormat="1" x14ac:dyDescent="0.25">
      <c r="A1406" s="1" t="s">
        <v>861</v>
      </c>
      <c r="H1406" s="585" t="s">
        <v>490</v>
      </c>
      <c r="I1406" s="586" t="str">
        <f t="shared" si="1130"/>
        <v>tr. VND/tấn</v>
      </c>
      <c r="K1406" s="585"/>
      <c r="L1406" s="590">
        <f t="shared" ref="L1406:AJ1406" si="1158">L1403*(1+L1405)</f>
        <v>52.912924481788956</v>
      </c>
      <c r="M1406" s="590">
        <f t="shared" si="1158"/>
        <v>46.851435332863652</v>
      </c>
      <c r="N1406" s="590">
        <f t="shared" si="1158"/>
        <v>43.261095350135989</v>
      </c>
      <c r="O1406" s="590">
        <f t="shared" si="1158"/>
        <v>44.086266564395913</v>
      </c>
      <c r="P1406" s="590">
        <f t="shared" si="1158"/>
        <v>44.932863599420983</v>
      </c>
      <c r="Q1406" s="590">
        <f t="shared" si="1158"/>
        <v>45.801445469937001</v>
      </c>
      <c r="R1406" s="590">
        <f t="shared" si="1158"/>
        <v>46.692580802373826</v>
      </c>
      <c r="S1406" s="590">
        <f t="shared" si="1158"/>
        <v>47.606847382124585</v>
      </c>
      <c r="T1406" s="590">
        <f t="shared" si="1158"/>
        <v>48.544831619843009</v>
      </c>
      <c r="U1406" s="590">
        <f t="shared" si="1158"/>
        <v>49.507127928788506</v>
      </c>
      <c r="V1406" s="590">
        <f t="shared" si="1158"/>
        <v>50.494338004555367</v>
      </c>
      <c r="W1406" s="590">
        <f t="shared" si="1158"/>
        <v>51.507069997797458</v>
      </c>
      <c r="X1406" s="590">
        <f t="shared" si="1158"/>
        <v>48.057422426840503</v>
      </c>
      <c r="Y1406" s="590">
        <f t="shared" si="1158"/>
        <v>49.123043676790473</v>
      </c>
      <c r="Z1406" s="590">
        <f t="shared" si="1158"/>
        <v>50.216039929159493</v>
      </c>
      <c r="AA1406" s="590"/>
      <c r="AB1406" s="590"/>
      <c r="AC1406" s="590"/>
      <c r="AD1406" s="590"/>
      <c r="AE1406" s="590"/>
      <c r="AF1406" s="590"/>
      <c r="AG1406" s="590"/>
      <c r="AH1406" s="590"/>
      <c r="AI1406" s="590"/>
      <c r="AJ1406" s="590"/>
      <c r="AL1406" s="220"/>
    </row>
    <row r="1407" spans="1:39" x14ac:dyDescent="0.25">
      <c r="A1407" t="s">
        <v>861</v>
      </c>
      <c r="H1407" s="558" t="s">
        <v>292</v>
      </c>
      <c r="I1407" s="559" t="str">
        <f t="shared" si="1130"/>
        <v>tr. VND/tấn</v>
      </c>
      <c r="K1407" s="558"/>
      <c r="L1407" s="591">
        <f t="shared" ref="L1407:AJ1407" si="1159">Tax_rate</f>
        <v>0.2</v>
      </c>
      <c r="M1407" s="591">
        <f t="shared" si="1159"/>
        <v>0.2</v>
      </c>
      <c r="N1407" s="591">
        <f t="shared" si="1159"/>
        <v>0.2</v>
      </c>
      <c r="O1407" s="591">
        <f t="shared" si="1159"/>
        <v>0.2</v>
      </c>
      <c r="P1407" s="591">
        <f t="shared" si="1159"/>
        <v>0.2</v>
      </c>
      <c r="Q1407" s="591">
        <f t="shared" si="1159"/>
        <v>0.2</v>
      </c>
      <c r="R1407" s="591">
        <f t="shared" si="1159"/>
        <v>0.2</v>
      </c>
      <c r="S1407" s="591">
        <f t="shared" si="1159"/>
        <v>0.2</v>
      </c>
      <c r="T1407" s="591">
        <f t="shared" si="1159"/>
        <v>0.2</v>
      </c>
      <c r="U1407" s="591">
        <f t="shared" si="1159"/>
        <v>0.2</v>
      </c>
      <c r="V1407" s="591">
        <f t="shared" si="1159"/>
        <v>0.2</v>
      </c>
      <c r="W1407" s="591">
        <f t="shared" si="1159"/>
        <v>0.2</v>
      </c>
      <c r="X1407" s="591">
        <f t="shared" si="1159"/>
        <v>0.2</v>
      </c>
      <c r="Y1407" s="591">
        <f t="shared" si="1159"/>
        <v>0.2</v>
      </c>
      <c r="Z1407" s="591">
        <f t="shared" si="1159"/>
        <v>0.2</v>
      </c>
      <c r="AA1407" s="591"/>
      <c r="AB1407" s="591"/>
      <c r="AC1407" s="591"/>
      <c r="AD1407" s="591"/>
      <c r="AE1407" s="591"/>
      <c r="AF1407" s="591"/>
      <c r="AG1407" s="591"/>
      <c r="AH1407" s="591"/>
      <c r="AI1407" s="591"/>
      <c r="AJ1407" s="591"/>
      <c r="AL1407" s="95"/>
    </row>
    <row r="1408" spans="1:39" s="1" customFormat="1" x14ac:dyDescent="0.25">
      <c r="A1408" s="1" t="s">
        <v>861</v>
      </c>
      <c r="H1408" s="585" t="s">
        <v>491</v>
      </c>
      <c r="I1408" s="586" t="str">
        <f t="shared" si="1130"/>
        <v>tr. VND/tấn</v>
      </c>
      <c r="K1408" s="585"/>
      <c r="L1408" s="590">
        <f>(L1406-L1403)*(1-L1407)</f>
        <v>2.6456462240894498</v>
      </c>
      <c r="M1408" s="590">
        <f t="shared" ref="M1408:AJ1408" si="1160">(M1406-M1403)*(1-M1407)</f>
        <v>2.3425717666431809</v>
      </c>
      <c r="N1408" s="590">
        <f t="shared" si="1160"/>
        <v>2.1630547675067988</v>
      </c>
      <c r="O1408" s="590">
        <f t="shared" si="1160"/>
        <v>2.2043133282197971</v>
      </c>
      <c r="P1408" s="590">
        <f t="shared" si="1160"/>
        <v>2.2466431799710507</v>
      </c>
      <c r="Q1408" s="590">
        <f t="shared" si="1160"/>
        <v>2.2900722734968499</v>
      </c>
      <c r="R1408" s="590">
        <f t="shared" si="1160"/>
        <v>2.3346290401186933</v>
      </c>
      <c r="S1408" s="590">
        <f t="shared" si="1160"/>
        <v>2.380342369106228</v>
      </c>
      <c r="T1408" s="590">
        <f t="shared" si="1160"/>
        <v>2.4272415809921486</v>
      </c>
      <c r="U1408" s="590">
        <f t="shared" si="1160"/>
        <v>2.4753563964394232</v>
      </c>
      <c r="V1408" s="590">
        <f t="shared" si="1160"/>
        <v>2.5247169002277703</v>
      </c>
      <c r="W1408" s="590">
        <f t="shared" si="1160"/>
        <v>2.5753534998898715</v>
      </c>
      <c r="X1408" s="590">
        <f t="shared" si="1160"/>
        <v>2.4028711213420255</v>
      </c>
      <c r="Y1408" s="590">
        <f t="shared" si="1160"/>
        <v>2.4561521838395208</v>
      </c>
      <c r="Z1408" s="590">
        <f t="shared" si="1160"/>
        <v>2.5108019964579742</v>
      </c>
      <c r="AA1408" s="590"/>
      <c r="AB1408" s="590"/>
      <c r="AC1408" s="590"/>
      <c r="AD1408" s="590"/>
      <c r="AE1408" s="590"/>
      <c r="AF1408" s="590"/>
      <c r="AG1408" s="590"/>
      <c r="AH1408" s="590"/>
      <c r="AI1408" s="590"/>
      <c r="AJ1408" s="590"/>
      <c r="AL1408" s="220"/>
    </row>
    <row r="1409" spans="1:38" s="146" customFormat="1" x14ac:dyDescent="0.25">
      <c r="A1409" s="146" t="s">
        <v>861</v>
      </c>
      <c r="H1409" s="587" t="s">
        <v>492</v>
      </c>
      <c r="I1409" s="588"/>
      <c r="K1409" s="587"/>
      <c r="L1409" s="592">
        <f>IFERROR(L1408/L1406,0)</f>
        <v>5.0000000000000037E-2</v>
      </c>
      <c r="M1409" s="592">
        <f>IFERROR(M1408/M1406,0)</f>
        <v>4.9999999999999961E-2</v>
      </c>
      <c r="N1409" s="592">
        <f t="shared" ref="N1409:AJ1409" si="1161">IFERROR(N1408/N1406,0)</f>
        <v>4.9999999999999989E-2</v>
      </c>
      <c r="O1409" s="592">
        <f t="shared" si="1161"/>
        <v>5.0000000000000031E-2</v>
      </c>
      <c r="P1409" s="592">
        <f t="shared" si="1161"/>
        <v>5.0000000000000031E-2</v>
      </c>
      <c r="Q1409" s="592">
        <f t="shared" si="1161"/>
        <v>4.9999999999999996E-2</v>
      </c>
      <c r="R1409" s="592">
        <f t="shared" si="1161"/>
        <v>5.0000000000000044E-2</v>
      </c>
      <c r="S1409" s="592">
        <f t="shared" si="1161"/>
        <v>4.9999999999999975E-2</v>
      </c>
      <c r="T1409" s="592">
        <f t="shared" si="1161"/>
        <v>4.9999999999999961E-2</v>
      </c>
      <c r="U1409" s="592">
        <f t="shared" si="1161"/>
        <v>4.9999999999999954E-2</v>
      </c>
      <c r="V1409" s="592">
        <f t="shared" si="1161"/>
        <v>5.0000000000000037E-2</v>
      </c>
      <c r="W1409" s="592">
        <f t="shared" si="1161"/>
        <v>4.9999999999999975E-2</v>
      </c>
      <c r="X1409" s="592">
        <f t="shared" si="1161"/>
        <v>5.000000000000001E-2</v>
      </c>
      <c r="Y1409" s="592">
        <f t="shared" si="1161"/>
        <v>4.999999999999994E-2</v>
      </c>
      <c r="Z1409" s="592">
        <f t="shared" si="1161"/>
        <v>4.9999999999999989E-2</v>
      </c>
      <c r="AA1409" s="592"/>
      <c r="AB1409" s="592"/>
      <c r="AC1409" s="592"/>
      <c r="AD1409" s="592"/>
      <c r="AE1409" s="592"/>
      <c r="AF1409" s="592"/>
      <c r="AG1409" s="592"/>
      <c r="AH1409" s="592"/>
      <c r="AI1409" s="592"/>
      <c r="AJ1409" s="592"/>
      <c r="AL1409" s="147"/>
    </row>
    <row r="1410" spans="1:38" x14ac:dyDescent="0.25">
      <c r="A1410" t="s">
        <v>861</v>
      </c>
    </row>
    <row r="1411" spans="1:38" s="24" customFormat="1" ht="17.25" x14ac:dyDescent="0.3">
      <c r="A1411" s="24" t="s">
        <v>861</v>
      </c>
      <c r="H1411" s="644" t="s">
        <v>476</v>
      </c>
      <c r="I1411" s="644"/>
      <c r="K1411" s="644"/>
      <c r="L1411" s="644"/>
      <c r="M1411" s="644"/>
      <c r="N1411" s="644"/>
      <c r="O1411" s="644"/>
      <c r="P1411" s="644"/>
      <c r="Q1411" s="644"/>
      <c r="R1411" s="644"/>
      <c r="S1411" s="644"/>
      <c r="T1411" s="644"/>
      <c r="U1411" s="644"/>
      <c r="V1411" s="644"/>
      <c r="W1411" s="644"/>
      <c r="X1411" s="644"/>
      <c r="Y1411" s="644"/>
      <c r="Z1411" s="644"/>
      <c r="AA1411" s="644"/>
      <c r="AB1411" s="644"/>
      <c r="AC1411" s="644"/>
      <c r="AD1411" s="644"/>
      <c r="AE1411" s="644"/>
      <c r="AF1411" s="644"/>
      <c r="AG1411" s="644"/>
      <c r="AH1411" s="644"/>
      <c r="AI1411" s="644"/>
      <c r="AJ1411" s="644"/>
    </row>
    <row r="1412" spans="1:38" s="1" customFormat="1" x14ac:dyDescent="0.25">
      <c r="A1412" s="1" t="s">
        <v>861</v>
      </c>
      <c r="H1412" s="287" t="s">
        <v>434</v>
      </c>
      <c r="I1412" s="288" t="str">
        <f>IF($H$9="USD","USD/1.000 phôi","VND/phôi")</f>
        <v>VND/phôi</v>
      </c>
      <c r="K1412" s="293">
        <f t="shared" ref="K1412" si="1162">SUM(K1413:K1414,K1417:K1420,)</f>
        <v>0</v>
      </c>
      <c r="L1412" s="293">
        <f>SUM(L1413:L1414,L1417:L1420,)</f>
        <v>211.40799429686629</v>
      </c>
      <c r="M1412" s="293">
        <f t="shared" ref="M1412:AJ1412" si="1163">SUM(M1413:M1414,M1417:M1420,)</f>
        <v>151.00571021204738</v>
      </c>
      <c r="N1412" s="293">
        <f t="shared" si="1163"/>
        <v>107.88176344535992</v>
      </c>
      <c r="O1412" s="293">
        <f t="shared" si="1163"/>
        <v>110.16841805713301</v>
      </c>
      <c r="P1412" s="293">
        <f t="shared" si="1163"/>
        <v>112.5694053994948</v>
      </c>
      <c r="Q1412" s="293">
        <f t="shared" si="1163"/>
        <v>115.09044210897466</v>
      </c>
      <c r="R1412" s="293">
        <f t="shared" si="1163"/>
        <v>117.7375306539285</v>
      </c>
      <c r="S1412" s="293">
        <f t="shared" si="1163"/>
        <v>120.51697362613004</v>
      </c>
      <c r="T1412" s="293">
        <f t="shared" si="1163"/>
        <v>123.43538874694165</v>
      </c>
      <c r="U1412" s="293">
        <f t="shared" si="1163"/>
        <v>126.49972462379385</v>
      </c>
      <c r="V1412" s="293">
        <f t="shared" si="1163"/>
        <v>129.71727729448867</v>
      </c>
      <c r="W1412" s="293">
        <f t="shared" si="1163"/>
        <v>133.09570759871826</v>
      </c>
      <c r="X1412" s="293">
        <f t="shared" si="1163"/>
        <v>75.950997689743517</v>
      </c>
      <c r="Y1412" s="293">
        <f t="shared" si="1163"/>
        <v>79.675717100156589</v>
      </c>
      <c r="Z1412" s="293">
        <f t="shared" si="1163"/>
        <v>83.586672481090332</v>
      </c>
      <c r="AA1412" s="293"/>
      <c r="AB1412" s="293"/>
      <c r="AC1412" s="293"/>
      <c r="AD1412" s="293"/>
      <c r="AE1412" s="293"/>
      <c r="AF1412" s="293"/>
      <c r="AG1412" s="293"/>
      <c r="AH1412" s="293"/>
      <c r="AI1412" s="293"/>
      <c r="AJ1412" s="293"/>
      <c r="AL1412" s="981"/>
    </row>
    <row r="1413" spans="1:38" x14ac:dyDescent="0.25">
      <c r="A1413" t="s">
        <v>861</v>
      </c>
      <c r="E1413" t="s">
        <v>173</v>
      </c>
      <c r="H1413" s="572" t="s">
        <v>190</v>
      </c>
      <c r="I1413" s="573" t="str">
        <f t="shared" ref="I1413:I1420" si="1164">IF($H$9="USD","USD/1.000 phôi","VND/phôi")</f>
        <v>VND/phôi</v>
      </c>
      <c r="K1413" s="578"/>
      <c r="L1413" s="579">
        <f t="shared" ref="L1413:AJ1413" si="1165">-IF($H$9="USD",L1343/L1332/$H$10*10^3,L1343/L1332/$H$10)</f>
        <v>121.38412345683145</v>
      </c>
      <c r="M1413" s="579">
        <f t="shared" si="1165"/>
        <v>86.702945326308182</v>
      </c>
      <c r="N1413" s="579">
        <f t="shared" si="1165"/>
        <v>60.692061728415723</v>
      </c>
      <c r="O1413" s="579">
        <f t="shared" si="1165"/>
        <v>60.692061728415723</v>
      </c>
      <c r="P1413" s="579">
        <f t="shared" si="1165"/>
        <v>60.692061728415723</v>
      </c>
      <c r="Q1413" s="579">
        <f t="shared" si="1165"/>
        <v>60.692061728415723</v>
      </c>
      <c r="R1413" s="579">
        <f t="shared" si="1165"/>
        <v>60.692061728415723</v>
      </c>
      <c r="S1413" s="579">
        <f t="shared" si="1165"/>
        <v>60.692061728415723</v>
      </c>
      <c r="T1413" s="579">
        <f t="shared" si="1165"/>
        <v>60.692061728415723</v>
      </c>
      <c r="U1413" s="579">
        <f t="shared" si="1165"/>
        <v>60.692061728415723</v>
      </c>
      <c r="V1413" s="579">
        <f t="shared" si="1165"/>
        <v>60.692061728415723</v>
      </c>
      <c r="W1413" s="579">
        <f t="shared" si="1165"/>
        <v>60.692061728415723</v>
      </c>
      <c r="X1413" s="579">
        <f t="shared" si="1165"/>
        <v>0</v>
      </c>
      <c r="Y1413" s="579">
        <f t="shared" si="1165"/>
        <v>0</v>
      </c>
      <c r="Z1413" s="579">
        <f t="shared" si="1165"/>
        <v>0</v>
      </c>
      <c r="AA1413" s="579"/>
      <c r="AB1413" s="579"/>
      <c r="AC1413" s="579"/>
      <c r="AD1413" s="579"/>
      <c r="AE1413" s="579"/>
      <c r="AF1413" s="579"/>
      <c r="AG1413" s="579"/>
      <c r="AH1413" s="579"/>
      <c r="AI1413" s="579"/>
      <c r="AJ1413" s="579"/>
      <c r="AL1413" s="976"/>
    </row>
    <row r="1414" spans="1:38" x14ac:dyDescent="0.25">
      <c r="A1414" t="s">
        <v>861</v>
      </c>
      <c r="H1414" s="574" t="s">
        <v>429</v>
      </c>
      <c r="I1414" s="575" t="str">
        <f t="shared" si="1164"/>
        <v>VND/phôi</v>
      </c>
      <c r="K1414" s="580">
        <f>SUM(K1415:K1416)</f>
        <v>0</v>
      </c>
      <c r="L1414" s="580">
        <f t="shared" ref="L1414:AJ1414" si="1166">SUM(L1415:L1416)</f>
        <v>29.115063862219181</v>
      </c>
      <c r="M1414" s="580">
        <f t="shared" si="1166"/>
        <v>20.79647418729942</v>
      </c>
      <c r="N1414" s="580">
        <f t="shared" si="1166"/>
        <v>15.285408527665071</v>
      </c>
      <c r="O1414" s="580">
        <f t="shared" si="1166"/>
        <v>16.049678954048325</v>
      </c>
      <c r="P1414" s="580">
        <f t="shared" si="1166"/>
        <v>16.852162901750745</v>
      </c>
      <c r="Q1414" s="580">
        <f t="shared" si="1166"/>
        <v>17.69477104683828</v>
      </c>
      <c r="R1414" s="580">
        <f t="shared" si="1166"/>
        <v>18.579509599180195</v>
      </c>
      <c r="S1414" s="580">
        <f t="shared" si="1166"/>
        <v>19.508485079139202</v>
      </c>
      <c r="T1414" s="580">
        <f t="shared" si="1166"/>
        <v>20.483909333096165</v>
      </c>
      <c r="U1414" s="580">
        <f t="shared" si="1166"/>
        <v>21.508104799750974</v>
      </c>
      <c r="V1414" s="580">
        <f t="shared" si="1166"/>
        <v>22.58351003973852</v>
      </c>
      <c r="W1414" s="580">
        <f t="shared" si="1166"/>
        <v>23.712685541725449</v>
      </c>
      <c r="X1414" s="580">
        <f t="shared" si="1166"/>
        <v>24.898319818811725</v>
      </c>
      <c r="Y1414" s="580">
        <f t="shared" si="1166"/>
        <v>26.143235809752301</v>
      </c>
      <c r="Z1414" s="580">
        <f t="shared" si="1166"/>
        <v>27.450397600239924</v>
      </c>
      <c r="AA1414" s="580"/>
      <c r="AB1414" s="580"/>
      <c r="AC1414" s="580"/>
      <c r="AD1414" s="580"/>
      <c r="AE1414" s="580"/>
      <c r="AF1414" s="580"/>
      <c r="AG1414" s="580"/>
      <c r="AH1414" s="580"/>
      <c r="AI1414" s="580"/>
      <c r="AJ1414" s="580"/>
      <c r="AL1414" s="976"/>
    </row>
    <row r="1415" spans="1:38" s="299" customFormat="1" x14ac:dyDescent="0.25">
      <c r="A1415" s="299" t="s">
        <v>861</v>
      </c>
      <c r="E1415" s="299" t="s">
        <v>171</v>
      </c>
      <c r="H1415" s="576" t="s">
        <v>430</v>
      </c>
      <c r="I1415" s="577" t="str">
        <f t="shared" si="1164"/>
        <v>VND/phôi</v>
      </c>
      <c r="K1415" s="581"/>
      <c r="L1415" s="581">
        <f t="shared" ref="L1415:AJ1415" si="1167">-IF($H$9="USD",L1345/L1332/$H$10*10^3,L1345/L1332/$H$10)</f>
        <v>4.7599559447769781</v>
      </c>
      <c r="M1415" s="581">
        <f t="shared" si="1167"/>
        <v>3.3999685319835566</v>
      </c>
      <c r="N1415" s="581">
        <f t="shared" si="1167"/>
        <v>2.4989768710079137</v>
      </c>
      <c r="O1415" s="581">
        <f t="shared" si="1167"/>
        <v>2.6239257145583097</v>
      </c>
      <c r="P1415" s="581">
        <f t="shared" si="1167"/>
        <v>2.7551220002862253</v>
      </c>
      <c r="Q1415" s="581">
        <f t="shared" si="1167"/>
        <v>2.8928781003005359</v>
      </c>
      <c r="R1415" s="581">
        <f t="shared" si="1167"/>
        <v>3.0375220053155632</v>
      </c>
      <c r="S1415" s="581">
        <f t="shared" si="1167"/>
        <v>3.1893981055813412</v>
      </c>
      <c r="T1415" s="581">
        <f t="shared" si="1167"/>
        <v>3.3488680108604085</v>
      </c>
      <c r="U1415" s="581">
        <f t="shared" si="1167"/>
        <v>3.5163114114034286</v>
      </c>
      <c r="V1415" s="581">
        <f t="shared" si="1167"/>
        <v>3.6921269819736002</v>
      </c>
      <c r="W1415" s="581">
        <f t="shared" si="1167"/>
        <v>3.8767333310722805</v>
      </c>
      <c r="X1415" s="581">
        <f t="shared" si="1167"/>
        <v>4.0705699976258947</v>
      </c>
      <c r="Y1415" s="581">
        <f t="shared" si="1167"/>
        <v>4.2740984975071887</v>
      </c>
      <c r="Z1415" s="581">
        <f t="shared" si="1167"/>
        <v>4.4878034223825489</v>
      </c>
      <c r="AA1415" s="581"/>
      <c r="AB1415" s="581"/>
      <c r="AC1415" s="581"/>
      <c r="AD1415" s="581"/>
      <c r="AE1415" s="581"/>
      <c r="AF1415" s="581"/>
      <c r="AG1415" s="581"/>
      <c r="AH1415" s="581"/>
      <c r="AI1415" s="581"/>
      <c r="AJ1415" s="581"/>
      <c r="AL1415" s="982"/>
    </row>
    <row r="1416" spans="1:38" s="299" customFormat="1" x14ac:dyDescent="0.25">
      <c r="A1416" s="299" t="s">
        <v>861</v>
      </c>
      <c r="E1416" s="299" t="s">
        <v>171</v>
      </c>
      <c r="H1416" s="576" t="s">
        <v>431</v>
      </c>
      <c r="I1416" s="577" t="str">
        <f t="shared" si="1164"/>
        <v>VND/phôi</v>
      </c>
      <c r="K1416" s="581"/>
      <c r="L1416" s="581">
        <f t="shared" ref="L1416:AJ1416" si="1168">-IF($H$9="USD",L1346/L1332/$H$10*10^3,L1346/L1332/$H$10)</f>
        <v>24.355107917442204</v>
      </c>
      <c r="M1416" s="581">
        <f t="shared" si="1168"/>
        <v>17.396505655315863</v>
      </c>
      <c r="N1416" s="581">
        <f t="shared" si="1168"/>
        <v>12.786431656657157</v>
      </c>
      <c r="O1416" s="581">
        <f t="shared" si="1168"/>
        <v>13.425753239490016</v>
      </c>
      <c r="P1416" s="581">
        <f t="shared" si="1168"/>
        <v>14.097040901464521</v>
      </c>
      <c r="Q1416" s="581">
        <f t="shared" si="1168"/>
        <v>14.801892946537743</v>
      </c>
      <c r="R1416" s="581">
        <f t="shared" si="1168"/>
        <v>15.541987593864631</v>
      </c>
      <c r="S1416" s="581">
        <f t="shared" si="1168"/>
        <v>16.319086973557862</v>
      </c>
      <c r="T1416" s="581">
        <f t="shared" si="1168"/>
        <v>17.135041322235757</v>
      </c>
      <c r="U1416" s="581">
        <f t="shared" si="1168"/>
        <v>17.991793388347546</v>
      </c>
      <c r="V1416" s="581">
        <f t="shared" si="1168"/>
        <v>18.891383057764919</v>
      </c>
      <c r="W1416" s="581">
        <f t="shared" si="1168"/>
        <v>19.835952210653168</v>
      </c>
      <c r="X1416" s="581">
        <f t="shared" si="1168"/>
        <v>20.827749821185829</v>
      </c>
      <c r="Y1416" s="581">
        <f t="shared" si="1168"/>
        <v>21.869137312245112</v>
      </c>
      <c r="Z1416" s="581">
        <f t="shared" si="1168"/>
        <v>22.962594177857376</v>
      </c>
      <c r="AA1416" s="581"/>
      <c r="AB1416" s="581"/>
      <c r="AC1416" s="581"/>
      <c r="AD1416" s="581"/>
      <c r="AE1416" s="581"/>
      <c r="AF1416" s="581"/>
      <c r="AG1416" s="581"/>
      <c r="AH1416" s="581"/>
      <c r="AI1416" s="581"/>
      <c r="AJ1416" s="581"/>
      <c r="AL1416" s="982"/>
    </row>
    <row r="1417" spans="1:38" x14ac:dyDescent="0.25">
      <c r="A1417" t="s">
        <v>861</v>
      </c>
      <c r="E1417" t="s">
        <v>172</v>
      </c>
      <c r="H1417" s="574" t="s">
        <v>656</v>
      </c>
      <c r="I1417" s="575" t="str">
        <f t="shared" si="1164"/>
        <v>VND/phôi</v>
      </c>
      <c r="K1417" s="580"/>
      <c r="L1417" s="580">
        <f t="shared" ref="L1417:AJ1417" si="1169">-IF($H$9="USD",L1347/L1332/$H$10*10^3,L1347/L1332/$H$10)</f>
        <v>11.623824040969422</v>
      </c>
      <c r="M1417" s="580">
        <f t="shared" si="1169"/>
        <v>8.3027314578353018</v>
      </c>
      <c r="N1417" s="580">
        <f t="shared" si="1169"/>
        <v>6.1025076215089467</v>
      </c>
      <c r="O1417" s="580">
        <f t="shared" si="1169"/>
        <v>6.4076330025843937</v>
      </c>
      <c r="P1417" s="580">
        <f t="shared" si="1169"/>
        <v>6.7280146527136147</v>
      </c>
      <c r="Q1417" s="580">
        <f t="shared" si="1169"/>
        <v>7.064415385349295</v>
      </c>
      <c r="R1417" s="580">
        <f t="shared" si="1169"/>
        <v>7.4176361546167602</v>
      </c>
      <c r="S1417" s="580">
        <f t="shared" si="1169"/>
        <v>7.7885179623475977</v>
      </c>
      <c r="T1417" s="580">
        <f t="shared" si="1169"/>
        <v>8.1779438604649783</v>
      </c>
      <c r="U1417" s="580">
        <f t="shared" si="1169"/>
        <v>8.5868410534882269</v>
      </c>
      <c r="V1417" s="580">
        <f t="shared" si="1169"/>
        <v>9.0161831061626376</v>
      </c>
      <c r="W1417" s="580">
        <f t="shared" si="1169"/>
        <v>9.4669922614707716</v>
      </c>
      <c r="X1417" s="580">
        <f t="shared" si="1169"/>
        <v>9.9403418745443091</v>
      </c>
      <c r="Y1417" s="580">
        <f t="shared" si="1169"/>
        <v>10.437358968271525</v>
      </c>
      <c r="Z1417" s="580">
        <f t="shared" si="1169"/>
        <v>10.959226916685102</v>
      </c>
      <c r="AA1417" s="580"/>
      <c r="AB1417" s="580"/>
      <c r="AC1417" s="580"/>
      <c r="AD1417" s="580"/>
      <c r="AE1417" s="580"/>
      <c r="AF1417" s="580"/>
      <c r="AG1417" s="580"/>
      <c r="AH1417" s="580"/>
      <c r="AI1417" s="580"/>
      <c r="AJ1417" s="580"/>
      <c r="AL1417" s="976"/>
    </row>
    <row r="1418" spans="1:38" x14ac:dyDescent="0.25">
      <c r="A1418" t="s">
        <v>861</v>
      </c>
      <c r="E1418" t="s">
        <v>172</v>
      </c>
      <c r="H1418" s="574" t="s">
        <v>432</v>
      </c>
      <c r="I1418" s="575" t="str">
        <f t="shared" si="1164"/>
        <v>VND/phôi</v>
      </c>
      <c r="K1418" s="580"/>
      <c r="L1418" s="580">
        <f t="shared" ref="L1418:AJ1418" si="1170">-IF($H$9="USD",L1348/L1332/$H$10*10^3,L1348/L1332/$H$10)</f>
        <v>43.698284444459318</v>
      </c>
      <c r="M1418" s="580">
        <f t="shared" si="1170"/>
        <v>31.213060317470944</v>
      </c>
      <c r="N1418" s="580">
        <f t="shared" si="1170"/>
        <v>22.941599333341141</v>
      </c>
      <c r="O1418" s="580">
        <f t="shared" si="1170"/>
        <v>24.088679300008199</v>
      </c>
      <c r="P1418" s="580">
        <f t="shared" si="1170"/>
        <v>25.293113265008611</v>
      </c>
      <c r="Q1418" s="580">
        <f t="shared" si="1170"/>
        <v>26.557768928259037</v>
      </c>
      <c r="R1418" s="580">
        <f t="shared" si="1170"/>
        <v>27.88565737467199</v>
      </c>
      <c r="S1418" s="580">
        <f t="shared" si="1170"/>
        <v>29.279940243405587</v>
      </c>
      <c r="T1418" s="580">
        <f t="shared" si="1170"/>
        <v>30.743937255575872</v>
      </c>
      <c r="U1418" s="580">
        <f t="shared" si="1170"/>
        <v>32.281134118354665</v>
      </c>
      <c r="V1418" s="580">
        <f t="shared" si="1170"/>
        <v>33.895190824272397</v>
      </c>
      <c r="W1418" s="580">
        <f t="shared" si="1170"/>
        <v>35.589950365486018</v>
      </c>
      <c r="X1418" s="580">
        <f t="shared" si="1170"/>
        <v>37.369447883760323</v>
      </c>
      <c r="Y1418" s="580">
        <f t="shared" si="1170"/>
        <v>39.237920277948334</v>
      </c>
      <c r="Z1418" s="580">
        <f t="shared" si="1170"/>
        <v>41.199816291845757</v>
      </c>
      <c r="AA1418" s="580"/>
      <c r="AB1418" s="580"/>
      <c r="AC1418" s="580"/>
      <c r="AD1418" s="580"/>
      <c r="AE1418" s="580"/>
      <c r="AF1418" s="580"/>
      <c r="AG1418" s="580"/>
      <c r="AH1418" s="580"/>
      <c r="AI1418" s="580"/>
      <c r="AJ1418" s="580"/>
      <c r="AL1418" s="976"/>
    </row>
    <row r="1419" spans="1:38" x14ac:dyDescent="0.25">
      <c r="A1419" t="s">
        <v>861</v>
      </c>
      <c r="E1419" t="s">
        <v>172</v>
      </c>
      <c r="H1419" s="574" t="s">
        <v>433</v>
      </c>
      <c r="I1419" s="575" t="str">
        <f t="shared" si="1164"/>
        <v>VND/phôi</v>
      </c>
      <c r="K1419" s="580"/>
      <c r="L1419" s="580">
        <f t="shared" ref="L1419:AJ1419" si="1171">-IF($H$9="USD",L1349/L1332/$H$10*10^3,L1349/L1332/$H$10)</f>
        <v>2.6734795294229672</v>
      </c>
      <c r="M1419" s="580">
        <f t="shared" si="1171"/>
        <v>1.9096282353021197</v>
      </c>
      <c r="N1419" s="580">
        <f t="shared" si="1171"/>
        <v>1.4035767529470577</v>
      </c>
      <c r="O1419" s="580">
        <f t="shared" si="1171"/>
        <v>1.4737555905944109</v>
      </c>
      <c r="P1419" s="580">
        <f t="shared" si="1171"/>
        <v>1.5474433701241312</v>
      </c>
      <c r="Q1419" s="580">
        <f t="shared" si="1171"/>
        <v>1.624815538630338</v>
      </c>
      <c r="R1419" s="580">
        <f t="shared" si="1171"/>
        <v>1.7060563155618549</v>
      </c>
      <c r="S1419" s="580">
        <f t="shared" si="1171"/>
        <v>1.7913591313399475</v>
      </c>
      <c r="T1419" s="580">
        <f t="shared" si="1171"/>
        <v>1.8809270879069451</v>
      </c>
      <c r="U1419" s="580">
        <f t="shared" si="1171"/>
        <v>1.9749734423022924</v>
      </c>
      <c r="V1419" s="580">
        <f t="shared" si="1171"/>
        <v>2.0737221144174067</v>
      </c>
      <c r="W1419" s="580">
        <f t="shared" si="1171"/>
        <v>2.1774082201382772</v>
      </c>
      <c r="X1419" s="580">
        <f t="shared" si="1171"/>
        <v>2.2862786311451915</v>
      </c>
      <c r="Y1419" s="580">
        <f t="shared" si="1171"/>
        <v>2.4005925627024505</v>
      </c>
      <c r="Z1419" s="580">
        <f t="shared" si="1171"/>
        <v>2.5206221908375732</v>
      </c>
      <c r="AA1419" s="580"/>
      <c r="AB1419" s="580"/>
      <c r="AC1419" s="580"/>
      <c r="AD1419" s="580"/>
      <c r="AE1419" s="580"/>
      <c r="AF1419" s="580"/>
      <c r="AG1419" s="580"/>
      <c r="AH1419" s="580"/>
      <c r="AI1419" s="580"/>
      <c r="AJ1419" s="580"/>
      <c r="AL1419" s="976"/>
    </row>
    <row r="1420" spans="1:38" x14ac:dyDescent="0.25">
      <c r="A1420" t="s">
        <v>861</v>
      </c>
      <c r="E1420" t="s">
        <v>172</v>
      </c>
      <c r="H1420" s="574" t="s">
        <v>520</v>
      </c>
      <c r="I1420" s="575" t="str">
        <f t="shared" si="1164"/>
        <v>VND/phôi</v>
      </c>
      <c r="K1420" s="580"/>
      <c r="L1420" s="580">
        <f t="shared" ref="L1420:AJ1420" si="1172">-IF($H$9="USD",L1350/L1332/$H$10*10^3,L1350/L1332/$H$10)</f>
        <v>2.9132189629639549</v>
      </c>
      <c r="M1420" s="580">
        <f t="shared" si="1172"/>
        <v>2.0808706878313963</v>
      </c>
      <c r="N1420" s="580">
        <f t="shared" si="1172"/>
        <v>1.4566094814819774</v>
      </c>
      <c r="O1420" s="580">
        <f t="shared" si="1172"/>
        <v>1.4566094814819774</v>
      </c>
      <c r="P1420" s="580">
        <f t="shared" si="1172"/>
        <v>1.4566094814819774</v>
      </c>
      <c r="Q1420" s="580">
        <f t="shared" si="1172"/>
        <v>1.4566094814819774</v>
      </c>
      <c r="R1420" s="580">
        <f t="shared" si="1172"/>
        <v>1.4566094814819774</v>
      </c>
      <c r="S1420" s="580">
        <f t="shared" si="1172"/>
        <v>1.4566094814819774</v>
      </c>
      <c r="T1420" s="580">
        <f t="shared" si="1172"/>
        <v>1.4566094814819774</v>
      </c>
      <c r="U1420" s="580">
        <f t="shared" si="1172"/>
        <v>1.4566094814819774</v>
      </c>
      <c r="V1420" s="580">
        <f t="shared" si="1172"/>
        <v>1.4566094814819774</v>
      </c>
      <c r="W1420" s="580">
        <f t="shared" si="1172"/>
        <v>1.4566094814819774</v>
      </c>
      <c r="X1420" s="580">
        <f t="shared" si="1172"/>
        <v>1.4566094814819774</v>
      </c>
      <c r="Y1420" s="580">
        <f t="shared" si="1172"/>
        <v>1.4566094814819774</v>
      </c>
      <c r="Z1420" s="580">
        <f t="shared" si="1172"/>
        <v>1.4566094814819774</v>
      </c>
      <c r="AA1420" s="580"/>
      <c r="AB1420" s="580"/>
      <c r="AC1420" s="580"/>
      <c r="AD1420" s="580"/>
      <c r="AE1420" s="580"/>
      <c r="AF1420" s="580"/>
      <c r="AG1420" s="580"/>
      <c r="AH1420" s="580"/>
      <c r="AI1420" s="580"/>
      <c r="AJ1420" s="580"/>
      <c r="AL1420" s="976"/>
    </row>
    <row r="1421" spans="1:38" x14ac:dyDescent="0.25">
      <c r="A1421" t="s">
        <v>861</v>
      </c>
      <c r="H1421" s="289"/>
      <c r="I1421" s="290"/>
      <c r="K1421" s="294"/>
      <c r="L1421" s="294"/>
      <c r="M1421" s="294"/>
      <c r="N1421" s="294"/>
      <c r="O1421" s="294"/>
      <c r="P1421" s="294"/>
      <c r="Q1421" s="294"/>
      <c r="R1421" s="294"/>
      <c r="S1421" s="294"/>
      <c r="T1421" s="294"/>
      <c r="U1421" s="294"/>
      <c r="V1421" s="294"/>
      <c r="W1421" s="294"/>
      <c r="X1421" s="294"/>
      <c r="Y1421" s="294"/>
      <c r="Z1421" s="294"/>
      <c r="AA1421" s="294"/>
      <c r="AB1421" s="294"/>
      <c r="AC1421" s="294"/>
      <c r="AD1421" s="294"/>
      <c r="AE1421" s="294"/>
      <c r="AF1421" s="294"/>
      <c r="AG1421" s="294"/>
      <c r="AH1421" s="294"/>
      <c r="AI1421" s="294"/>
      <c r="AJ1421" s="294"/>
      <c r="AL1421" s="976"/>
    </row>
    <row r="1422" spans="1:38" s="1" customFormat="1" x14ac:dyDescent="0.25">
      <c r="A1422" s="1" t="s">
        <v>861</v>
      </c>
      <c r="H1422" s="287" t="s">
        <v>435</v>
      </c>
      <c r="I1422" s="288" t="str">
        <f t="shared" ref="I1422:I1446" si="1173">IF($H$9="USD","USD/1.000 phôi","VND/phôi")</f>
        <v>VND/phôi</v>
      </c>
      <c r="K1422" s="295">
        <f>K1423+K1426+K1429</f>
        <v>0</v>
      </c>
      <c r="L1422" s="295">
        <f t="shared" ref="L1422:AJ1422" si="1174">L1423+L1426+L1429</f>
        <v>447.97280830234058</v>
      </c>
      <c r="M1422" s="295">
        <f t="shared" si="1174"/>
        <v>445.55671693894794</v>
      </c>
      <c r="N1422" s="295">
        <f t="shared" si="1174"/>
        <v>453.73016413996498</v>
      </c>
      <c r="O1422" s="295">
        <f t="shared" si="1174"/>
        <v>463.97340726260791</v>
      </c>
      <c r="P1422" s="295">
        <f t="shared" si="1174"/>
        <v>474.48243318654426</v>
      </c>
      <c r="Q1422" s="295">
        <f t="shared" si="1174"/>
        <v>485.26560346474207</v>
      </c>
      <c r="R1422" s="295">
        <f t="shared" si="1174"/>
        <v>496.33159917607549</v>
      </c>
      <c r="S1422" s="295">
        <f t="shared" si="1174"/>
        <v>507.68943493058595</v>
      </c>
      <c r="T1422" s="295">
        <f t="shared" si="1174"/>
        <v>519.34847353558439</v>
      </c>
      <c r="U1422" s="295">
        <f t="shared" si="1174"/>
        <v>531.31844135485039</v>
      </c>
      <c r="V1422" s="295">
        <f t="shared" si="1174"/>
        <v>543.60944439477828</v>
      </c>
      <c r="W1422" s="295">
        <f t="shared" si="1174"/>
        <v>556.2319851529943</v>
      </c>
      <c r="X1422" s="295">
        <f t="shared" si="1174"/>
        <v>566.76929779760246</v>
      </c>
      <c r="Y1422" s="295">
        <f t="shared" si="1174"/>
        <v>580.08809653100502</v>
      </c>
      <c r="Z1422" s="295">
        <f t="shared" si="1174"/>
        <v>593.77250014232709</v>
      </c>
      <c r="AA1422" s="295"/>
      <c r="AB1422" s="295"/>
      <c r="AC1422" s="295"/>
      <c r="AD1422" s="295"/>
      <c r="AE1422" s="295"/>
      <c r="AF1422" s="295"/>
      <c r="AG1422" s="295"/>
      <c r="AH1422" s="295"/>
      <c r="AI1422" s="295"/>
      <c r="AJ1422" s="295"/>
      <c r="AL1422" s="220"/>
    </row>
    <row r="1423" spans="1:38" x14ac:dyDescent="0.25">
      <c r="A1423" t="s">
        <v>861</v>
      </c>
      <c r="H1423" s="572" t="s">
        <v>454</v>
      </c>
      <c r="I1423" s="573" t="str">
        <f t="shared" si="1173"/>
        <v>VND/phôi</v>
      </c>
      <c r="K1423" s="582">
        <f>SUM(K1424:K1425)</f>
        <v>0</v>
      </c>
      <c r="L1423" s="582">
        <f t="shared" ref="L1423:AJ1423" si="1175">SUM(L1424:L1425)</f>
        <v>402.58064516129031</v>
      </c>
      <c r="M1423" s="582">
        <f t="shared" si="1175"/>
        <v>402.58064516129042</v>
      </c>
      <c r="N1423" s="582">
        <f t="shared" si="1175"/>
        <v>410.63225806451618</v>
      </c>
      <c r="O1423" s="582">
        <f t="shared" si="1175"/>
        <v>418.84490322580649</v>
      </c>
      <c r="P1423" s="582">
        <f t="shared" si="1175"/>
        <v>427.22180129032256</v>
      </c>
      <c r="Q1423" s="582">
        <f t="shared" si="1175"/>
        <v>435.76623731612904</v>
      </c>
      <c r="R1423" s="582">
        <f t="shared" si="1175"/>
        <v>444.48156206245164</v>
      </c>
      <c r="S1423" s="582">
        <f t="shared" si="1175"/>
        <v>453.37119330370069</v>
      </c>
      <c r="T1423" s="582">
        <f t="shared" si="1175"/>
        <v>462.4386171697746</v>
      </c>
      <c r="U1423" s="582">
        <f t="shared" si="1175"/>
        <v>471.68738951317005</v>
      </c>
      <c r="V1423" s="582">
        <f t="shared" si="1175"/>
        <v>481.12113730343356</v>
      </c>
      <c r="W1423" s="582">
        <f t="shared" si="1175"/>
        <v>490.74356004950221</v>
      </c>
      <c r="X1423" s="582">
        <f t="shared" si="1175"/>
        <v>500.55843125049216</v>
      </c>
      <c r="Y1423" s="582">
        <f t="shared" si="1175"/>
        <v>510.56959987550215</v>
      </c>
      <c r="Z1423" s="582">
        <f t="shared" si="1175"/>
        <v>520.78099187301211</v>
      </c>
      <c r="AA1423" s="582"/>
      <c r="AB1423" s="582"/>
      <c r="AC1423" s="582"/>
      <c r="AD1423" s="582"/>
      <c r="AE1423" s="582"/>
      <c r="AF1423" s="582"/>
      <c r="AG1423" s="582"/>
      <c r="AH1423" s="582"/>
      <c r="AI1423" s="582"/>
      <c r="AJ1423" s="582"/>
      <c r="AL1423" s="222"/>
    </row>
    <row r="1424" spans="1:38" s="299" customFormat="1" x14ac:dyDescent="0.25">
      <c r="A1424" s="299" t="s">
        <v>861</v>
      </c>
      <c r="E1424" s="299" t="s">
        <v>536</v>
      </c>
      <c r="H1424" s="576" t="s">
        <v>167</v>
      </c>
      <c r="I1424" s="577" t="str">
        <f t="shared" si="1173"/>
        <v>VND/phôi</v>
      </c>
      <c r="K1424" s="581"/>
      <c r="L1424" s="581">
        <f>-IF($H$9="USD",L1354/L1332/$H$10*10^3,L1354/L1332/$H$10)</f>
        <v>374.4</v>
      </c>
      <c r="M1424" s="581">
        <f t="shared" ref="M1424:AJ1424" si="1176">-IF($H$9="USD",M1354/M1332/$H$10*10^3,M1354/M1332/$H$10)</f>
        <v>374.40000000000003</v>
      </c>
      <c r="N1424" s="581">
        <f t="shared" si="1176"/>
        <v>381.88799999999998</v>
      </c>
      <c r="O1424" s="581">
        <f t="shared" si="1176"/>
        <v>389.52575999999999</v>
      </c>
      <c r="P1424" s="581">
        <f t="shared" si="1176"/>
        <v>397.31627519999995</v>
      </c>
      <c r="Q1424" s="581">
        <f t="shared" si="1176"/>
        <v>405.26260070400002</v>
      </c>
      <c r="R1424" s="581">
        <f t="shared" si="1176"/>
        <v>413.36785271808003</v>
      </c>
      <c r="S1424" s="581">
        <f t="shared" si="1176"/>
        <v>421.63520977244161</v>
      </c>
      <c r="T1424" s="581">
        <f t="shared" si="1176"/>
        <v>430.06791396789032</v>
      </c>
      <c r="U1424" s="581">
        <f t="shared" si="1176"/>
        <v>438.66927224724816</v>
      </c>
      <c r="V1424" s="581">
        <f t="shared" si="1176"/>
        <v>447.44265769219317</v>
      </c>
      <c r="W1424" s="581">
        <f t="shared" si="1176"/>
        <v>456.39151084603702</v>
      </c>
      <c r="X1424" s="581">
        <f t="shared" si="1176"/>
        <v>465.51934106295772</v>
      </c>
      <c r="Y1424" s="581">
        <f t="shared" si="1176"/>
        <v>474.82972788421694</v>
      </c>
      <c r="Z1424" s="581">
        <f t="shared" si="1176"/>
        <v>484.32632244190125</v>
      </c>
      <c r="AA1424" s="581"/>
      <c r="AB1424" s="581"/>
      <c r="AC1424" s="581"/>
      <c r="AD1424" s="581"/>
      <c r="AE1424" s="581"/>
      <c r="AF1424" s="581"/>
      <c r="AG1424" s="581"/>
      <c r="AH1424" s="581"/>
      <c r="AI1424" s="581"/>
      <c r="AJ1424" s="581"/>
      <c r="AL1424" s="982"/>
    </row>
    <row r="1425" spans="1:38" s="299" customFormat="1" x14ac:dyDescent="0.25">
      <c r="A1425" s="299" t="s">
        <v>861</v>
      </c>
      <c r="E1425" s="299" t="s">
        <v>537</v>
      </c>
      <c r="H1425" s="645" t="s">
        <v>203</v>
      </c>
      <c r="I1425" s="646" t="str">
        <f t="shared" si="1173"/>
        <v>VND/phôi</v>
      </c>
      <c r="K1425" s="647"/>
      <c r="L1425" s="647">
        <f>-IF($H$9="USD",L1355/L1332/$H$10*10^3,L1355/L1332/$H$10)</f>
        <v>28.180645161290336</v>
      </c>
      <c r="M1425" s="647">
        <f t="shared" ref="M1425:AJ1425" si="1177">-IF($H$9="USD",M1355/M1332/$H$10*10^3,M1355/M1332/$H$10)</f>
        <v>28.180645161290371</v>
      </c>
      <c r="N1425" s="647">
        <f t="shared" si="1177"/>
        <v>28.744258064516178</v>
      </c>
      <c r="O1425" s="647">
        <f t="shared" si="1177"/>
        <v>29.319143225806506</v>
      </c>
      <c r="P1425" s="647">
        <f t="shared" si="1177"/>
        <v>29.905526090322624</v>
      </c>
      <c r="Q1425" s="647">
        <f t="shared" si="1177"/>
        <v>30.503636612129036</v>
      </c>
      <c r="R1425" s="647">
        <f t="shared" si="1177"/>
        <v>31.113709344371639</v>
      </c>
      <c r="S1425" s="647">
        <f t="shared" si="1177"/>
        <v>31.735983531259077</v>
      </c>
      <c r="T1425" s="647">
        <f t="shared" si="1177"/>
        <v>32.370703201884282</v>
      </c>
      <c r="U1425" s="647">
        <f t="shared" si="1177"/>
        <v>33.018117265921916</v>
      </c>
      <c r="V1425" s="647">
        <f t="shared" si="1177"/>
        <v>33.678479611240391</v>
      </c>
      <c r="W1425" s="647">
        <f t="shared" si="1177"/>
        <v>34.352049203465171</v>
      </c>
      <c r="X1425" s="647">
        <f t="shared" si="1177"/>
        <v>35.039090187534455</v>
      </c>
      <c r="Y1425" s="647">
        <f t="shared" si="1177"/>
        <v>35.739871991285206</v>
      </c>
      <c r="Z1425" s="647">
        <f t="shared" si="1177"/>
        <v>36.454669431110879</v>
      </c>
      <c r="AA1425" s="647"/>
      <c r="AB1425" s="647"/>
      <c r="AC1425" s="647"/>
      <c r="AD1425" s="647"/>
      <c r="AE1425" s="647"/>
      <c r="AF1425" s="647"/>
      <c r="AG1425" s="647"/>
      <c r="AH1425" s="647"/>
      <c r="AI1425" s="647"/>
      <c r="AJ1425" s="647"/>
      <c r="AL1425" s="982"/>
    </row>
    <row r="1426" spans="1:38" x14ac:dyDescent="0.25">
      <c r="A1426" t="s">
        <v>861</v>
      </c>
      <c r="E1426" t="s">
        <v>177</v>
      </c>
      <c r="H1426" s="574" t="s">
        <v>676</v>
      </c>
      <c r="I1426" s="575" t="str">
        <f t="shared" si="1173"/>
        <v>VND/phôi</v>
      </c>
      <c r="K1426" s="583">
        <f>SUM(K1427:K1428)</f>
        <v>0</v>
      </c>
      <c r="L1426" s="583">
        <f t="shared" ref="L1426:AJ1426" si="1178">SUM(L1427:L1428)</f>
        <v>3.0630387096774192</v>
      </c>
      <c r="M1426" s="583">
        <f t="shared" si="1178"/>
        <v>3.0630387096774196</v>
      </c>
      <c r="N1426" s="583">
        <f t="shared" si="1178"/>
        <v>3.2161906451612912</v>
      </c>
      <c r="O1426" s="583">
        <f t="shared" si="1178"/>
        <v>3.377000177419355</v>
      </c>
      <c r="P1426" s="583">
        <f t="shared" si="1178"/>
        <v>3.5458501862903229</v>
      </c>
      <c r="Q1426" s="583">
        <f t="shared" si="1178"/>
        <v>3.7231426956048392</v>
      </c>
      <c r="R1426" s="583">
        <f t="shared" si="1178"/>
        <v>3.9092998303850814</v>
      </c>
      <c r="S1426" s="583">
        <f t="shared" si="1178"/>
        <v>4.1047648219043342</v>
      </c>
      <c r="T1426" s="583">
        <f t="shared" si="1178"/>
        <v>4.3100030629995523</v>
      </c>
      <c r="U1426" s="583">
        <f t="shared" si="1178"/>
        <v>4.525503216149529</v>
      </c>
      <c r="V1426" s="583">
        <f t="shared" si="1178"/>
        <v>4.7517783769570059</v>
      </c>
      <c r="W1426" s="583">
        <f t="shared" si="1178"/>
        <v>4.9893672958048558</v>
      </c>
      <c r="X1426" s="583">
        <f t="shared" si="1178"/>
        <v>5.2388356605950994</v>
      </c>
      <c r="Y1426" s="583">
        <f t="shared" si="1178"/>
        <v>5.5007774436248544</v>
      </c>
      <c r="Z1426" s="583">
        <f t="shared" si="1178"/>
        <v>5.7758163158060976</v>
      </c>
      <c r="AA1426" s="583"/>
      <c r="AB1426" s="583"/>
      <c r="AC1426" s="583"/>
      <c r="AD1426" s="583"/>
      <c r="AE1426" s="583"/>
      <c r="AF1426" s="583"/>
      <c r="AG1426" s="583"/>
      <c r="AH1426" s="583"/>
      <c r="AI1426" s="583"/>
      <c r="AJ1426" s="583"/>
      <c r="AL1426" s="222"/>
    </row>
    <row r="1427" spans="1:38" s="299" customFormat="1" x14ac:dyDescent="0.25">
      <c r="A1427" s="299" t="s">
        <v>861</v>
      </c>
      <c r="H1427" s="576" t="s">
        <v>673</v>
      </c>
      <c r="I1427" s="577" t="str">
        <f t="shared" si="1173"/>
        <v>VND/phôi</v>
      </c>
      <c r="K1427" s="581"/>
      <c r="L1427" s="581">
        <f>-IF($H$9="USD",L1357/L1332/$H$10*10^3,L1357/L1332/$H$10)</f>
        <v>3.0630387096774192</v>
      </c>
      <c r="M1427" s="581">
        <f t="shared" ref="M1427:AJ1427" si="1179">-IF($H$9="USD",M1357/M1332/$H$10*10^3,M1357/M1332/$H$10)</f>
        <v>3.0630387096774196</v>
      </c>
      <c r="N1427" s="581">
        <f t="shared" si="1179"/>
        <v>3.2161906451612912</v>
      </c>
      <c r="O1427" s="581">
        <f t="shared" si="1179"/>
        <v>3.377000177419355</v>
      </c>
      <c r="P1427" s="581">
        <f t="shared" si="1179"/>
        <v>3.5458501862903229</v>
      </c>
      <c r="Q1427" s="581">
        <f t="shared" si="1179"/>
        <v>3.7231426956048392</v>
      </c>
      <c r="R1427" s="581">
        <f t="shared" si="1179"/>
        <v>3.9092998303850814</v>
      </c>
      <c r="S1427" s="581">
        <f t="shared" si="1179"/>
        <v>4.1047648219043342</v>
      </c>
      <c r="T1427" s="581">
        <f t="shared" si="1179"/>
        <v>4.3100030629995523</v>
      </c>
      <c r="U1427" s="581">
        <f t="shared" si="1179"/>
        <v>4.525503216149529</v>
      </c>
      <c r="V1427" s="581">
        <f t="shared" si="1179"/>
        <v>4.7517783769570059</v>
      </c>
      <c r="W1427" s="581">
        <f t="shared" si="1179"/>
        <v>4.9893672958048558</v>
      </c>
      <c r="X1427" s="581">
        <f t="shared" si="1179"/>
        <v>5.2388356605950994</v>
      </c>
      <c r="Y1427" s="581">
        <f t="shared" si="1179"/>
        <v>5.5007774436248544</v>
      </c>
      <c r="Z1427" s="581">
        <f t="shared" si="1179"/>
        <v>5.7758163158060976</v>
      </c>
      <c r="AA1427" s="581"/>
      <c r="AB1427" s="581"/>
      <c r="AC1427" s="581"/>
      <c r="AD1427" s="581"/>
      <c r="AE1427" s="581"/>
      <c r="AF1427" s="581"/>
      <c r="AG1427" s="581"/>
      <c r="AH1427" s="581"/>
      <c r="AI1427" s="581"/>
      <c r="AJ1427" s="581"/>
      <c r="AL1427" s="982"/>
    </row>
    <row r="1428" spans="1:38" s="299" customFormat="1" x14ac:dyDescent="0.25">
      <c r="A1428" s="299" t="s">
        <v>861</v>
      </c>
      <c r="H1428" s="576" t="s">
        <v>674</v>
      </c>
      <c r="I1428" s="577" t="str">
        <f t="shared" si="1173"/>
        <v>VND/phôi</v>
      </c>
      <c r="K1428" s="581"/>
      <c r="L1428" s="581">
        <f>-IF($H$9="USD",L1358/L1332/$H$10*10^3,L1358/L1332/$H$10)</f>
        <v>0</v>
      </c>
      <c r="M1428" s="581">
        <f t="shared" ref="M1428:AJ1428" si="1180">-IF($H$9="USD",M1358/M1332/$H$10*10^3,M1358/M1332/$H$10)</f>
        <v>0</v>
      </c>
      <c r="N1428" s="581">
        <f t="shared" si="1180"/>
        <v>0</v>
      </c>
      <c r="O1428" s="581">
        <f t="shared" si="1180"/>
        <v>0</v>
      </c>
      <c r="P1428" s="581">
        <f t="shared" si="1180"/>
        <v>0</v>
      </c>
      <c r="Q1428" s="581">
        <f t="shared" si="1180"/>
        <v>0</v>
      </c>
      <c r="R1428" s="581">
        <f t="shared" si="1180"/>
        <v>0</v>
      </c>
      <c r="S1428" s="581">
        <f t="shared" si="1180"/>
        <v>0</v>
      </c>
      <c r="T1428" s="581">
        <f t="shared" si="1180"/>
        <v>0</v>
      </c>
      <c r="U1428" s="581">
        <f t="shared" si="1180"/>
        <v>0</v>
      </c>
      <c r="V1428" s="581">
        <f t="shared" si="1180"/>
        <v>0</v>
      </c>
      <c r="W1428" s="581">
        <f t="shared" si="1180"/>
        <v>0</v>
      </c>
      <c r="X1428" s="581">
        <f t="shared" si="1180"/>
        <v>0</v>
      </c>
      <c r="Y1428" s="581">
        <f t="shared" si="1180"/>
        <v>0</v>
      </c>
      <c r="Z1428" s="581">
        <f t="shared" si="1180"/>
        <v>0</v>
      </c>
      <c r="AA1428" s="581"/>
      <c r="AB1428" s="581"/>
      <c r="AC1428" s="581"/>
      <c r="AD1428" s="581"/>
      <c r="AE1428" s="581"/>
      <c r="AF1428" s="581"/>
      <c r="AG1428" s="581"/>
      <c r="AH1428" s="581"/>
      <c r="AI1428" s="581"/>
      <c r="AJ1428" s="581"/>
      <c r="AL1428" s="982"/>
    </row>
    <row r="1429" spans="1:38" x14ac:dyDescent="0.25">
      <c r="A1429" t="s">
        <v>861</v>
      </c>
      <c r="H1429" s="574" t="s">
        <v>180</v>
      </c>
      <c r="I1429" s="575" t="str">
        <f t="shared" si="1173"/>
        <v>VND/phôi</v>
      </c>
      <c r="K1429" s="583">
        <f>SUM(K1430:K1432)</f>
        <v>0</v>
      </c>
      <c r="L1429" s="583">
        <f>SUM(L1430:L1432)</f>
        <v>42.329124431372861</v>
      </c>
      <c r="M1429" s="583">
        <f t="shared" ref="M1429:AJ1429" si="1181">SUM(M1430:M1432)</f>
        <v>39.913033067980095</v>
      </c>
      <c r="N1429" s="583">
        <f t="shared" si="1181"/>
        <v>39.881715430287514</v>
      </c>
      <c r="O1429" s="583">
        <f t="shared" si="1181"/>
        <v>41.75150385938209</v>
      </c>
      <c r="P1429" s="583">
        <f t="shared" si="1181"/>
        <v>43.714781709931408</v>
      </c>
      <c r="Q1429" s="583">
        <f t="shared" si="1181"/>
        <v>45.776223453008171</v>
      </c>
      <c r="R1429" s="583">
        <f t="shared" si="1181"/>
        <v>47.940737283238796</v>
      </c>
      <c r="S1429" s="583">
        <f t="shared" si="1181"/>
        <v>50.213476804980935</v>
      </c>
      <c r="T1429" s="583">
        <f t="shared" si="1181"/>
        <v>52.599853302810196</v>
      </c>
      <c r="U1429" s="583">
        <f t="shared" si="1181"/>
        <v>55.105548625530901</v>
      </c>
      <c r="V1429" s="583">
        <f t="shared" si="1181"/>
        <v>57.736528714387653</v>
      </c>
      <c r="W1429" s="583">
        <f t="shared" si="1181"/>
        <v>60.499057807687244</v>
      </c>
      <c r="X1429" s="583">
        <f t="shared" si="1181"/>
        <v>60.972030886515178</v>
      </c>
      <c r="Y1429" s="583">
        <f t="shared" si="1181"/>
        <v>64.01771921187796</v>
      </c>
      <c r="Z1429" s="583">
        <f t="shared" si="1181"/>
        <v>67.215691953508923</v>
      </c>
      <c r="AA1429" s="583"/>
      <c r="AB1429" s="583"/>
      <c r="AC1429" s="583"/>
      <c r="AD1429" s="583"/>
      <c r="AE1429" s="583"/>
      <c r="AF1429" s="583"/>
      <c r="AG1429" s="583"/>
      <c r="AH1429" s="583"/>
      <c r="AI1429" s="583"/>
      <c r="AJ1429" s="583"/>
      <c r="AL1429" s="222"/>
    </row>
    <row r="1430" spans="1:38" s="299" customFormat="1" x14ac:dyDescent="0.25">
      <c r="A1430" s="299" t="s">
        <v>861</v>
      </c>
      <c r="E1430" s="299" t="s">
        <v>174</v>
      </c>
      <c r="H1430" s="576" t="s">
        <v>73</v>
      </c>
      <c r="I1430" s="577" t="str">
        <f t="shared" si="1173"/>
        <v>VND/phôi</v>
      </c>
      <c r="K1430" s="581"/>
      <c r="L1430" s="581">
        <f t="shared" ref="L1430:AJ1430" si="1182">-IF($H$9="USD",L1360/L1332/$H$10*10^3,L1360/L1332/$H$10)</f>
        <v>27.847782258064516</v>
      </c>
      <c r="M1430" s="581">
        <f t="shared" si="1182"/>
        <v>27.847782258064512</v>
      </c>
      <c r="N1430" s="581">
        <f t="shared" si="1182"/>
        <v>29.24017137096774</v>
      </c>
      <c r="O1430" s="581">
        <f t="shared" si="1182"/>
        <v>30.702179939516128</v>
      </c>
      <c r="P1430" s="581">
        <f t="shared" si="1182"/>
        <v>32.237288936491936</v>
      </c>
      <c r="Q1430" s="581">
        <f t="shared" si="1182"/>
        <v>33.849153383316526</v>
      </c>
      <c r="R1430" s="581">
        <f t="shared" si="1182"/>
        <v>35.541611052482359</v>
      </c>
      <c r="S1430" s="581">
        <f t="shared" si="1182"/>
        <v>37.318691605106473</v>
      </c>
      <c r="T1430" s="581">
        <f t="shared" si="1182"/>
        <v>39.1846261853618</v>
      </c>
      <c r="U1430" s="581">
        <f t="shared" si="1182"/>
        <v>41.143857494629891</v>
      </c>
      <c r="V1430" s="581">
        <f t="shared" si="1182"/>
        <v>43.201050369361383</v>
      </c>
      <c r="W1430" s="581">
        <f t="shared" si="1182"/>
        <v>45.36110288782946</v>
      </c>
      <c r="X1430" s="581">
        <f t="shared" si="1182"/>
        <v>47.629158032220928</v>
      </c>
      <c r="Y1430" s="581">
        <f t="shared" si="1182"/>
        <v>50.010615933831971</v>
      </c>
      <c r="Z1430" s="581">
        <f t="shared" si="1182"/>
        <v>52.511146730523578</v>
      </c>
      <c r="AA1430" s="581"/>
      <c r="AB1430" s="581"/>
      <c r="AC1430" s="581"/>
      <c r="AD1430" s="581"/>
      <c r="AE1430" s="581"/>
      <c r="AF1430" s="581"/>
      <c r="AG1430" s="581"/>
      <c r="AH1430" s="581"/>
      <c r="AI1430" s="581"/>
      <c r="AJ1430" s="581"/>
      <c r="AL1430" s="982"/>
    </row>
    <row r="1431" spans="1:38" s="299" customFormat="1" x14ac:dyDescent="0.25">
      <c r="A1431" s="299" t="s">
        <v>861</v>
      </c>
      <c r="E1431" s="299" t="s">
        <v>306</v>
      </c>
      <c r="H1431" s="576" t="s">
        <v>192</v>
      </c>
      <c r="I1431" s="577" t="str">
        <f t="shared" si="1173"/>
        <v>VND/phôi</v>
      </c>
      <c r="K1431" s="581"/>
      <c r="L1431" s="581">
        <f t="shared" ref="L1431:AJ1431" si="1183">-IF($H$9="USD",L1361/L1332/$H$10*10^3,L1361/L1332/$H$10)</f>
        <v>4.7222222222222214</v>
      </c>
      <c r="M1431" s="581">
        <f t="shared" si="1183"/>
        <v>4.7222222222222214</v>
      </c>
      <c r="N1431" s="581">
        <f t="shared" si="1183"/>
        <v>4.958333333333333</v>
      </c>
      <c r="O1431" s="581">
        <f t="shared" si="1183"/>
        <v>5.2062499999999998</v>
      </c>
      <c r="P1431" s="581">
        <f t="shared" si="1183"/>
        <v>5.4665624999999993</v>
      </c>
      <c r="Q1431" s="581">
        <f t="shared" si="1183"/>
        <v>5.7398906249999992</v>
      </c>
      <c r="R1431" s="581">
        <f t="shared" si="1183"/>
        <v>6.0268851562500005</v>
      </c>
      <c r="S1431" s="581">
        <f t="shared" si="1183"/>
        <v>6.3282294140624984</v>
      </c>
      <c r="T1431" s="581">
        <f t="shared" si="1183"/>
        <v>6.6446408847656251</v>
      </c>
      <c r="U1431" s="581">
        <f t="shared" si="1183"/>
        <v>6.976872929003906</v>
      </c>
      <c r="V1431" s="581">
        <f t="shared" si="1183"/>
        <v>7.3257165754541012</v>
      </c>
      <c r="W1431" s="581">
        <f t="shared" si="1183"/>
        <v>7.6920024042268071</v>
      </c>
      <c r="X1431" s="581">
        <f t="shared" si="1183"/>
        <v>8.0766025244381474</v>
      </c>
      <c r="Y1431" s="581">
        <f t="shared" si="1183"/>
        <v>8.4804326506600525</v>
      </c>
      <c r="Z1431" s="581">
        <f t="shared" si="1183"/>
        <v>8.9044542831930595</v>
      </c>
      <c r="AA1431" s="581"/>
      <c r="AB1431" s="581"/>
      <c r="AC1431" s="581"/>
      <c r="AD1431" s="581"/>
      <c r="AE1431" s="581"/>
      <c r="AF1431" s="581"/>
      <c r="AG1431" s="581"/>
      <c r="AH1431" s="581"/>
      <c r="AI1431" s="581"/>
      <c r="AJ1431" s="581"/>
      <c r="AL1431" s="982"/>
    </row>
    <row r="1432" spans="1:38" s="299" customFormat="1" x14ac:dyDescent="0.25">
      <c r="A1432" s="299" t="s">
        <v>861</v>
      </c>
      <c r="E1432" s="299" t="s">
        <v>172</v>
      </c>
      <c r="H1432" s="576" t="s">
        <v>175</v>
      </c>
      <c r="I1432" s="577" t="str">
        <f t="shared" si="1173"/>
        <v>VND/phôi</v>
      </c>
      <c r="K1432" s="581"/>
      <c r="L1432" s="581">
        <f t="shared" ref="L1432:AJ1432" si="1184">-IF($H$9="USD",L1362/L1332/$H$10*10^3,L1362/L1332/$H$10)</f>
        <v>9.7591199510861202</v>
      </c>
      <c r="M1432" s="581">
        <f t="shared" si="1184"/>
        <v>7.3430285876933645</v>
      </c>
      <c r="N1432" s="581">
        <f t="shared" si="1184"/>
        <v>5.6832107259864406</v>
      </c>
      <c r="O1432" s="581">
        <f t="shared" si="1184"/>
        <v>5.8430739198659678</v>
      </c>
      <c r="P1432" s="581">
        <f t="shared" si="1184"/>
        <v>6.0109302734394703</v>
      </c>
      <c r="Q1432" s="581">
        <f t="shared" si="1184"/>
        <v>6.1871794446916475</v>
      </c>
      <c r="R1432" s="581">
        <f t="shared" si="1184"/>
        <v>6.3722410745064346</v>
      </c>
      <c r="S1432" s="581">
        <f t="shared" si="1184"/>
        <v>6.5665557858119614</v>
      </c>
      <c r="T1432" s="581">
        <f t="shared" si="1184"/>
        <v>6.7705862326827644</v>
      </c>
      <c r="U1432" s="581">
        <f t="shared" si="1184"/>
        <v>6.9848182018971068</v>
      </c>
      <c r="V1432" s="581">
        <f t="shared" si="1184"/>
        <v>7.2097617695721654</v>
      </c>
      <c r="W1432" s="581">
        <f t="shared" si="1184"/>
        <v>7.4459525156309789</v>
      </c>
      <c r="X1432" s="581">
        <f t="shared" si="1184"/>
        <v>5.2662703298561038</v>
      </c>
      <c r="Y1432" s="581">
        <f t="shared" si="1184"/>
        <v>5.5266706273859452</v>
      </c>
      <c r="Z1432" s="581">
        <f t="shared" si="1184"/>
        <v>5.8000909397922804</v>
      </c>
      <c r="AA1432" s="581"/>
      <c r="AB1432" s="581"/>
      <c r="AC1432" s="581"/>
      <c r="AD1432" s="581"/>
      <c r="AE1432" s="581"/>
      <c r="AF1432" s="581"/>
      <c r="AG1432" s="581"/>
      <c r="AH1432" s="581"/>
      <c r="AI1432" s="581"/>
      <c r="AJ1432" s="581"/>
      <c r="AL1432" s="982"/>
    </row>
    <row r="1433" spans="1:38" x14ac:dyDescent="0.25">
      <c r="A1433" t="s">
        <v>861</v>
      </c>
      <c r="H1433" s="289"/>
      <c r="I1433" s="290"/>
      <c r="K1433" s="296"/>
      <c r="L1433" s="297"/>
      <c r="M1433" s="296"/>
      <c r="N1433" s="296"/>
      <c r="O1433" s="296"/>
      <c r="P1433" s="296"/>
      <c r="Q1433" s="296"/>
      <c r="R1433" s="296"/>
      <c r="S1433" s="296"/>
      <c r="T1433" s="296"/>
      <c r="U1433" s="296"/>
      <c r="V1433" s="296"/>
      <c r="W1433" s="296"/>
      <c r="X1433" s="296"/>
      <c r="Y1433" s="296"/>
      <c r="Z1433" s="296"/>
      <c r="AA1433" s="296"/>
      <c r="AB1433" s="296"/>
      <c r="AC1433" s="296"/>
      <c r="AD1433" s="296"/>
      <c r="AE1433" s="296"/>
      <c r="AF1433" s="296"/>
      <c r="AG1433" s="296"/>
      <c r="AH1433" s="296"/>
      <c r="AI1433" s="296"/>
      <c r="AJ1433" s="296"/>
      <c r="AL1433" s="983"/>
    </row>
    <row r="1434" spans="1:38" s="16" customFormat="1" x14ac:dyDescent="0.25">
      <c r="A1434" s="16" t="s">
        <v>861</v>
      </c>
      <c r="H1434" s="291" t="s">
        <v>464</v>
      </c>
      <c r="I1434" s="292" t="str">
        <f t="shared" si="1173"/>
        <v>VND/phôi</v>
      </c>
      <c r="K1434" s="298">
        <f>K1412+K1422</f>
        <v>0</v>
      </c>
      <c r="L1434" s="298">
        <f t="shared" ref="L1434:AJ1434" si="1185">L1412+L1422</f>
        <v>659.38080259920685</v>
      </c>
      <c r="M1434" s="298">
        <f t="shared" si="1185"/>
        <v>596.56242715099529</v>
      </c>
      <c r="N1434" s="298">
        <f t="shared" si="1185"/>
        <v>561.61192758532491</v>
      </c>
      <c r="O1434" s="298">
        <f t="shared" si="1185"/>
        <v>574.14182531974097</v>
      </c>
      <c r="P1434" s="298">
        <f t="shared" si="1185"/>
        <v>587.05183858603903</v>
      </c>
      <c r="Q1434" s="298">
        <f t="shared" si="1185"/>
        <v>600.35604557371676</v>
      </c>
      <c r="R1434" s="298">
        <f t="shared" si="1185"/>
        <v>614.06912983000393</v>
      </c>
      <c r="S1434" s="298">
        <f t="shared" si="1185"/>
        <v>628.20640855671604</v>
      </c>
      <c r="T1434" s="298">
        <f t="shared" si="1185"/>
        <v>642.783862282526</v>
      </c>
      <c r="U1434" s="298">
        <f t="shared" si="1185"/>
        <v>657.81816597864429</v>
      </c>
      <c r="V1434" s="298">
        <f t="shared" si="1185"/>
        <v>673.32672168926695</v>
      </c>
      <c r="W1434" s="298">
        <f t="shared" si="1185"/>
        <v>689.32769275171256</v>
      </c>
      <c r="X1434" s="298">
        <f t="shared" si="1185"/>
        <v>642.72029548734599</v>
      </c>
      <c r="Y1434" s="298">
        <f t="shared" si="1185"/>
        <v>659.76381363116161</v>
      </c>
      <c r="Z1434" s="298">
        <f t="shared" si="1185"/>
        <v>677.35917262341741</v>
      </c>
      <c r="AA1434" s="298"/>
      <c r="AB1434" s="298"/>
      <c r="AC1434" s="298"/>
      <c r="AD1434" s="298"/>
      <c r="AE1434" s="298"/>
      <c r="AF1434" s="298"/>
      <c r="AG1434" s="298"/>
      <c r="AH1434" s="298"/>
      <c r="AI1434" s="298"/>
      <c r="AJ1434" s="298"/>
      <c r="AL1434" s="223"/>
    </row>
    <row r="1435" spans="1:38" x14ac:dyDescent="0.25">
      <c r="A1435" t="s">
        <v>861</v>
      </c>
      <c r="H1435" s="289"/>
      <c r="I1435" s="290"/>
      <c r="K1435" s="296"/>
      <c r="L1435" s="296"/>
      <c r="M1435" s="296"/>
      <c r="N1435" s="296"/>
      <c r="O1435" s="296"/>
      <c r="P1435" s="296"/>
      <c r="Q1435" s="296"/>
      <c r="R1435" s="296"/>
      <c r="S1435" s="296"/>
      <c r="T1435" s="296"/>
      <c r="U1435" s="296"/>
      <c r="V1435" s="296"/>
      <c r="W1435" s="296"/>
      <c r="X1435" s="296"/>
      <c r="Y1435" s="296"/>
      <c r="Z1435" s="296"/>
      <c r="AA1435" s="296"/>
      <c r="AB1435" s="296"/>
      <c r="AC1435" s="296"/>
      <c r="AD1435" s="296"/>
      <c r="AE1435" s="296"/>
      <c r="AF1435" s="296"/>
      <c r="AG1435" s="296"/>
      <c r="AH1435" s="296"/>
      <c r="AI1435" s="296"/>
      <c r="AJ1435" s="296"/>
      <c r="AL1435" s="221"/>
    </row>
    <row r="1436" spans="1:38" x14ac:dyDescent="0.25">
      <c r="A1436" t="s">
        <v>861</v>
      </c>
      <c r="E1436" t="s">
        <v>172</v>
      </c>
      <c r="H1436" s="593" t="s">
        <v>166</v>
      </c>
      <c r="I1436" s="594" t="str">
        <f t="shared" si="1173"/>
        <v>VND/phôi</v>
      </c>
      <c r="K1436" s="604"/>
      <c r="L1436" s="604">
        <f>-IF($H$9="USD",L1366/L1332/$H$10*10^3,L1366/L1332/$H$10)</f>
        <v>13.333333333333334</v>
      </c>
      <c r="M1436" s="604">
        <f t="shared" ref="M1436:AJ1436" si="1186">-IF($H$9="USD",M1366/M1332/$H$10*10^3,M1366/M1332/$H$10)</f>
        <v>13.333333333333332</v>
      </c>
      <c r="N1436" s="604">
        <f t="shared" si="1186"/>
        <v>13.999999999999998</v>
      </c>
      <c r="O1436" s="604">
        <f t="shared" si="1186"/>
        <v>14.700000000000001</v>
      </c>
      <c r="P1436" s="604">
        <f t="shared" si="1186"/>
        <v>15.435</v>
      </c>
      <c r="Q1436" s="604">
        <f t="shared" si="1186"/>
        <v>16.20675</v>
      </c>
      <c r="R1436" s="604">
        <f t="shared" si="1186"/>
        <v>17.017087500000002</v>
      </c>
      <c r="S1436" s="604">
        <f t="shared" si="1186"/>
        <v>17.867941875</v>
      </c>
      <c r="T1436" s="604">
        <f t="shared" si="1186"/>
        <v>18.761338968750003</v>
      </c>
      <c r="U1436" s="604">
        <f t="shared" si="1186"/>
        <v>19.699405917187502</v>
      </c>
      <c r="V1436" s="604">
        <f t="shared" si="1186"/>
        <v>20.684376213046878</v>
      </c>
      <c r="W1436" s="604">
        <f t="shared" si="1186"/>
        <v>21.718595023699219</v>
      </c>
      <c r="X1436" s="604">
        <f t="shared" si="1186"/>
        <v>22.804524774884179</v>
      </c>
      <c r="Y1436" s="604">
        <f t="shared" si="1186"/>
        <v>23.944751013628391</v>
      </c>
      <c r="Z1436" s="604">
        <f t="shared" si="1186"/>
        <v>25.141988564309816</v>
      </c>
      <c r="AA1436" s="604"/>
      <c r="AB1436" s="604"/>
      <c r="AC1436" s="604"/>
      <c r="AD1436" s="604"/>
      <c r="AE1436" s="604"/>
      <c r="AF1436" s="604"/>
      <c r="AG1436" s="604"/>
      <c r="AH1436" s="604"/>
      <c r="AI1436" s="604"/>
      <c r="AJ1436" s="604"/>
      <c r="AL1436" s="221"/>
    </row>
    <row r="1437" spans="1:38" x14ac:dyDescent="0.25">
      <c r="A1437" t="s">
        <v>861</v>
      </c>
      <c r="E1437" t="s">
        <v>171</v>
      </c>
      <c r="H1437" s="574" t="s">
        <v>469</v>
      </c>
      <c r="I1437" s="575" t="str">
        <f t="shared" si="1173"/>
        <v>VND/phôi</v>
      </c>
      <c r="K1437" s="584"/>
      <c r="L1437" s="584">
        <f t="shared" ref="L1437:AJ1437" si="1187">-IF($H$9="USD",L1367/L1332/$H$10*10^3,L1367/L1332/$H$10)</f>
        <v>0</v>
      </c>
      <c r="M1437" s="584">
        <f t="shared" si="1187"/>
        <v>0</v>
      </c>
      <c r="N1437" s="584">
        <f t="shared" si="1187"/>
        <v>0</v>
      </c>
      <c r="O1437" s="584">
        <f t="shared" si="1187"/>
        <v>0</v>
      </c>
      <c r="P1437" s="584">
        <f t="shared" si="1187"/>
        <v>0</v>
      </c>
      <c r="Q1437" s="584">
        <f t="shared" si="1187"/>
        <v>0</v>
      </c>
      <c r="R1437" s="584">
        <f t="shared" si="1187"/>
        <v>0</v>
      </c>
      <c r="S1437" s="584">
        <f t="shared" si="1187"/>
        <v>0</v>
      </c>
      <c r="T1437" s="584">
        <f t="shared" si="1187"/>
        <v>0</v>
      </c>
      <c r="U1437" s="584">
        <f t="shared" si="1187"/>
        <v>0</v>
      </c>
      <c r="V1437" s="584">
        <f t="shared" si="1187"/>
        <v>0</v>
      </c>
      <c r="W1437" s="584">
        <f t="shared" si="1187"/>
        <v>0</v>
      </c>
      <c r="X1437" s="584">
        <f t="shared" si="1187"/>
        <v>0</v>
      </c>
      <c r="Y1437" s="584">
        <f t="shared" si="1187"/>
        <v>0</v>
      </c>
      <c r="Z1437" s="584">
        <f t="shared" si="1187"/>
        <v>0</v>
      </c>
      <c r="AA1437" s="584"/>
      <c r="AB1437" s="584"/>
      <c r="AC1437" s="584"/>
      <c r="AD1437" s="584"/>
      <c r="AE1437" s="584"/>
      <c r="AF1437" s="584"/>
      <c r="AG1437" s="584"/>
      <c r="AH1437" s="584"/>
      <c r="AI1437" s="584"/>
      <c r="AJ1437" s="584"/>
      <c r="AL1437" s="221"/>
    </row>
    <row r="1438" spans="1:38" x14ac:dyDescent="0.25">
      <c r="A1438" t="s">
        <v>861</v>
      </c>
      <c r="E1438" t="s">
        <v>182</v>
      </c>
      <c r="H1438" s="574" t="s">
        <v>468</v>
      </c>
      <c r="I1438" s="575" t="str">
        <f t="shared" si="1173"/>
        <v>VND/phôi</v>
      </c>
      <c r="K1438" s="574"/>
      <c r="L1438" s="584">
        <f t="shared" ref="L1438:AJ1438" si="1188">-IF($H$9="USD",L1368/L1332/$H$10*10^3,L1368/L1332/$H$10)</f>
        <v>0</v>
      </c>
      <c r="M1438" s="584">
        <f t="shared" si="1188"/>
        <v>0</v>
      </c>
      <c r="N1438" s="584">
        <f t="shared" si="1188"/>
        <v>0</v>
      </c>
      <c r="O1438" s="584">
        <f t="shared" si="1188"/>
        <v>0</v>
      </c>
      <c r="P1438" s="584">
        <f t="shared" si="1188"/>
        <v>0</v>
      </c>
      <c r="Q1438" s="584">
        <f t="shared" si="1188"/>
        <v>0</v>
      </c>
      <c r="R1438" s="584">
        <f t="shared" si="1188"/>
        <v>0</v>
      </c>
      <c r="S1438" s="584">
        <f t="shared" si="1188"/>
        <v>0</v>
      </c>
      <c r="T1438" s="584">
        <f t="shared" si="1188"/>
        <v>0</v>
      </c>
      <c r="U1438" s="584">
        <f t="shared" si="1188"/>
        <v>0</v>
      </c>
      <c r="V1438" s="584">
        <f t="shared" si="1188"/>
        <v>0</v>
      </c>
      <c r="W1438" s="584">
        <f t="shared" si="1188"/>
        <v>0</v>
      </c>
      <c r="X1438" s="584">
        <f t="shared" si="1188"/>
        <v>0</v>
      </c>
      <c r="Y1438" s="584">
        <f t="shared" si="1188"/>
        <v>0</v>
      </c>
      <c r="Z1438" s="584">
        <f t="shared" si="1188"/>
        <v>0</v>
      </c>
      <c r="AA1438" s="584"/>
      <c r="AB1438" s="584"/>
      <c r="AC1438" s="584"/>
      <c r="AD1438" s="584"/>
      <c r="AE1438" s="584"/>
      <c r="AF1438" s="584"/>
      <c r="AG1438" s="584"/>
      <c r="AH1438" s="584"/>
      <c r="AI1438" s="584"/>
      <c r="AJ1438" s="584"/>
      <c r="AL1438" s="221"/>
    </row>
    <row r="1439" spans="1:38" x14ac:dyDescent="0.25">
      <c r="A1439" t="s">
        <v>861</v>
      </c>
      <c r="E1439" t="s">
        <v>182</v>
      </c>
      <c r="H1439" s="574" t="s">
        <v>470</v>
      </c>
      <c r="I1439" s="575" t="str">
        <f t="shared" si="1173"/>
        <v>VND/phôi</v>
      </c>
      <c r="K1439" s="574"/>
      <c r="L1439" s="584">
        <f>-IF($H$9="USD",L1369/L1332/$H$10*10^3,L1369/L1332/$H$10)</f>
        <v>71.373864592616897</v>
      </c>
      <c r="M1439" s="584">
        <f t="shared" ref="M1439:AJ1439" si="1189">-IF($H$9="USD",M1369/M1332/$H$10*10^3,M1369/M1332/$H$10)</f>
        <v>48.952548884066616</v>
      </c>
      <c r="N1439" s="584">
        <f t="shared" si="1189"/>
        <v>32.74722577596247</v>
      </c>
      <c r="O1439" s="584">
        <f t="shared" si="1189"/>
        <v>31.121298242076431</v>
      </c>
      <c r="P1439" s="584">
        <f t="shared" si="1189"/>
        <v>29.381555780818363</v>
      </c>
      <c r="Q1439" s="584">
        <f t="shared" si="1189"/>
        <v>27.520031347272241</v>
      </c>
      <c r="R1439" s="584">
        <f t="shared" si="1189"/>
        <v>25.528200203377882</v>
      </c>
      <c r="S1439" s="584">
        <f t="shared" si="1189"/>
        <v>23.396940879410916</v>
      </c>
      <c r="T1439" s="584">
        <f t="shared" si="1189"/>
        <v>21.116493402766267</v>
      </c>
      <c r="U1439" s="584">
        <f t="shared" si="1189"/>
        <v>18.676414602756491</v>
      </c>
      <c r="V1439" s="584">
        <f t="shared" si="1189"/>
        <v>16.065530286746032</v>
      </c>
      <c r="W1439" s="584">
        <f t="shared" si="1189"/>
        <v>13.271884068614838</v>
      </c>
      <c r="X1439" s="584">
        <f t="shared" si="1189"/>
        <v>10.282682615214464</v>
      </c>
      <c r="Y1439" s="584">
        <f t="shared" si="1189"/>
        <v>7.0842370600760587</v>
      </c>
      <c r="Z1439" s="584">
        <f t="shared" si="1189"/>
        <v>3.6619003160779675</v>
      </c>
      <c r="AA1439" s="584"/>
      <c r="AB1439" s="584"/>
      <c r="AC1439" s="584"/>
      <c r="AD1439" s="584"/>
      <c r="AE1439" s="584"/>
      <c r="AF1439" s="584"/>
      <c r="AG1439" s="584"/>
      <c r="AH1439" s="584"/>
      <c r="AI1439" s="584"/>
      <c r="AJ1439" s="584"/>
      <c r="AL1439" s="221"/>
    </row>
    <row r="1440" spans="1:38" x14ac:dyDescent="0.25">
      <c r="A1440" t="s">
        <v>861</v>
      </c>
      <c r="H1440" s="289"/>
      <c r="I1440" s="290"/>
      <c r="K1440" s="289"/>
      <c r="L1440" s="289"/>
      <c r="M1440" s="289"/>
      <c r="N1440" s="289"/>
      <c r="O1440" s="289"/>
      <c r="P1440" s="289"/>
      <c r="Q1440" s="289"/>
      <c r="R1440" s="289"/>
      <c r="S1440" s="289"/>
      <c r="T1440" s="289"/>
      <c r="U1440" s="289"/>
      <c r="V1440" s="289"/>
      <c r="W1440" s="289"/>
      <c r="X1440" s="289"/>
      <c r="Y1440" s="289"/>
      <c r="Z1440" s="289"/>
      <c r="AA1440" s="289"/>
      <c r="AB1440" s="289"/>
      <c r="AC1440" s="289"/>
      <c r="AD1440" s="289"/>
      <c r="AE1440" s="289"/>
      <c r="AF1440" s="289"/>
      <c r="AG1440" s="289"/>
      <c r="AH1440" s="289"/>
      <c r="AI1440" s="289"/>
      <c r="AJ1440" s="289"/>
    </row>
    <row r="1441" spans="1:38" s="16" customFormat="1" x14ac:dyDescent="0.25">
      <c r="A1441" s="16" t="s">
        <v>861</v>
      </c>
      <c r="H1441" s="291" t="s">
        <v>487</v>
      </c>
      <c r="I1441" s="292" t="str">
        <f t="shared" si="1173"/>
        <v>VND/phôi</v>
      </c>
      <c r="K1441" s="298">
        <f>K1434+SUM(K1436:K1439)</f>
        <v>0</v>
      </c>
      <c r="L1441" s="298">
        <f t="shared" ref="L1441:AJ1441" si="1190">L1434+SUM(L1436:L1439)</f>
        <v>744.0880005251571</v>
      </c>
      <c r="M1441" s="298">
        <f t="shared" si="1190"/>
        <v>658.84830936839523</v>
      </c>
      <c r="N1441" s="298">
        <f t="shared" si="1190"/>
        <v>608.35915336128733</v>
      </c>
      <c r="O1441" s="298">
        <f t="shared" si="1190"/>
        <v>619.96312356181738</v>
      </c>
      <c r="P1441" s="298">
        <f t="shared" si="1190"/>
        <v>631.86839436685739</v>
      </c>
      <c r="Q1441" s="298">
        <f t="shared" si="1190"/>
        <v>644.08282692098896</v>
      </c>
      <c r="R1441" s="298">
        <f t="shared" si="1190"/>
        <v>656.61441753338181</v>
      </c>
      <c r="S1441" s="298">
        <f t="shared" si="1190"/>
        <v>669.47129131112695</v>
      </c>
      <c r="T1441" s="298">
        <f t="shared" si="1190"/>
        <v>682.66169465404232</v>
      </c>
      <c r="U1441" s="298">
        <f t="shared" si="1190"/>
        <v>696.19398649858829</v>
      </c>
      <c r="V1441" s="298">
        <f t="shared" si="1190"/>
        <v>710.07662818905987</v>
      </c>
      <c r="W1441" s="298">
        <f t="shared" si="1190"/>
        <v>724.31817184402666</v>
      </c>
      <c r="X1441" s="298">
        <f t="shared" si="1190"/>
        <v>675.80750287744468</v>
      </c>
      <c r="Y1441" s="298">
        <f t="shared" si="1190"/>
        <v>690.79280170486606</v>
      </c>
      <c r="Z1441" s="298">
        <f t="shared" si="1190"/>
        <v>706.16306150380524</v>
      </c>
      <c r="AA1441" s="298"/>
      <c r="AB1441" s="298"/>
      <c r="AC1441" s="298"/>
      <c r="AD1441" s="298"/>
      <c r="AE1441" s="298"/>
      <c r="AF1441" s="298"/>
      <c r="AG1441" s="298"/>
      <c r="AH1441" s="298"/>
      <c r="AI1441" s="298"/>
      <c r="AJ1441" s="298"/>
      <c r="AL1441" s="223"/>
    </row>
    <row r="1442" spans="1:38" x14ac:dyDescent="0.25">
      <c r="A1442" t="s">
        <v>861</v>
      </c>
    </row>
    <row r="1443" spans="1:38" x14ac:dyDescent="0.25">
      <c r="A1443" t="s">
        <v>861</v>
      </c>
      <c r="H1443" s="593" t="s">
        <v>361</v>
      </c>
      <c r="I1443" s="594" t="str">
        <f t="shared" si="1173"/>
        <v>VND/phôi</v>
      </c>
      <c r="K1443" s="593"/>
      <c r="L1443" s="599">
        <f>INDEX('Cover Page'!$H$12:$AJ$12,MATCH($A1443,'Cover Page'!$H$5:$AJ$5,0))</f>
        <v>6.6666666666666666E-2</v>
      </c>
      <c r="M1443" s="599">
        <f>INDEX('Cover Page'!$H$12:$AJ$12,MATCH($A1443,'Cover Page'!$H$5:$AJ$5,0))</f>
        <v>6.6666666666666666E-2</v>
      </c>
      <c r="N1443" s="599">
        <f>INDEX('Cover Page'!$H$12:$AJ$12,MATCH($A1443,'Cover Page'!$H$5:$AJ$5,0))</f>
        <v>6.6666666666666666E-2</v>
      </c>
      <c r="O1443" s="599">
        <f>INDEX('Cover Page'!$H$12:$AJ$12,MATCH($A1443,'Cover Page'!$H$5:$AJ$5,0))</f>
        <v>6.6666666666666666E-2</v>
      </c>
      <c r="P1443" s="599">
        <f>INDEX('Cover Page'!$H$12:$AJ$12,MATCH($A1443,'Cover Page'!$H$5:$AJ$5,0))</f>
        <v>6.6666666666666666E-2</v>
      </c>
      <c r="Q1443" s="599">
        <f>INDEX('Cover Page'!$H$12:$AJ$12,MATCH($A1443,'Cover Page'!$H$5:$AJ$5,0))</f>
        <v>6.6666666666666666E-2</v>
      </c>
      <c r="R1443" s="599">
        <f>INDEX('Cover Page'!$H$12:$AJ$12,MATCH($A1443,'Cover Page'!$H$5:$AJ$5,0))</f>
        <v>6.6666666666666666E-2</v>
      </c>
      <c r="S1443" s="599">
        <f>INDEX('Cover Page'!$H$12:$AJ$12,MATCH($A1443,'Cover Page'!$H$5:$AJ$5,0))</f>
        <v>6.6666666666666666E-2</v>
      </c>
      <c r="T1443" s="599">
        <f>INDEX('Cover Page'!$H$12:$AJ$12,MATCH($A1443,'Cover Page'!$H$5:$AJ$5,0))</f>
        <v>6.6666666666666666E-2</v>
      </c>
      <c r="U1443" s="599">
        <f>INDEX('Cover Page'!$H$12:$AJ$12,MATCH($A1443,'Cover Page'!$H$5:$AJ$5,0))</f>
        <v>6.6666666666666666E-2</v>
      </c>
      <c r="V1443" s="599">
        <f>INDEX('Cover Page'!$H$12:$AJ$12,MATCH($A1443,'Cover Page'!$H$5:$AJ$5,0))</f>
        <v>6.6666666666666666E-2</v>
      </c>
      <c r="W1443" s="599">
        <f>INDEX('Cover Page'!$H$12:$AJ$12,MATCH($A1443,'Cover Page'!$H$5:$AJ$5,0))</f>
        <v>6.6666666666666666E-2</v>
      </c>
      <c r="X1443" s="599">
        <f>INDEX('Cover Page'!$H$12:$AJ$12,MATCH($A1443,'Cover Page'!$H$5:$AJ$5,0))</f>
        <v>6.6666666666666666E-2</v>
      </c>
      <c r="Y1443" s="599">
        <f>INDEX('Cover Page'!$H$12:$AJ$12,MATCH($A1443,'Cover Page'!$H$5:$AJ$5,0))</f>
        <v>6.6666666666666666E-2</v>
      </c>
      <c r="Z1443" s="599">
        <f>INDEX('Cover Page'!$H$12:$AJ$12,MATCH($A1443,'Cover Page'!$H$5:$AJ$5,0))</f>
        <v>6.6666666666666666E-2</v>
      </c>
      <c r="AA1443" s="599"/>
      <c r="AB1443" s="599"/>
      <c r="AC1443" s="599"/>
      <c r="AD1443" s="599"/>
      <c r="AE1443" s="599"/>
      <c r="AF1443" s="599"/>
      <c r="AG1443" s="599"/>
      <c r="AH1443" s="599"/>
      <c r="AI1443" s="599"/>
      <c r="AJ1443" s="599"/>
      <c r="AL1443" s="32"/>
    </row>
    <row r="1444" spans="1:38" s="1" customFormat="1" x14ac:dyDescent="0.25">
      <c r="A1444" s="1" t="s">
        <v>861</v>
      </c>
      <c r="H1444" s="595" t="s">
        <v>490</v>
      </c>
      <c r="I1444" s="596" t="str">
        <f t="shared" si="1173"/>
        <v>VND/phôi</v>
      </c>
      <c r="K1444" s="595"/>
      <c r="L1444" s="600">
        <f>L1441*(1+L1443)</f>
        <v>793.69386722683419</v>
      </c>
      <c r="M1444" s="600">
        <f t="shared" ref="M1444:AJ1444" si="1191">M1441*(1+M1443)</f>
        <v>702.77152999295492</v>
      </c>
      <c r="N1444" s="600">
        <f t="shared" si="1191"/>
        <v>648.91643025203985</v>
      </c>
      <c r="O1444" s="600">
        <f t="shared" si="1191"/>
        <v>661.29399846593856</v>
      </c>
      <c r="P1444" s="600">
        <f t="shared" si="1191"/>
        <v>673.99295399131449</v>
      </c>
      <c r="Q1444" s="600">
        <f t="shared" si="1191"/>
        <v>687.0216820490549</v>
      </c>
      <c r="R1444" s="600">
        <f t="shared" si="1191"/>
        <v>700.38871203560723</v>
      </c>
      <c r="S1444" s="600">
        <f t="shared" si="1191"/>
        <v>714.10271073186868</v>
      </c>
      <c r="T1444" s="600">
        <f t="shared" si="1191"/>
        <v>728.17247429764518</v>
      </c>
      <c r="U1444" s="600">
        <f t="shared" si="1191"/>
        <v>742.60691893182752</v>
      </c>
      <c r="V1444" s="600">
        <f t="shared" si="1191"/>
        <v>757.41507006833058</v>
      </c>
      <c r="W1444" s="600">
        <f t="shared" si="1191"/>
        <v>772.60604996696179</v>
      </c>
      <c r="X1444" s="600">
        <f t="shared" si="1191"/>
        <v>720.86133640260766</v>
      </c>
      <c r="Y1444" s="600">
        <f t="shared" si="1191"/>
        <v>736.84565515185716</v>
      </c>
      <c r="Z1444" s="600">
        <f t="shared" si="1191"/>
        <v>753.24059893739229</v>
      </c>
      <c r="AA1444" s="600"/>
      <c r="AB1444" s="600"/>
      <c r="AC1444" s="600"/>
      <c r="AD1444" s="600"/>
      <c r="AE1444" s="600"/>
      <c r="AF1444" s="600"/>
      <c r="AG1444" s="600"/>
      <c r="AH1444" s="600"/>
      <c r="AI1444" s="600"/>
      <c r="AJ1444" s="600"/>
      <c r="AL1444" s="220"/>
    </row>
    <row r="1445" spans="1:38" x14ac:dyDescent="0.25">
      <c r="A1445" t="s">
        <v>861</v>
      </c>
      <c r="H1445" s="574" t="s">
        <v>292</v>
      </c>
      <c r="I1445" s="575" t="str">
        <f t="shared" si="1173"/>
        <v>VND/phôi</v>
      </c>
      <c r="K1445" s="574"/>
      <c r="L1445" s="601">
        <f t="shared" ref="L1445:AJ1445" si="1192">Tax_rate</f>
        <v>0.2</v>
      </c>
      <c r="M1445" s="601">
        <f t="shared" si="1192"/>
        <v>0.2</v>
      </c>
      <c r="N1445" s="601">
        <f t="shared" si="1192"/>
        <v>0.2</v>
      </c>
      <c r="O1445" s="601">
        <f t="shared" si="1192"/>
        <v>0.2</v>
      </c>
      <c r="P1445" s="601">
        <f t="shared" si="1192"/>
        <v>0.2</v>
      </c>
      <c r="Q1445" s="601">
        <f t="shared" si="1192"/>
        <v>0.2</v>
      </c>
      <c r="R1445" s="601">
        <f t="shared" si="1192"/>
        <v>0.2</v>
      </c>
      <c r="S1445" s="601">
        <f t="shared" si="1192"/>
        <v>0.2</v>
      </c>
      <c r="T1445" s="601">
        <f t="shared" si="1192"/>
        <v>0.2</v>
      </c>
      <c r="U1445" s="601">
        <f t="shared" si="1192"/>
        <v>0.2</v>
      </c>
      <c r="V1445" s="601">
        <f t="shared" si="1192"/>
        <v>0.2</v>
      </c>
      <c r="W1445" s="601">
        <f t="shared" si="1192"/>
        <v>0.2</v>
      </c>
      <c r="X1445" s="601">
        <f t="shared" si="1192"/>
        <v>0.2</v>
      </c>
      <c r="Y1445" s="601">
        <f t="shared" si="1192"/>
        <v>0.2</v>
      </c>
      <c r="Z1445" s="601">
        <f t="shared" si="1192"/>
        <v>0.2</v>
      </c>
      <c r="AA1445" s="601"/>
      <c r="AB1445" s="601"/>
      <c r="AC1445" s="601"/>
      <c r="AD1445" s="601"/>
      <c r="AE1445" s="601"/>
      <c r="AF1445" s="601"/>
      <c r="AG1445" s="601"/>
      <c r="AH1445" s="601"/>
      <c r="AI1445" s="601"/>
      <c r="AJ1445" s="601"/>
      <c r="AL1445" s="95"/>
    </row>
    <row r="1446" spans="1:38" s="1" customFormat="1" x14ac:dyDescent="0.25">
      <c r="A1446" s="1" t="s">
        <v>861</v>
      </c>
      <c r="H1446" s="595" t="s">
        <v>491</v>
      </c>
      <c r="I1446" s="596" t="str">
        <f t="shared" si="1173"/>
        <v>VND/phôi</v>
      </c>
      <c r="K1446" s="595"/>
      <c r="L1446" s="600">
        <f>(L1444-L1441)*(1-L1445)</f>
        <v>39.684693361341672</v>
      </c>
      <c r="M1446" s="600">
        <f t="shared" ref="M1446:AJ1446" si="1193">(M1444-M1441)*(1-M1445)</f>
        <v>35.138576499647755</v>
      </c>
      <c r="N1446" s="600">
        <f t="shared" si="1193"/>
        <v>32.445821512602016</v>
      </c>
      <c r="O1446" s="600">
        <f t="shared" si="1193"/>
        <v>33.064699923296942</v>
      </c>
      <c r="P1446" s="600">
        <f t="shared" si="1193"/>
        <v>33.699647699565688</v>
      </c>
      <c r="Q1446" s="600">
        <f t="shared" si="1193"/>
        <v>34.351084102452752</v>
      </c>
      <c r="R1446" s="600">
        <f t="shared" si="1193"/>
        <v>35.019435601780337</v>
      </c>
      <c r="S1446" s="600">
        <f t="shared" si="1193"/>
        <v>35.705135536593389</v>
      </c>
      <c r="T1446" s="600">
        <f t="shared" si="1193"/>
        <v>36.408623714882289</v>
      </c>
      <c r="U1446" s="600">
        <f t="shared" si="1193"/>
        <v>37.13034594659139</v>
      </c>
      <c r="V1446" s="600">
        <f t="shared" si="1193"/>
        <v>37.870753503416566</v>
      </c>
      <c r="W1446" s="600">
        <f t="shared" si="1193"/>
        <v>38.630302498348101</v>
      </c>
      <c r="X1446" s="600">
        <f t="shared" si="1193"/>
        <v>36.043066820130392</v>
      </c>
      <c r="Y1446" s="600">
        <f t="shared" si="1193"/>
        <v>36.842282757592876</v>
      </c>
      <c r="Z1446" s="600">
        <f t="shared" si="1193"/>
        <v>37.662029946869644</v>
      </c>
      <c r="AA1446" s="600"/>
      <c r="AB1446" s="600"/>
      <c r="AC1446" s="600"/>
      <c r="AD1446" s="600"/>
      <c r="AE1446" s="600"/>
      <c r="AF1446" s="600"/>
      <c r="AG1446" s="600"/>
      <c r="AH1446" s="600"/>
      <c r="AI1446" s="600"/>
      <c r="AJ1446" s="600"/>
      <c r="AL1446" s="220"/>
    </row>
    <row r="1447" spans="1:38" s="146" customFormat="1" x14ac:dyDescent="0.25">
      <c r="A1447" s="146" t="s">
        <v>861</v>
      </c>
      <c r="H1447" s="597" t="s">
        <v>492</v>
      </c>
      <c r="I1447" s="598"/>
      <c r="K1447" s="597"/>
      <c r="L1447" s="602">
        <f>IFERROR(L1446/L1444,0)</f>
        <v>4.9999999999999954E-2</v>
      </c>
      <c r="M1447" s="602">
        <f>IFERROR(M1446/M1444,0)</f>
        <v>5.000000000000001E-2</v>
      </c>
      <c r="N1447" s="602">
        <f t="shared" ref="N1447:AJ1447" si="1194">IFERROR(N1446/N1444,0)</f>
        <v>5.0000000000000037E-2</v>
      </c>
      <c r="O1447" s="602">
        <f t="shared" si="1194"/>
        <v>5.0000000000000024E-2</v>
      </c>
      <c r="P1447" s="602">
        <f t="shared" si="1194"/>
        <v>4.9999999999999947E-2</v>
      </c>
      <c r="Q1447" s="602">
        <f t="shared" si="1194"/>
        <v>5.000000000000001E-2</v>
      </c>
      <c r="R1447" s="602">
        <f t="shared" si="1194"/>
        <v>4.9999999999999968E-2</v>
      </c>
      <c r="S1447" s="602">
        <f t="shared" si="1194"/>
        <v>4.9999999999999933E-2</v>
      </c>
      <c r="T1447" s="602">
        <f t="shared" si="1194"/>
        <v>5.0000000000000044E-2</v>
      </c>
      <c r="U1447" s="602">
        <f t="shared" si="1194"/>
        <v>5.0000000000000017E-2</v>
      </c>
      <c r="V1447" s="602">
        <f t="shared" si="1194"/>
        <v>5.0000000000000051E-2</v>
      </c>
      <c r="W1447" s="602">
        <f t="shared" si="1194"/>
        <v>5.0000000000000017E-2</v>
      </c>
      <c r="X1447" s="602">
        <f t="shared" si="1194"/>
        <v>5.000000000000001E-2</v>
      </c>
      <c r="Y1447" s="602">
        <f t="shared" si="1194"/>
        <v>5.0000000000000024E-2</v>
      </c>
      <c r="Z1447" s="602">
        <f t="shared" si="1194"/>
        <v>5.0000000000000037E-2</v>
      </c>
      <c r="AA1447" s="602"/>
      <c r="AB1447" s="602"/>
      <c r="AC1447" s="602"/>
      <c r="AD1447" s="602"/>
      <c r="AE1447" s="602"/>
      <c r="AF1447" s="602"/>
      <c r="AG1447" s="602"/>
      <c r="AH1447" s="602"/>
      <c r="AI1447" s="602"/>
      <c r="AJ1447" s="602"/>
      <c r="AL1447" s="147"/>
    </row>
    <row r="1448" spans="1:38" x14ac:dyDescent="0.25">
      <c r="A1448" t="s">
        <v>861</v>
      </c>
      <c r="L1448" s="64"/>
      <c r="AL1448" s="64"/>
    </row>
    <row r="1449" spans="1:38" x14ac:dyDescent="0.25">
      <c r="A1449" t="s">
        <v>861</v>
      </c>
      <c r="H1449" s="1" t="s">
        <v>493</v>
      </c>
    </row>
    <row r="1450" spans="1:38" x14ac:dyDescent="0.25">
      <c r="A1450" t="s">
        <v>861</v>
      </c>
      <c r="H1450" t="s">
        <v>493</v>
      </c>
      <c r="I1450" s="65" t="s">
        <v>475</v>
      </c>
      <c r="K1450" s="15"/>
      <c r="L1450" s="15">
        <f t="shared" ref="L1450:AJ1450" si="1195">L1451*PHOI_KG*10^3/10^6</f>
        <v>45.333333333333336</v>
      </c>
      <c r="M1450" s="15">
        <f t="shared" si="1195"/>
        <v>46.240000000000009</v>
      </c>
      <c r="N1450" s="15">
        <f t="shared" si="1195"/>
        <v>47.1648</v>
      </c>
      <c r="O1450" s="15">
        <f t="shared" si="1195"/>
        <v>48.10809600000001</v>
      </c>
      <c r="P1450" s="15">
        <f t="shared" si="1195"/>
        <v>49.070257920000003</v>
      </c>
      <c r="Q1450" s="15">
        <f t="shared" si="1195"/>
        <v>50.051663078400004</v>
      </c>
      <c r="R1450" s="15">
        <f t="shared" si="1195"/>
        <v>51.052696339968008</v>
      </c>
      <c r="S1450" s="15">
        <f t="shared" si="1195"/>
        <v>52.073750266767355</v>
      </c>
      <c r="T1450" s="15">
        <f t="shared" si="1195"/>
        <v>53.115225272102705</v>
      </c>
      <c r="U1450" s="15">
        <f t="shared" si="1195"/>
        <v>54.177529777544763</v>
      </c>
      <c r="V1450" s="15">
        <f t="shared" si="1195"/>
        <v>55.261080373095652</v>
      </c>
      <c r="W1450" s="15">
        <f t="shared" si="1195"/>
        <v>56.366301980557566</v>
      </c>
      <c r="X1450" s="15">
        <f t="shared" si="1195"/>
        <v>57.493628020168721</v>
      </c>
      <c r="Y1450" s="15">
        <f t="shared" si="1195"/>
        <v>58.643500580572088</v>
      </c>
      <c r="Z1450" s="15">
        <f t="shared" si="1195"/>
        <v>59.816370592183539</v>
      </c>
      <c r="AA1450" s="15"/>
      <c r="AB1450" s="15"/>
      <c r="AC1450" s="15"/>
      <c r="AD1450" s="15"/>
      <c r="AE1450" s="15"/>
      <c r="AF1450" s="15"/>
      <c r="AG1450" s="15"/>
      <c r="AH1450" s="15"/>
      <c r="AI1450" s="15"/>
      <c r="AJ1450" s="15"/>
      <c r="AL1450" s="221"/>
    </row>
    <row r="1451" spans="1:38" x14ac:dyDescent="0.25">
      <c r="A1451" t="s">
        <v>861</v>
      </c>
      <c r="F1451" t="s">
        <v>570</v>
      </c>
      <c r="H1451" t="s">
        <v>493</v>
      </c>
      <c r="I1451" s="65" t="s">
        <v>368</v>
      </c>
      <c r="K1451" s="27"/>
      <c r="L1451" s="27">
        <f>INDEX('Cover Page'!$H$14:$AJ$14,MATCH($A1451,'Cover Page'!$H$5:$AJ$5,0))*POWER(1+INDEX('Cover Page'!$H$17:$AJ$17,MATCH($A1451,'Cover Page'!$H$5:$AJ$5,0)),L$12+1)</f>
        <v>680</v>
      </c>
      <c r="M1451" s="27">
        <f>INDEX('Cover Page'!$H$14:$AJ$14,MATCH($A1451,'Cover Page'!$H$5:$AJ$5,0))*POWER(1+INDEX('Cover Page'!$H$17:$AJ$17,MATCH($A1451,'Cover Page'!$H$5:$AJ$5,0)),M$12+1)</f>
        <v>693.6</v>
      </c>
      <c r="N1451" s="27">
        <f>INDEX('Cover Page'!$H$14:$AJ$14,MATCH($A1451,'Cover Page'!$H$5:$AJ$5,0))*POWER(1+INDEX('Cover Page'!$H$17:$AJ$17,MATCH($A1451,'Cover Page'!$H$5:$AJ$5,0)),N$12+1)</f>
        <v>707.47199999999998</v>
      </c>
      <c r="O1451" s="27">
        <f>INDEX('Cover Page'!$H$14:$AJ$14,MATCH($A1451,'Cover Page'!$H$5:$AJ$5,0))*POWER(1+INDEX('Cover Page'!$H$17:$AJ$17,MATCH($A1451,'Cover Page'!$H$5:$AJ$5,0)),O$12+1)</f>
        <v>721.62144000000001</v>
      </c>
      <c r="P1451" s="27">
        <f>INDEX('Cover Page'!$H$14:$AJ$14,MATCH($A1451,'Cover Page'!$H$5:$AJ$5,0))*POWER(1+INDEX('Cover Page'!$H$17:$AJ$17,MATCH($A1451,'Cover Page'!$H$5:$AJ$5,0)),P$12+1)</f>
        <v>736.05386880000003</v>
      </c>
      <c r="Q1451" s="27">
        <f>INDEX('Cover Page'!$H$14:$AJ$14,MATCH($A1451,'Cover Page'!$H$5:$AJ$5,0))*POWER(1+INDEX('Cover Page'!$H$17:$AJ$17,MATCH($A1451,'Cover Page'!$H$5:$AJ$5,0)),Q$12+1)</f>
        <v>750.77494617599996</v>
      </c>
      <c r="R1451" s="27">
        <f>INDEX('Cover Page'!$H$14:$AJ$14,MATCH($A1451,'Cover Page'!$H$5:$AJ$5,0))*POWER(1+INDEX('Cover Page'!$H$17:$AJ$17,MATCH($A1451,'Cover Page'!$H$5:$AJ$5,0)),R$12+1)</f>
        <v>765.79044509952007</v>
      </c>
      <c r="S1451" s="27">
        <f>INDEX('Cover Page'!$H$14:$AJ$14,MATCH($A1451,'Cover Page'!$H$5:$AJ$5,0))*POWER(1+INDEX('Cover Page'!$H$17:$AJ$17,MATCH($A1451,'Cover Page'!$H$5:$AJ$5,0)),S$12+1)</f>
        <v>781.10625400151025</v>
      </c>
      <c r="T1451" s="27">
        <f>INDEX('Cover Page'!$H$14:$AJ$14,MATCH($A1451,'Cover Page'!$H$5:$AJ$5,0))*POWER(1+INDEX('Cover Page'!$H$17:$AJ$17,MATCH($A1451,'Cover Page'!$H$5:$AJ$5,0)),T$12+1)</f>
        <v>796.72837908154054</v>
      </c>
      <c r="U1451" s="27">
        <f>INDEX('Cover Page'!$H$14:$AJ$14,MATCH($A1451,'Cover Page'!$H$5:$AJ$5,0))*POWER(1+INDEX('Cover Page'!$H$17:$AJ$17,MATCH($A1451,'Cover Page'!$H$5:$AJ$5,0)),U$12+1)</f>
        <v>812.6629466631714</v>
      </c>
      <c r="V1451" s="27">
        <f>INDEX('Cover Page'!$H$14:$AJ$14,MATCH($A1451,'Cover Page'!$H$5:$AJ$5,0))*POWER(1+INDEX('Cover Page'!$H$17:$AJ$17,MATCH($A1451,'Cover Page'!$H$5:$AJ$5,0)),V$12+1)</f>
        <v>828.91620559643479</v>
      </c>
      <c r="W1451" s="27">
        <f>INDEX('Cover Page'!$H$14:$AJ$14,MATCH($A1451,'Cover Page'!$H$5:$AJ$5,0))*POWER(1+INDEX('Cover Page'!$H$17:$AJ$17,MATCH($A1451,'Cover Page'!$H$5:$AJ$5,0)),W$12+1)</f>
        <v>845.49452970836342</v>
      </c>
      <c r="X1451" s="27">
        <f>INDEX('Cover Page'!$H$14:$AJ$14,MATCH($A1451,'Cover Page'!$H$5:$AJ$5,0))*POWER(1+INDEX('Cover Page'!$H$17:$AJ$17,MATCH($A1451,'Cover Page'!$H$5:$AJ$5,0)),X$12+1)</f>
        <v>862.40442030253075</v>
      </c>
      <c r="Y1451" s="27">
        <f>INDEX('Cover Page'!$H$14:$AJ$14,MATCH($A1451,'Cover Page'!$H$5:$AJ$5,0))*POWER(1+INDEX('Cover Page'!$H$17:$AJ$17,MATCH($A1451,'Cover Page'!$H$5:$AJ$5,0)),Y$12+1)</f>
        <v>879.65250870858131</v>
      </c>
      <c r="Z1451" s="27">
        <f>INDEX('Cover Page'!$H$14:$AJ$14,MATCH($A1451,'Cover Page'!$H$5:$AJ$5,0))*POWER(1+INDEX('Cover Page'!$H$17:$AJ$17,MATCH($A1451,'Cover Page'!$H$5:$AJ$5,0)),Z$12+1)</f>
        <v>897.24555888275302</v>
      </c>
      <c r="AA1451" s="27"/>
      <c r="AB1451" s="27"/>
      <c r="AC1451" s="27"/>
      <c r="AD1451" s="27"/>
      <c r="AE1451" s="27"/>
      <c r="AF1451" s="27"/>
      <c r="AG1451" s="27"/>
      <c r="AH1451" s="27"/>
      <c r="AI1451" s="27"/>
      <c r="AJ1451" s="27"/>
      <c r="AL1451" s="221"/>
    </row>
    <row r="1452" spans="1:38" x14ac:dyDescent="0.25">
      <c r="A1452" t="s">
        <v>861</v>
      </c>
      <c r="H1452" t="s">
        <v>493</v>
      </c>
      <c r="I1452" s="65" t="s">
        <v>369</v>
      </c>
      <c r="K1452" s="15"/>
      <c r="L1452" s="15">
        <f t="shared" ref="L1452:AJ1452" si="1196">L1450/EXR*10^6</f>
        <v>1743.5897435897436</v>
      </c>
      <c r="M1452" s="15">
        <f t="shared" si="1196"/>
        <v>1778.4615384615388</v>
      </c>
      <c r="N1452" s="15">
        <f t="shared" si="1196"/>
        <v>1814.0307692307692</v>
      </c>
      <c r="O1452" s="15">
        <f t="shared" si="1196"/>
        <v>1850.3113846153849</v>
      </c>
      <c r="P1452" s="15">
        <f t="shared" si="1196"/>
        <v>1887.3176123076926</v>
      </c>
      <c r="Q1452" s="15">
        <f t="shared" si="1196"/>
        <v>1925.0639645538463</v>
      </c>
      <c r="R1452" s="15">
        <f t="shared" si="1196"/>
        <v>1963.5652438449235</v>
      </c>
      <c r="S1452" s="15">
        <f t="shared" si="1196"/>
        <v>2002.8365487218214</v>
      </c>
      <c r="T1452" s="15">
        <f t="shared" si="1196"/>
        <v>2042.8932796962579</v>
      </c>
      <c r="U1452" s="15">
        <f t="shared" si="1196"/>
        <v>2083.7511452901831</v>
      </c>
      <c r="V1452" s="15">
        <f t="shared" si="1196"/>
        <v>2125.426168195987</v>
      </c>
      <c r="W1452" s="15">
        <f t="shared" si="1196"/>
        <v>2167.9346915599062</v>
      </c>
      <c r="X1452" s="15">
        <f t="shared" si="1196"/>
        <v>2211.2933853911045</v>
      </c>
      <c r="Y1452" s="15">
        <f t="shared" si="1196"/>
        <v>2255.5192530989266</v>
      </c>
      <c r="Z1452" s="15">
        <f t="shared" si="1196"/>
        <v>2300.6296381609054</v>
      </c>
      <c r="AA1452" s="15"/>
      <c r="AB1452" s="15"/>
      <c r="AC1452" s="15"/>
      <c r="AD1452" s="15"/>
      <c r="AE1452" s="15"/>
      <c r="AF1452" s="15"/>
      <c r="AG1452" s="15"/>
      <c r="AH1452" s="15"/>
      <c r="AI1452" s="15"/>
      <c r="AJ1452" s="15"/>
      <c r="AL1452" s="221"/>
    </row>
    <row r="1453" spans="1:38" x14ac:dyDescent="0.25">
      <c r="A1453" t="s">
        <v>861</v>
      </c>
      <c r="H1453" t="s">
        <v>493</v>
      </c>
      <c r="I1453" s="65" t="s">
        <v>494</v>
      </c>
      <c r="K1453" s="15"/>
      <c r="L1453" s="15">
        <f t="shared" ref="L1453:AJ1453" si="1197">L1451*1000/EXR</f>
        <v>26.153846153846153</v>
      </c>
      <c r="M1453" s="15">
        <f t="shared" si="1197"/>
        <v>26.676923076923078</v>
      </c>
      <c r="N1453" s="15">
        <f t="shared" si="1197"/>
        <v>27.210461538461537</v>
      </c>
      <c r="O1453" s="15">
        <f t="shared" si="1197"/>
        <v>27.754670769230771</v>
      </c>
      <c r="P1453" s="15">
        <f t="shared" si="1197"/>
        <v>28.309764184615386</v>
      </c>
      <c r="Q1453" s="15">
        <f t="shared" si="1197"/>
        <v>28.875959468307691</v>
      </c>
      <c r="R1453" s="15">
        <f t="shared" si="1197"/>
        <v>29.453478657673848</v>
      </c>
      <c r="S1453" s="15">
        <f t="shared" si="1197"/>
        <v>30.042548230827315</v>
      </c>
      <c r="T1453" s="15">
        <f t="shared" si="1197"/>
        <v>30.643399195443866</v>
      </c>
      <c r="U1453" s="15">
        <f t="shared" si="1197"/>
        <v>31.256267179352747</v>
      </c>
      <c r="V1453" s="15">
        <f t="shared" si="1197"/>
        <v>31.881392522939798</v>
      </c>
      <c r="W1453" s="15">
        <f t="shared" si="1197"/>
        <v>32.519020373398597</v>
      </c>
      <c r="X1453" s="15">
        <f t="shared" si="1197"/>
        <v>33.169400780866567</v>
      </c>
      <c r="Y1453" s="15">
        <f t="shared" si="1197"/>
        <v>33.832788796483896</v>
      </c>
      <c r="Z1453" s="15">
        <f t="shared" si="1197"/>
        <v>34.509444572413578</v>
      </c>
      <c r="AA1453" s="15"/>
      <c r="AB1453" s="15"/>
      <c r="AC1453" s="15"/>
      <c r="AD1453" s="15"/>
      <c r="AE1453" s="15"/>
      <c r="AF1453" s="15"/>
      <c r="AG1453" s="15"/>
      <c r="AH1453" s="15"/>
      <c r="AI1453" s="15"/>
      <c r="AJ1453" s="15"/>
      <c r="AL1453" s="221"/>
    </row>
    <row r="1454" spans="1:38" x14ac:dyDescent="0.25">
      <c r="A1454" t="s">
        <v>861</v>
      </c>
    </row>
    <row r="1455" spans="1:38" s="16" customFormat="1" x14ac:dyDescent="0.25">
      <c r="A1455" s="16" t="s">
        <v>861</v>
      </c>
      <c r="D1455" s="16" t="s">
        <v>722</v>
      </c>
      <c r="H1455" s="270" t="s">
        <v>497</v>
      </c>
      <c r="I1455" s="271" t="str">
        <f>IF($H$9="USD","USD","tr. VND")</f>
        <v>tr. VND</v>
      </c>
      <c r="K1455" s="270"/>
      <c r="L1455" s="272">
        <f t="shared" ref="L1455:AJ1455" si="1198">IF($H$9="USD",L1452*L1331/10^3,L1450*L1331/10^3)</f>
        <v>140401.29945600001</v>
      </c>
      <c r="M1455" s="272">
        <f t="shared" si="1198"/>
        <v>200493.05562316801</v>
      </c>
      <c r="N1455" s="272">
        <f t="shared" si="1198"/>
        <v>292147.02390804479</v>
      </c>
      <c r="O1455" s="272">
        <f t="shared" si="1198"/>
        <v>297989.96438620571</v>
      </c>
      <c r="P1455" s="272">
        <f t="shared" si="1198"/>
        <v>303949.76367392979</v>
      </c>
      <c r="Q1455" s="272">
        <f t="shared" si="1198"/>
        <v>310028.75894740841</v>
      </c>
      <c r="R1455" s="272">
        <f t="shared" si="1198"/>
        <v>316229.33412635658</v>
      </c>
      <c r="S1455" s="272">
        <f t="shared" si="1198"/>
        <v>322553.92080888367</v>
      </c>
      <c r="T1455" s="272">
        <f t="shared" si="1198"/>
        <v>329004.99922506133</v>
      </c>
      <c r="U1455" s="272">
        <f t="shared" si="1198"/>
        <v>335585.09920956258</v>
      </c>
      <c r="V1455" s="272">
        <f t="shared" si="1198"/>
        <v>342296.80119375384</v>
      </c>
      <c r="W1455" s="272">
        <f t="shared" si="1198"/>
        <v>349142.73721762892</v>
      </c>
      <c r="X1455" s="272">
        <f t="shared" si="1198"/>
        <v>356125.5919619815</v>
      </c>
      <c r="Y1455" s="272">
        <f t="shared" si="1198"/>
        <v>363248.10380122106</v>
      </c>
      <c r="Z1455" s="272">
        <f t="shared" si="1198"/>
        <v>370513.06587724556</v>
      </c>
      <c r="AA1455" s="272"/>
      <c r="AB1455" s="272"/>
      <c r="AC1455" s="272"/>
      <c r="AD1455" s="272"/>
      <c r="AE1455" s="272"/>
      <c r="AF1455" s="272"/>
      <c r="AG1455" s="272"/>
      <c r="AH1455" s="272"/>
      <c r="AI1455" s="272"/>
      <c r="AJ1455" s="272"/>
      <c r="AL1455" s="223"/>
    </row>
    <row r="1456" spans="1:38" x14ac:dyDescent="0.25">
      <c r="A1456" t="s">
        <v>861</v>
      </c>
    </row>
    <row r="1457" spans="1:38" s="1" customFormat="1" x14ac:dyDescent="0.25">
      <c r="A1457" s="1" t="s">
        <v>861</v>
      </c>
      <c r="H1457" s="266" t="s">
        <v>495</v>
      </c>
      <c r="I1457" s="267" t="str">
        <f>IF($H$9="USD","USD","tr. VND")</f>
        <v>tr. VND</v>
      </c>
      <c r="K1457" s="266"/>
      <c r="L1457" s="269">
        <f>L1455+L1371</f>
        <v>-13232.409637160104</v>
      </c>
      <c r="M1457" s="269">
        <f t="shared" ref="M1457:AJ1457" si="1199">M1455+M1371</f>
        <v>10045.375782585732</v>
      </c>
      <c r="N1457" s="269">
        <f t="shared" si="1199"/>
        <v>40928.154296642606</v>
      </c>
      <c r="O1457" s="269">
        <f t="shared" si="1199"/>
        <v>41979.293318912009</v>
      </c>
      <c r="P1457" s="269">
        <f t="shared" si="1199"/>
        <v>43022.870573097258</v>
      </c>
      <c r="Q1457" s="269">
        <f t="shared" si="1199"/>
        <v>44057.977015053155</v>
      </c>
      <c r="R1457" s="269">
        <f t="shared" si="1199"/>
        <v>45083.694528617256</v>
      </c>
      <c r="S1457" s="269">
        <f t="shared" si="1199"/>
        <v>46099.099489564425</v>
      </c>
      <c r="T1457" s="269">
        <f t="shared" si="1199"/>
        <v>47103.266818406526</v>
      </c>
      <c r="U1457" s="269">
        <f t="shared" si="1199"/>
        <v>48095.274568813329</v>
      </c>
      <c r="V1457" s="269">
        <f t="shared" si="1199"/>
        <v>49074.209102345165</v>
      </c>
      <c r="W1457" s="269">
        <f t="shared" si="1199"/>
        <v>50039.170904406405</v>
      </c>
      <c r="X1457" s="269">
        <f t="shared" si="1199"/>
        <v>77054.263767547091</v>
      </c>
      <c r="Y1457" s="269">
        <f t="shared" si="1199"/>
        <v>77988.671406473673</v>
      </c>
      <c r="Z1457" s="269">
        <f t="shared" si="1199"/>
        <v>78906.561574417574</v>
      </c>
      <c r="AA1457" s="269"/>
      <c r="AB1457" s="269"/>
      <c r="AC1457" s="269"/>
      <c r="AD1457" s="269"/>
      <c r="AE1457" s="269"/>
      <c r="AF1457" s="269"/>
      <c r="AG1457" s="269"/>
      <c r="AH1457" s="269"/>
      <c r="AI1457" s="269"/>
      <c r="AJ1457" s="269"/>
      <c r="AL1457" s="220"/>
    </row>
    <row r="1458" spans="1:38" s="146" customFormat="1" x14ac:dyDescent="0.25">
      <c r="A1458" s="146" t="s">
        <v>861</v>
      </c>
      <c r="H1458" s="146" t="s">
        <v>496</v>
      </c>
      <c r="I1458" s="144"/>
      <c r="L1458" s="147">
        <f>IFERROR(L1457/L1455,0)</f>
        <v>-9.4247059595819305E-2</v>
      </c>
      <c r="M1458" s="147">
        <f t="shared" ref="M1458:AJ1458" si="1200">IFERROR(M1457/M1455,0)</f>
        <v>5.0103360195508623E-2</v>
      </c>
      <c r="N1458" s="147">
        <f t="shared" si="1200"/>
        <v>0.14009437354229223</v>
      </c>
      <c r="O1458" s="147">
        <f t="shared" si="1200"/>
        <v>0.1408748559884565</v>
      </c>
      <c r="P1458" s="147">
        <f t="shared" si="1200"/>
        <v>0.14154599119626621</v>
      </c>
      <c r="Q1458" s="147">
        <f t="shared" si="1200"/>
        <v>0.14210932290486933</v>
      </c>
      <c r="R1458" s="147">
        <f t="shared" si="1200"/>
        <v>0.14256645308750215</v>
      </c>
      <c r="S1458" s="147">
        <f t="shared" si="1200"/>
        <v>0.14291904861661436</v>
      </c>
      <c r="T1458" s="147">
        <f t="shared" si="1200"/>
        <v>0.14316884828301576</v>
      </c>
      <c r="U1458" s="147">
        <f t="shared" si="1200"/>
        <v>0.1433176701888641</v>
      </c>
      <c r="V1458" s="147">
        <f t="shared" si="1200"/>
        <v>0.14336741953532653</v>
      </c>
      <c r="W1458" s="147">
        <f t="shared" si="1200"/>
        <v>0.14332009682680527</v>
      </c>
      <c r="X1458" s="147">
        <f t="shared" si="1200"/>
        <v>0.21636822937390326</v>
      </c>
      <c r="Y1458" s="147">
        <f t="shared" si="1200"/>
        <v>0.21469808263376683</v>
      </c>
      <c r="Z1458" s="147">
        <f t="shared" si="1200"/>
        <v>0.21296566529332614</v>
      </c>
      <c r="AA1458" s="147"/>
      <c r="AB1458" s="147"/>
      <c r="AC1458" s="147"/>
      <c r="AD1458" s="147"/>
      <c r="AE1458" s="147"/>
      <c r="AF1458" s="147"/>
      <c r="AG1458" s="147"/>
      <c r="AH1458" s="147"/>
      <c r="AI1458" s="147"/>
      <c r="AJ1458" s="147"/>
      <c r="AL1458" s="147"/>
    </row>
    <row r="1459" spans="1:38" x14ac:dyDescent="0.25">
      <c r="A1459" t="s">
        <v>861</v>
      </c>
    </row>
    <row r="1460" spans="1:38" s="16" customFormat="1" x14ac:dyDescent="0.25">
      <c r="A1460" s="16" t="s">
        <v>861</v>
      </c>
      <c r="D1460" s="16" t="s">
        <v>488</v>
      </c>
      <c r="H1460" s="270" t="s">
        <v>488</v>
      </c>
      <c r="I1460" s="271" t="str">
        <f>IF($H$9="USD","USD","tr. VND")</f>
        <v>tr. VND</v>
      </c>
      <c r="K1460" s="270"/>
      <c r="L1460" s="272">
        <f t="shared" ref="L1460:AJ1460" si="1201">L1457*(1-Tax_rate)</f>
        <v>-10585.927709728085</v>
      </c>
      <c r="M1460" s="272">
        <f t="shared" si="1201"/>
        <v>8036.3006260685861</v>
      </c>
      <c r="N1460" s="272">
        <f t="shared" si="1201"/>
        <v>32742.523437314085</v>
      </c>
      <c r="O1460" s="272">
        <f t="shared" si="1201"/>
        <v>33583.434655129611</v>
      </c>
      <c r="P1460" s="272">
        <f t="shared" si="1201"/>
        <v>34418.296458477809</v>
      </c>
      <c r="Q1460" s="272">
        <f t="shared" si="1201"/>
        <v>35246.381612042525</v>
      </c>
      <c r="R1460" s="272">
        <f t="shared" si="1201"/>
        <v>36066.955622893809</v>
      </c>
      <c r="S1460" s="272">
        <f t="shared" si="1201"/>
        <v>36879.279591651539</v>
      </c>
      <c r="T1460" s="272">
        <f t="shared" si="1201"/>
        <v>37682.613454725222</v>
      </c>
      <c r="U1460" s="272">
        <f t="shared" si="1201"/>
        <v>38476.219655050663</v>
      </c>
      <c r="V1460" s="272">
        <f t="shared" si="1201"/>
        <v>39259.367281876133</v>
      </c>
      <c r="W1460" s="272">
        <f t="shared" si="1201"/>
        <v>40031.336723525128</v>
      </c>
      <c r="X1460" s="272">
        <f t="shared" si="1201"/>
        <v>61643.411014037672</v>
      </c>
      <c r="Y1460" s="272">
        <f t="shared" si="1201"/>
        <v>62390.937125178942</v>
      </c>
      <c r="Z1460" s="272">
        <f t="shared" si="1201"/>
        <v>63125.249259534059</v>
      </c>
      <c r="AA1460" s="272"/>
      <c r="AB1460" s="272"/>
      <c r="AC1460" s="272"/>
      <c r="AD1460" s="272"/>
      <c r="AE1460" s="272"/>
      <c r="AF1460" s="272"/>
      <c r="AG1460" s="272"/>
      <c r="AH1460" s="272"/>
      <c r="AI1460" s="272"/>
      <c r="AJ1460" s="272"/>
      <c r="AL1460" s="223"/>
    </row>
    <row r="1461" spans="1:38" s="146" customFormat="1" x14ac:dyDescent="0.25">
      <c r="A1461" s="146" t="s">
        <v>861</v>
      </c>
      <c r="H1461" s="146" t="s">
        <v>489</v>
      </c>
      <c r="I1461" s="144"/>
      <c r="L1461" s="147">
        <f>IFERROR(L1460/L1455,0)</f>
        <v>-7.5397647676655452E-2</v>
      </c>
      <c r="M1461" s="147">
        <f t="shared" ref="M1461:AJ1461" si="1202">IFERROR(M1460/M1455,0)</f>
        <v>4.00826881564069E-2</v>
      </c>
      <c r="N1461" s="147">
        <f t="shared" si="1202"/>
        <v>0.11207549883383379</v>
      </c>
      <c r="O1461" s="147">
        <f t="shared" si="1202"/>
        <v>0.1126998847907652</v>
      </c>
      <c r="P1461" s="147">
        <f t="shared" si="1202"/>
        <v>0.11323679295701297</v>
      </c>
      <c r="Q1461" s="147">
        <f t="shared" si="1202"/>
        <v>0.11368745832389546</v>
      </c>
      <c r="R1461" s="147">
        <f t="shared" si="1202"/>
        <v>0.11405316247000173</v>
      </c>
      <c r="S1461" s="147">
        <f t="shared" si="1202"/>
        <v>0.11433523889329149</v>
      </c>
      <c r="T1461" s="147">
        <f t="shared" si="1202"/>
        <v>0.11453507862641261</v>
      </c>
      <c r="U1461" s="147">
        <f t="shared" si="1202"/>
        <v>0.11465413615109128</v>
      </c>
      <c r="V1461" s="147">
        <f t="shared" si="1202"/>
        <v>0.11469393562826123</v>
      </c>
      <c r="W1461" s="147">
        <f t="shared" si="1202"/>
        <v>0.11465607746144423</v>
      </c>
      <c r="X1461" s="147">
        <f t="shared" si="1202"/>
        <v>0.1730945834991226</v>
      </c>
      <c r="Y1461" s="147">
        <f t="shared" si="1202"/>
        <v>0.17175846610701348</v>
      </c>
      <c r="Z1461" s="147">
        <f t="shared" si="1202"/>
        <v>0.1703725322346609</v>
      </c>
      <c r="AA1461" s="147"/>
      <c r="AB1461" s="147"/>
      <c r="AC1461" s="147"/>
      <c r="AD1461" s="147"/>
      <c r="AE1461" s="147"/>
      <c r="AF1461" s="147"/>
      <c r="AG1461" s="147"/>
      <c r="AH1461" s="147"/>
      <c r="AI1461" s="147"/>
      <c r="AJ1461" s="147"/>
      <c r="AL1461" s="147"/>
    </row>
    <row r="1462" spans="1:38" x14ac:dyDescent="0.25">
      <c r="A1462" t="s">
        <v>861</v>
      </c>
    </row>
    <row r="1463" spans="1:38" s="16" customFormat="1" x14ac:dyDescent="0.25">
      <c r="A1463" s="16" t="s">
        <v>861</v>
      </c>
      <c r="H1463" s="270" t="s">
        <v>477</v>
      </c>
      <c r="I1463" s="271" t="str">
        <f>IF($H$9="USD","USD","tr. VND")</f>
        <v>tr. VND</v>
      </c>
      <c r="K1463" s="272">
        <f>SUM(K1465:K1468)</f>
        <v>-300749.80000000005</v>
      </c>
      <c r="L1463" s="272">
        <f t="shared" ref="L1463:AJ1463" si="1203">SUM(L1465:L1468)</f>
        <v>0</v>
      </c>
      <c r="M1463" s="272">
        <f t="shared" si="1203"/>
        <v>0</v>
      </c>
      <c r="N1463" s="272">
        <f t="shared" si="1203"/>
        <v>0</v>
      </c>
      <c r="O1463" s="272">
        <f t="shared" si="1203"/>
        <v>0</v>
      </c>
      <c r="P1463" s="272">
        <f t="shared" si="1203"/>
        <v>0</v>
      </c>
      <c r="Q1463" s="272">
        <f t="shared" si="1203"/>
        <v>0</v>
      </c>
      <c r="R1463" s="272">
        <f t="shared" si="1203"/>
        <v>0</v>
      </c>
      <c r="S1463" s="272">
        <f t="shared" si="1203"/>
        <v>0</v>
      </c>
      <c r="T1463" s="272">
        <f t="shared" si="1203"/>
        <v>0</v>
      </c>
      <c r="U1463" s="272">
        <f t="shared" si="1203"/>
        <v>0</v>
      </c>
      <c r="V1463" s="272">
        <f t="shared" si="1203"/>
        <v>0</v>
      </c>
      <c r="W1463" s="272">
        <f t="shared" si="1203"/>
        <v>0</v>
      </c>
      <c r="X1463" s="272">
        <f t="shared" si="1203"/>
        <v>0</v>
      </c>
      <c r="Y1463" s="272">
        <f t="shared" si="1203"/>
        <v>0</v>
      </c>
      <c r="Z1463" s="272">
        <f t="shared" si="1203"/>
        <v>0</v>
      </c>
      <c r="AA1463" s="272"/>
      <c r="AB1463" s="272"/>
      <c r="AC1463" s="272"/>
      <c r="AD1463" s="272"/>
      <c r="AE1463" s="272"/>
      <c r="AF1463" s="272"/>
      <c r="AG1463" s="272"/>
      <c r="AH1463" s="272"/>
      <c r="AI1463" s="272"/>
      <c r="AJ1463" s="272"/>
      <c r="AL1463" s="223"/>
    </row>
    <row r="1464" spans="1:38" x14ac:dyDescent="0.25">
      <c r="A1464" t="s">
        <v>861</v>
      </c>
    </row>
    <row r="1465" spans="1:38" x14ac:dyDescent="0.25">
      <c r="A1465" t="s">
        <v>861</v>
      </c>
      <c r="B1465" t="s">
        <v>480</v>
      </c>
      <c r="H1465" s="459" t="s">
        <v>30</v>
      </c>
      <c r="I1465" s="493" t="str">
        <f t="shared" ref="I1465:I1468" si="1204">IF($H$9="USD","USD","tr. VND")</f>
        <v>tr. VND</v>
      </c>
      <c r="K1465" s="461" cm="1">
        <f t="array" ref="K1465">-SUMPRODUCT('W1'!$H$10:$BC$60*('W1'!$A$10:$A$60=$B1465)*('W1'!$H$7:$BC$7="Giá trị đầu tư")*('W1'!$H$6:$BC$6=$A1465))*$H$10</f>
        <v>-246389.00000000003</v>
      </c>
      <c r="L1465" s="461"/>
      <c r="M1465" s="461"/>
      <c r="N1465" s="461"/>
      <c r="O1465" s="461"/>
      <c r="P1465" s="461"/>
      <c r="Q1465" s="461"/>
      <c r="R1465" s="461"/>
      <c r="S1465" s="461"/>
      <c r="T1465" s="461"/>
      <c r="U1465" s="461"/>
      <c r="V1465" s="461"/>
      <c r="W1465" s="461"/>
      <c r="X1465" s="461"/>
      <c r="Y1465" s="461"/>
      <c r="Z1465" s="461"/>
      <c r="AA1465" s="461"/>
      <c r="AB1465" s="461"/>
      <c r="AC1465" s="461"/>
      <c r="AD1465" s="461"/>
      <c r="AE1465" s="461"/>
      <c r="AF1465" s="461"/>
      <c r="AG1465" s="461"/>
      <c r="AH1465" s="461"/>
      <c r="AI1465" s="461"/>
      <c r="AJ1465" s="461"/>
      <c r="AL1465" s="221"/>
    </row>
    <row r="1466" spans="1:38" x14ac:dyDescent="0.25">
      <c r="A1466" t="s">
        <v>861</v>
      </c>
      <c r="B1466" t="s">
        <v>481</v>
      </c>
      <c r="H1466" s="454" t="s">
        <v>32</v>
      </c>
      <c r="I1466" s="496" t="str">
        <f t="shared" si="1204"/>
        <v>tr. VND</v>
      </c>
      <c r="K1466" s="457" cm="1">
        <f t="array" ref="K1466">-SUMPRODUCT('W1'!$H$10:$BC$60*('W1'!$A$10:$A$60=$B1466)*('W1'!$H$7:$BC$7="Giá trị đầu tư")*('W1'!$H$6:$BC$6=$A1466))*$H$10</f>
        <v>-38110.799999999996</v>
      </c>
      <c r="L1466" s="457"/>
      <c r="M1466" s="457"/>
      <c r="N1466" s="457"/>
      <c r="O1466" s="457"/>
      <c r="P1466" s="457"/>
      <c r="Q1466" s="457"/>
      <c r="R1466" s="457"/>
      <c r="S1466" s="457"/>
      <c r="T1466" s="457"/>
      <c r="U1466" s="457"/>
      <c r="V1466" s="457"/>
      <c r="W1466" s="457"/>
      <c r="X1466" s="457"/>
      <c r="Y1466" s="457"/>
      <c r="Z1466" s="457"/>
      <c r="AA1466" s="457"/>
      <c r="AB1466" s="457"/>
      <c r="AC1466" s="457"/>
      <c r="AD1466" s="457"/>
      <c r="AE1466" s="457"/>
      <c r="AF1466" s="457"/>
      <c r="AG1466" s="457"/>
      <c r="AH1466" s="457"/>
      <c r="AI1466" s="457"/>
      <c r="AJ1466" s="457"/>
      <c r="AL1466" s="221"/>
    </row>
    <row r="1467" spans="1:38" x14ac:dyDescent="0.25">
      <c r="A1467" t="s">
        <v>861</v>
      </c>
      <c r="B1467" t="s">
        <v>482</v>
      </c>
      <c r="H1467" s="454" t="s">
        <v>478</v>
      </c>
      <c r="I1467" s="496" t="str">
        <f t="shared" si="1204"/>
        <v>tr. VND</v>
      </c>
      <c r="K1467" s="457" cm="1">
        <f t="array" ref="K1467">-SUMPRODUCT('W1'!$H$10:$BC$60*('W1'!$A$10:$A$60=$B1467)*('W1'!$H$7:$BC$7="Giá trị đầu tư")*('W1'!$H$6:$BC$6=$A1467))*$H$10</f>
        <v>0</v>
      </c>
      <c r="L1467" s="457"/>
      <c r="M1467" s="457"/>
      <c r="N1467" s="457"/>
      <c r="O1467" s="457"/>
      <c r="P1467" s="457"/>
      <c r="Q1467" s="457"/>
      <c r="R1467" s="457"/>
      <c r="S1467" s="457"/>
      <c r="T1467" s="457"/>
      <c r="U1467" s="457"/>
      <c r="V1467" s="457"/>
      <c r="W1467" s="457"/>
      <c r="X1467" s="457"/>
      <c r="Y1467" s="457"/>
      <c r="Z1467" s="457"/>
      <c r="AA1467" s="457"/>
      <c r="AB1467" s="457"/>
      <c r="AC1467" s="457"/>
      <c r="AD1467" s="457"/>
      <c r="AE1467" s="457"/>
      <c r="AF1467" s="457"/>
      <c r="AG1467" s="457"/>
      <c r="AH1467" s="457"/>
      <c r="AI1467" s="457"/>
      <c r="AJ1467" s="457"/>
      <c r="AL1467" s="221"/>
    </row>
    <row r="1468" spans="1:38" x14ac:dyDescent="0.25">
      <c r="A1468" t="s">
        <v>861</v>
      </c>
      <c r="B1468" t="s">
        <v>483</v>
      </c>
      <c r="H1468" s="454" t="s">
        <v>479</v>
      </c>
      <c r="I1468" s="496" t="str">
        <f t="shared" si="1204"/>
        <v>tr. VND</v>
      </c>
      <c r="K1468" s="457" cm="1">
        <f t="array" ref="K1468">-SUMPRODUCT('W1'!$H$10:$BC$60*('W1'!$A$10:$A$60=$B1468)*('W1'!$H$7:$BC$7="Giá trị đầu tư")*('W1'!$H$6:$BC$6=$A1468))*$H$10</f>
        <v>-16250</v>
      </c>
      <c r="L1468" s="457"/>
      <c r="M1468" s="457"/>
      <c r="N1468" s="457"/>
      <c r="O1468" s="457"/>
      <c r="P1468" s="457"/>
      <c r="Q1468" s="457"/>
      <c r="R1468" s="457"/>
      <c r="S1468" s="457"/>
      <c r="T1468" s="457"/>
      <c r="U1468" s="457"/>
      <c r="V1468" s="457"/>
      <c r="W1468" s="457"/>
      <c r="X1468" s="457"/>
      <c r="Y1468" s="457"/>
      <c r="Z1468" s="457"/>
      <c r="AA1468" s="457"/>
      <c r="AB1468" s="457"/>
      <c r="AC1468" s="457"/>
      <c r="AD1468" s="457"/>
      <c r="AE1468" s="457"/>
      <c r="AF1468" s="457"/>
      <c r="AG1468" s="457"/>
      <c r="AH1468" s="457"/>
      <c r="AI1468" s="457"/>
      <c r="AJ1468" s="457"/>
      <c r="AL1468" s="221"/>
    </row>
    <row r="1469" spans="1:38" x14ac:dyDescent="0.25">
      <c r="A1469" t="s">
        <v>861</v>
      </c>
      <c r="K1469" s="15"/>
      <c r="L1469" s="15"/>
      <c r="M1469" s="15"/>
      <c r="N1469" s="15"/>
      <c r="O1469" s="15"/>
      <c r="P1469" s="15"/>
      <c r="Q1469" s="15"/>
      <c r="R1469" s="15"/>
      <c r="S1469" s="15"/>
      <c r="T1469" s="15"/>
      <c r="U1469" s="15"/>
      <c r="V1469" s="15"/>
      <c r="W1469" s="15"/>
      <c r="X1469" s="15"/>
      <c r="Y1469" s="15"/>
      <c r="Z1469" s="15"/>
      <c r="AA1469" s="15"/>
      <c r="AB1469" s="15"/>
      <c r="AC1469" s="15"/>
      <c r="AD1469" s="15"/>
      <c r="AE1469" s="15"/>
      <c r="AF1469" s="15"/>
      <c r="AG1469" s="15"/>
      <c r="AH1469" s="15"/>
      <c r="AI1469" s="15"/>
      <c r="AJ1469" s="15"/>
      <c r="AL1469" s="221"/>
    </row>
    <row r="1470" spans="1:38" s="16" customFormat="1" x14ac:dyDescent="0.25">
      <c r="A1470" s="16" t="s">
        <v>861</v>
      </c>
      <c r="H1470" s="270" t="s">
        <v>498</v>
      </c>
      <c r="I1470" s="271" t="str">
        <f>IF($H$9="USD","USD","tr. VND")</f>
        <v>tr. VND</v>
      </c>
      <c r="K1470" s="272">
        <f>K1463</f>
        <v>-300749.80000000005</v>
      </c>
      <c r="L1470" s="272">
        <f t="shared" ref="L1470:AJ1470" si="1205">L1455+L1371-(L1343+L1369)</f>
        <v>26566.813896173233</v>
      </c>
      <c r="M1470" s="272">
        <f t="shared" si="1205"/>
        <v>49258.156270343832</v>
      </c>
      <c r="N1470" s="272">
        <f t="shared" si="1205"/>
        <v>79513.440725635199</v>
      </c>
      <c r="O1470" s="272">
        <f t="shared" si="1205"/>
        <v>79893.161105025516</v>
      </c>
      <c r="P1470" s="272">
        <f t="shared" si="1205"/>
        <v>80218.320411330147</v>
      </c>
      <c r="Q1470" s="272">
        <f t="shared" si="1205"/>
        <v>80484.719649053775</v>
      </c>
      <c r="R1470" s="272">
        <f t="shared" si="1205"/>
        <v>80687.920454089355</v>
      </c>
      <c r="S1470" s="272">
        <f t="shared" si="1205"/>
        <v>80823.232536911004</v>
      </c>
      <c r="T1470" s="272">
        <f t="shared" si="1205"/>
        <v>80885.700486158777</v>
      </c>
      <c r="U1470" s="272">
        <f t="shared" si="1205"/>
        <v>80870.089900399675</v>
      </c>
      <c r="V1470" s="272">
        <f t="shared" si="1205"/>
        <v>80770.872814233997</v>
      </c>
      <c r="W1470" s="272">
        <f t="shared" si="1205"/>
        <v>80582.212383218881</v>
      </c>
      <c r="X1470" s="272">
        <f t="shared" si="1205"/>
        <v>81300.446123634538</v>
      </c>
      <c r="Y1470" s="272">
        <f t="shared" si="1205"/>
        <v>80914.071667912009</v>
      </c>
      <c r="Z1470" s="272">
        <f t="shared" si="1205"/>
        <v>80418.724994581353</v>
      </c>
      <c r="AA1470" s="272"/>
      <c r="AB1470" s="272"/>
      <c r="AC1470" s="272"/>
      <c r="AD1470" s="272"/>
      <c r="AE1470" s="272"/>
      <c r="AF1470" s="272"/>
      <c r="AG1470" s="272"/>
      <c r="AH1470" s="272"/>
      <c r="AI1470" s="272"/>
      <c r="AJ1470" s="272"/>
      <c r="AL1470" s="223"/>
    </row>
    <row r="1471" spans="1:38" x14ac:dyDescent="0.25">
      <c r="A1471" t="s">
        <v>861</v>
      </c>
      <c r="H1471" t="s">
        <v>292</v>
      </c>
      <c r="I1471" s="65" t="str">
        <f t="shared" ref="I1471:I1478" si="1206">IF($H$9="USD","USD","tr. VND")</f>
        <v>tr. VND</v>
      </c>
      <c r="L1471" s="15">
        <f>-(L1470+L1343)*Tax_rate</f>
        <v>-300.86611256797988</v>
      </c>
      <c r="M1471" s="15">
        <f t="shared" ref="M1471:AJ1471" si="1207">-(M1470+M1343)*Tax_rate</f>
        <v>-4839.1345874020999</v>
      </c>
      <c r="N1471" s="15">
        <f t="shared" si="1207"/>
        <v>-10890.191478460372</v>
      </c>
      <c r="O1471" s="15">
        <f t="shared" si="1207"/>
        <v>-10966.135554338436</v>
      </c>
      <c r="P1471" s="15">
        <f t="shared" si="1207"/>
        <v>-11031.167415599362</v>
      </c>
      <c r="Q1471" s="15">
        <f t="shared" si="1207"/>
        <v>-11084.447263144088</v>
      </c>
      <c r="R1471" s="15">
        <f t="shared" si="1207"/>
        <v>-11125.087424151205</v>
      </c>
      <c r="S1471" s="15">
        <f t="shared" si="1207"/>
        <v>-11152.149840715534</v>
      </c>
      <c r="T1471" s="15">
        <f t="shared" si="1207"/>
        <v>-11164.643430565089</v>
      </c>
      <c r="U1471" s="15">
        <f t="shared" si="1207"/>
        <v>-11161.521313413268</v>
      </c>
      <c r="V1471" s="15">
        <f t="shared" si="1207"/>
        <v>-11141.677896180132</v>
      </c>
      <c r="W1471" s="15">
        <f t="shared" si="1207"/>
        <v>-11103.945809977109</v>
      </c>
      <c r="X1471" s="15">
        <f t="shared" si="1207"/>
        <v>-16260.089224726908</v>
      </c>
      <c r="Y1471" s="15">
        <f t="shared" si="1207"/>
        <v>-16182.814333582402</v>
      </c>
      <c r="Z1471" s="15">
        <f t="shared" si="1207"/>
        <v>-16083.744998916271</v>
      </c>
      <c r="AA1471" s="15"/>
      <c r="AB1471" s="15"/>
      <c r="AC1471" s="15"/>
      <c r="AD1471" s="15"/>
      <c r="AE1471" s="15"/>
      <c r="AF1471" s="15"/>
      <c r="AG1471" s="15"/>
      <c r="AH1471" s="15"/>
      <c r="AI1471" s="15"/>
      <c r="AJ1471" s="15"/>
      <c r="AL1471" s="221"/>
    </row>
    <row r="1472" spans="1:38" s="16" customFormat="1" x14ac:dyDescent="0.25">
      <c r="A1472" s="16" t="s">
        <v>861</v>
      </c>
      <c r="H1472" s="270" t="s">
        <v>499</v>
      </c>
      <c r="I1472" s="271" t="str">
        <f t="shared" si="1206"/>
        <v>tr. VND</v>
      </c>
      <c r="K1472" s="272">
        <f>K1470+K1471</f>
        <v>-300749.80000000005</v>
      </c>
      <c r="L1472" s="272">
        <f t="shared" ref="L1472:AJ1472" si="1208">L1470+L1471</f>
        <v>26265.947783605254</v>
      </c>
      <c r="M1472" s="272">
        <f t="shared" si="1208"/>
        <v>44419.021682941733</v>
      </c>
      <c r="N1472" s="272">
        <f t="shared" si="1208"/>
        <v>68623.249247174826</v>
      </c>
      <c r="O1472" s="272">
        <f t="shared" si="1208"/>
        <v>68927.025550687074</v>
      </c>
      <c r="P1472" s="272">
        <f t="shared" si="1208"/>
        <v>69187.152995730779</v>
      </c>
      <c r="Q1472" s="272">
        <f t="shared" si="1208"/>
        <v>69400.272385909688</v>
      </c>
      <c r="R1472" s="272">
        <f t="shared" si="1208"/>
        <v>69562.833029938149</v>
      </c>
      <c r="S1472" s="272">
        <f t="shared" si="1208"/>
        <v>69671.082696195474</v>
      </c>
      <c r="T1472" s="272">
        <f t="shared" si="1208"/>
        <v>69721.057055593687</v>
      </c>
      <c r="U1472" s="272">
        <f t="shared" si="1208"/>
        <v>69708.56858698641</v>
      </c>
      <c r="V1472" s="272">
        <f t="shared" si="1208"/>
        <v>69629.194918053865</v>
      </c>
      <c r="W1472" s="272">
        <f t="shared" si="1208"/>
        <v>69478.266573241766</v>
      </c>
      <c r="X1472" s="272">
        <f t="shared" si="1208"/>
        <v>65040.35689890763</v>
      </c>
      <c r="Y1472" s="272">
        <f t="shared" si="1208"/>
        <v>64731.25733432961</v>
      </c>
      <c r="Z1472" s="272">
        <f t="shared" si="1208"/>
        <v>64334.979995665082</v>
      </c>
      <c r="AA1472" s="272"/>
      <c r="AB1472" s="272"/>
      <c r="AC1472" s="272"/>
      <c r="AD1472" s="272"/>
      <c r="AE1472" s="272"/>
      <c r="AF1472" s="272"/>
      <c r="AG1472" s="272"/>
      <c r="AH1472" s="272"/>
      <c r="AI1472" s="272"/>
      <c r="AJ1472" s="272"/>
      <c r="AL1472" s="223"/>
    </row>
    <row r="1473" spans="1:38" x14ac:dyDescent="0.25">
      <c r="A1473" t="s">
        <v>861</v>
      </c>
      <c r="H1473" t="s">
        <v>500</v>
      </c>
      <c r="K1473" s="95">
        <f>INDEX('Cover Page'!$H$23:$AJ$23,MATCH($A1473,'Cover Page'!$H$5:$AJ$5,0))</f>
        <v>7.2660000000000016E-2</v>
      </c>
    </row>
    <row r="1474" spans="1:38" s="16" customFormat="1" x14ac:dyDescent="0.25">
      <c r="A1474" s="16" t="s">
        <v>861</v>
      </c>
      <c r="D1474" s="16" t="s">
        <v>515</v>
      </c>
      <c r="H1474" s="270" t="s">
        <v>501</v>
      </c>
      <c r="I1474" s="271" t="str">
        <f t="shared" si="1206"/>
        <v>tr. VND</v>
      </c>
      <c r="K1474" s="272">
        <f>K1472/POWER(1+$K1473,K$14)</f>
        <v>-300749.80000000005</v>
      </c>
      <c r="L1474" s="272">
        <f t="shared" ref="L1474:AJ1474" si="1209">L1472/POWER(1+$K1473,L$14)</f>
        <v>24486.741170179979</v>
      </c>
      <c r="M1474" s="272">
        <f t="shared" si="1209"/>
        <v>38605.11205237484</v>
      </c>
      <c r="N1474" s="272">
        <f t="shared" si="1209"/>
        <v>55601.309497709794</v>
      </c>
      <c r="O1474" s="272">
        <f t="shared" si="1209"/>
        <v>52064.439100370939</v>
      </c>
      <c r="P1474" s="272">
        <f t="shared" si="1209"/>
        <v>48720.869534269332</v>
      </c>
      <c r="Q1474" s="272">
        <f t="shared" si="1209"/>
        <v>45560.518691746496</v>
      </c>
      <c r="R1474" s="272">
        <f t="shared" si="1209"/>
        <v>42573.823927480815</v>
      </c>
      <c r="S1474" s="272">
        <f t="shared" si="1209"/>
        <v>39751.715226932414</v>
      </c>
      <c r="T1474" s="272">
        <f t="shared" si="1209"/>
        <v>37085.589775120701</v>
      </c>
      <c r="U1474" s="272">
        <f t="shared" si="1209"/>
        <v>34567.287851507019</v>
      </c>
      <c r="V1474" s="272">
        <f t="shared" si="1209"/>
        <v>32189.069980766984</v>
      </c>
      <c r="W1474" s="272">
        <f t="shared" si="1209"/>
        <v>29943.595273027306</v>
      </c>
      <c r="X1474" s="272">
        <f t="shared" si="1209"/>
        <v>26132.189527479506</v>
      </c>
      <c r="Y1474" s="272">
        <f t="shared" si="1209"/>
        <v>24246.264611177816</v>
      </c>
      <c r="Z1474" s="272">
        <f t="shared" si="1209"/>
        <v>22465.489305138799</v>
      </c>
      <c r="AA1474" s="272"/>
      <c r="AB1474" s="272"/>
      <c r="AC1474" s="272"/>
      <c r="AD1474" s="272"/>
      <c r="AE1474" s="272"/>
      <c r="AF1474" s="272"/>
      <c r="AG1474" s="272"/>
      <c r="AH1474" s="272"/>
      <c r="AI1474" s="272"/>
      <c r="AJ1474" s="272"/>
      <c r="AL1474" s="223"/>
    </row>
    <row r="1475" spans="1:38" x14ac:dyDescent="0.25">
      <c r="A1475" t="s">
        <v>861</v>
      </c>
      <c r="H1475" t="s">
        <v>503</v>
      </c>
      <c r="I1475" s="65" t="str">
        <f t="shared" si="1206"/>
        <v>tr. VND</v>
      </c>
      <c r="K1475" s="15">
        <f>SUM($K1474:K1474)</f>
        <v>-300749.80000000005</v>
      </c>
      <c r="L1475" s="15">
        <f>SUM($K1474:L1474)</f>
        <v>-276263.05882982007</v>
      </c>
      <c r="M1475" s="15">
        <f>SUM($K1474:M1474)</f>
        <v>-237657.94677744524</v>
      </c>
      <c r="N1475" s="15">
        <f>SUM($K1474:N1474)</f>
        <v>-182056.63727973544</v>
      </c>
      <c r="O1475" s="15">
        <f>SUM($K1474:O1474)</f>
        <v>-129992.1981793645</v>
      </c>
      <c r="P1475" s="15">
        <f>SUM($K1474:P1474)</f>
        <v>-81271.328645095171</v>
      </c>
      <c r="Q1475" s="15">
        <f>SUM($K1474:Q1474)</f>
        <v>-35710.809953348675</v>
      </c>
      <c r="R1475" s="15">
        <f>SUM($K1474:R1474)</f>
        <v>6863.01397413214</v>
      </c>
      <c r="S1475" s="15">
        <f>SUM($K1474:S1474)</f>
        <v>46614.729201064554</v>
      </c>
      <c r="T1475" s="15">
        <f>SUM($K1474:T1474)</f>
        <v>83700.318976185255</v>
      </c>
      <c r="U1475" s="15">
        <f>SUM($K1474:U1474)</f>
        <v>118267.60682769227</v>
      </c>
      <c r="V1475" s="15">
        <f>SUM($K1474:V1474)</f>
        <v>150456.67680845925</v>
      </c>
      <c r="W1475" s="15">
        <f>SUM($K1474:W1474)</f>
        <v>180400.27208148656</v>
      </c>
      <c r="X1475" s="15">
        <f>SUM($K1474:X1474)</f>
        <v>206532.46160896606</v>
      </c>
      <c r="Y1475" s="15">
        <f>SUM($K1474:Y1474)</f>
        <v>230778.72622014387</v>
      </c>
      <c r="Z1475" s="15">
        <f>SUM($K1474:Z1474)</f>
        <v>253244.21552528266</v>
      </c>
      <c r="AA1475" s="15"/>
      <c r="AB1475" s="15"/>
      <c r="AC1475" s="15"/>
      <c r="AD1475" s="15"/>
      <c r="AE1475" s="15"/>
      <c r="AF1475" s="15"/>
      <c r="AG1475" s="15"/>
      <c r="AH1475" s="15"/>
      <c r="AI1475" s="15"/>
      <c r="AJ1475" s="15"/>
      <c r="AL1475" s="221"/>
    </row>
    <row r="1476" spans="1:38" x14ac:dyDescent="0.25">
      <c r="A1476" t="s">
        <v>861</v>
      </c>
    </row>
    <row r="1477" spans="1:38" ht="15.75" thickBot="1" x14ac:dyDescent="0.3">
      <c r="A1477" t="s">
        <v>861</v>
      </c>
    </row>
    <row r="1478" spans="1:38" x14ac:dyDescent="0.25">
      <c r="A1478" t="s">
        <v>861</v>
      </c>
      <c r="D1478" t="s">
        <v>544</v>
      </c>
      <c r="H1478" s="96" t="s">
        <v>401</v>
      </c>
      <c r="I1478" s="310" t="str">
        <f t="shared" si="1206"/>
        <v>tr. VND</v>
      </c>
      <c r="J1478" s="311"/>
      <c r="K1478" s="97">
        <f>SUM(K1474:AJ1474)</f>
        <v>253244.21552528266</v>
      </c>
      <c r="L1478" s="263"/>
      <c r="M1478" s="70"/>
      <c r="N1478" s="70"/>
    </row>
    <row r="1479" spans="1:38" x14ac:dyDescent="0.25">
      <c r="A1479" t="s">
        <v>861</v>
      </c>
      <c r="D1479" t="s">
        <v>516</v>
      </c>
      <c r="H1479" s="212" t="s">
        <v>402</v>
      </c>
      <c r="I1479" s="255"/>
      <c r="J1479" s="48"/>
      <c r="K1479" s="314">
        <f>IFERROR(IRR(K1472:AJ1472),0)</f>
        <v>0.17745920185994968</v>
      </c>
    </row>
    <row r="1480" spans="1:38" ht="15.75" thickBot="1" x14ac:dyDescent="0.3">
      <c r="A1480" t="s">
        <v>861</v>
      </c>
      <c r="D1480" t="s">
        <v>517</v>
      </c>
      <c r="H1480" s="98" t="s">
        <v>403</v>
      </c>
      <c r="I1480" s="312" t="s">
        <v>290</v>
      </c>
      <c r="J1480" s="313"/>
      <c r="K1480" s="315" cm="1">
        <f t="array" ref="K1480">ROUNDUP(IF(K1478&lt;0,0,INDEX(K$14:AJ$14,,MATCH(_xlfn.MINIFS(K1475:AJ1475,K1475:AJ1475,"&gt;"&amp;0),K1475:AJ1475))-1-INDEX(K1475:AJ1475,,MATCH(_xlfn.MINIFS(K1475:AJ1475,K1475:AJ1475,"&gt;"&amp;0),K1475:AJ1475)-1)/INDEX(K1474:AJ1474,,MATCH(_xlfn.MINIFS(K1475:AJ1475,K1475:AJ1475,"&gt;"&amp;0),K1475:AJ1475))),1)</f>
        <v>6.8999999999999995</v>
      </c>
    </row>
    <row r="1481" spans="1:38" x14ac:dyDescent="0.25">
      <c r="A1481" t="s">
        <v>861</v>
      </c>
      <c r="H1481" s="316" t="str">
        <f>INT(K1480)&amp;" năm"&amp;IF(MOD(K1480,1)*12=0,," "&amp;TEXT(MOD(K1480,1)*12,"00")&amp;" tháng")</f>
        <v>6 năm 11 tháng</v>
      </c>
    </row>
    <row r="1482" spans="1:38" x14ac:dyDescent="0.25">
      <c r="A1482" t="s">
        <v>861</v>
      </c>
    </row>
    <row r="1483" spans="1:38" x14ac:dyDescent="0.25">
      <c r="A1483" t="s">
        <v>861</v>
      </c>
    </row>
    <row r="1484" spans="1:38" s="304" customFormat="1" x14ac:dyDescent="0.25">
      <c r="I1484" s="305"/>
    </row>
    <row r="1485" spans="1:38" s="631" customFormat="1" ht="19.5" x14ac:dyDescent="0.3">
      <c r="A1485" s="631" t="s">
        <v>862</v>
      </c>
      <c r="H1485" s="632" t="s">
        <v>862</v>
      </c>
      <c r="K1485" s="633"/>
      <c r="L1485" s="633"/>
      <c r="M1485" s="633"/>
      <c r="N1485" s="633"/>
      <c r="O1485" s="633"/>
      <c r="P1485" s="633"/>
      <c r="Q1485" s="633"/>
      <c r="R1485" s="633"/>
      <c r="S1485" s="633"/>
      <c r="T1485" s="633"/>
      <c r="U1485" s="633"/>
      <c r="V1485" s="633"/>
      <c r="W1485" s="633"/>
      <c r="X1485" s="633"/>
      <c r="Y1485" s="633"/>
      <c r="Z1485" s="633"/>
      <c r="AA1485" s="633"/>
      <c r="AB1485" s="633"/>
      <c r="AC1485" s="633"/>
      <c r="AD1485" s="633"/>
      <c r="AE1485" s="633"/>
      <c r="AF1485" s="633"/>
      <c r="AG1485" s="633"/>
      <c r="AH1485" s="633"/>
      <c r="AI1485" s="633"/>
      <c r="AJ1485" s="633"/>
    </row>
    <row r="1486" spans="1:38" x14ac:dyDescent="0.25">
      <c r="A1486" t="s">
        <v>862</v>
      </c>
      <c r="K1486" s="20"/>
      <c r="L1486" s="20"/>
      <c r="M1486" s="20"/>
      <c r="N1486" s="20"/>
      <c r="O1486" s="20"/>
      <c r="P1486" s="20"/>
      <c r="Q1486" s="20"/>
      <c r="R1486" s="20"/>
      <c r="S1486" s="20"/>
      <c r="T1486" s="20"/>
      <c r="U1486" s="20"/>
      <c r="V1486" s="20"/>
      <c r="W1486" s="20"/>
      <c r="X1486" s="20"/>
      <c r="Y1486" s="20"/>
      <c r="Z1486" s="20"/>
      <c r="AA1486" s="20"/>
      <c r="AB1486" s="20"/>
      <c r="AC1486" s="20"/>
      <c r="AD1486" s="20"/>
      <c r="AE1486" s="20"/>
      <c r="AF1486" s="20"/>
      <c r="AG1486" s="20"/>
      <c r="AH1486" s="20"/>
      <c r="AI1486" s="20"/>
      <c r="AJ1486" s="20"/>
    </row>
    <row r="1487" spans="1:38" s="24" customFormat="1" ht="17.25" x14ac:dyDescent="0.3">
      <c r="A1487" s="24" t="s">
        <v>862</v>
      </c>
      <c r="H1487" s="24" t="s">
        <v>669</v>
      </c>
      <c r="K1487" s="634"/>
      <c r="L1487" s="634"/>
      <c r="M1487" s="634"/>
      <c r="N1487" s="634"/>
      <c r="O1487" s="634"/>
      <c r="P1487" s="634"/>
      <c r="Q1487" s="634"/>
      <c r="R1487" s="634"/>
      <c r="S1487" s="634"/>
      <c r="T1487" s="634"/>
      <c r="U1487" s="634"/>
      <c r="V1487" s="634"/>
      <c r="W1487" s="634"/>
      <c r="X1487" s="634"/>
      <c r="Y1487" s="634"/>
      <c r="Z1487" s="634"/>
      <c r="AA1487" s="634"/>
      <c r="AB1487" s="634"/>
      <c r="AC1487" s="634"/>
      <c r="AD1487" s="634"/>
      <c r="AE1487" s="634"/>
      <c r="AF1487" s="634"/>
      <c r="AG1487" s="634"/>
      <c r="AH1487" s="634"/>
      <c r="AI1487" s="634"/>
      <c r="AJ1487" s="634"/>
    </row>
    <row r="1488" spans="1:38" x14ac:dyDescent="0.25">
      <c r="A1488" t="s">
        <v>862</v>
      </c>
      <c r="H1488" s="459" t="s">
        <v>427</v>
      </c>
      <c r="I1488" s="493" t="s">
        <v>436</v>
      </c>
      <c r="K1488" s="548"/>
      <c r="L1488" s="548">
        <f t="shared" ref="L1488:AA1489" si="1210">Capacity*24*365</f>
        <v>7568640</v>
      </c>
      <c r="M1488" s="548">
        <f t="shared" si="1210"/>
        <v>7568640</v>
      </c>
      <c r="N1488" s="548">
        <f t="shared" si="1210"/>
        <v>7568640</v>
      </c>
      <c r="O1488" s="548">
        <f t="shared" si="1210"/>
        <v>7568640</v>
      </c>
      <c r="P1488" s="548">
        <f t="shared" si="1210"/>
        <v>7568640</v>
      </c>
      <c r="Q1488" s="548">
        <f t="shared" si="1210"/>
        <v>7568640</v>
      </c>
      <c r="R1488" s="548">
        <f t="shared" si="1210"/>
        <v>7568640</v>
      </c>
      <c r="S1488" s="548">
        <f t="shared" si="1210"/>
        <v>7568640</v>
      </c>
      <c r="T1488" s="548">
        <f t="shared" si="1210"/>
        <v>7568640</v>
      </c>
      <c r="U1488" s="548">
        <f t="shared" si="1210"/>
        <v>7568640</v>
      </c>
      <c r="V1488" s="548">
        <f t="shared" si="1210"/>
        <v>7568640</v>
      </c>
      <c r="W1488" s="548">
        <f t="shared" si="1210"/>
        <v>7568640</v>
      </c>
      <c r="X1488" s="548">
        <f t="shared" si="1210"/>
        <v>7568640</v>
      </c>
      <c r="Y1488" s="548">
        <f t="shared" si="1210"/>
        <v>7568640</v>
      </c>
      <c r="Z1488" s="548">
        <f t="shared" si="1210"/>
        <v>7568640</v>
      </c>
      <c r="AA1488" s="548"/>
      <c r="AB1488" s="548"/>
      <c r="AC1488" s="548"/>
      <c r="AD1488" s="548"/>
      <c r="AE1488" s="548"/>
      <c r="AF1488" s="548"/>
      <c r="AG1488" s="548"/>
      <c r="AH1488" s="548"/>
      <c r="AI1488" s="548"/>
      <c r="AJ1488" s="548"/>
    </row>
    <row r="1489" spans="1:36" x14ac:dyDescent="0.25">
      <c r="A1489" t="s">
        <v>862</v>
      </c>
      <c r="H1489" s="454" t="s">
        <v>427</v>
      </c>
      <c r="I1489" s="496" t="s">
        <v>320</v>
      </c>
      <c r="K1489" s="549"/>
      <c r="L1489" s="549">
        <f t="shared" si="1210"/>
        <v>7568640</v>
      </c>
      <c r="M1489" s="549">
        <f t="shared" si="1210"/>
        <v>7568640</v>
      </c>
      <c r="N1489" s="549">
        <f t="shared" si="1210"/>
        <v>7568640</v>
      </c>
      <c r="O1489" s="549">
        <f t="shared" si="1210"/>
        <v>7568640</v>
      </c>
      <c r="P1489" s="549">
        <f t="shared" si="1210"/>
        <v>7568640</v>
      </c>
      <c r="Q1489" s="549">
        <f t="shared" si="1210"/>
        <v>7568640</v>
      </c>
      <c r="R1489" s="549">
        <f t="shared" si="1210"/>
        <v>7568640</v>
      </c>
      <c r="S1489" s="549">
        <f t="shared" si="1210"/>
        <v>7568640</v>
      </c>
      <c r="T1489" s="549">
        <f t="shared" si="1210"/>
        <v>7568640</v>
      </c>
      <c r="U1489" s="549">
        <f t="shared" si="1210"/>
        <v>7568640</v>
      </c>
      <c r="V1489" s="549">
        <f t="shared" si="1210"/>
        <v>7568640</v>
      </c>
      <c r="W1489" s="549">
        <f t="shared" si="1210"/>
        <v>7568640</v>
      </c>
      <c r="X1489" s="549">
        <f t="shared" si="1210"/>
        <v>7568640</v>
      </c>
      <c r="Y1489" s="549">
        <f t="shared" si="1210"/>
        <v>7568640</v>
      </c>
      <c r="Z1489" s="549">
        <f t="shared" si="1210"/>
        <v>7568640</v>
      </c>
      <c r="AA1489" s="549"/>
      <c r="AB1489" s="549"/>
      <c r="AC1489" s="549"/>
      <c r="AD1489" s="549"/>
      <c r="AE1489" s="549"/>
      <c r="AF1489" s="549"/>
      <c r="AG1489" s="549"/>
      <c r="AH1489" s="549"/>
      <c r="AI1489" s="549"/>
      <c r="AJ1489" s="549"/>
    </row>
    <row r="1490" spans="1:36" s="250" customFormat="1" x14ac:dyDescent="0.25">
      <c r="A1490" s="250" t="s">
        <v>862</v>
      </c>
      <c r="H1490" s="536" t="s">
        <v>460</v>
      </c>
      <c r="I1490" s="547"/>
      <c r="K1490" s="550"/>
      <c r="L1490" s="551">
        <v>0.88</v>
      </c>
      <c r="M1490" s="551">
        <v>0.88</v>
      </c>
      <c r="N1490" s="551">
        <v>0.88</v>
      </c>
      <c r="O1490" s="551">
        <v>0.88</v>
      </c>
      <c r="P1490" s="551">
        <v>0.88</v>
      </c>
      <c r="Q1490" s="551">
        <v>0.88</v>
      </c>
      <c r="R1490" s="551">
        <v>0.88</v>
      </c>
      <c r="S1490" s="551">
        <v>0.88</v>
      </c>
      <c r="T1490" s="551">
        <v>0.88</v>
      </c>
      <c r="U1490" s="551">
        <v>0.88</v>
      </c>
      <c r="V1490" s="551">
        <v>0.88</v>
      </c>
      <c r="W1490" s="551">
        <v>0.88</v>
      </c>
      <c r="X1490" s="551">
        <v>0.88</v>
      </c>
      <c r="Y1490" s="551">
        <v>0.88</v>
      </c>
      <c r="Z1490" s="551">
        <v>0.88</v>
      </c>
      <c r="AA1490" s="551"/>
      <c r="AB1490" s="551"/>
      <c r="AC1490" s="551"/>
      <c r="AD1490" s="551"/>
      <c r="AE1490" s="551"/>
      <c r="AF1490" s="551"/>
      <c r="AG1490" s="551"/>
      <c r="AH1490" s="551"/>
      <c r="AI1490" s="551"/>
      <c r="AJ1490" s="551"/>
    </row>
    <row r="1491" spans="1:36" s="250" customFormat="1" x14ac:dyDescent="0.25">
      <c r="A1491" s="250" t="s">
        <v>862</v>
      </c>
      <c r="H1491" s="536" t="s">
        <v>461</v>
      </c>
      <c r="I1491" s="547"/>
      <c r="K1491" s="550"/>
      <c r="L1491" s="551">
        <v>0.5</v>
      </c>
      <c r="M1491" s="551">
        <v>0.7</v>
      </c>
      <c r="N1491" s="551">
        <v>1</v>
      </c>
      <c r="O1491" s="551">
        <v>1</v>
      </c>
      <c r="P1491" s="551">
        <v>1</v>
      </c>
      <c r="Q1491" s="551">
        <v>1</v>
      </c>
      <c r="R1491" s="551">
        <v>1</v>
      </c>
      <c r="S1491" s="551">
        <v>1</v>
      </c>
      <c r="T1491" s="551">
        <v>1</v>
      </c>
      <c r="U1491" s="551">
        <v>1</v>
      </c>
      <c r="V1491" s="551">
        <v>1</v>
      </c>
      <c r="W1491" s="551">
        <v>1</v>
      </c>
      <c r="X1491" s="551">
        <v>1</v>
      </c>
      <c r="Y1491" s="551">
        <v>1</v>
      </c>
      <c r="Z1491" s="551">
        <v>1</v>
      </c>
      <c r="AA1491" s="551"/>
      <c r="AB1491" s="551"/>
      <c r="AC1491" s="551"/>
      <c r="AD1491" s="551"/>
      <c r="AE1491" s="551"/>
      <c r="AF1491" s="551"/>
      <c r="AG1491" s="551"/>
      <c r="AH1491" s="551"/>
      <c r="AI1491" s="551"/>
      <c r="AJ1491" s="551"/>
    </row>
    <row r="1492" spans="1:36" x14ac:dyDescent="0.25">
      <c r="A1492" t="s">
        <v>862</v>
      </c>
      <c r="B1492" t="s">
        <v>437</v>
      </c>
      <c r="H1492" s="454" t="s">
        <v>70</v>
      </c>
      <c r="I1492" s="496"/>
      <c r="K1492" s="549"/>
      <c r="L1492" s="552" cm="1">
        <f t="array" ref="L1492">SUMPRODUCT('W2'!$M$12:$V$112*('W2'!$M$7:$V$7=$A1492)*('W2'!$A$12:$A$112=$B1492))</f>
        <v>7.0000000000000007E-2</v>
      </c>
      <c r="M1492" s="552">
        <f>L1492</f>
        <v>7.0000000000000007E-2</v>
      </c>
      <c r="N1492" s="552">
        <f t="shared" ref="N1492" si="1211">M1492</f>
        <v>7.0000000000000007E-2</v>
      </c>
      <c r="O1492" s="552">
        <f t="shared" ref="O1492" si="1212">N1492</f>
        <v>7.0000000000000007E-2</v>
      </c>
      <c r="P1492" s="552">
        <f t="shared" ref="P1492" si="1213">O1492</f>
        <v>7.0000000000000007E-2</v>
      </c>
      <c r="Q1492" s="552">
        <f t="shared" ref="Q1492" si="1214">P1492</f>
        <v>7.0000000000000007E-2</v>
      </c>
      <c r="R1492" s="552">
        <f t="shared" ref="R1492" si="1215">Q1492</f>
        <v>7.0000000000000007E-2</v>
      </c>
      <c r="S1492" s="552">
        <f t="shared" ref="S1492" si="1216">R1492</f>
        <v>7.0000000000000007E-2</v>
      </c>
      <c r="T1492" s="552">
        <f t="shared" ref="T1492" si="1217">S1492</f>
        <v>7.0000000000000007E-2</v>
      </c>
      <c r="U1492" s="552">
        <f t="shared" ref="U1492" si="1218">T1492</f>
        <v>7.0000000000000007E-2</v>
      </c>
      <c r="V1492" s="552">
        <f t="shared" ref="V1492" si="1219">U1492</f>
        <v>7.0000000000000007E-2</v>
      </c>
      <c r="W1492" s="552">
        <f t="shared" ref="W1492" si="1220">V1492</f>
        <v>7.0000000000000007E-2</v>
      </c>
      <c r="X1492" s="552">
        <f t="shared" ref="X1492" si="1221">W1492</f>
        <v>7.0000000000000007E-2</v>
      </c>
      <c r="Y1492" s="552">
        <f t="shared" ref="Y1492" si="1222">X1492</f>
        <v>7.0000000000000007E-2</v>
      </c>
      <c r="Z1492" s="552">
        <f t="shared" ref="Z1492" si="1223">Y1492</f>
        <v>7.0000000000000007E-2</v>
      </c>
      <c r="AA1492" s="552"/>
      <c r="AB1492" s="552"/>
      <c r="AC1492" s="552"/>
      <c r="AD1492" s="552"/>
      <c r="AE1492" s="552"/>
      <c r="AF1492" s="552"/>
      <c r="AG1492" s="552"/>
      <c r="AH1492" s="552"/>
      <c r="AI1492" s="552"/>
      <c r="AJ1492" s="552"/>
    </row>
    <row r="1493" spans="1:36" x14ac:dyDescent="0.25">
      <c r="A1493" t="s">
        <v>862</v>
      </c>
      <c r="H1493" s="454" t="s">
        <v>59</v>
      </c>
      <c r="I1493" s="496"/>
      <c r="K1493" s="549"/>
      <c r="L1493" s="549">
        <f>365*L1490*L1491</f>
        <v>160.6</v>
      </c>
      <c r="M1493" s="549">
        <f t="shared" ref="M1493:AJ1493" si="1224">365*M1490*M1491</f>
        <v>224.83999999999997</v>
      </c>
      <c r="N1493" s="549">
        <f t="shared" si="1224"/>
        <v>321.2</v>
      </c>
      <c r="O1493" s="549">
        <f t="shared" si="1224"/>
        <v>321.2</v>
      </c>
      <c r="P1493" s="549">
        <f t="shared" si="1224"/>
        <v>321.2</v>
      </c>
      <c r="Q1493" s="549">
        <f t="shared" si="1224"/>
        <v>321.2</v>
      </c>
      <c r="R1493" s="549">
        <f t="shared" si="1224"/>
        <v>321.2</v>
      </c>
      <c r="S1493" s="549">
        <f t="shared" si="1224"/>
        <v>321.2</v>
      </c>
      <c r="T1493" s="549">
        <f t="shared" si="1224"/>
        <v>321.2</v>
      </c>
      <c r="U1493" s="549">
        <f t="shared" si="1224"/>
        <v>321.2</v>
      </c>
      <c r="V1493" s="549">
        <f t="shared" si="1224"/>
        <v>321.2</v>
      </c>
      <c r="W1493" s="549">
        <f t="shared" si="1224"/>
        <v>321.2</v>
      </c>
      <c r="X1493" s="549">
        <f t="shared" si="1224"/>
        <v>321.2</v>
      </c>
      <c r="Y1493" s="549">
        <f t="shared" si="1224"/>
        <v>321.2</v>
      </c>
      <c r="Z1493" s="549">
        <f t="shared" si="1224"/>
        <v>321.2</v>
      </c>
      <c r="AA1493" s="549"/>
      <c r="AB1493" s="549"/>
      <c r="AC1493" s="549"/>
      <c r="AD1493" s="549"/>
      <c r="AE1493" s="549"/>
      <c r="AF1493" s="549"/>
      <c r="AG1493" s="549"/>
      <c r="AH1493" s="549"/>
      <c r="AI1493" s="549"/>
      <c r="AJ1493" s="549"/>
    </row>
    <row r="1494" spans="1:36" x14ac:dyDescent="0.25">
      <c r="A1494" t="s">
        <v>862</v>
      </c>
      <c r="C1494" t="s">
        <v>574</v>
      </c>
      <c r="H1494" s="454" t="s">
        <v>202</v>
      </c>
      <c r="I1494" s="496" t="s">
        <v>436</v>
      </c>
      <c r="K1494" s="549"/>
      <c r="L1494" s="549">
        <f>L1488*L1490*(1-L1492)*L1491</f>
        <v>3097087.4879999999</v>
      </c>
      <c r="M1494" s="549">
        <f t="shared" ref="M1494:AJ1494" si="1225">M1488*M1490*(1-M1492)*M1491</f>
        <v>4335922.4831999997</v>
      </c>
      <c r="N1494" s="549">
        <f t="shared" si="1225"/>
        <v>6194174.9759999998</v>
      </c>
      <c r="O1494" s="549">
        <f t="shared" si="1225"/>
        <v>6194174.9759999998</v>
      </c>
      <c r="P1494" s="549">
        <f t="shared" si="1225"/>
        <v>6194174.9759999998</v>
      </c>
      <c r="Q1494" s="549">
        <f t="shared" si="1225"/>
        <v>6194174.9759999998</v>
      </c>
      <c r="R1494" s="549">
        <f t="shared" si="1225"/>
        <v>6194174.9759999998</v>
      </c>
      <c r="S1494" s="549">
        <f t="shared" si="1225"/>
        <v>6194174.9759999998</v>
      </c>
      <c r="T1494" s="549">
        <f t="shared" si="1225"/>
        <v>6194174.9759999998</v>
      </c>
      <c r="U1494" s="549">
        <f t="shared" si="1225"/>
        <v>6194174.9759999998</v>
      </c>
      <c r="V1494" s="549">
        <f t="shared" si="1225"/>
        <v>6194174.9759999998</v>
      </c>
      <c r="W1494" s="549">
        <f t="shared" si="1225"/>
        <v>6194174.9759999998</v>
      </c>
      <c r="X1494" s="549">
        <f t="shared" si="1225"/>
        <v>6194174.9759999998</v>
      </c>
      <c r="Y1494" s="549">
        <f t="shared" si="1225"/>
        <v>6194174.9759999998</v>
      </c>
      <c r="Z1494" s="549">
        <f t="shared" si="1225"/>
        <v>6194174.9759999998</v>
      </c>
      <c r="AA1494" s="549"/>
      <c r="AB1494" s="549"/>
      <c r="AC1494" s="549"/>
      <c r="AD1494" s="549"/>
      <c r="AE1494" s="549"/>
      <c r="AF1494" s="549"/>
      <c r="AG1494" s="549"/>
      <c r="AH1494" s="549"/>
      <c r="AI1494" s="549"/>
      <c r="AJ1494" s="549"/>
    </row>
    <row r="1495" spans="1:36" x14ac:dyDescent="0.25">
      <c r="A1495" t="s">
        <v>862</v>
      </c>
      <c r="C1495" t="s">
        <v>575</v>
      </c>
      <c r="H1495" s="454" t="s">
        <v>202</v>
      </c>
      <c r="I1495" s="496" t="s">
        <v>320</v>
      </c>
      <c r="K1495" s="549"/>
      <c r="L1495" s="549">
        <f t="shared" ref="L1495:AJ1495" si="1226">L1494*PHOI_KG</f>
        <v>206472499.20000002</v>
      </c>
      <c r="M1495" s="549">
        <f t="shared" si="1226"/>
        <v>289061498.88</v>
      </c>
      <c r="N1495" s="549">
        <f t="shared" si="1226"/>
        <v>412944998.40000004</v>
      </c>
      <c r="O1495" s="549">
        <f t="shared" si="1226"/>
        <v>412944998.40000004</v>
      </c>
      <c r="P1495" s="549">
        <f t="shared" si="1226"/>
        <v>412944998.40000004</v>
      </c>
      <c r="Q1495" s="549">
        <f t="shared" si="1226"/>
        <v>412944998.40000004</v>
      </c>
      <c r="R1495" s="549">
        <f t="shared" si="1226"/>
        <v>412944998.40000004</v>
      </c>
      <c r="S1495" s="549">
        <f t="shared" si="1226"/>
        <v>412944998.40000004</v>
      </c>
      <c r="T1495" s="549">
        <f t="shared" si="1226"/>
        <v>412944998.40000004</v>
      </c>
      <c r="U1495" s="549">
        <f t="shared" si="1226"/>
        <v>412944998.40000004</v>
      </c>
      <c r="V1495" s="549">
        <f t="shared" si="1226"/>
        <v>412944998.40000004</v>
      </c>
      <c r="W1495" s="549">
        <f t="shared" si="1226"/>
        <v>412944998.40000004</v>
      </c>
      <c r="X1495" s="549">
        <f t="shared" si="1226"/>
        <v>412944998.40000004</v>
      </c>
      <c r="Y1495" s="549">
        <f t="shared" si="1226"/>
        <v>412944998.40000004</v>
      </c>
      <c r="Z1495" s="549">
        <f t="shared" si="1226"/>
        <v>412944998.40000004</v>
      </c>
      <c r="AA1495" s="549"/>
      <c r="AB1495" s="549"/>
      <c r="AC1495" s="549"/>
      <c r="AD1495" s="549"/>
      <c r="AE1495" s="549"/>
      <c r="AF1495" s="549"/>
      <c r="AG1495" s="549"/>
      <c r="AH1495" s="549"/>
      <c r="AI1495" s="549"/>
      <c r="AJ1495" s="549"/>
    </row>
    <row r="1496" spans="1:36" x14ac:dyDescent="0.25">
      <c r="A1496" t="s">
        <v>862</v>
      </c>
      <c r="K1496" s="243"/>
      <c r="L1496" s="243"/>
      <c r="M1496" s="243"/>
      <c r="N1496" s="243"/>
      <c r="O1496" s="243"/>
      <c r="P1496" s="243"/>
      <c r="Q1496" s="243"/>
      <c r="R1496" s="243"/>
      <c r="S1496" s="243"/>
      <c r="T1496" s="243"/>
      <c r="U1496" s="243"/>
      <c r="V1496" s="243"/>
      <c r="W1496" s="243"/>
      <c r="X1496" s="243"/>
      <c r="Y1496" s="243"/>
      <c r="Z1496" s="243"/>
      <c r="AA1496" s="243"/>
      <c r="AB1496" s="243"/>
      <c r="AC1496" s="243"/>
      <c r="AD1496" s="243"/>
      <c r="AE1496" s="243"/>
      <c r="AF1496" s="243"/>
      <c r="AG1496" s="243"/>
      <c r="AH1496" s="243"/>
      <c r="AI1496" s="243"/>
      <c r="AJ1496" s="243"/>
    </row>
    <row r="1497" spans="1:36" s="24" customFormat="1" ht="17.25" x14ac:dyDescent="0.3">
      <c r="A1497" s="24" t="s">
        <v>862</v>
      </c>
      <c r="H1497" s="24" t="s">
        <v>670</v>
      </c>
      <c r="K1497" s="635"/>
      <c r="L1497" s="635"/>
      <c r="M1497" s="635"/>
      <c r="N1497" s="635"/>
      <c r="O1497" s="635"/>
      <c r="P1497" s="635"/>
      <c r="Q1497" s="635"/>
      <c r="R1497" s="635"/>
      <c r="S1497" s="635"/>
      <c r="T1497" s="635"/>
      <c r="U1497" s="635"/>
      <c r="V1497" s="635"/>
      <c r="W1497" s="635"/>
      <c r="X1497" s="635"/>
      <c r="Y1497" s="635"/>
      <c r="Z1497" s="635"/>
      <c r="AA1497" s="635"/>
      <c r="AB1497" s="635"/>
      <c r="AC1497" s="635"/>
      <c r="AD1497" s="635"/>
      <c r="AE1497" s="635"/>
      <c r="AF1497" s="635"/>
      <c r="AG1497" s="635"/>
      <c r="AH1497" s="635"/>
      <c r="AI1497" s="635"/>
      <c r="AJ1497" s="635"/>
    </row>
    <row r="1498" spans="1:36" s="250" customFormat="1" x14ac:dyDescent="0.25">
      <c r="A1498" s="250" t="s">
        <v>862</v>
      </c>
      <c r="B1498" s="250" t="s">
        <v>665</v>
      </c>
      <c r="H1498" s="625" t="s">
        <v>663</v>
      </c>
      <c r="I1498" s="626" t="s">
        <v>71</v>
      </c>
      <c r="K1498" s="627"/>
      <c r="L1498" s="630" cm="1">
        <f t="array" ref="L1498">SUMPRODUCT('W2'!$M$12:$V$112*('W2'!$M$7:$V$7=$A1498)*('W2'!$A$12:$A$112=$B1498))</f>
        <v>2.0000000000000001E-4</v>
      </c>
      <c r="M1498" s="629">
        <f>L1498</f>
        <v>2.0000000000000001E-4</v>
      </c>
      <c r="N1498" s="629">
        <f t="shared" ref="N1498:N1499" si="1227">M1498</f>
        <v>2.0000000000000001E-4</v>
      </c>
      <c r="O1498" s="629">
        <f t="shared" ref="O1498:O1499" si="1228">N1498</f>
        <v>2.0000000000000001E-4</v>
      </c>
      <c r="P1498" s="629">
        <f t="shared" ref="P1498:P1499" si="1229">O1498</f>
        <v>2.0000000000000001E-4</v>
      </c>
      <c r="Q1498" s="629">
        <f t="shared" ref="Q1498:Q1499" si="1230">P1498</f>
        <v>2.0000000000000001E-4</v>
      </c>
      <c r="R1498" s="629">
        <f t="shared" ref="R1498:R1499" si="1231">Q1498</f>
        <v>2.0000000000000001E-4</v>
      </c>
      <c r="S1498" s="629">
        <f t="shared" ref="S1498:S1499" si="1232">R1498</f>
        <v>2.0000000000000001E-4</v>
      </c>
      <c r="T1498" s="629">
        <f t="shared" ref="T1498:T1499" si="1233">S1498</f>
        <v>2.0000000000000001E-4</v>
      </c>
      <c r="U1498" s="629">
        <f t="shared" ref="U1498:U1499" si="1234">T1498</f>
        <v>2.0000000000000001E-4</v>
      </c>
      <c r="V1498" s="629">
        <f t="shared" ref="V1498:V1499" si="1235">U1498</f>
        <v>2.0000000000000001E-4</v>
      </c>
      <c r="W1498" s="629">
        <f t="shared" ref="W1498:W1499" si="1236">V1498</f>
        <v>2.0000000000000001E-4</v>
      </c>
      <c r="X1498" s="629">
        <f t="shared" ref="X1498:X1499" si="1237">W1498</f>
        <v>2.0000000000000001E-4</v>
      </c>
      <c r="Y1498" s="629">
        <f t="shared" ref="Y1498:Y1499" si="1238">X1498</f>
        <v>2.0000000000000001E-4</v>
      </c>
      <c r="Z1498" s="629">
        <f t="shared" ref="Z1498:Z1499" si="1239">Y1498</f>
        <v>2.0000000000000001E-4</v>
      </c>
      <c r="AA1498" s="629"/>
      <c r="AB1498" s="629"/>
      <c r="AC1498" s="629"/>
      <c r="AD1498" s="629"/>
      <c r="AE1498" s="629"/>
      <c r="AF1498" s="629"/>
      <c r="AG1498" s="629"/>
      <c r="AH1498" s="629"/>
      <c r="AI1498" s="629"/>
      <c r="AJ1498" s="629"/>
    </row>
    <row r="1499" spans="1:36" s="250" customFormat="1" x14ac:dyDescent="0.25">
      <c r="A1499" s="250" t="s">
        <v>862</v>
      </c>
      <c r="B1499" s="250" t="s">
        <v>666</v>
      </c>
      <c r="H1499" s="536" t="s">
        <v>664</v>
      </c>
      <c r="I1499" s="547" t="s">
        <v>71</v>
      </c>
      <c r="K1499" s="628"/>
      <c r="L1499" s="630" cm="1">
        <f t="array" ref="L1499">SUMPRODUCT('W2'!$M$12:$V$112*('W2'!$M$7:$V$7=$A1499)*('W2'!$A$12:$A$112=$B1499))</f>
        <v>0</v>
      </c>
      <c r="M1499" s="629">
        <f>L1499</f>
        <v>0</v>
      </c>
      <c r="N1499" s="629">
        <f t="shared" si="1227"/>
        <v>0</v>
      </c>
      <c r="O1499" s="629">
        <f t="shared" si="1228"/>
        <v>0</v>
      </c>
      <c r="P1499" s="629">
        <f t="shared" si="1229"/>
        <v>0</v>
      </c>
      <c r="Q1499" s="629">
        <f t="shared" si="1230"/>
        <v>0</v>
      </c>
      <c r="R1499" s="629">
        <f t="shared" si="1231"/>
        <v>0</v>
      </c>
      <c r="S1499" s="629">
        <f t="shared" si="1232"/>
        <v>0</v>
      </c>
      <c r="T1499" s="629">
        <f t="shared" si="1233"/>
        <v>0</v>
      </c>
      <c r="U1499" s="629">
        <f t="shared" si="1234"/>
        <v>0</v>
      </c>
      <c r="V1499" s="629">
        <f t="shared" si="1235"/>
        <v>0</v>
      </c>
      <c r="W1499" s="629">
        <f t="shared" si="1236"/>
        <v>0</v>
      </c>
      <c r="X1499" s="629">
        <f t="shared" si="1237"/>
        <v>0</v>
      </c>
      <c r="Y1499" s="629">
        <f t="shared" si="1238"/>
        <v>0</v>
      </c>
      <c r="Z1499" s="629">
        <f t="shared" si="1239"/>
        <v>0</v>
      </c>
      <c r="AA1499" s="629"/>
      <c r="AB1499" s="629"/>
      <c r="AC1499" s="629"/>
      <c r="AD1499" s="629"/>
      <c r="AE1499" s="629"/>
      <c r="AF1499" s="629"/>
      <c r="AG1499" s="629"/>
      <c r="AH1499" s="629"/>
      <c r="AI1499" s="629"/>
      <c r="AJ1499" s="629"/>
    </row>
    <row r="1500" spans="1:36" x14ac:dyDescent="0.25">
      <c r="A1500" t="s">
        <v>862</v>
      </c>
      <c r="H1500" s="454" t="s">
        <v>671</v>
      </c>
      <c r="I1500" s="496" t="s">
        <v>436</v>
      </c>
      <c r="K1500" s="549"/>
      <c r="L1500" s="549">
        <f>L1498*L1494/(1-L1492)</f>
        <v>666.04032000000007</v>
      </c>
      <c r="M1500" s="549">
        <f>M1498*M1494/(1-M1492)</f>
        <v>932.45644800000014</v>
      </c>
      <c r="N1500" s="549">
        <f t="shared" ref="N1500:AJ1500" si="1240">N1498*N1494/(1-N1492)</f>
        <v>1332.0806400000001</v>
      </c>
      <c r="O1500" s="549">
        <f t="shared" si="1240"/>
        <v>1332.0806400000001</v>
      </c>
      <c r="P1500" s="549">
        <f t="shared" si="1240"/>
        <v>1332.0806400000001</v>
      </c>
      <c r="Q1500" s="549">
        <f t="shared" si="1240"/>
        <v>1332.0806400000001</v>
      </c>
      <c r="R1500" s="549">
        <f t="shared" si="1240"/>
        <v>1332.0806400000001</v>
      </c>
      <c r="S1500" s="549">
        <f t="shared" si="1240"/>
        <v>1332.0806400000001</v>
      </c>
      <c r="T1500" s="549">
        <f t="shared" si="1240"/>
        <v>1332.0806400000001</v>
      </c>
      <c r="U1500" s="549">
        <f t="shared" si="1240"/>
        <v>1332.0806400000001</v>
      </c>
      <c r="V1500" s="549">
        <f t="shared" si="1240"/>
        <v>1332.0806400000001</v>
      </c>
      <c r="W1500" s="549">
        <f t="shared" si="1240"/>
        <v>1332.0806400000001</v>
      </c>
      <c r="X1500" s="549">
        <f t="shared" si="1240"/>
        <v>1332.0806400000001</v>
      </c>
      <c r="Y1500" s="549">
        <f t="shared" si="1240"/>
        <v>1332.0806400000001</v>
      </c>
      <c r="Z1500" s="549">
        <f t="shared" si="1240"/>
        <v>1332.0806400000001</v>
      </c>
      <c r="AA1500" s="549"/>
      <c r="AB1500" s="549"/>
      <c r="AC1500" s="549"/>
      <c r="AD1500" s="549"/>
      <c r="AE1500" s="549"/>
      <c r="AF1500" s="549"/>
      <c r="AG1500" s="549"/>
      <c r="AH1500" s="549"/>
      <c r="AI1500" s="549"/>
      <c r="AJ1500" s="549"/>
    </row>
    <row r="1501" spans="1:36" x14ac:dyDescent="0.25">
      <c r="A1501" t="s">
        <v>862</v>
      </c>
      <c r="H1501" s="454" t="s">
        <v>675</v>
      </c>
      <c r="I1501" s="496" t="s">
        <v>436</v>
      </c>
      <c r="K1501" s="549"/>
      <c r="L1501" s="549">
        <f>L1499*L1494/(1-L1492)</f>
        <v>0</v>
      </c>
      <c r="M1501" s="549">
        <f t="shared" ref="M1501:AJ1501" si="1241">M1499*M1494/(1-M1492)</f>
        <v>0</v>
      </c>
      <c r="N1501" s="549">
        <f t="shared" si="1241"/>
        <v>0</v>
      </c>
      <c r="O1501" s="549">
        <f t="shared" si="1241"/>
        <v>0</v>
      </c>
      <c r="P1501" s="549">
        <f t="shared" si="1241"/>
        <v>0</v>
      </c>
      <c r="Q1501" s="549">
        <f t="shared" si="1241"/>
        <v>0</v>
      </c>
      <c r="R1501" s="549">
        <f t="shared" si="1241"/>
        <v>0</v>
      </c>
      <c r="S1501" s="549">
        <f t="shared" si="1241"/>
        <v>0</v>
      </c>
      <c r="T1501" s="549">
        <f t="shared" si="1241"/>
        <v>0</v>
      </c>
      <c r="U1501" s="549">
        <f t="shared" si="1241"/>
        <v>0</v>
      </c>
      <c r="V1501" s="549">
        <f t="shared" si="1241"/>
        <v>0</v>
      </c>
      <c r="W1501" s="549">
        <f t="shared" si="1241"/>
        <v>0</v>
      </c>
      <c r="X1501" s="549">
        <f t="shared" si="1241"/>
        <v>0</v>
      </c>
      <c r="Y1501" s="549">
        <f t="shared" si="1241"/>
        <v>0</v>
      </c>
      <c r="Z1501" s="549">
        <f t="shared" si="1241"/>
        <v>0</v>
      </c>
      <c r="AA1501" s="549"/>
      <c r="AB1501" s="549"/>
      <c r="AC1501" s="549"/>
      <c r="AD1501" s="549"/>
      <c r="AE1501" s="549"/>
      <c r="AF1501" s="549"/>
      <c r="AG1501" s="549"/>
      <c r="AH1501" s="549"/>
      <c r="AI1501" s="549"/>
      <c r="AJ1501" s="549"/>
    </row>
    <row r="1502" spans="1:36" x14ac:dyDescent="0.25">
      <c r="A1502" t="s">
        <v>862</v>
      </c>
      <c r="K1502" s="243"/>
      <c r="L1502" s="243"/>
      <c r="M1502" s="243"/>
      <c r="N1502" s="243"/>
      <c r="O1502" s="243"/>
      <c r="P1502" s="243"/>
      <c r="Q1502" s="243"/>
      <c r="R1502" s="243"/>
      <c r="S1502" s="243"/>
      <c r="T1502" s="243"/>
      <c r="U1502" s="243"/>
      <c r="V1502" s="243"/>
      <c r="W1502" s="243"/>
      <c r="X1502" s="243"/>
      <c r="Y1502" s="243"/>
      <c r="Z1502" s="243"/>
      <c r="AA1502" s="243"/>
      <c r="AB1502" s="243"/>
      <c r="AC1502" s="243"/>
      <c r="AD1502" s="243"/>
      <c r="AE1502" s="243"/>
      <c r="AF1502" s="243"/>
      <c r="AG1502" s="243"/>
      <c r="AH1502" s="243"/>
      <c r="AI1502" s="243"/>
      <c r="AJ1502" s="243"/>
    </row>
    <row r="1503" spans="1:36" x14ac:dyDescent="0.25">
      <c r="A1503" t="s">
        <v>862</v>
      </c>
      <c r="K1503" s="243"/>
      <c r="L1503" s="243"/>
      <c r="M1503" s="243"/>
      <c r="N1503" s="243"/>
      <c r="O1503" s="243"/>
      <c r="P1503" s="243"/>
      <c r="Q1503" s="243"/>
      <c r="R1503" s="243"/>
      <c r="S1503" s="243"/>
      <c r="T1503" s="243"/>
      <c r="U1503" s="243"/>
      <c r="V1503" s="243"/>
      <c r="W1503" s="243"/>
      <c r="X1503" s="243"/>
      <c r="Y1503" s="243"/>
      <c r="Z1503" s="243"/>
      <c r="AA1503" s="243"/>
      <c r="AB1503" s="243"/>
      <c r="AC1503" s="243"/>
      <c r="AD1503" s="243"/>
      <c r="AE1503" s="243"/>
      <c r="AF1503" s="243"/>
      <c r="AG1503" s="243"/>
      <c r="AH1503" s="243"/>
      <c r="AI1503" s="243"/>
      <c r="AJ1503" s="243"/>
    </row>
    <row r="1504" spans="1:36" x14ac:dyDescent="0.25">
      <c r="A1504" t="s">
        <v>862</v>
      </c>
      <c r="K1504" s="243"/>
      <c r="L1504" s="243"/>
      <c r="M1504" s="243"/>
      <c r="N1504" s="243"/>
      <c r="O1504" s="243"/>
      <c r="P1504" s="243"/>
      <c r="Q1504" s="243"/>
      <c r="R1504" s="243"/>
      <c r="S1504" s="243"/>
      <c r="T1504" s="243"/>
      <c r="U1504" s="243"/>
      <c r="V1504" s="243"/>
      <c r="W1504" s="243"/>
      <c r="X1504" s="243"/>
      <c r="Y1504" s="243"/>
      <c r="Z1504" s="243"/>
      <c r="AA1504" s="243"/>
      <c r="AB1504" s="243"/>
      <c r="AC1504" s="243"/>
      <c r="AD1504" s="243"/>
      <c r="AE1504" s="243"/>
      <c r="AF1504" s="243"/>
      <c r="AG1504" s="243"/>
      <c r="AH1504" s="243"/>
      <c r="AI1504" s="243"/>
      <c r="AJ1504" s="243"/>
    </row>
    <row r="1505" spans="1:36" s="1" customFormat="1" x14ac:dyDescent="0.25">
      <c r="A1505" s="1" t="s">
        <v>862</v>
      </c>
      <c r="H1505" s="266" t="s">
        <v>434</v>
      </c>
      <c r="I1505" s="267" t="str">
        <f t="shared" ref="I1505:I1513" si="1242">IF($H$9="USD","USD","tr. VND")</f>
        <v>tr. VND</v>
      </c>
      <c r="K1505" s="268">
        <f t="shared" ref="K1505" si="1243">SUM(K1506:K1507,K1510:K1513,)</f>
        <v>0</v>
      </c>
      <c r="L1505" s="268">
        <f>SUM(L1506:L1507,L1510:L1513,)</f>
        <v>-49949.936933333338</v>
      </c>
      <c r="M1505" s="268">
        <f t="shared" ref="M1505:AJ1505" si="1244">SUM(M1506:M1507,M1510:M1513,)</f>
        <v>-49949.936933333338</v>
      </c>
      <c r="N1505" s="268">
        <f t="shared" si="1244"/>
        <v>-50849.234633333333</v>
      </c>
      <c r="O1505" s="268">
        <f t="shared" si="1244"/>
        <v>-51793.497218333338</v>
      </c>
      <c r="P1505" s="268">
        <f t="shared" si="1244"/>
        <v>-52784.97293258334</v>
      </c>
      <c r="Q1505" s="268">
        <f t="shared" si="1244"/>
        <v>-53826.022432545833</v>
      </c>
      <c r="R1505" s="268">
        <f t="shared" si="1244"/>
        <v>-54919.124407506461</v>
      </c>
      <c r="S1505" s="268">
        <f t="shared" si="1244"/>
        <v>-56066.881481215125</v>
      </c>
      <c r="T1505" s="268">
        <f t="shared" si="1244"/>
        <v>-57272.026408609207</v>
      </c>
      <c r="U1505" s="268">
        <f t="shared" si="1244"/>
        <v>-58537.428582373002</v>
      </c>
      <c r="V1505" s="268">
        <f t="shared" si="1244"/>
        <v>-59866.100864824984</v>
      </c>
      <c r="W1505" s="268">
        <f t="shared" si="1244"/>
        <v>-61261.20676139956</v>
      </c>
      <c r="X1505" s="268">
        <f t="shared" si="1244"/>
        <v>-37663.584619469548</v>
      </c>
      <c r="Y1505" s="268">
        <f t="shared" si="1244"/>
        <v>-39201.688870443017</v>
      </c>
      <c r="Z1505" s="268">
        <f t="shared" si="1244"/>
        <v>-40816.698333965178</v>
      </c>
      <c r="AA1505" s="268"/>
      <c r="AB1505" s="268"/>
      <c r="AC1505" s="268"/>
      <c r="AD1505" s="268"/>
      <c r="AE1505" s="268"/>
      <c r="AF1505" s="268"/>
      <c r="AG1505" s="268"/>
      <c r="AH1505" s="268"/>
      <c r="AI1505" s="268"/>
      <c r="AJ1505" s="268"/>
    </row>
    <row r="1506" spans="1:36" x14ac:dyDescent="0.25">
      <c r="A1506" t="s">
        <v>862</v>
      </c>
      <c r="B1506" t="s">
        <v>173</v>
      </c>
      <c r="H1506" s="459" t="s">
        <v>190</v>
      </c>
      <c r="I1506" s="493" t="str">
        <f t="shared" si="1242"/>
        <v>tr. VND</v>
      </c>
      <c r="K1506" s="492"/>
      <c r="L1506" s="548" cm="1">
        <f t="array" ref="L1506">-SUMPRODUCT('W1'!$BI$10:$NE$60*('W1'!$BI$7:$NE$7=$A1506)*('W1'!$BI$8:$NE$8=L$14)*('W1'!$A$10:$A$60=$B1506))*$H$10</f>
        <v>-31062.483333333334</v>
      </c>
      <c r="M1506" s="548" cm="1">
        <f t="array" ref="M1506">-SUMPRODUCT('W1'!$BI$10:$NE$60*('W1'!$BI$7:$NE$7=$A1506)*('W1'!$BI$8:$NE$8=M$14)*('W1'!$A$10:$A$60=$B1506))*$H$10</f>
        <v>-31062.483333333334</v>
      </c>
      <c r="N1506" s="548" cm="1">
        <f t="array" ref="N1506">-SUMPRODUCT('W1'!$BI$10:$NE$60*('W1'!$BI$7:$NE$7=$A1506)*('W1'!$BI$8:$NE$8=N$14)*('W1'!$A$10:$A$60=$B1506))*$H$10</f>
        <v>-31062.483333333334</v>
      </c>
      <c r="O1506" s="548" cm="1">
        <f t="array" ref="O1506">-SUMPRODUCT('W1'!$BI$10:$NE$60*('W1'!$BI$7:$NE$7=$A1506)*('W1'!$BI$8:$NE$8=O$14)*('W1'!$A$10:$A$60=$B1506))*$H$10</f>
        <v>-31062.483333333334</v>
      </c>
      <c r="P1506" s="548" cm="1">
        <f t="array" ref="P1506">-SUMPRODUCT('W1'!$BI$10:$NE$60*('W1'!$BI$7:$NE$7=$A1506)*('W1'!$BI$8:$NE$8=P$14)*('W1'!$A$10:$A$60=$B1506))*$H$10</f>
        <v>-31062.483333333334</v>
      </c>
      <c r="Q1506" s="548" cm="1">
        <f t="array" ref="Q1506">-SUMPRODUCT('W1'!$BI$10:$NE$60*('W1'!$BI$7:$NE$7=$A1506)*('W1'!$BI$8:$NE$8=Q$14)*('W1'!$A$10:$A$60=$B1506))*$H$10</f>
        <v>-31062.483333333334</v>
      </c>
      <c r="R1506" s="548" cm="1">
        <f t="array" ref="R1506">-SUMPRODUCT('W1'!$BI$10:$NE$60*('W1'!$BI$7:$NE$7=$A1506)*('W1'!$BI$8:$NE$8=R$14)*('W1'!$A$10:$A$60=$B1506))*$H$10</f>
        <v>-31062.483333333334</v>
      </c>
      <c r="S1506" s="548" cm="1">
        <f t="array" ref="S1506">-SUMPRODUCT('W1'!$BI$10:$NE$60*('W1'!$BI$7:$NE$7=$A1506)*('W1'!$BI$8:$NE$8=S$14)*('W1'!$A$10:$A$60=$B1506))*$H$10</f>
        <v>-31062.483333333334</v>
      </c>
      <c r="T1506" s="548" cm="1">
        <f t="array" ref="T1506">-SUMPRODUCT('W1'!$BI$10:$NE$60*('W1'!$BI$7:$NE$7=$A1506)*('W1'!$BI$8:$NE$8=T$14)*('W1'!$A$10:$A$60=$B1506))*$H$10</f>
        <v>-31062.483333333334</v>
      </c>
      <c r="U1506" s="548" cm="1">
        <f t="array" ref="U1506">-SUMPRODUCT('W1'!$BI$10:$NE$60*('W1'!$BI$7:$NE$7=$A1506)*('W1'!$BI$8:$NE$8=U$14)*('W1'!$A$10:$A$60=$B1506))*$H$10</f>
        <v>-31062.483333333334</v>
      </c>
      <c r="V1506" s="548" cm="1">
        <f t="array" ref="V1506">-SUMPRODUCT('W1'!$BI$10:$NE$60*('W1'!$BI$7:$NE$7=$A1506)*('W1'!$BI$8:$NE$8=V$14)*('W1'!$A$10:$A$60=$B1506))*$H$10</f>
        <v>-31062.483333333334</v>
      </c>
      <c r="W1506" s="548" cm="1">
        <f t="array" ref="W1506">-SUMPRODUCT('W1'!$BI$10:$NE$60*('W1'!$BI$7:$NE$7=$A1506)*('W1'!$BI$8:$NE$8=W$14)*('W1'!$A$10:$A$60=$B1506))*$H$10</f>
        <v>-31062.483333333334</v>
      </c>
      <c r="X1506" s="548" cm="1">
        <f t="array" ref="X1506">-SUMPRODUCT('W1'!$BI$10:$NE$60*('W1'!$BI$7:$NE$7=$A1506)*('W1'!$BI$8:$NE$8=X$14)*('W1'!$A$10:$A$60=$B1506))*$H$10</f>
        <v>-6000</v>
      </c>
      <c r="Y1506" s="548" cm="1">
        <f t="array" ref="Y1506">-SUMPRODUCT('W1'!$BI$10:$NE$60*('W1'!$BI$7:$NE$7=$A1506)*('W1'!$BI$8:$NE$8=Y$14)*('W1'!$A$10:$A$60=$B1506))*$H$10</f>
        <v>-6000</v>
      </c>
      <c r="Z1506" s="548" cm="1">
        <f t="array" ref="Z1506">-SUMPRODUCT('W1'!$BI$10:$NE$60*('W1'!$BI$7:$NE$7=$A1506)*('W1'!$BI$8:$NE$8=Z$14)*('W1'!$A$10:$A$60=$B1506))*$H$10</f>
        <v>-6000</v>
      </c>
      <c r="AA1506" s="548"/>
      <c r="AB1506" s="548"/>
      <c r="AC1506" s="548"/>
      <c r="AD1506" s="548"/>
      <c r="AE1506" s="548"/>
      <c r="AF1506" s="548"/>
      <c r="AG1506" s="548"/>
      <c r="AH1506" s="548"/>
      <c r="AI1506" s="548"/>
      <c r="AJ1506" s="548"/>
    </row>
    <row r="1507" spans="1:36" x14ac:dyDescent="0.25">
      <c r="A1507" t="s">
        <v>862</v>
      </c>
      <c r="H1507" s="454" t="s">
        <v>429</v>
      </c>
      <c r="I1507" s="496" t="str">
        <f t="shared" si="1242"/>
        <v>tr. VND</v>
      </c>
      <c r="K1507" s="549">
        <f>SUM(K1508:K1509)</f>
        <v>0</v>
      </c>
      <c r="L1507" s="549">
        <f t="shared" ref="L1507:AJ1507" si="1245">SUM(L1508:L1509)</f>
        <v>-6011.46</v>
      </c>
      <c r="M1507" s="549">
        <f t="shared" si="1245"/>
        <v>-6011.46</v>
      </c>
      <c r="N1507" s="549">
        <f t="shared" si="1245"/>
        <v>-6312.0329999999994</v>
      </c>
      <c r="O1507" s="549">
        <f t="shared" si="1245"/>
        <v>-6627.63465</v>
      </c>
      <c r="P1507" s="549">
        <f t="shared" si="1245"/>
        <v>-6959.0163825000009</v>
      </c>
      <c r="Q1507" s="549">
        <f t="shared" si="1245"/>
        <v>-7306.9672016249997</v>
      </c>
      <c r="R1507" s="549">
        <f t="shared" si="1245"/>
        <v>-7672.3155617062503</v>
      </c>
      <c r="S1507" s="549">
        <f t="shared" si="1245"/>
        <v>-8055.931339791563</v>
      </c>
      <c r="T1507" s="549">
        <f t="shared" si="1245"/>
        <v>-8458.7279067811414</v>
      </c>
      <c r="U1507" s="549">
        <f t="shared" si="1245"/>
        <v>-8881.664302120198</v>
      </c>
      <c r="V1507" s="549">
        <f t="shared" si="1245"/>
        <v>-9325.7475172262075</v>
      </c>
      <c r="W1507" s="549">
        <f t="shared" si="1245"/>
        <v>-9792.0348930875189</v>
      </c>
      <c r="X1507" s="549">
        <f t="shared" si="1245"/>
        <v>-10281.636637741896</v>
      </c>
      <c r="Y1507" s="549">
        <f t="shared" si="1245"/>
        <v>-10795.718469628988</v>
      </c>
      <c r="Z1507" s="549">
        <f t="shared" si="1245"/>
        <v>-11335.504393110441</v>
      </c>
      <c r="AA1507" s="549"/>
      <c r="AB1507" s="549"/>
      <c r="AC1507" s="549"/>
      <c r="AD1507" s="549"/>
      <c r="AE1507" s="549"/>
      <c r="AF1507" s="549"/>
      <c r="AG1507" s="549"/>
      <c r="AH1507" s="549"/>
      <c r="AI1507" s="549"/>
      <c r="AJ1507" s="549"/>
    </row>
    <row r="1508" spans="1:36" s="299" customFormat="1" x14ac:dyDescent="0.25">
      <c r="A1508" s="299" t="s">
        <v>862</v>
      </c>
      <c r="B1508" s="299" t="s">
        <v>449</v>
      </c>
      <c r="H1508" s="553" t="s">
        <v>430</v>
      </c>
      <c r="I1508" s="554" t="str">
        <f t="shared" si="1242"/>
        <v>tr. VND</v>
      </c>
      <c r="K1508" s="555"/>
      <c r="L1508" s="555" cm="1">
        <f t="array" ref="L1508">-SUMPRODUCT('W2'!$M$12:$V$112*('W2'!$M$7:$V$7=$A1508)*('W2'!$A$12:$A$112=$B1508))*$H$10*POWER(1+Inflation,L$11+1)</f>
        <v>-982.8</v>
      </c>
      <c r="M1508" s="555" cm="1">
        <f t="array" ref="M1508">-SUMPRODUCT('W2'!$M$12:$V$112*('W2'!$M$7:$V$7=$A1508)*('W2'!$A$12:$A$112=$B1508))*$H$10*POWER(1+Inflation,M$11+1)</f>
        <v>-982.8</v>
      </c>
      <c r="N1508" s="555" cm="1">
        <f t="array" ref="N1508">-SUMPRODUCT('W2'!$M$12:$V$112*('W2'!$M$7:$V$7=$A1508)*('W2'!$A$12:$A$112=$B1508))*$H$10*POWER(1+Inflation,N$11+1)</f>
        <v>-1031.94</v>
      </c>
      <c r="O1508" s="555" cm="1">
        <f t="array" ref="O1508">-SUMPRODUCT('W2'!$M$12:$V$112*('W2'!$M$7:$V$7=$A1508)*('W2'!$A$12:$A$112=$B1508))*$H$10*POWER(1+Inflation,O$11+1)</f>
        <v>-1083.537</v>
      </c>
      <c r="P1508" s="555" cm="1">
        <f t="array" ref="P1508">-SUMPRODUCT('W2'!$M$12:$V$112*('W2'!$M$7:$V$7=$A1508)*('W2'!$A$12:$A$112=$B1508))*$H$10*POWER(1+Inflation,P$11+1)</f>
        <v>-1137.7138500000001</v>
      </c>
      <c r="Q1508" s="555" cm="1">
        <f t="array" ref="Q1508">-SUMPRODUCT('W2'!$M$12:$V$112*('W2'!$M$7:$V$7=$A1508)*('W2'!$A$12:$A$112=$B1508))*$H$10*POWER(1+Inflation,Q$11+1)</f>
        <v>-1194.5995424999999</v>
      </c>
      <c r="R1508" s="555" cm="1">
        <f t="array" ref="R1508">-SUMPRODUCT('W2'!$M$12:$V$112*('W2'!$M$7:$V$7=$A1508)*('W2'!$A$12:$A$112=$B1508))*$H$10*POWER(1+Inflation,R$11+1)</f>
        <v>-1254.3295196250001</v>
      </c>
      <c r="S1508" s="555" cm="1">
        <f t="array" ref="S1508">-SUMPRODUCT('W2'!$M$12:$V$112*('W2'!$M$7:$V$7=$A1508)*('W2'!$A$12:$A$112=$B1508))*$H$10*POWER(1+Inflation,S$11+1)</f>
        <v>-1317.04599560625</v>
      </c>
      <c r="T1508" s="555" cm="1">
        <f t="array" ref="T1508">-SUMPRODUCT('W2'!$M$12:$V$112*('W2'!$M$7:$V$7=$A1508)*('W2'!$A$12:$A$112=$B1508))*$H$10*POWER(1+Inflation,T$11+1)</f>
        <v>-1382.8982953865627</v>
      </c>
      <c r="U1508" s="555" cm="1">
        <f t="array" ref="U1508">-SUMPRODUCT('W2'!$M$12:$V$112*('W2'!$M$7:$V$7=$A1508)*('W2'!$A$12:$A$112=$B1508))*$H$10*POWER(1+Inflation,U$11+1)</f>
        <v>-1452.0432101558906</v>
      </c>
      <c r="V1508" s="555" cm="1">
        <f t="array" ref="V1508">-SUMPRODUCT('W2'!$M$12:$V$112*('W2'!$M$7:$V$7=$A1508)*('W2'!$A$12:$A$112=$B1508))*$H$10*POWER(1+Inflation,V$11+1)</f>
        <v>-1524.6453706636853</v>
      </c>
      <c r="W1508" s="555" cm="1">
        <f t="array" ref="W1508">-SUMPRODUCT('W2'!$M$12:$V$112*('W2'!$M$7:$V$7=$A1508)*('W2'!$A$12:$A$112=$B1508))*$H$10*POWER(1+Inflation,W$11+1)</f>
        <v>-1600.8776391968695</v>
      </c>
      <c r="X1508" s="555" cm="1">
        <f t="array" ref="X1508">-SUMPRODUCT('W2'!$M$12:$V$112*('W2'!$M$7:$V$7=$A1508)*('W2'!$A$12:$A$112=$B1508))*$H$10*POWER(1+Inflation,X$11+1)</f>
        <v>-1680.9215211567132</v>
      </c>
      <c r="Y1508" s="555" cm="1">
        <f t="array" ref="Y1508">-SUMPRODUCT('W2'!$M$12:$V$112*('W2'!$M$7:$V$7=$A1508)*('W2'!$A$12:$A$112=$B1508))*$H$10*POWER(1+Inflation,Y$11+1)</f>
        <v>-1764.9675972145485</v>
      </c>
      <c r="Z1508" s="555" cm="1">
        <f t="array" ref="Z1508">-SUMPRODUCT('W2'!$M$12:$V$112*('W2'!$M$7:$V$7=$A1508)*('W2'!$A$12:$A$112=$B1508))*$H$10*POWER(1+Inflation,Z$11+1)</f>
        <v>-1853.2159770752762</v>
      </c>
      <c r="AA1508" s="555"/>
      <c r="AB1508" s="555"/>
      <c r="AC1508" s="555"/>
      <c r="AD1508" s="555"/>
      <c r="AE1508" s="555"/>
      <c r="AF1508" s="555"/>
      <c r="AG1508" s="555"/>
      <c r="AH1508" s="555"/>
      <c r="AI1508" s="555"/>
      <c r="AJ1508" s="555"/>
    </row>
    <row r="1509" spans="1:36" s="299" customFormat="1" x14ac:dyDescent="0.25">
      <c r="A1509" s="299" t="s">
        <v>862</v>
      </c>
      <c r="B1509" s="299" t="s">
        <v>450</v>
      </c>
      <c r="H1509" s="553" t="s">
        <v>431</v>
      </c>
      <c r="I1509" s="554" t="str">
        <f t="shared" si="1242"/>
        <v>tr. VND</v>
      </c>
      <c r="K1509" s="555"/>
      <c r="L1509" s="555" cm="1">
        <f t="array" ref="L1509">-SUMPRODUCT('W2'!$M$12:$V$112*('W2'!$M$7:$V$7=$A1509)*('W2'!$A$12:$A$112=$B1509))*$H$10*POWER(1+Inflation,L$11+1)</f>
        <v>-5028.66</v>
      </c>
      <c r="M1509" s="555" cm="1">
        <f t="array" ref="M1509">-SUMPRODUCT('W2'!$M$12:$V$112*('W2'!$M$7:$V$7=$A1509)*('W2'!$A$12:$A$112=$B1509))*$H$10*POWER(1+Inflation,M$11+1)</f>
        <v>-5028.66</v>
      </c>
      <c r="N1509" s="555" cm="1">
        <f t="array" ref="N1509">-SUMPRODUCT('W2'!$M$12:$V$112*('W2'!$M$7:$V$7=$A1509)*('W2'!$A$12:$A$112=$B1509))*$H$10*POWER(1+Inflation,N$11+1)</f>
        <v>-5280.0929999999998</v>
      </c>
      <c r="O1509" s="555" cm="1">
        <f t="array" ref="O1509">-SUMPRODUCT('W2'!$M$12:$V$112*('W2'!$M$7:$V$7=$A1509)*('W2'!$A$12:$A$112=$B1509))*$H$10*POWER(1+Inflation,O$11+1)</f>
        <v>-5544.0976499999997</v>
      </c>
      <c r="P1509" s="555" cm="1">
        <f t="array" ref="P1509">-SUMPRODUCT('W2'!$M$12:$V$112*('W2'!$M$7:$V$7=$A1509)*('W2'!$A$12:$A$112=$B1509))*$H$10*POWER(1+Inflation,P$11+1)</f>
        <v>-5821.3025325000008</v>
      </c>
      <c r="Q1509" s="555" cm="1">
        <f t="array" ref="Q1509">-SUMPRODUCT('W2'!$M$12:$V$112*('W2'!$M$7:$V$7=$A1509)*('W2'!$A$12:$A$112=$B1509))*$H$10*POWER(1+Inflation,Q$11+1)</f>
        <v>-6112.3676591249996</v>
      </c>
      <c r="R1509" s="555" cm="1">
        <f t="array" ref="R1509">-SUMPRODUCT('W2'!$M$12:$V$112*('W2'!$M$7:$V$7=$A1509)*('W2'!$A$12:$A$112=$B1509))*$H$10*POWER(1+Inflation,R$11+1)</f>
        <v>-6417.9860420812502</v>
      </c>
      <c r="S1509" s="555" cm="1">
        <f t="array" ref="S1509">-SUMPRODUCT('W2'!$M$12:$V$112*('W2'!$M$7:$V$7=$A1509)*('W2'!$A$12:$A$112=$B1509))*$H$10*POWER(1+Inflation,S$11+1)</f>
        <v>-6738.8853441853125</v>
      </c>
      <c r="T1509" s="555" cm="1">
        <f t="array" ref="T1509">-SUMPRODUCT('W2'!$M$12:$V$112*('W2'!$M$7:$V$7=$A1509)*('W2'!$A$12:$A$112=$B1509))*$H$10*POWER(1+Inflation,T$11+1)</f>
        <v>-7075.8296113945789</v>
      </c>
      <c r="U1509" s="555" cm="1">
        <f t="array" ref="U1509">-SUMPRODUCT('W2'!$M$12:$V$112*('W2'!$M$7:$V$7=$A1509)*('W2'!$A$12:$A$112=$B1509))*$H$10*POWER(1+Inflation,U$11+1)</f>
        <v>-7429.6210919643072</v>
      </c>
      <c r="V1509" s="555" cm="1">
        <f t="array" ref="V1509">-SUMPRODUCT('W2'!$M$12:$V$112*('W2'!$M$7:$V$7=$A1509)*('W2'!$A$12:$A$112=$B1509))*$H$10*POWER(1+Inflation,V$11+1)</f>
        <v>-7801.1021465625226</v>
      </c>
      <c r="W1509" s="555" cm="1">
        <f t="array" ref="W1509">-SUMPRODUCT('W2'!$M$12:$V$112*('W2'!$M$7:$V$7=$A1509)*('W2'!$A$12:$A$112=$B1509))*$H$10*POWER(1+Inflation,W$11+1)</f>
        <v>-8191.1572538906494</v>
      </c>
      <c r="X1509" s="555" cm="1">
        <f t="array" ref="X1509">-SUMPRODUCT('W2'!$M$12:$V$112*('W2'!$M$7:$V$7=$A1509)*('W2'!$A$12:$A$112=$B1509))*$H$10*POWER(1+Inflation,X$11+1)</f>
        <v>-8600.7151165851828</v>
      </c>
      <c r="Y1509" s="555" cm="1">
        <f t="array" ref="Y1509">-SUMPRODUCT('W2'!$M$12:$V$112*('W2'!$M$7:$V$7=$A1509)*('W2'!$A$12:$A$112=$B1509))*$H$10*POWER(1+Inflation,Y$11+1)</f>
        <v>-9030.7508724144391</v>
      </c>
      <c r="Z1509" s="555" cm="1">
        <f t="array" ref="Z1509">-SUMPRODUCT('W2'!$M$12:$V$112*('W2'!$M$7:$V$7=$A1509)*('W2'!$A$12:$A$112=$B1509))*$H$10*POWER(1+Inflation,Z$11+1)</f>
        <v>-9482.2884160351641</v>
      </c>
      <c r="AA1509" s="555"/>
      <c r="AB1509" s="555"/>
      <c r="AC1509" s="555"/>
      <c r="AD1509" s="555"/>
      <c r="AE1509" s="555"/>
      <c r="AF1509" s="555"/>
      <c r="AG1509" s="555"/>
      <c r="AH1509" s="555"/>
      <c r="AI1509" s="555"/>
      <c r="AJ1509" s="555"/>
    </row>
    <row r="1510" spans="1:36" x14ac:dyDescent="0.25">
      <c r="A1510" t="s">
        <v>862</v>
      </c>
      <c r="B1510" t="s">
        <v>451</v>
      </c>
      <c r="H1510" s="454" t="s">
        <v>656</v>
      </c>
      <c r="I1510" s="496" t="str">
        <f t="shared" si="1242"/>
        <v>tr. VND</v>
      </c>
      <c r="K1510" s="549"/>
      <c r="L1510" s="549" cm="1">
        <f t="array" ref="L1510">-SUMPRODUCT('W2'!$M$12:$V$112*('W2'!$M$7:$V$7=$A1510)*('W2'!$A$12:$A$112=$B1510))*$H$10*POWER(1+Inflation,L$11+1)</f>
        <v>-2400</v>
      </c>
      <c r="M1510" s="549" cm="1">
        <f t="array" ref="M1510">-SUMPRODUCT('W2'!$M$12:$V$112*('W2'!$M$7:$V$7=$A1510)*('W2'!$A$12:$A$112=$B1510))*$H$10*POWER(1+Inflation,M$11+1)</f>
        <v>-2400</v>
      </c>
      <c r="N1510" s="549" cm="1">
        <f t="array" ref="N1510">-SUMPRODUCT('W2'!$M$12:$V$112*('W2'!$M$7:$V$7=$A1510)*('W2'!$A$12:$A$112=$B1510))*$H$10*POWER(1+Inflation,N$11+1)</f>
        <v>-2520</v>
      </c>
      <c r="O1510" s="549" cm="1">
        <f t="array" ref="O1510">-SUMPRODUCT('W2'!$M$12:$V$112*('W2'!$M$7:$V$7=$A1510)*('W2'!$A$12:$A$112=$B1510))*$H$10*POWER(1+Inflation,O$11+1)</f>
        <v>-2646</v>
      </c>
      <c r="P1510" s="549" cm="1">
        <f t="array" ref="P1510">-SUMPRODUCT('W2'!$M$12:$V$112*('W2'!$M$7:$V$7=$A1510)*('W2'!$A$12:$A$112=$B1510))*$H$10*POWER(1+Inflation,P$11+1)</f>
        <v>-2778.3</v>
      </c>
      <c r="Q1510" s="549" cm="1">
        <f t="array" ref="Q1510">-SUMPRODUCT('W2'!$M$12:$V$112*('W2'!$M$7:$V$7=$A1510)*('W2'!$A$12:$A$112=$B1510))*$H$10*POWER(1+Inflation,Q$11+1)</f>
        <v>-2917.2150000000001</v>
      </c>
      <c r="R1510" s="549" cm="1">
        <f t="array" ref="R1510">-SUMPRODUCT('W2'!$M$12:$V$112*('W2'!$M$7:$V$7=$A1510)*('W2'!$A$12:$A$112=$B1510))*$H$10*POWER(1+Inflation,R$11+1)</f>
        <v>-3063.0757500000004</v>
      </c>
      <c r="S1510" s="549" cm="1">
        <f t="array" ref="S1510">-SUMPRODUCT('W2'!$M$12:$V$112*('W2'!$M$7:$V$7=$A1510)*('W2'!$A$12:$A$112=$B1510))*$H$10*POWER(1+Inflation,S$11+1)</f>
        <v>-3216.2295374999999</v>
      </c>
      <c r="T1510" s="549" cm="1">
        <f t="array" ref="T1510">-SUMPRODUCT('W2'!$M$12:$V$112*('W2'!$M$7:$V$7=$A1510)*('W2'!$A$12:$A$112=$B1510))*$H$10*POWER(1+Inflation,T$11+1)</f>
        <v>-3377.0410143750005</v>
      </c>
      <c r="U1510" s="549" cm="1">
        <f t="array" ref="U1510">-SUMPRODUCT('W2'!$M$12:$V$112*('W2'!$M$7:$V$7=$A1510)*('W2'!$A$12:$A$112=$B1510))*$H$10*POWER(1+Inflation,U$11+1)</f>
        <v>-3545.89306509375</v>
      </c>
      <c r="V1510" s="549" cm="1">
        <f t="array" ref="V1510">-SUMPRODUCT('W2'!$M$12:$V$112*('W2'!$M$7:$V$7=$A1510)*('W2'!$A$12:$A$112=$B1510))*$H$10*POWER(1+Inflation,V$11+1)</f>
        <v>-3723.187718348438</v>
      </c>
      <c r="W1510" s="549" cm="1">
        <f t="array" ref="W1510">-SUMPRODUCT('W2'!$M$12:$V$112*('W2'!$M$7:$V$7=$A1510)*('W2'!$A$12:$A$112=$B1510))*$H$10*POWER(1+Inflation,W$11+1)</f>
        <v>-3909.3471042658598</v>
      </c>
      <c r="X1510" s="549" cm="1">
        <f t="array" ref="X1510">-SUMPRODUCT('W2'!$M$12:$V$112*('W2'!$M$7:$V$7=$A1510)*('W2'!$A$12:$A$112=$B1510))*$H$10*POWER(1+Inflation,X$11+1)</f>
        <v>-4104.8144594791529</v>
      </c>
      <c r="Y1510" s="549" cm="1">
        <f t="array" ref="Y1510">-SUMPRODUCT('W2'!$M$12:$V$112*('W2'!$M$7:$V$7=$A1510)*('W2'!$A$12:$A$112=$B1510))*$H$10*POWER(1+Inflation,Y$11+1)</f>
        <v>-4310.0551824531103</v>
      </c>
      <c r="Z1510" s="549" cm="1">
        <f t="array" ref="Z1510">-SUMPRODUCT('W2'!$M$12:$V$112*('W2'!$M$7:$V$7=$A1510)*('W2'!$A$12:$A$112=$B1510))*$H$10*POWER(1+Inflation,Z$11+1)</f>
        <v>-4525.5579415757666</v>
      </c>
      <c r="AA1510" s="549"/>
      <c r="AB1510" s="549"/>
      <c r="AC1510" s="549"/>
      <c r="AD1510" s="549"/>
      <c r="AE1510" s="549"/>
      <c r="AF1510" s="549"/>
      <c r="AG1510" s="549"/>
      <c r="AH1510" s="549"/>
      <c r="AI1510" s="549"/>
      <c r="AJ1510" s="549"/>
    </row>
    <row r="1511" spans="1:36" x14ac:dyDescent="0.25">
      <c r="A1511" t="s">
        <v>862</v>
      </c>
      <c r="B1511" t="s">
        <v>452</v>
      </c>
      <c r="H1511" s="454" t="s">
        <v>432</v>
      </c>
      <c r="I1511" s="496" t="str">
        <f t="shared" si="1242"/>
        <v>tr. VND</v>
      </c>
      <c r="K1511" s="549"/>
      <c r="L1511" s="549" cm="1">
        <f t="array" ref="L1511">-SUMPRODUCT('W2'!$M$12:$V$112*('W2'!$M$7:$V$7=$A1511)*('W2'!$A$12:$A$112=$B1511))*$H$10*POWER(1+Inflation,L$11+1)</f>
        <v>-9022.4939999999988</v>
      </c>
      <c r="M1511" s="549" cm="1">
        <f t="array" ref="M1511">-SUMPRODUCT('W2'!$M$12:$V$112*('W2'!$M$7:$V$7=$A1511)*('W2'!$A$12:$A$112=$B1511))*$H$10*POWER(1+Inflation,M$11+1)</f>
        <v>-9022.4939999999988</v>
      </c>
      <c r="N1511" s="549" cm="1">
        <f t="array" ref="N1511">-SUMPRODUCT('W2'!$M$12:$V$112*('W2'!$M$7:$V$7=$A1511)*('W2'!$A$12:$A$112=$B1511))*$H$10*POWER(1+Inflation,N$11+1)</f>
        <v>-9473.6186999999991</v>
      </c>
      <c r="O1511" s="549" cm="1">
        <f t="array" ref="O1511">-SUMPRODUCT('W2'!$M$12:$V$112*('W2'!$M$7:$V$7=$A1511)*('W2'!$A$12:$A$112=$B1511))*$H$10*POWER(1+Inflation,O$11+1)</f>
        <v>-9947.2996349999994</v>
      </c>
      <c r="P1511" s="549" cm="1">
        <f t="array" ref="P1511">-SUMPRODUCT('W2'!$M$12:$V$112*('W2'!$M$7:$V$7=$A1511)*('W2'!$A$12:$A$112=$B1511))*$H$10*POWER(1+Inflation,P$11+1)</f>
        <v>-10444.66461675</v>
      </c>
      <c r="Q1511" s="549" cm="1">
        <f t="array" ref="Q1511">-SUMPRODUCT('W2'!$M$12:$V$112*('W2'!$M$7:$V$7=$A1511)*('W2'!$A$12:$A$112=$B1511))*$H$10*POWER(1+Inflation,Q$11+1)</f>
        <v>-10966.897847587499</v>
      </c>
      <c r="R1511" s="549" cm="1">
        <f t="array" ref="R1511">-SUMPRODUCT('W2'!$M$12:$V$112*('W2'!$M$7:$V$7=$A1511)*('W2'!$A$12:$A$112=$B1511))*$H$10*POWER(1+Inflation,R$11+1)</f>
        <v>-11515.242739966874</v>
      </c>
      <c r="S1511" s="549" cm="1">
        <f t="array" ref="S1511">-SUMPRODUCT('W2'!$M$12:$V$112*('W2'!$M$7:$V$7=$A1511)*('W2'!$A$12:$A$112=$B1511))*$H$10*POWER(1+Inflation,S$11+1)</f>
        <v>-12091.004876965217</v>
      </c>
      <c r="T1511" s="549" cm="1">
        <f t="array" ref="T1511">-SUMPRODUCT('W2'!$M$12:$V$112*('W2'!$M$7:$V$7=$A1511)*('W2'!$A$12:$A$112=$B1511))*$H$10*POWER(1+Inflation,T$11+1)</f>
        <v>-12695.55512081348</v>
      </c>
      <c r="U1511" s="549" cm="1">
        <f t="array" ref="U1511">-SUMPRODUCT('W2'!$M$12:$V$112*('W2'!$M$7:$V$7=$A1511)*('W2'!$A$12:$A$112=$B1511))*$H$10*POWER(1+Inflation,U$11+1)</f>
        <v>-13330.332876854152</v>
      </c>
      <c r="V1511" s="549" cm="1">
        <f t="array" ref="V1511">-SUMPRODUCT('W2'!$M$12:$V$112*('W2'!$M$7:$V$7=$A1511)*('W2'!$A$12:$A$112=$B1511))*$H$10*POWER(1+Inflation,V$11+1)</f>
        <v>-13996.84952069686</v>
      </c>
      <c r="W1511" s="549" cm="1">
        <f t="array" ref="W1511">-SUMPRODUCT('W2'!$M$12:$V$112*('W2'!$M$7:$V$7=$A1511)*('W2'!$A$12:$A$112=$B1511))*$H$10*POWER(1+Inflation,W$11+1)</f>
        <v>-14696.691996731704</v>
      </c>
      <c r="X1511" s="549" cm="1">
        <f t="array" ref="X1511">-SUMPRODUCT('W2'!$M$12:$V$112*('W2'!$M$7:$V$7=$A1511)*('W2'!$A$12:$A$112=$B1511))*$H$10*POWER(1+Inflation,X$11+1)</f>
        <v>-15431.52659656829</v>
      </c>
      <c r="Y1511" s="549" cm="1">
        <f t="array" ref="Y1511">-SUMPRODUCT('W2'!$M$12:$V$112*('W2'!$M$7:$V$7=$A1511)*('W2'!$A$12:$A$112=$B1511))*$H$10*POWER(1+Inflation,Y$11+1)</f>
        <v>-16203.102926396703</v>
      </c>
      <c r="Z1511" s="549" cm="1">
        <f t="array" ref="Z1511">-SUMPRODUCT('W2'!$M$12:$V$112*('W2'!$M$7:$V$7=$A1511)*('W2'!$A$12:$A$112=$B1511))*$H$10*POWER(1+Inflation,Z$11+1)</f>
        <v>-17013.25807271654</v>
      </c>
      <c r="AA1511" s="549"/>
      <c r="AB1511" s="549"/>
      <c r="AC1511" s="549"/>
      <c r="AD1511" s="549"/>
      <c r="AE1511" s="549"/>
      <c r="AF1511" s="549"/>
      <c r="AG1511" s="549"/>
      <c r="AH1511" s="549"/>
      <c r="AI1511" s="549"/>
      <c r="AJ1511" s="549"/>
    </row>
    <row r="1512" spans="1:36" x14ac:dyDescent="0.25">
      <c r="A1512" t="s">
        <v>862</v>
      </c>
      <c r="B1512" t="s">
        <v>453</v>
      </c>
      <c r="H1512" s="454" t="s">
        <v>433</v>
      </c>
      <c r="I1512" s="496" t="str">
        <f t="shared" si="1242"/>
        <v>tr. VND</v>
      </c>
      <c r="K1512" s="549"/>
      <c r="L1512" s="549" cm="1">
        <f t="array" ref="L1512">-SUMPRODUCT('W2'!$M$12:$V$112*('W2'!$M$7:$V$7=$A1512)*('W2'!$A$12:$A$112=$B1512))*$H$10*POWER(1+Inflation,L$11+1)</f>
        <v>-552</v>
      </c>
      <c r="M1512" s="549" cm="1">
        <f t="array" ref="M1512">-SUMPRODUCT('W2'!$M$12:$V$112*('W2'!$M$7:$V$7=$A1512)*('W2'!$A$12:$A$112=$B1512))*$H$10*POWER(1+Inflation,M$11+1)</f>
        <v>-552</v>
      </c>
      <c r="N1512" s="549" cm="1">
        <f t="array" ref="N1512">-SUMPRODUCT('W2'!$M$12:$V$112*('W2'!$M$7:$V$7=$A1512)*('W2'!$A$12:$A$112=$B1512))*$H$10*POWER(1+Inflation,N$11+1)</f>
        <v>-579.6</v>
      </c>
      <c r="O1512" s="549" cm="1">
        <f t="array" ref="O1512">-SUMPRODUCT('W2'!$M$12:$V$112*('W2'!$M$7:$V$7=$A1512)*('W2'!$A$12:$A$112=$B1512))*$H$10*POWER(1+Inflation,O$11+1)</f>
        <v>-608.58000000000004</v>
      </c>
      <c r="P1512" s="549" cm="1">
        <f t="array" ref="P1512">-SUMPRODUCT('W2'!$M$12:$V$112*('W2'!$M$7:$V$7=$A1512)*('W2'!$A$12:$A$112=$B1512))*$H$10*POWER(1+Inflation,P$11+1)</f>
        <v>-639.00900000000001</v>
      </c>
      <c r="Q1512" s="549" cm="1">
        <f t="array" ref="Q1512">-SUMPRODUCT('W2'!$M$12:$V$112*('W2'!$M$7:$V$7=$A1512)*('W2'!$A$12:$A$112=$B1512))*$H$10*POWER(1+Inflation,Q$11+1)</f>
        <v>-670.95945000000006</v>
      </c>
      <c r="R1512" s="549" cm="1">
        <f t="array" ref="R1512">-SUMPRODUCT('W2'!$M$12:$V$112*('W2'!$M$7:$V$7=$A1512)*('W2'!$A$12:$A$112=$B1512))*$H$10*POWER(1+Inflation,R$11+1)</f>
        <v>-704.50742250000008</v>
      </c>
      <c r="S1512" s="549" cm="1">
        <f t="array" ref="S1512">-SUMPRODUCT('W2'!$M$12:$V$112*('W2'!$M$7:$V$7=$A1512)*('W2'!$A$12:$A$112=$B1512))*$H$10*POWER(1+Inflation,S$11+1)</f>
        <v>-739.732793625</v>
      </c>
      <c r="T1512" s="549" cm="1">
        <f t="array" ref="T1512">-SUMPRODUCT('W2'!$M$12:$V$112*('W2'!$M$7:$V$7=$A1512)*('W2'!$A$12:$A$112=$B1512))*$H$10*POWER(1+Inflation,T$11+1)</f>
        <v>-776.71943330625015</v>
      </c>
      <c r="U1512" s="549" cm="1">
        <f t="array" ref="U1512">-SUMPRODUCT('W2'!$M$12:$V$112*('W2'!$M$7:$V$7=$A1512)*('W2'!$A$12:$A$112=$B1512))*$H$10*POWER(1+Inflation,U$11+1)</f>
        <v>-815.55540497156255</v>
      </c>
      <c r="V1512" s="549" cm="1">
        <f t="array" ref="V1512">-SUMPRODUCT('W2'!$M$12:$V$112*('W2'!$M$7:$V$7=$A1512)*('W2'!$A$12:$A$112=$B1512))*$H$10*POWER(1+Inflation,V$11+1)</f>
        <v>-856.33317522014067</v>
      </c>
      <c r="W1512" s="549" cm="1">
        <f t="array" ref="W1512">-SUMPRODUCT('W2'!$M$12:$V$112*('W2'!$M$7:$V$7=$A1512)*('W2'!$A$12:$A$112=$B1512))*$H$10*POWER(1+Inflation,W$11+1)</f>
        <v>-899.14983398114771</v>
      </c>
      <c r="X1512" s="549" cm="1">
        <f t="array" ref="X1512">-SUMPRODUCT('W2'!$M$12:$V$112*('W2'!$M$7:$V$7=$A1512)*('W2'!$A$12:$A$112=$B1512))*$H$10*POWER(1+Inflation,X$11+1)</f>
        <v>-944.10732568020524</v>
      </c>
      <c r="Y1512" s="549" cm="1">
        <f t="array" ref="Y1512">-SUMPRODUCT('W2'!$M$12:$V$112*('W2'!$M$7:$V$7=$A1512)*('W2'!$A$12:$A$112=$B1512))*$H$10*POWER(1+Inflation,Y$11+1)</f>
        <v>-991.31269196421533</v>
      </c>
      <c r="Z1512" s="549" cm="1">
        <f t="array" ref="Z1512">-SUMPRODUCT('W2'!$M$12:$V$112*('W2'!$M$7:$V$7=$A1512)*('W2'!$A$12:$A$112=$B1512))*$H$10*POWER(1+Inflation,Z$11+1)</f>
        <v>-1040.8783265624263</v>
      </c>
      <c r="AA1512" s="549"/>
      <c r="AB1512" s="549"/>
      <c r="AC1512" s="549"/>
      <c r="AD1512" s="549"/>
      <c r="AE1512" s="549"/>
      <c r="AF1512" s="549"/>
      <c r="AG1512" s="549"/>
      <c r="AH1512" s="549"/>
      <c r="AI1512" s="549"/>
      <c r="AJ1512" s="549"/>
    </row>
    <row r="1513" spans="1:36" x14ac:dyDescent="0.25">
      <c r="A1513" t="s">
        <v>862</v>
      </c>
      <c r="B1513" t="s">
        <v>521</v>
      </c>
      <c r="H1513" s="454" t="s">
        <v>520</v>
      </c>
      <c r="I1513" s="496" t="str">
        <f t="shared" si="1242"/>
        <v>tr. VND</v>
      </c>
      <c r="K1513" s="549"/>
      <c r="L1513" s="549" cm="1">
        <f t="array" ref="L1513">-SUMPRODUCT('W2'!$M$12:$V$112*('W2'!$M$7:$V$7=$A1513)*('W2'!$A$12:$A$112=$B1513))*$H$10</f>
        <v>-901.49959999999999</v>
      </c>
      <c r="M1513" s="549" cm="1">
        <f t="array" ref="M1513">-SUMPRODUCT('W2'!$M$12:$V$112*('W2'!$M$7:$V$7=$A1513)*('W2'!$A$12:$A$112=$B1513))*$H$10</f>
        <v>-901.49959999999999</v>
      </c>
      <c r="N1513" s="549" cm="1">
        <f t="array" ref="N1513">-SUMPRODUCT('W2'!$M$12:$V$112*('W2'!$M$7:$V$7=$A1513)*('W2'!$A$12:$A$112=$B1513))*$H$10</f>
        <v>-901.49959999999999</v>
      </c>
      <c r="O1513" s="549" cm="1">
        <f t="array" ref="O1513">-SUMPRODUCT('W2'!$M$12:$V$112*('W2'!$M$7:$V$7=$A1513)*('W2'!$A$12:$A$112=$B1513))*$H$10</f>
        <v>-901.49959999999999</v>
      </c>
      <c r="P1513" s="549" cm="1">
        <f t="array" ref="P1513">-SUMPRODUCT('W2'!$M$12:$V$112*('W2'!$M$7:$V$7=$A1513)*('W2'!$A$12:$A$112=$B1513))*$H$10</f>
        <v>-901.49959999999999</v>
      </c>
      <c r="Q1513" s="549" cm="1">
        <f t="array" ref="Q1513">-SUMPRODUCT('W2'!$M$12:$V$112*('W2'!$M$7:$V$7=$A1513)*('W2'!$A$12:$A$112=$B1513))*$H$10</f>
        <v>-901.49959999999999</v>
      </c>
      <c r="R1513" s="549" cm="1">
        <f t="array" ref="R1513">-SUMPRODUCT('W2'!$M$12:$V$112*('W2'!$M$7:$V$7=$A1513)*('W2'!$A$12:$A$112=$B1513))*$H$10</f>
        <v>-901.49959999999999</v>
      </c>
      <c r="S1513" s="549" cm="1">
        <f t="array" ref="S1513">-SUMPRODUCT('W2'!$M$12:$V$112*('W2'!$M$7:$V$7=$A1513)*('W2'!$A$12:$A$112=$B1513))*$H$10</f>
        <v>-901.49959999999999</v>
      </c>
      <c r="T1513" s="549" cm="1">
        <f t="array" ref="T1513">-SUMPRODUCT('W2'!$M$12:$V$112*('W2'!$M$7:$V$7=$A1513)*('W2'!$A$12:$A$112=$B1513))*$H$10</f>
        <v>-901.49959999999999</v>
      </c>
      <c r="U1513" s="549" cm="1">
        <f t="array" ref="U1513">-SUMPRODUCT('W2'!$M$12:$V$112*('W2'!$M$7:$V$7=$A1513)*('W2'!$A$12:$A$112=$B1513))*$H$10</f>
        <v>-901.49959999999999</v>
      </c>
      <c r="V1513" s="549" cm="1">
        <f t="array" ref="V1513">-SUMPRODUCT('W2'!$M$12:$V$112*('W2'!$M$7:$V$7=$A1513)*('W2'!$A$12:$A$112=$B1513))*$H$10</f>
        <v>-901.49959999999999</v>
      </c>
      <c r="W1513" s="549" cm="1">
        <f t="array" ref="W1513">-SUMPRODUCT('W2'!$M$12:$V$112*('W2'!$M$7:$V$7=$A1513)*('W2'!$A$12:$A$112=$B1513))*$H$10</f>
        <v>-901.49959999999999</v>
      </c>
      <c r="X1513" s="549" cm="1">
        <f t="array" ref="X1513">-SUMPRODUCT('W2'!$M$12:$V$112*('W2'!$M$7:$V$7=$A1513)*('W2'!$A$12:$A$112=$B1513))*$H$10</f>
        <v>-901.49959999999999</v>
      </c>
      <c r="Y1513" s="549" cm="1">
        <f t="array" ref="Y1513">-SUMPRODUCT('W2'!$M$12:$V$112*('W2'!$M$7:$V$7=$A1513)*('W2'!$A$12:$A$112=$B1513))*$H$10</f>
        <v>-901.49959999999999</v>
      </c>
      <c r="Z1513" s="549" cm="1">
        <f t="array" ref="Z1513">-SUMPRODUCT('W2'!$M$12:$V$112*('W2'!$M$7:$V$7=$A1513)*('W2'!$A$12:$A$112=$B1513))*$H$10</f>
        <v>-901.49959999999999</v>
      </c>
      <c r="AA1513" s="549"/>
      <c r="AB1513" s="549"/>
      <c r="AC1513" s="549"/>
      <c r="AD1513" s="549"/>
      <c r="AE1513" s="549"/>
      <c r="AF1513" s="549"/>
      <c r="AG1513" s="549"/>
      <c r="AH1513" s="549"/>
      <c r="AI1513" s="549"/>
      <c r="AJ1513" s="549"/>
    </row>
    <row r="1514" spans="1:36" x14ac:dyDescent="0.25">
      <c r="A1514" t="s">
        <v>862</v>
      </c>
      <c r="K1514" s="243"/>
      <c r="L1514" s="243"/>
      <c r="M1514" s="243"/>
      <c r="N1514" s="243"/>
      <c r="O1514" s="243"/>
      <c r="P1514" s="243"/>
      <c r="Q1514" s="243"/>
      <c r="R1514" s="243"/>
      <c r="S1514" s="243"/>
      <c r="T1514" s="243"/>
      <c r="U1514" s="243"/>
      <c r="V1514" s="243"/>
      <c r="W1514" s="243"/>
      <c r="X1514" s="243"/>
      <c r="Y1514" s="243"/>
      <c r="Z1514" s="243"/>
      <c r="AA1514" s="243"/>
      <c r="AB1514" s="243"/>
      <c r="AC1514" s="243"/>
      <c r="AD1514" s="243"/>
      <c r="AE1514" s="243"/>
      <c r="AF1514" s="243"/>
      <c r="AG1514" s="243"/>
      <c r="AH1514" s="243"/>
      <c r="AI1514" s="243"/>
      <c r="AJ1514" s="243"/>
    </row>
    <row r="1515" spans="1:36" s="1" customFormat="1" x14ac:dyDescent="0.25">
      <c r="A1515" s="1" t="s">
        <v>862</v>
      </c>
      <c r="H1515" s="266" t="s">
        <v>435</v>
      </c>
      <c r="I1515" s="267" t="str">
        <f t="shared" ref="I1515:I1518" si="1246">IF($H$9="USD","USD","tr. VND")</f>
        <v>tr. VND</v>
      </c>
      <c r="K1515" s="269">
        <f>K1516+K1519+K1522</f>
        <v>0</v>
      </c>
      <c r="L1515" s="269">
        <f t="shared" ref="L1515:AJ1515" si="1247">L1516+L1519+L1522</f>
        <v>-92746.065303826777</v>
      </c>
      <c r="M1515" s="269">
        <f t="shared" si="1247"/>
        <v>-129045.29243442416</v>
      </c>
      <c r="N1515" s="269">
        <f t="shared" si="1247"/>
        <v>-187617.60190480959</v>
      </c>
      <c r="O1515" s="269">
        <f t="shared" si="1247"/>
        <v>-191847.4979197002</v>
      </c>
      <c r="P1515" s="269">
        <f t="shared" si="1247"/>
        <v>-196187.14761304564</v>
      </c>
      <c r="Q1515" s="269">
        <f t="shared" si="1247"/>
        <v>-200640.00384632294</v>
      </c>
      <c r="R1515" s="269">
        <f t="shared" si="1247"/>
        <v>-205209.65142763397</v>
      </c>
      <c r="S1515" s="269">
        <f t="shared" si="1247"/>
        <v>-209899.81289510772</v>
      </c>
      <c r="T1515" s="269">
        <f t="shared" si="1247"/>
        <v>-214714.35457319432</v>
      </c>
      <c r="U1515" s="269">
        <f t="shared" si="1247"/>
        <v>-219657.29291516927</v>
      </c>
      <c r="V1515" s="269">
        <f t="shared" si="1247"/>
        <v>-224732.80114582658</v>
      </c>
      <c r="W1515" s="269">
        <f t="shared" si="1247"/>
        <v>-229945.21621903207</v>
      </c>
      <c r="X1515" s="269">
        <f t="shared" si="1247"/>
        <v>-234296.54677220009</v>
      </c>
      <c r="Y1515" s="269">
        <f t="shared" si="1247"/>
        <v>-239796.47809385488</v>
      </c>
      <c r="Z1515" s="269">
        <f t="shared" si="1247"/>
        <v>-245447.38412123729</v>
      </c>
      <c r="AA1515" s="269"/>
      <c r="AB1515" s="269"/>
      <c r="AC1515" s="269"/>
      <c r="AD1515" s="269"/>
      <c r="AE1515" s="269"/>
      <c r="AF1515" s="269"/>
      <c r="AG1515" s="269"/>
      <c r="AH1515" s="269"/>
      <c r="AI1515" s="269"/>
      <c r="AJ1515" s="269"/>
    </row>
    <row r="1516" spans="1:36" x14ac:dyDescent="0.25">
      <c r="A1516" t="s">
        <v>862</v>
      </c>
      <c r="H1516" s="636" t="s">
        <v>454</v>
      </c>
      <c r="I1516" s="637" t="str">
        <f t="shared" si="1246"/>
        <v>tr. VND</v>
      </c>
      <c r="K1516" s="638">
        <f>SUM(K1517:K1518)</f>
        <v>0</v>
      </c>
      <c r="L1516" s="638">
        <f t="shared" ref="L1516:AJ1516" si="1248">SUM(L1517:L1518)</f>
        <v>-83121.831936000002</v>
      </c>
      <c r="M1516" s="638">
        <f t="shared" si="1248"/>
        <v>-116370.56471040001</v>
      </c>
      <c r="N1516" s="638">
        <f t="shared" si="1248"/>
        <v>-169568.53714944003</v>
      </c>
      <c r="O1516" s="638">
        <f t="shared" si="1248"/>
        <v>-172959.90789242883</v>
      </c>
      <c r="P1516" s="638">
        <f t="shared" si="1248"/>
        <v>-176419.10605027739</v>
      </c>
      <c r="Q1516" s="638">
        <f t="shared" si="1248"/>
        <v>-179947.48817128292</v>
      </c>
      <c r="R1516" s="638">
        <f t="shared" si="1248"/>
        <v>-183546.43793470861</v>
      </c>
      <c r="S1516" s="638">
        <f t="shared" si="1248"/>
        <v>-187217.36669340279</v>
      </c>
      <c r="T1516" s="638">
        <f t="shared" si="1248"/>
        <v>-190961.71402727079</v>
      </c>
      <c r="U1516" s="638">
        <f t="shared" si="1248"/>
        <v>-194780.9483078162</v>
      </c>
      <c r="V1516" s="638">
        <f t="shared" si="1248"/>
        <v>-198676.56727397256</v>
      </c>
      <c r="W1516" s="638">
        <f t="shared" si="1248"/>
        <v>-202650.09861945201</v>
      </c>
      <c r="X1516" s="638">
        <f t="shared" si="1248"/>
        <v>-206703.10059184101</v>
      </c>
      <c r="Y1516" s="638">
        <f t="shared" si="1248"/>
        <v>-210837.16260367786</v>
      </c>
      <c r="Z1516" s="638">
        <f t="shared" si="1248"/>
        <v>-215053.90585575142</v>
      </c>
      <c r="AA1516" s="638"/>
      <c r="AB1516" s="638"/>
      <c r="AC1516" s="638"/>
      <c r="AD1516" s="638"/>
      <c r="AE1516" s="638"/>
      <c r="AF1516" s="638"/>
      <c r="AG1516" s="638"/>
      <c r="AH1516" s="638"/>
      <c r="AI1516" s="638"/>
      <c r="AJ1516" s="638"/>
    </row>
    <row r="1517" spans="1:36" s="299" customFormat="1" x14ac:dyDescent="0.25">
      <c r="A1517" s="299" t="s">
        <v>862</v>
      </c>
      <c r="B1517" s="299" t="s">
        <v>459</v>
      </c>
      <c r="H1517" s="553" t="s">
        <v>167</v>
      </c>
      <c r="I1517" s="554" t="str">
        <f t="shared" si="1246"/>
        <v>tr. VND</v>
      </c>
      <c r="K1517" s="555"/>
      <c r="L1517" s="555" cm="1">
        <f t="array" ref="L1517">-SUMPRODUCT('W2'!$M$12:$V$112*('W2'!$M$7:$V$7=$A1517)*('W2'!$A$12:$A$112=$B1517))*L1494*$H$10*POWER(1+INDEX('Cover Page'!$H$8:$AJ$8,MATCH($A1517,'Cover Page'!$H$5:$AJ$5,0)),1+L$13)</f>
        <v>-77303.303700479999</v>
      </c>
      <c r="M1517" s="555" cm="1">
        <f t="array" ref="M1517">-SUMPRODUCT('W2'!$M$12:$V$112*('W2'!$M$7:$V$7=$A1517)*('W2'!$A$12:$A$112=$B1517))*M1494*$H$10*POWER(1+INDEX('Cover Page'!$H$8:$AJ$8,MATCH($A1517,'Cover Page'!$H$5:$AJ$5,0)),1+M$13)</f>
        <v>-108224.625180672</v>
      </c>
      <c r="N1517" s="555" cm="1">
        <f t="array" ref="N1517">-SUMPRODUCT('W2'!$M$12:$V$112*('W2'!$M$7:$V$7=$A1517)*('W2'!$A$12:$A$112=$B1517))*N1494*$H$10*POWER(1+INDEX('Cover Page'!$H$8:$AJ$8,MATCH($A1517,'Cover Page'!$H$5:$AJ$5,0)),1+N$13)</f>
        <v>-157698.73954897921</v>
      </c>
      <c r="O1517" s="555" cm="1">
        <f t="array" ref="O1517">-SUMPRODUCT('W2'!$M$12:$V$112*('W2'!$M$7:$V$7=$A1517)*('W2'!$A$12:$A$112=$B1517))*O1494*$H$10*POWER(1+INDEX('Cover Page'!$H$8:$AJ$8,MATCH($A1517,'Cover Page'!$H$5:$AJ$5,0)),1+O$13)</f>
        <v>-160852.71433995879</v>
      </c>
      <c r="P1517" s="555" cm="1">
        <f t="array" ref="P1517">-SUMPRODUCT('W2'!$M$12:$V$112*('W2'!$M$7:$V$7=$A1517)*('W2'!$A$12:$A$112=$B1517))*P1494*$H$10*POWER(1+INDEX('Cover Page'!$H$8:$AJ$8,MATCH($A1517,'Cover Page'!$H$5:$AJ$5,0)),1+P$13)</f>
        <v>-164069.76862675796</v>
      </c>
      <c r="Q1517" s="555" cm="1">
        <f t="array" ref="Q1517">-SUMPRODUCT('W2'!$M$12:$V$112*('W2'!$M$7:$V$7=$A1517)*('W2'!$A$12:$A$112=$B1517))*Q1494*$H$10*POWER(1+INDEX('Cover Page'!$H$8:$AJ$8,MATCH($A1517,'Cover Page'!$H$5:$AJ$5,0)),1+Q$13)</f>
        <v>-167351.16399929312</v>
      </c>
      <c r="R1517" s="555" cm="1">
        <f t="array" ref="R1517">-SUMPRODUCT('W2'!$M$12:$V$112*('W2'!$M$7:$V$7=$A1517)*('W2'!$A$12:$A$112=$B1517))*R1494*$H$10*POWER(1+INDEX('Cover Page'!$H$8:$AJ$8,MATCH($A1517,'Cover Page'!$H$5:$AJ$5,0)),1+R$13)</f>
        <v>-170698.18727927899</v>
      </c>
      <c r="S1517" s="555" cm="1">
        <f t="array" ref="S1517">-SUMPRODUCT('W2'!$M$12:$V$112*('W2'!$M$7:$V$7=$A1517)*('W2'!$A$12:$A$112=$B1517))*S1494*$H$10*POWER(1+INDEX('Cover Page'!$H$8:$AJ$8,MATCH($A1517,'Cover Page'!$H$5:$AJ$5,0)),1+S$13)</f>
        <v>-174112.15102486458</v>
      </c>
      <c r="T1517" s="555" cm="1">
        <f t="array" ref="T1517">-SUMPRODUCT('W2'!$M$12:$V$112*('W2'!$M$7:$V$7=$A1517)*('W2'!$A$12:$A$112=$B1517))*T1494*$H$10*POWER(1+INDEX('Cover Page'!$H$8:$AJ$8,MATCH($A1517,'Cover Page'!$H$5:$AJ$5,0)),1+T$13)</f>
        <v>-177594.39404536181</v>
      </c>
      <c r="U1517" s="555" cm="1">
        <f t="array" ref="U1517">-SUMPRODUCT('W2'!$M$12:$V$112*('W2'!$M$7:$V$7=$A1517)*('W2'!$A$12:$A$112=$B1517))*U1494*$H$10*POWER(1+INDEX('Cover Page'!$H$8:$AJ$8,MATCH($A1517,'Cover Page'!$H$5:$AJ$5,0)),1+U$13)</f>
        <v>-181146.28192626906</v>
      </c>
      <c r="V1517" s="555" cm="1">
        <f t="array" ref="V1517">-SUMPRODUCT('W2'!$M$12:$V$112*('W2'!$M$7:$V$7=$A1517)*('W2'!$A$12:$A$112=$B1517))*V1494*$H$10*POWER(1+INDEX('Cover Page'!$H$8:$AJ$8,MATCH($A1517,'Cover Page'!$H$5:$AJ$5,0)),1+V$13)</f>
        <v>-184769.20756479446</v>
      </c>
      <c r="W1517" s="555" cm="1">
        <f t="array" ref="W1517">-SUMPRODUCT('W2'!$M$12:$V$112*('W2'!$M$7:$V$7=$A1517)*('W2'!$A$12:$A$112=$B1517))*W1494*$H$10*POWER(1+INDEX('Cover Page'!$H$8:$AJ$8,MATCH($A1517,'Cover Page'!$H$5:$AJ$5,0)),1+W$13)</f>
        <v>-188464.59171609036</v>
      </c>
      <c r="X1517" s="555" cm="1">
        <f t="array" ref="X1517">-SUMPRODUCT('W2'!$M$12:$V$112*('W2'!$M$7:$V$7=$A1517)*('W2'!$A$12:$A$112=$B1517))*X1494*$H$10*POWER(1+INDEX('Cover Page'!$H$8:$AJ$8,MATCH($A1517,'Cover Page'!$H$5:$AJ$5,0)),1+X$13)</f>
        <v>-192233.88355041214</v>
      </c>
      <c r="Y1517" s="555" cm="1">
        <f t="array" ref="Y1517">-SUMPRODUCT('W2'!$M$12:$V$112*('W2'!$M$7:$V$7=$A1517)*('W2'!$A$12:$A$112=$B1517))*Y1494*$H$10*POWER(1+INDEX('Cover Page'!$H$8:$AJ$8,MATCH($A1517,'Cover Page'!$H$5:$AJ$5,0)),1+Y$13)</f>
        <v>-196078.56122142039</v>
      </c>
      <c r="Z1517" s="555" cm="1">
        <f t="array" ref="Z1517">-SUMPRODUCT('W2'!$M$12:$V$112*('W2'!$M$7:$V$7=$A1517)*('W2'!$A$12:$A$112=$B1517))*Z1494*$H$10*POWER(1+INDEX('Cover Page'!$H$8:$AJ$8,MATCH($A1517,'Cover Page'!$H$5:$AJ$5,0)),1+Z$13)</f>
        <v>-200000.13244584881</v>
      </c>
      <c r="AA1517" s="555"/>
      <c r="AB1517" s="555"/>
      <c r="AC1517" s="555"/>
      <c r="AD1517" s="555"/>
      <c r="AE1517" s="555"/>
      <c r="AF1517" s="555"/>
      <c r="AG1517" s="555"/>
      <c r="AH1517" s="555"/>
      <c r="AI1517" s="555"/>
      <c r="AJ1517" s="555"/>
    </row>
    <row r="1518" spans="1:36" s="299" customFormat="1" x14ac:dyDescent="0.25">
      <c r="A1518" s="299" t="s">
        <v>862</v>
      </c>
      <c r="H1518" s="553" t="s">
        <v>203</v>
      </c>
      <c r="I1518" s="554" t="str">
        <f t="shared" si="1246"/>
        <v>tr. VND</v>
      </c>
      <c r="K1518" s="639"/>
      <c r="L1518" s="639">
        <f>L1517/(1-L1492)-L1517</f>
        <v>-5818.5282355200034</v>
      </c>
      <c r="M1518" s="639">
        <f t="shared" ref="M1518:AJ1518" si="1249">M1517/(1-M1492)-M1517</f>
        <v>-8145.9395297280134</v>
      </c>
      <c r="N1518" s="639">
        <f t="shared" si="1249"/>
        <v>-11869.797600460821</v>
      </c>
      <c r="O1518" s="639">
        <f t="shared" si="1249"/>
        <v>-12107.193552470038</v>
      </c>
      <c r="P1518" s="639">
        <f t="shared" si="1249"/>
        <v>-12349.337423519435</v>
      </c>
      <c r="Q1518" s="639">
        <f t="shared" si="1249"/>
        <v>-12596.324171989807</v>
      </c>
      <c r="R1518" s="639">
        <f t="shared" si="1249"/>
        <v>-12848.250655429612</v>
      </c>
      <c r="S1518" s="639">
        <f t="shared" si="1249"/>
        <v>-13105.215668538207</v>
      </c>
      <c r="T1518" s="639">
        <f t="shared" si="1249"/>
        <v>-13367.319981908979</v>
      </c>
      <c r="U1518" s="639">
        <f t="shared" si="1249"/>
        <v>-13634.66638154714</v>
      </c>
      <c r="V1518" s="639">
        <f t="shared" si="1249"/>
        <v>-13907.359709178098</v>
      </c>
      <c r="W1518" s="639">
        <f t="shared" si="1249"/>
        <v>-14185.506903361646</v>
      </c>
      <c r="X1518" s="639">
        <f t="shared" si="1249"/>
        <v>-14469.21704142887</v>
      </c>
      <c r="Y1518" s="639">
        <f t="shared" si="1249"/>
        <v>-14758.601382257475</v>
      </c>
      <c r="Z1518" s="639">
        <f t="shared" si="1249"/>
        <v>-15053.773409902613</v>
      </c>
      <c r="AA1518" s="639"/>
      <c r="AB1518" s="639"/>
      <c r="AC1518" s="639"/>
      <c r="AD1518" s="639"/>
      <c r="AE1518" s="639"/>
      <c r="AF1518" s="639"/>
      <c r="AG1518" s="639"/>
      <c r="AH1518" s="639"/>
      <c r="AI1518" s="639"/>
      <c r="AJ1518" s="639"/>
    </row>
    <row r="1519" spans="1:36" x14ac:dyDescent="0.25">
      <c r="A1519" t="s">
        <v>862</v>
      </c>
      <c r="H1519" s="454" t="s">
        <v>676</v>
      </c>
      <c r="I1519" s="496" t="s">
        <v>672</v>
      </c>
      <c r="K1519" s="616">
        <f t="shared" ref="K1519:AJ1519" si="1250">SUM(K1520:K1521)</f>
        <v>0</v>
      </c>
      <c r="L1519" s="616">
        <f t="shared" si="1250"/>
        <v>-632.43325753344004</v>
      </c>
      <c r="M1519" s="616">
        <f t="shared" si="1250"/>
        <v>-885.40656054681608</v>
      </c>
      <c r="N1519" s="616">
        <f t="shared" si="1250"/>
        <v>-1328.1098408202242</v>
      </c>
      <c r="O1519" s="616">
        <f t="shared" si="1250"/>
        <v>-1394.5153328612353</v>
      </c>
      <c r="P1519" s="616">
        <f t="shared" si="1250"/>
        <v>-1464.2410995042972</v>
      </c>
      <c r="Q1519" s="616">
        <f t="shared" si="1250"/>
        <v>-1537.453154479512</v>
      </c>
      <c r="R1519" s="616">
        <f t="shared" si="1250"/>
        <v>-1614.3258122034877</v>
      </c>
      <c r="S1519" s="616">
        <f t="shared" si="1250"/>
        <v>-1695.0421028136618</v>
      </c>
      <c r="T1519" s="616">
        <f t="shared" si="1250"/>
        <v>-1779.7942079543452</v>
      </c>
      <c r="U1519" s="616">
        <f t="shared" si="1250"/>
        <v>-1868.7839183520623</v>
      </c>
      <c r="V1519" s="616">
        <f t="shared" si="1250"/>
        <v>-1962.2231142696655</v>
      </c>
      <c r="W1519" s="616">
        <f t="shared" si="1250"/>
        <v>-2060.3342699831487</v>
      </c>
      <c r="X1519" s="616">
        <f t="shared" si="1250"/>
        <v>-2163.3509834823062</v>
      </c>
      <c r="Y1519" s="616">
        <f t="shared" si="1250"/>
        <v>-2271.5185326564215</v>
      </c>
      <c r="Z1519" s="616">
        <f t="shared" si="1250"/>
        <v>-2385.0944592892429</v>
      </c>
      <c r="AA1519" s="616"/>
      <c r="AB1519" s="616"/>
      <c r="AC1519" s="616"/>
      <c r="AD1519" s="616"/>
      <c r="AE1519" s="616"/>
      <c r="AF1519" s="616"/>
      <c r="AG1519" s="616"/>
      <c r="AH1519" s="616"/>
      <c r="AI1519" s="616"/>
      <c r="AJ1519" s="616"/>
    </row>
    <row r="1520" spans="1:36" s="299" customFormat="1" x14ac:dyDescent="0.25">
      <c r="A1520" s="299" t="s">
        <v>862</v>
      </c>
      <c r="B1520" s="299" t="s">
        <v>667</v>
      </c>
      <c r="H1520" s="553" t="s">
        <v>673</v>
      </c>
      <c r="I1520" s="554" t="s">
        <v>672</v>
      </c>
      <c r="K1520" s="555"/>
      <c r="L1520" s="555" cm="1">
        <f t="array" ref="L1520">-SUMPRODUCT('W2'!$M$12:$V$112*('W2'!$M$7:$V$7=$A1520)*('W2'!$A$12:$A$112=$B1520))*L1500*$H$10*POWER(1+Inflation,L$11+1)</f>
        <v>-632.43325753344004</v>
      </c>
      <c r="M1520" s="555" cm="1">
        <f t="array" ref="M1520">-SUMPRODUCT('W2'!$M$12:$V$112*('W2'!$M$7:$V$7=$A1520)*('W2'!$A$12:$A$112=$B1520))*M1500*$H$10*POWER(1+Inflation,M$11+1)</f>
        <v>-885.40656054681608</v>
      </c>
      <c r="N1520" s="555" cm="1">
        <f t="array" ref="N1520">-SUMPRODUCT('W2'!$M$12:$V$112*('W2'!$M$7:$V$7=$A1520)*('W2'!$A$12:$A$112=$B1520))*N1500*$H$10*POWER(1+Inflation,N$11+1)</f>
        <v>-1328.1098408202242</v>
      </c>
      <c r="O1520" s="555" cm="1">
        <f t="array" ref="O1520">-SUMPRODUCT('W2'!$M$12:$V$112*('W2'!$M$7:$V$7=$A1520)*('W2'!$A$12:$A$112=$B1520))*O1500*$H$10*POWER(1+Inflation,O$11+1)</f>
        <v>-1394.5153328612353</v>
      </c>
      <c r="P1520" s="555" cm="1">
        <f t="array" ref="P1520">-SUMPRODUCT('W2'!$M$12:$V$112*('W2'!$M$7:$V$7=$A1520)*('W2'!$A$12:$A$112=$B1520))*P1500*$H$10*POWER(1+Inflation,P$11+1)</f>
        <v>-1464.2410995042972</v>
      </c>
      <c r="Q1520" s="555" cm="1">
        <f t="array" ref="Q1520">-SUMPRODUCT('W2'!$M$12:$V$112*('W2'!$M$7:$V$7=$A1520)*('W2'!$A$12:$A$112=$B1520))*Q1500*$H$10*POWER(1+Inflation,Q$11+1)</f>
        <v>-1537.453154479512</v>
      </c>
      <c r="R1520" s="555" cm="1">
        <f t="array" ref="R1520">-SUMPRODUCT('W2'!$M$12:$V$112*('W2'!$M$7:$V$7=$A1520)*('W2'!$A$12:$A$112=$B1520))*R1500*$H$10*POWER(1+Inflation,R$11+1)</f>
        <v>-1614.3258122034877</v>
      </c>
      <c r="S1520" s="555" cm="1">
        <f t="array" ref="S1520">-SUMPRODUCT('W2'!$M$12:$V$112*('W2'!$M$7:$V$7=$A1520)*('W2'!$A$12:$A$112=$B1520))*S1500*$H$10*POWER(1+Inflation,S$11+1)</f>
        <v>-1695.0421028136618</v>
      </c>
      <c r="T1520" s="555" cm="1">
        <f t="array" ref="T1520">-SUMPRODUCT('W2'!$M$12:$V$112*('W2'!$M$7:$V$7=$A1520)*('W2'!$A$12:$A$112=$B1520))*T1500*$H$10*POWER(1+Inflation,T$11+1)</f>
        <v>-1779.7942079543452</v>
      </c>
      <c r="U1520" s="555" cm="1">
        <f t="array" ref="U1520">-SUMPRODUCT('W2'!$M$12:$V$112*('W2'!$M$7:$V$7=$A1520)*('W2'!$A$12:$A$112=$B1520))*U1500*$H$10*POWER(1+Inflation,U$11+1)</f>
        <v>-1868.7839183520623</v>
      </c>
      <c r="V1520" s="555" cm="1">
        <f t="array" ref="V1520">-SUMPRODUCT('W2'!$M$12:$V$112*('W2'!$M$7:$V$7=$A1520)*('W2'!$A$12:$A$112=$B1520))*V1500*$H$10*POWER(1+Inflation,V$11+1)</f>
        <v>-1962.2231142696655</v>
      </c>
      <c r="W1520" s="555" cm="1">
        <f t="array" ref="W1520">-SUMPRODUCT('W2'!$M$12:$V$112*('W2'!$M$7:$V$7=$A1520)*('W2'!$A$12:$A$112=$B1520))*W1500*$H$10*POWER(1+Inflation,W$11+1)</f>
        <v>-2060.3342699831487</v>
      </c>
      <c r="X1520" s="555" cm="1">
        <f t="array" ref="X1520">-SUMPRODUCT('W2'!$M$12:$V$112*('W2'!$M$7:$V$7=$A1520)*('W2'!$A$12:$A$112=$B1520))*X1500*$H$10*POWER(1+Inflation,X$11+1)</f>
        <v>-2163.3509834823062</v>
      </c>
      <c r="Y1520" s="555" cm="1">
        <f t="array" ref="Y1520">-SUMPRODUCT('W2'!$M$12:$V$112*('W2'!$M$7:$V$7=$A1520)*('W2'!$A$12:$A$112=$B1520))*Y1500*$H$10*POWER(1+Inflation,Y$11+1)</f>
        <v>-2271.5185326564215</v>
      </c>
      <c r="Z1520" s="555" cm="1">
        <f t="array" ref="Z1520">-SUMPRODUCT('W2'!$M$12:$V$112*('W2'!$M$7:$V$7=$A1520)*('W2'!$A$12:$A$112=$B1520))*Z1500*$H$10*POWER(1+Inflation,Z$11+1)</f>
        <v>-2385.0944592892429</v>
      </c>
      <c r="AA1520" s="555"/>
      <c r="AB1520" s="555"/>
      <c r="AC1520" s="555"/>
      <c r="AD1520" s="555"/>
      <c r="AE1520" s="555"/>
      <c r="AF1520" s="555"/>
      <c r="AG1520" s="555"/>
      <c r="AH1520" s="555"/>
      <c r="AI1520" s="555"/>
      <c r="AJ1520" s="555"/>
    </row>
    <row r="1521" spans="1:36" s="299" customFormat="1" x14ac:dyDescent="0.25">
      <c r="A1521" s="299" t="s">
        <v>862</v>
      </c>
      <c r="B1521" s="299" t="s">
        <v>668</v>
      </c>
      <c r="H1521" s="553" t="s">
        <v>674</v>
      </c>
      <c r="I1521" s="554" t="s">
        <v>672</v>
      </c>
      <c r="K1521" s="555"/>
      <c r="L1521" s="555" cm="1">
        <f t="array" ref="L1521">-SUMPRODUCT('W2'!$M$12:$V$112*('W2'!$M$7:$V$7=$A1521)*('W2'!$A$12:$A$112=$B1521))*L1501*$H$10*POWER(1+Inflation,L$11+1)</f>
        <v>0</v>
      </c>
      <c r="M1521" s="555" cm="1">
        <f t="array" ref="M1521">-SUMPRODUCT('W2'!$M$12:$V$112*('W2'!$M$7:$V$7=$A1521)*('W2'!$A$12:$A$112=$B1521))*M1501*$H$10*POWER(1+Inflation,M$11+1)</f>
        <v>0</v>
      </c>
      <c r="N1521" s="555" cm="1">
        <f t="array" ref="N1521">-SUMPRODUCT('W2'!$M$12:$V$112*('W2'!$M$7:$V$7=$A1521)*('W2'!$A$12:$A$112=$B1521))*N1501*$H$10*POWER(1+Inflation,N$11+1)</f>
        <v>0</v>
      </c>
      <c r="O1521" s="555" cm="1">
        <f t="array" ref="O1521">-SUMPRODUCT('W2'!$M$12:$V$112*('W2'!$M$7:$V$7=$A1521)*('W2'!$A$12:$A$112=$B1521))*O1501*$H$10*POWER(1+Inflation,O$11+1)</f>
        <v>0</v>
      </c>
      <c r="P1521" s="555" cm="1">
        <f t="array" ref="P1521">-SUMPRODUCT('W2'!$M$12:$V$112*('W2'!$M$7:$V$7=$A1521)*('W2'!$A$12:$A$112=$B1521))*P1501*$H$10*POWER(1+Inflation,P$11+1)</f>
        <v>0</v>
      </c>
      <c r="Q1521" s="555" cm="1">
        <f t="array" ref="Q1521">-SUMPRODUCT('W2'!$M$12:$V$112*('W2'!$M$7:$V$7=$A1521)*('W2'!$A$12:$A$112=$B1521))*Q1501*$H$10*POWER(1+Inflation,Q$11+1)</f>
        <v>0</v>
      </c>
      <c r="R1521" s="555" cm="1">
        <f t="array" ref="R1521">-SUMPRODUCT('W2'!$M$12:$V$112*('W2'!$M$7:$V$7=$A1521)*('W2'!$A$12:$A$112=$B1521))*R1501*$H$10*POWER(1+Inflation,R$11+1)</f>
        <v>0</v>
      </c>
      <c r="S1521" s="555" cm="1">
        <f t="array" ref="S1521">-SUMPRODUCT('W2'!$M$12:$V$112*('W2'!$M$7:$V$7=$A1521)*('W2'!$A$12:$A$112=$B1521))*S1501*$H$10*POWER(1+Inflation,S$11+1)</f>
        <v>0</v>
      </c>
      <c r="T1521" s="555" cm="1">
        <f t="array" ref="T1521">-SUMPRODUCT('W2'!$M$12:$V$112*('W2'!$M$7:$V$7=$A1521)*('W2'!$A$12:$A$112=$B1521))*T1501*$H$10*POWER(1+Inflation,T$11+1)</f>
        <v>0</v>
      </c>
      <c r="U1521" s="555" cm="1">
        <f t="array" ref="U1521">-SUMPRODUCT('W2'!$M$12:$V$112*('W2'!$M$7:$V$7=$A1521)*('W2'!$A$12:$A$112=$B1521))*U1501*$H$10*POWER(1+Inflation,U$11+1)</f>
        <v>0</v>
      </c>
      <c r="V1521" s="555" cm="1">
        <f t="array" ref="V1521">-SUMPRODUCT('W2'!$M$12:$V$112*('W2'!$M$7:$V$7=$A1521)*('W2'!$A$12:$A$112=$B1521))*V1501*$H$10*POWER(1+Inflation,V$11+1)</f>
        <v>0</v>
      </c>
      <c r="W1521" s="555" cm="1">
        <f t="array" ref="W1521">-SUMPRODUCT('W2'!$M$12:$V$112*('W2'!$M$7:$V$7=$A1521)*('W2'!$A$12:$A$112=$B1521))*W1501*$H$10*POWER(1+Inflation,W$11+1)</f>
        <v>0</v>
      </c>
      <c r="X1521" s="555" cm="1">
        <f t="array" ref="X1521">-SUMPRODUCT('W2'!$M$12:$V$112*('W2'!$M$7:$V$7=$A1521)*('W2'!$A$12:$A$112=$B1521))*X1501*$H$10*POWER(1+Inflation,X$11+1)</f>
        <v>0</v>
      </c>
      <c r="Y1521" s="555" cm="1">
        <f t="array" ref="Y1521">-SUMPRODUCT('W2'!$M$12:$V$112*('W2'!$M$7:$V$7=$A1521)*('W2'!$A$12:$A$112=$B1521))*Y1501*$H$10*POWER(1+Inflation,Y$11+1)</f>
        <v>0</v>
      </c>
      <c r="Z1521" s="555" cm="1">
        <f t="array" ref="Z1521">-SUMPRODUCT('W2'!$M$12:$V$112*('W2'!$M$7:$V$7=$A1521)*('W2'!$A$12:$A$112=$B1521))*Z1501*$H$10*POWER(1+Inflation,Z$11+1)</f>
        <v>0</v>
      </c>
      <c r="AA1521" s="555"/>
      <c r="AB1521" s="555"/>
      <c r="AC1521" s="555"/>
      <c r="AD1521" s="555"/>
      <c r="AE1521" s="555"/>
      <c r="AF1521" s="555"/>
      <c r="AG1521" s="555"/>
      <c r="AH1521" s="555"/>
      <c r="AI1521" s="555"/>
      <c r="AJ1521" s="555"/>
    </row>
    <row r="1522" spans="1:36" x14ac:dyDescent="0.25">
      <c r="A1522" t="s">
        <v>862</v>
      </c>
      <c r="H1522" s="454" t="s">
        <v>180</v>
      </c>
      <c r="I1522" s="496" t="str">
        <f t="shared" ref="I1522:I1525" si="1251">IF($H$9="USD","USD","tr. VND")</f>
        <v>tr. VND</v>
      </c>
      <c r="K1522" s="616">
        <f>SUM(K1523:K1525)</f>
        <v>0</v>
      </c>
      <c r="L1522" s="616">
        <f>SUM(L1523:L1525)</f>
        <v>-8991.800110293334</v>
      </c>
      <c r="M1522" s="616">
        <f t="shared" ref="M1522:AJ1522" si="1252">SUM(M1523:M1525)</f>
        <v>-11789.321163477332</v>
      </c>
      <c r="N1522" s="616">
        <f t="shared" si="1252"/>
        <v>-16720.954914549333</v>
      </c>
      <c r="O1522" s="616">
        <f t="shared" si="1252"/>
        <v>-17493.074694410134</v>
      </c>
      <c r="P1522" s="616">
        <f t="shared" si="1252"/>
        <v>-18303.800463263975</v>
      </c>
      <c r="Q1522" s="616">
        <f t="shared" si="1252"/>
        <v>-19155.062520560507</v>
      </c>
      <c r="R1522" s="616">
        <f t="shared" si="1252"/>
        <v>-20048.887680721866</v>
      </c>
      <c r="S1522" s="616">
        <f t="shared" si="1252"/>
        <v>-20987.404098891289</v>
      </c>
      <c r="T1522" s="616">
        <f t="shared" si="1252"/>
        <v>-21972.846337969193</v>
      </c>
      <c r="U1522" s="616">
        <f t="shared" si="1252"/>
        <v>-23007.560689000984</v>
      </c>
      <c r="V1522" s="616">
        <f t="shared" si="1252"/>
        <v>-24094.010757584365</v>
      </c>
      <c r="W1522" s="616">
        <f t="shared" si="1252"/>
        <v>-25234.783329596918</v>
      </c>
      <c r="X1522" s="616">
        <f t="shared" si="1252"/>
        <v>-25430.095196876766</v>
      </c>
      <c r="Y1522" s="616">
        <f t="shared" si="1252"/>
        <v>-26687.796957520601</v>
      </c>
      <c r="Z1522" s="616">
        <f t="shared" si="1252"/>
        <v>-28008.383806196634</v>
      </c>
      <c r="AA1522" s="616"/>
      <c r="AB1522" s="616"/>
      <c r="AC1522" s="616"/>
      <c r="AD1522" s="616"/>
      <c r="AE1522" s="616"/>
      <c r="AF1522" s="616"/>
      <c r="AG1522" s="616"/>
      <c r="AH1522" s="616"/>
      <c r="AI1522" s="616"/>
      <c r="AJ1522" s="616"/>
    </row>
    <row r="1523" spans="1:36" s="299" customFormat="1" x14ac:dyDescent="0.25">
      <c r="A1523" s="299" t="s">
        <v>862</v>
      </c>
      <c r="B1523" s="299" t="s">
        <v>174</v>
      </c>
      <c r="H1523" s="553" t="s">
        <v>73</v>
      </c>
      <c r="I1523" s="554" t="str">
        <f t="shared" si="1251"/>
        <v>tr. VND</v>
      </c>
      <c r="K1523" s="555"/>
      <c r="L1523" s="555" cm="1">
        <f t="array" ref="L1523">-SUMPRODUCT('W2'!$M$12:$V$112*('W2'!$M$7:$V$7=$A1523)*('W2'!$A$12:$A$112=$B1523))*L1493*24*$H$10*POWER(1+Inflation,L$11+1)</f>
        <v>-5749.8011999999999</v>
      </c>
      <c r="M1523" s="555" cm="1">
        <f t="array" ref="M1523">-SUMPRODUCT('W2'!$M$12:$V$112*('W2'!$M$7:$V$7=$A1523)*('W2'!$A$12:$A$112=$B1523))*M1493*24*$H$10*POWER(1+Inflation,M$11+1)</f>
        <v>-8049.7216799999978</v>
      </c>
      <c r="N1523" s="555" cm="1">
        <f t="array" ref="N1523">-SUMPRODUCT('W2'!$M$12:$V$112*('W2'!$M$7:$V$7=$A1523)*('W2'!$A$12:$A$112=$B1523))*N1493*24*$H$10*POWER(1+Inflation,N$11+1)</f>
        <v>-12074.58252</v>
      </c>
      <c r="O1523" s="555" cm="1">
        <f t="array" ref="O1523">-SUMPRODUCT('W2'!$M$12:$V$112*('W2'!$M$7:$V$7=$A1523)*('W2'!$A$12:$A$112=$B1523))*O1493*24*$H$10*POWER(1+Inflation,O$11+1)</f>
        <v>-12678.311646</v>
      </c>
      <c r="P1523" s="555" cm="1">
        <f t="array" ref="P1523">-SUMPRODUCT('W2'!$M$12:$V$112*('W2'!$M$7:$V$7=$A1523)*('W2'!$A$12:$A$112=$B1523))*P1493*24*$H$10*POWER(1+Inflation,P$11+1)</f>
        <v>-13312.227228300002</v>
      </c>
      <c r="Q1523" s="555" cm="1">
        <f t="array" ref="Q1523">-SUMPRODUCT('W2'!$M$12:$V$112*('W2'!$M$7:$V$7=$A1523)*('W2'!$A$12:$A$112=$B1523))*Q1493*24*$H$10*POWER(1+Inflation,Q$11+1)</f>
        <v>-13977.838589715</v>
      </c>
      <c r="R1523" s="555" cm="1">
        <f t="array" ref="R1523">-SUMPRODUCT('W2'!$M$12:$V$112*('W2'!$M$7:$V$7=$A1523)*('W2'!$A$12:$A$112=$B1523))*R1493*24*$H$10*POWER(1+Inflation,R$11+1)</f>
        <v>-14676.730519200752</v>
      </c>
      <c r="S1523" s="555" cm="1">
        <f t="array" ref="S1523">-SUMPRODUCT('W2'!$M$12:$V$112*('W2'!$M$7:$V$7=$A1523)*('W2'!$A$12:$A$112=$B1523))*S1493*24*$H$10*POWER(1+Inflation,S$11+1)</f>
        <v>-15410.567045160788</v>
      </c>
      <c r="T1523" s="555" cm="1">
        <f t="array" ref="T1523">-SUMPRODUCT('W2'!$M$12:$V$112*('W2'!$M$7:$V$7=$A1523)*('W2'!$A$12:$A$112=$B1523))*T1493*24*$H$10*POWER(1+Inflation,T$11+1)</f>
        <v>-16181.095397418829</v>
      </c>
      <c r="U1523" s="555" cm="1">
        <f t="array" ref="U1523">-SUMPRODUCT('W2'!$M$12:$V$112*('W2'!$M$7:$V$7=$A1523)*('W2'!$A$12:$A$112=$B1523))*U1493*24*$H$10*POWER(1+Inflation,U$11+1)</f>
        <v>-16990.150167289768</v>
      </c>
      <c r="V1523" s="555" cm="1">
        <f t="array" ref="V1523">-SUMPRODUCT('W2'!$M$12:$V$112*('W2'!$M$7:$V$7=$A1523)*('W2'!$A$12:$A$112=$B1523))*V1493*24*$H$10*POWER(1+Inflation,V$11+1)</f>
        <v>-17839.657675654256</v>
      </c>
      <c r="W1523" s="555" cm="1">
        <f t="array" ref="W1523">-SUMPRODUCT('W2'!$M$12:$V$112*('W2'!$M$7:$V$7=$A1523)*('W2'!$A$12:$A$112=$B1523))*W1493*24*$H$10*POWER(1+Inflation,W$11+1)</f>
        <v>-18731.640559436972</v>
      </c>
      <c r="X1523" s="555" cm="1">
        <f t="array" ref="X1523">-SUMPRODUCT('W2'!$M$12:$V$112*('W2'!$M$7:$V$7=$A1523)*('W2'!$A$12:$A$112=$B1523))*X1493*24*$H$10*POWER(1+Inflation,X$11+1)</f>
        <v>-19668.222587408822</v>
      </c>
      <c r="Y1523" s="555" cm="1">
        <f t="array" ref="Y1523">-SUMPRODUCT('W2'!$M$12:$V$112*('W2'!$M$7:$V$7=$A1523)*('W2'!$A$12:$A$112=$B1523))*Y1493*24*$H$10*POWER(1+Inflation,Y$11+1)</f>
        <v>-20651.633716779259</v>
      </c>
      <c r="Z1523" s="555" cm="1">
        <f t="array" ref="Z1523">-SUMPRODUCT('W2'!$M$12:$V$112*('W2'!$M$7:$V$7=$A1523)*('W2'!$A$12:$A$112=$B1523))*Z1493*24*$H$10*POWER(1+Inflation,Z$11+1)</f>
        <v>-21684.215402618225</v>
      </c>
      <c r="AA1523" s="555"/>
      <c r="AB1523" s="555"/>
      <c r="AC1523" s="555"/>
      <c r="AD1523" s="555"/>
      <c r="AE1523" s="555"/>
      <c r="AF1523" s="555"/>
      <c r="AG1523" s="555"/>
      <c r="AH1523" s="555"/>
      <c r="AI1523" s="555"/>
      <c r="AJ1523" s="555"/>
    </row>
    <row r="1524" spans="1:36" s="299" customFormat="1" x14ac:dyDescent="0.25">
      <c r="A1524" s="299" t="s">
        <v>862</v>
      </c>
      <c r="B1524" s="299" t="s">
        <v>462</v>
      </c>
      <c r="H1524" s="553" t="s">
        <v>192</v>
      </c>
      <c r="I1524" s="554" t="str">
        <f t="shared" si="1251"/>
        <v>tr. VND</v>
      </c>
      <c r="K1524" s="555"/>
      <c r="L1524" s="555" cm="1">
        <f t="array" ref="L1524">-SUMPRODUCT('W2'!$M$12:$V$112*('W2'!$M$7:$V$7=$A1524)*('W2'!$A$12:$A$112=$B1524))*L1494*$H$10*POWER(1+Inflation,L$11+1)</f>
        <v>-975.00902399999995</v>
      </c>
      <c r="M1524" s="555" cm="1">
        <f t="array" ref="M1524">-SUMPRODUCT('W2'!$M$12:$V$112*('W2'!$M$7:$V$7=$A1524)*('W2'!$A$12:$A$112=$B1524))*M1494*$H$10*POWER(1+Inflation,M$11+1)</f>
        <v>-1365.0126335999998</v>
      </c>
      <c r="N1524" s="555" cm="1">
        <f t="array" ref="N1524">-SUMPRODUCT('W2'!$M$12:$V$112*('W2'!$M$7:$V$7=$A1524)*('W2'!$A$12:$A$112=$B1524))*N1494*$H$10*POWER(1+Inflation,N$11+1)</f>
        <v>-2047.5189504</v>
      </c>
      <c r="O1524" s="555" cm="1">
        <f t="array" ref="O1524">-SUMPRODUCT('W2'!$M$12:$V$112*('W2'!$M$7:$V$7=$A1524)*('W2'!$A$12:$A$112=$B1524))*O1494*$H$10*POWER(1+Inflation,O$11+1)</f>
        <v>-2149.8948979199999</v>
      </c>
      <c r="P1524" s="555" cm="1">
        <f t="array" ref="P1524">-SUMPRODUCT('W2'!$M$12:$V$112*('W2'!$M$7:$V$7=$A1524)*('W2'!$A$12:$A$112=$B1524))*P1494*$H$10*POWER(1+Inflation,P$11+1)</f>
        <v>-2257.3896428160001</v>
      </c>
      <c r="Q1524" s="555" cm="1">
        <f t="array" ref="Q1524">-SUMPRODUCT('W2'!$M$12:$V$112*('W2'!$M$7:$V$7=$A1524)*('W2'!$A$12:$A$112=$B1524))*Q1494*$H$10*POWER(1+Inflation,Q$11+1)</f>
        <v>-2370.2591249568</v>
      </c>
      <c r="R1524" s="555" cm="1">
        <f t="array" ref="R1524">-SUMPRODUCT('W2'!$M$12:$V$112*('W2'!$M$7:$V$7=$A1524)*('W2'!$A$12:$A$112=$B1524))*R1494*$H$10*POWER(1+Inflation,R$11+1)</f>
        <v>-2488.77208120464</v>
      </c>
      <c r="S1524" s="555" cm="1">
        <f t="array" ref="S1524">-SUMPRODUCT('W2'!$M$12:$V$112*('W2'!$M$7:$V$7=$A1524)*('W2'!$A$12:$A$112=$B1524))*S1494*$H$10*POWER(1+Inflation,S$11+1)</f>
        <v>-2613.2106852648717</v>
      </c>
      <c r="T1524" s="555" cm="1">
        <f t="array" ref="T1524">-SUMPRODUCT('W2'!$M$12:$V$112*('W2'!$M$7:$V$7=$A1524)*('W2'!$A$12:$A$112=$B1524))*T1494*$H$10*POWER(1+Inflation,T$11+1)</f>
        <v>-2743.8712195281159</v>
      </c>
      <c r="U1524" s="555" cm="1">
        <f t="array" ref="U1524">-SUMPRODUCT('W2'!$M$12:$V$112*('W2'!$M$7:$V$7=$A1524)*('W2'!$A$12:$A$112=$B1524))*U1494*$H$10*POWER(1+Inflation,U$11+1)</f>
        <v>-2881.0647805045214</v>
      </c>
      <c r="V1524" s="555" cm="1">
        <f t="array" ref="V1524">-SUMPRODUCT('W2'!$M$12:$V$112*('W2'!$M$7:$V$7=$A1524)*('W2'!$A$12:$A$112=$B1524))*V1494*$H$10*POWER(1+Inflation,V$11+1)</f>
        <v>-3025.1180195297475</v>
      </c>
      <c r="W1524" s="555" cm="1">
        <f t="array" ref="W1524">-SUMPRODUCT('W2'!$M$12:$V$112*('W2'!$M$7:$V$7=$A1524)*('W2'!$A$12:$A$112=$B1524))*W1494*$H$10*POWER(1+Inflation,W$11+1)</f>
        <v>-3176.3739205062352</v>
      </c>
      <c r="X1524" s="555" cm="1">
        <f t="array" ref="X1524">-SUMPRODUCT('W2'!$M$12:$V$112*('W2'!$M$7:$V$7=$A1524)*('W2'!$A$12:$A$112=$B1524))*X1494*$H$10*POWER(1+Inflation,X$11+1)</f>
        <v>-3335.1926165315472</v>
      </c>
      <c r="Y1524" s="555" cm="1">
        <f t="array" ref="Y1524">-SUMPRODUCT('W2'!$M$12:$V$112*('W2'!$M$7:$V$7=$A1524)*('W2'!$A$12:$A$112=$B1524))*Y1494*$H$10*POWER(1+Inflation,Y$11+1)</f>
        <v>-3501.9522473581237</v>
      </c>
      <c r="Z1524" s="555" cm="1">
        <f t="array" ref="Z1524">-SUMPRODUCT('W2'!$M$12:$V$112*('W2'!$M$7:$V$7=$A1524)*('W2'!$A$12:$A$112=$B1524))*Z1494*$H$10*POWER(1+Inflation,Z$11+1)</f>
        <v>-3677.0498597260307</v>
      </c>
      <c r="AA1524" s="555"/>
      <c r="AB1524" s="555"/>
      <c r="AC1524" s="555"/>
      <c r="AD1524" s="555"/>
      <c r="AE1524" s="555"/>
      <c r="AF1524" s="555"/>
      <c r="AG1524" s="555"/>
      <c r="AH1524" s="555"/>
      <c r="AI1524" s="555"/>
      <c r="AJ1524" s="555"/>
    </row>
    <row r="1525" spans="1:36" s="299" customFormat="1" x14ac:dyDescent="0.25">
      <c r="A1525" s="299" t="s">
        <v>862</v>
      </c>
      <c r="B1525" s="299" t="s">
        <v>140</v>
      </c>
      <c r="H1525" s="553" t="s">
        <v>175</v>
      </c>
      <c r="I1525" s="554" t="str">
        <f t="shared" si="1251"/>
        <v>tr. VND</v>
      </c>
      <c r="K1525" s="555"/>
      <c r="L1525" s="555" cm="1">
        <f t="array" ref="L1525">SUMPRODUCT('W2'!$M$12:$V$112*('W2'!$M$7:$V$7=$A1525)*('W2'!$A$12:$A$112=$B1525))*(SUM(L1505,L1523:L1524))</f>
        <v>-2266.9898862933337</v>
      </c>
      <c r="M1525" s="555" cm="1">
        <f t="array" ref="M1525">SUMPRODUCT('W2'!$M$12:$V$112*('W2'!$M$7:$V$7=$A1525)*('W2'!$A$12:$A$112=$B1525))*(SUM(M1505,M1523:M1524))</f>
        <v>-2374.5868498773334</v>
      </c>
      <c r="N1525" s="555" cm="1">
        <f t="array" ref="N1525">SUMPRODUCT('W2'!$M$12:$V$112*('W2'!$M$7:$V$7=$A1525)*('W2'!$A$12:$A$112=$B1525))*(SUM(N1505,N1523:N1524))</f>
        <v>-2598.8534441493334</v>
      </c>
      <c r="O1525" s="555" cm="1">
        <f t="array" ref="O1525">SUMPRODUCT('W2'!$M$12:$V$112*('W2'!$M$7:$V$7=$A1525)*('W2'!$A$12:$A$112=$B1525))*(SUM(O1505,O1523:O1524))</f>
        <v>-2664.8681504901338</v>
      </c>
      <c r="P1525" s="555" cm="1">
        <f t="array" ref="P1525">SUMPRODUCT('W2'!$M$12:$V$112*('W2'!$M$7:$V$7=$A1525)*('W2'!$A$12:$A$112=$B1525))*(SUM(P1505,P1523:P1524))</f>
        <v>-2734.1835921479733</v>
      </c>
      <c r="Q1525" s="555" cm="1">
        <f t="array" ref="Q1525">SUMPRODUCT('W2'!$M$12:$V$112*('W2'!$M$7:$V$7=$A1525)*('W2'!$A$12:$A$112=$B1525))*(SUM(Q1505,Q1523:Q1524))</f>
        <v>-2806.9648058887055</v>
      </c>
      <c r="R1525" s="555" cm="1">
        <f t="array" ref="R1525">SUMPRODUCT('W2'!$M$12:$V$112*('W2'!$M$7:$V$7=$A1525)*('W2'!$A$12:$A$112=$B1525))*(SUM(R1505,R1523:R1524))</f>
        <v>-2883.3850803164742</v>
      </c>
      <c r="S1525" s="555" cm="1">
        <f t="array" ref="S1525">SUMPRODUCT('W2'!$M$12:$V$112*('W2'!$M$7:$V$7=$A1525)*('W2'!$A$12:$A$112=$B1525))*(SUM(S1505,S1523:S1524))</f>
        <v>-2963.6263684656315</v>
      </c>
      <c r="T1525" s="555" cm="1">
        <f t="array" ref="T1525">SUMPRODUCT('W2'!$M$12:$V$112*('W2'!$M$7:$V$7=$A1525)*('W2'!$A$12:$A$112=$B1525))*(SUM(T1505,T1523:T1524))</f>
        <v>-3047.879721022246</v>
      </c>
      <c r="U1525" s="555" cm="1">
        <f t="array" ref="U1525">SUMPRODUCT('W2'!$M$12:$V$112*('W2'!$M$7:$V$7=$A1525)*('W2'!$A$12:$A$112=$B1525))*(SUM(U1505,U1523:U1524))</f>
        <v>-3136.3457412066919</v>
      </c>
      <c r="V1525" s="555" cm="1">
        <f t="array" ref="V1525">SUMPRODUCT('W2'!$M$12:$V$112*('W2'!$M$7:$V$7=$A1525)*('W2'!$A$12:$A$112=$B1525))*(SUM(V1505,V1523:V1524))</f>
        <v>-3229.2350624003593</v>
      </c>
      <c r="W1525" s="555" cm="1">
        <f t="array" ref="W1525">SUMPRODUCT('W2'!$M$12:$V$112*('W2'!$M$7:$V$7=$A1525)*('W2'!$A$12:$A$112=$B1525))*(SUM(W1505,W1523:W1524))</f>
        <v>-3326.7688496537107</v>
      </c>
      <c r="X1525" s="555" cm="1">
        <f t="array" ref="X1525">SUMPRODUCT('W2'!$M$12:$V$112*('W2'!$M$7:$V$7=$A1525)*('W2'!$A$12:$A$112=$B1525))*(SUM(X1505,X1523:X1524))</f>
        <v>-2426.6799929363965</v>
      </c>
      <c r="Y1525" s="555" cm="1">
        <f t="array" ref="Y1525">SUMPRODUCT('W2'!$M$12:$V$112*('W2'!$M$7:$V$7=$A1525)*('W2'!$A$12:$A$112=$B1525))*(SUM(Y1505,Y1523:Y1524))</f>
        <v>-2534.2109933832162</v>
      </c>
      <c r="Z1525" s="555" cm="1">
        <f t="array" ref="Z1525">SUMPRODUCT('W2'!$M$12:$V$112*('W2'!$M$7:$V$7=$A1525)*('W2'!$A$12:$A$112=$B1525))*(SUM(Z1505,Z1523:Z1524))</f>
        <v>-2647.1185438523776</v>
      </c>
      <c r="AA1525" s="555"/>
      <c r="AB1525" s="555"/>
      <c r="AC1525" s="555"/>
      <c r="AD1525" s="555"/>
      <c r="AE1525" s="555"/>
      <c r="AF1525" s="555"/>
      <c r="AG1525" s="555"/>
      <c r="AH1525" s="555"/>
      <c r="AI1525" s="555"/>
      <c r="AJ1525" s="555"/>
    </row>
    <row r="1526" spans="1:36" x14ac:dyDescent="0.25">
      <c r="A1526" t="s">
        <v>862</v>
      </c>
      <c r="K1526" s="15"/>
      <c r="L1526" s="263"/>
      <c r="M1526" s="15"/>
      <c r="N1526" s="15"/>
      <c r="O1526" s="15"/>
      <c r="P1526" s="15"/>
      <c r="Q1526" s="15"/>
      <c r="R1526" s="15"/>
      <c r="S1526" s="15"/>
      <c r="T1526" s="15"/>
      <c r="U1526" s="15"/>
      <c r="V1526" s="15"/>
      <c r="W1526" s="15"/>
      <c r="X1526" s="15"/>
      <c r="Y1526" s="15"/>
      <c r="Z1526" s="15"/>
      <c r="AA1526" s="15"/>
      <c r="AB1526" s="15"/>
      <c r="AC1526" s="15"/>
      <c r="AD1526" s="15"/>
      <c r="AE1526" s="15"/>
      <c r="AF1526" s="15"/>
      <c r="AG1526" s="15"/>
      <c r="AH1526" s="15"/>
      <c r="AI1526" s="15"/>
      <c r="AJ1526" s="15"/>
    </row>
    <row r="1527" spans="1:36" s="300" customFormat="1" x14ac:dyDescent="0.25">
      <c r="A1527" s="300" t="s">
        <v>862</v>
      </c>
      <c r="H1527" s="301" t="s">
        <v>464</v>
      </c>
      <c r="I1527" s="302" t="str">
        <f>IF($H$9="USD","USD","tr. VND")</f>
        <v>tr. VND</v>
      </c>
      <c r="K1527" s="303">
        <f>K1505+K1515</f>
        <v>0</v>
      </c>
      <c r="L1527" s="303">
        <f t="shared" ref="L1527:AJ1527" si="1253">L1505+L1515</f>
        <v>-142696.00223716011</v>
      </c>
      <c r="M1527" s="303">
        <f t="shared" si="1253"/>
        <v>-178995.22936775751</v>
      </c>
      <c r="N1527" s="303">
        <f t="shared" si="1253"/>
        <v>-238466.83653814293</v>
      </c>
      <c r="O1527" s="303">
        <f t="shared" si="1253"/>
        <v>-243640.99513803353</v>
      </c>
      <c r="P1527" s="303">
        <f t="shared" si="1253"/>
        <v>-248972.12054562898</v>
      </c>
      <c r="Q1527" s="303">
        <f t="shared" si="1253"/>
        <v>-254466.02627886878</v>
      </c>
      <c r="R1527" s="303">
        <f t="shared" si="1253"/>
        <v>-260128.77583514043</v>
      </c>
      <c r="S1527" s="303">
        <f t="shared" si="1253"/>
        <v>-265966.69437632285</v>
      </c>
      <c r="T1527" s="303">
        <f t="shared" si="1253"/>
        <v>-271986.38098180352</v>
      </c>
      <c r="U1527" s="303">
        <f t="shared" si="1253"/>
        <v>-278194.72149754228</v>
      </c>
      <c r="V1527" s="303">
        <f t="shared" si="1253"/>
        <v>-284598.90201065154</v>
      </c>
      <c r="W1527" s="303">
        <f t="shared" si="1253"/>
        <v>-291206.42298043164</v>
      </c>
      <c r="X1527" s="303">
        <f t="shared" si="1253"/>
        <v>-271960.13139166962</v>
      </c>
      <c r="Y1527" s="303">
        <f t="shared" si="1253"/>
        <v>-278998.16696429788</v>
      </c>
      <c r="Z1527" s="303">
        <f t="shared" si="1253"/>
        <v>-286264.08245520247</v>
      </c>
      <c r="AA1527" s="303"/>
      <c r="AB1527" s="303"/>
      <c r="AC1527" s="303"/>
      <c r="AD1527" s="303"/>
      <c r="AE1527" s="303"/>
      <c r="AF1527" s="303"/>
      <c r="AG1527" s="303"/>
      <c r="AH1527" s="303"/>
      <c r="AI1527" s="303"/>
      <c r="AJ1527" s="303"/>
    </row>
    <row r="1528" spans="1:36" x14ac:dyDescent="0.25">
      <c r="A1528" t="s">
        <v>862</v>
      </c>
      <c r="K1528" s="15"/>
      <c r="L1528" s="15"/>
      <c r="M1528" s="15"/>
      <c r="N1528" s="15"/>
      <c r="O1528" s="15"/>
      <c r="P1528" s="15"/>
      <c r="Q1528" s="15"/>
      <c r="R1528" s="15"/>
      <c r="S1528" s="15"/>
      <c r="T1528" s="15"/>
      <c r="U1528" s="15"/>
      <c r="V1528" s="15"/>
      <c r="W1528" s="15"/>
      <c r="X1528" s="15"/>
      <c r="Y1528" s="15"/>
      <c r="Z1528" s="15"/>
      <c r="AA1528" s="15"/>
      <c r="AB1528" s="15"/>
      <c r="AC1528" s="15"/>
      <c r="AD1528" s="15"/>
      <c r="AE1528" s="15"/>
      <c r="AF1528" s="15"/>
      <c r="AG1528" s="15"/>
      <c r="AH1528" s="15"/>
      <c r="AI1528" s="15"/>
      <c r="AJ1528" s="15"/>
    </row>
    <row r="1529" spans="1:36" x14ac:dyDescent="0.25">
      <c r="A1529" t="s">
        <v>862</v>
      </c>
      <c r="B1529" t="s">
        <v>622</v>
      </c>
      <c r="H1529" s="459" t="s">
        <v>166</v>
      </c>
      <c r="I1529" s="493" t="str">
        <f>IF($H$9="USD","USD","tr. VND")</f>
        <v>tr. VND</v>
      </c>
      <c r="K1529" s="461"/>
      <c r="L1529" s="461" cm="1">
        <f t="array" ref="L1529">-SUMPRODUCT('W2'!$M$12:$V$112*('W2'!$M$7:$V$7=$A1529)*('W2'!$A$12:$A$112=$B1529))*L1494*$H$10*POWER(1+Inflation,L$11+1)</f>
        <v>-2752.9666560000001</v>
      </c>
      <c r="M1529" s="461" cm="1">
        <f t="array" ref="M1529">-SUMPRODUCT('W2'!$M$12:$V$112*('W2'!$M$7:$V$7=$A1529)*('W2'!$A$12:$A$112=$B1529))*M1494*$H$10*POWER(1+Inflation,M$11+1)</f>
        <v>-3854.1533183999995</v>
      </c>
      <c r="N1529" s="461" cm="1">
        <f t="array" ref="N1529">-SUMPRODUCT('W2'!$M$12:$V$112*('W2'!$M$7:$V$7=$A1529)*('W2'!$A$12:$A$112=$B1529))*N1494*$H$10*POWER(1+Inflation,N$11+1)</f>
        <v>-5781.2299776</v>
      </c>
      <c r="O1529" s="461" cm="1">
        <f t="array" ref="O1529">-SUMPRODUCT('W2'!$M$12:$V$112*('W2'!$M$7:$V$7=$A1529)*('W2'!$A$12:$A$112=$B1529))*O1494*$H$10*POWER(1+Inflation,O$11+1)</f>
        <v>-6070.2914764800007</v>
      </c>
      <c r="P1529" s="461" cm="1">
        <f t="array" ref="P1529">-SUMPRODUCT('W2'!$M$12:$V$112*('W2'!$M$7:$V$7=$A1529)*('W2'!$A$12:$A$112=$B1529))*P1494*$H$10*POWER(1+Inflation,P$11+1)</f>
        <v>-6373.8060503040006</v>
      </c>
      <c r="Q1529" s="461" cm="1">
        <f t="array" ref="Q1529">-SUMPRODUCT('W2'!$M$12:$V$112*('W2'!$M$7:$V$7=$A1529)*('W2'!$A$12:$A$112=$B1529))*Q1494*$H$10*POWER(1+Inflation,Q$11+1)</f>
        <v>-6692.4963528192002</v>
      </c>
      <c r="R1529" s="461" cm="1">
        <f t="array" ref="R1529">-SUMPRODUCT('W2'!$M$12:$V$112*('W2'!$M$7:$V$7=$A1529)*('W2'!$A$12:$A$112=$B1529))*R1494*$H$10*POWER(1+Inflation,R$11+1)</f>
        <v>-7027.121170460161</v>
      </c>
      <c r="S1529" s="461" cm="1">
        <f t="array" ref="S1529">-SUMPRODUCT('W2'!$M$12:$V$112*('W2'!$M$7:$V$7=$A1529)*('W2'!$A$12:$A$112=$B1529))*S1494*$H$10*POWER(1+Inflation,S$11+1)</f>
        <v>-7378.4772289831681</v>
      </c>
      <c r="T1529" s="461" cm="1">
        <f t="array" ref="T1529">-SUMPRODUCT('W2'!$M$12:$V$112*('W2'!$M$7:$V$7=$A1529)*('W2'!$A$12:$A$112=$B1529))*T1494*$H$10*POWER(1+Inflation,T$11+1)</f>
        <v>-7747.4010904323277</v>
      </c>
      <c r="U1529" s="461" cm="1">
        <f t="array" ref="U1529">-SUMPRODUCT('W2'!$M$12:$V$112*('W2'!$M$7:$V$7=$A1529)*('W2'!$A$12:$A$112=$B1529))*U1494*$H$10*POWER(1+Inflation,U$11+1)</f>
        <v>-8134.7711449539429</v>
      </c>
      <c r="V1529" s="461" cm="1">
        <f t="array" ref="V1529">-SUMPRODUCT('W2'!$M$12:$V$112*('W2'!$M$7:$V$7=$A1529)*('W2'!$A$12:$A$112=$B1529))*V1494*$H$10*POWER(1+Inflation,V$11+1)</f>
        <v>-8541.5097022016416</v>
      </c>
      <c r="W1529" s="461" cm="1">
        <f t="array" ref="W1529">-SUMPRODUCT('W2'!$M$12:$V$112*('W2'!$M$7:$V$7=$A1529)*('W2'!$A$12:$A$112=$B1529))*W1494*$H$10*POWER(1+Inflation,W$11+1)</f>
        <v>-8968.5851873117226</v>
      </c>
      <c r="X1529" s="461" cm="1">
        <f t="array" ref="X1529">-SUMPRODUCT('W2'!$M$12:$V$112*('W2'!$M$7:$V$7=$A1529)*('W2'!$A$12:$A$112=$B1529))*X1494*$H$10*POWER(1+Inflation,X$11+1)</f>
        <v>-9417.014446677309</v>
      </c>
      <c r="Y1529" s="461" cm="1">
        <f t="array" ref="Y1529">-SUMPRODUCT('W2'!$M$12:$V$112*('W2'!$M$7:$V$7=$A1529)*('W2'!$A$12:$A$112=$B1529))*Y1494*$H$10*POWER(1+Inflation,Y$11+1)</f>
        <v>-9887.8651690111747</v>
      </c>
      <c r="Z1529" s="461" cm="1">
        <f t="array" ref="Z1529">-SUMPRODUCT('W2'!$M$12:$V$112*('W2'!$M$7:$V$7=$A1529)*('W2'!$A$12:$A$112=$B1529))*Z1494*$H$10*POWER(1+Inflation,Z$11+1)</f>
        <v>-10382.258427461735</v>
      </c>
      <c r="AA1529" s="461"/>
      <c r="AB1529" s="461"/>
      <c r="AC1529" s="461"/>
      <c r="AD1529" s="461"/>
      <c r="AE1529" s="461"/>
      <c r="AF1529" s="461"/>
      <c r="AG1529" s="461"/>
      <c r="AH1529" s="461"/>
      <c r="AI1529" s="461"/>
      <c r="AJ1529" s="461"/>
    </row>
    <row r="1530" spans="1:36" x14ac:dyDescent="0.25">
      <c r="A1530" t="s">
        <v>862</v>
      </c>
      <c r="B1530" t="s">
        <v>527</v>
      </c>
      <c r="H1530" s="454" t="s">
        <v>469</v>
      </c>
      <c r="I1530" s="496" t="str">
        <f>IF($H$9="USD","USD","tr. VND")</f>
        <v>tr. VND</v>
      </c>
      <c r="K1530" s="457"/>
      <c r="L1530" s="457" cm="1">
        <f t="array" ref="L1530">-SUMPRODUCT('W2'!$M$12:$V$112*('W2'!$M$7:$V$7=$A1530)*('W2'!$A$12:$A$112=$B1530))*L1494*$H$10*POWER(1+Inflation,L$11+1)</f>
        <v>0</v>
      </c>
      <c r="M1530" s="457" cm="1">
        <f t="array" ref="M1530">-SUMPRODUCT('W2'!$M$12:$V$112*('W2'!$M$7:$V$7=$A1530)*('W2'!$A$12:$A$112=$B1530))*M1494*$H$10*POWER(1+Inflation,M$11+1)</f>
        <v>0</v>
      </c>
      <c r="N1530" s="457" cm="1">
        <f t="array" ref="N1530">-SUMPRODUCT('W2'!$M$12:$V$112*('W2'!$M$7:$V$7=$A1530)*('W2'!$A$12:$A$112=$B1530))*N1494*$H$10*POWER(1+Inflation,N$11+1)</f>
        <v>0</v>
      </c>
      <c r="O1530" s="457" cm="1">
        <f t="array" ref="O1530">-SUMPRODUCT('W2'!$M$12:$V$112*('W2'!$M$7:$V$7=$A1530)*('W2'!$A$12:$A$112=$B1530))*O1494*$H$10*POWER(1+Inflation,O$11+1)</f>
        <v>0</v>
      </c>
      <c r="P1530" s="457" cm="1">
        <f t="array" ref="P1530">-SUMPRODUCT('W2'!$M$12:$V$112*('W2'!$M$7:$V$7=$A1530)*('W2'!$A$12:$A$112=$B1530))*P1494*$H$10*POWER(1+Inflation,P$11+1)</f>
        <v>0</v>
      </c>
      <c r="Q1530" s="457" cm="1">
        <f t="array" ref="Q1530">-SUMPRODUCT('W2'!$M$12:$V$112*('W2'!$M$7:$V$7=$A1530)*('W2'!$A$12:$A$112=$B1530))*Q1494*$H$10*POWER(1+Inflation,Q$11+1)</f>
        <v>0</v>
      </c>
      <c r="R1530" s="457" cm="1">
        <f t="array" ref="R1530">-SUMPRODUCT('W2'!$M$12:$V$112*('W2'!$M$7:$V$7=$A1530)*('W2'!$A$12:$A$112=$B1530))*R1494*$H$10*POWER(1+Inflation,R$11+1)</f>
        <v>0</v>
      </c>
      <c r="S1530" s="457" cm="1">
        <f t="array" ref="S1530">-SUMPRODUCT('W2'!$M$12:$V$112*('W2'!$M$7:$V$7=$A1530)*('W2'!$A$12:$A$112=$B1530))*S1494*$H$10*POWER(1+Inflation,S$11+1)</f>
        <v>0</v>
      </c>
      <c r="T1530" s="457" cm="1">
        <f t="array" ref="T1530">-SUMPRODUCT('W2'!$M$12:$V$112*('W2'!$M$7:$V$7=$A1530)*('W2'!$A$12:$A$112=$B1530))*T1494*$H$10*POWER(1+Inflation,T$11+1)</f>
        <v>0</v>
      </c>
      <c r="U1530" s="457" cm="1">
        <f t="array" ref="U1530">-SUMPRODUCT('W2'!$M$12:$V$112*('W2'!$M$7:$V$7=$A1530)*('W2'!$A$12:$A$112=$B1530))*U1494*$H$10*POWER(1+Inflation,U$11+1)</f>
        <v>0</v>
      </c>
      <c r="V1530" s="457" cm="1">
        <f t="array" ref="V1530">-SUMPRODUCT('W2'!$M$12:$V$112*('W2'!$M$7:$V$7=$A1530)*('W2'!$A$12:$A$112=$B1530))*V1494*$H$10*POWER(1+Inflation,V$11+1)</f>
        <v>0</v>
      </c>
      <c r="W1530" s="457" cm="1">
        <f t="array" ref="W1530">-SUMPRODUCT('W2'!$M$12:$V$112*('W2'!$M$7:$V$7=$A1530)*('W2'!$A$12:$A$112=$B1530))*W1494*$H$10*POWER(1+Inflation,W$11+1)</f>
        <v>0</v>
      </c>
      <c r="X1530" s="457" cm="1">
        <f t="array" ref="X1530">-SUMPRODUCT('W2'!$M$12:$V$112*('W2'!$M$7:$V$7=$A1530)*('W2'!$A$12:$A$112=$B1530))*X1494*$H$10*POWER(1+Inflation,X$11+1)</f>
        <v>0</v>
      </c>
      <c r="Y1530" s="457" cm="1">
        <f t="array" ref="Y1530">-SUMPRODUCT('W2'!$M$12:$V$112*('W2'!$M$7:$V$7=$A1530)*('W2'!$A$12:$A$112=$B1530))*Y1494*$H$10*POWER(1+Inflation,Y$11+1)</f>
        <v>0</v>
      </c>
      <c r="Z1530" s="457" cm="1">
        <f t="array" ref="Z1530">-SUMPRODUCT('W2'!$M$12:$V$112*('W2'!$M$7:$V$7=$A1530)*('W2'!$A$12:$A$112=$B1530))*Z1494*$H$10*POWER(1+Inflation,Z$11+1)</f>
        <v>0</v>
      </c>
      <c r="AA1530" s="457"/>
      <c r="AB1530" s="457"/>
      <c r="AC1530" s="457"/>
      <c r="AD1530" s="457"/>
      <c r="AE1530" s="457"/>
      <c r="AF1530" s="457"/>
      <c r="AG1530" s="457"/>
      <c r="AH1530" s="457"/>
      <c r="AI1530" s="457"/>
      <c r="AJ1530" s="457"/>
    </row>
    <row r="1531" spans="1:36" x14ac:dyDescent="0.25">
      <c r="A1531" t="s">
        <v>862</v>
      </c>
      <c r="B1531" t="s">
        <v>522</v>
      </c>
      <c r="H1531" s="454" t="s">
        <v>468</v>
      </c>
      <c r="I1531" s="496" t="str">
        <f>IF($H$9="USD","USD","tr. VND")</f>
        <v>tr. VND</v>
      </c>
      <c r="K1531" s="454"/>
      <c r="L1531" s="457" cm="1">
        <f t="array" ref="L1531">-SUMPRODUCT('W2'!$M$12:$V$112*('W2'!$M$7:$V$7=$A1531)*('W2'!$A$12:$A$112=$B1531))*L1494*$H$10*POWER(1+Inflation,L$11+1)</f>
        <v>0</v>
      </c>
      <c r="M1531" s="457" cm="1">
        <f t="array" ref="M1531">-SUMPRODUCT('W2'!$M$12:$V$112*('W2'!$M$7:$V$7=$A1531)*('W2'!$A$12:$A$112=$B1531))*M1494*$H$10*POWER(1+Inflation,M$11+1)</f>
        <v>0</v>
      </c>
      <c r="N1531" s="457" cm="1">
        <f t="array" ref="N1531">-SUMPRODUCT('W2'!$M$12:$V$112*('W2'!$M$7:$V$7=$A1531)*('W2'!$A$12:$A$112=$B1531))*N1494*$H$10*POWER(1+Inflation,N$11+1)</f>
        <v>0</v>
      </c>
      <c r="O1531" s="457" cm="1">
        <f t="array" ref="O1531">-SUMPRODUCT('W2'!$M$12:$V$112*('W2'!$M$7:$V$7=$A1531)*('W2'!$A$12:$A$112=$B1531))*O1494*$H$10*POWER(1+Inflation,O$11+1)</f>
        <v>0</v>
      </c>
      <c r="P1531" s="457" cm="1">
        <f t="array" ref="P1531">-SUMPRODUCT('W2'!$M$12:$V$112*('W2'!$M$7:$V$7=$A1531)*('W2'!$A$12:$A$112=$B1531))*P1494*$H$10*POWER(1+Inflation,P$11+1)</f>
        <v>0</v>
      </c>
      <c r="Q1531" s="457" cm="1">
        <f t="array" ref="Q1531">-SUMPRODUCT('W2'!$M$12:$V$112*('W2'!$M$7:$V$7=$A1531)*('W2'!$A$12:$A$112=$B1531))*Q1494*$H$10*POWER(1+Inflation,Q$11+1)</f>
        <v>0</v>
      </c>
      <c r="R1531" s="457" cm="1">
        <f t="array" ref="R1531">-SUMPRODUCT('W2'!$M$12:$V$112*('W2'!$M$7:$V$7=$A1531)*('W2'!$A$12:$A$112=$B1531))*R1494*$H$10*POWER(1+Inflation,R$11+1)</f>
        <v>0</v>
      </c>
      <c r="S1531" s="457" cm="1">
        <f t="array" ref="S1531">-SUMPRODUCT('W2'!$M$12:$V$112*('W2'!$M$7:$V$7=$A1531)*('W2'!$A$12:$A$112=$B1531))*S1494*$H$10*POWER(1+Inflation,S$11+1)</f>
        <v>0</v>
      </c>
      <c r="T1531" s="457" cm="1">
        <f t="array" ref="T1531">-SUMPRODUCT('W2'!$M$12:$V$112*('W2'!$M$7:$V$7=$A1531)*('W2'!$A$12:$A$112=$B1531))*T1494*$H$10*POWER(1+Inflation,T$11+1)</f>
        <v>0</v>
      </c>
      <c r="U1531" s="457" cm="1">
        <f t="array" ref="U1531">-SUMPRODUCT('W2'!$M$12:$V$112*('W2'!$M$7:$V$7=$A1531)*('W2'!$A$12:$A$112=$B1531))*U1494*$H$10*POWER(1+Inflation,U$11+1)</f>
        <v>0</v>
      </c>
      <c r="V1531" s="457" cm="1">
        <f t="array" ref="V1531">-SUMPRODUCT('W2'!$M$12:$V$112*('W2'!$M$7:$V$7=$A1531)*('W2'!$A$12:$A$112=$B1531))*V1494*$H$10*POWER(1+Inflation,V$11+1)</f>
        <v>0</v>
      </c>
      <c r="W1531" s="457" cm="1">
        <f t="array" ref="W1531">-SUMPRODUCT('W2'!$M$12:$V$112*('W2'!$M$7:$V$7=$A1531)*('W2'!$A$12:$A$112=$B1531))*W1494*$H$10*POWER(1+Inflation,W$11+1)</f>
        <v>0</v>
      </c>
      <c r="X1531" s="457" cm="1">
        <f t="array" ref="X1531">-SUMPRODUCT('W2'!$M$12:$V$112*('W2'!$M$7:$V$7=$A1531)*('W2'!$A$12:$A$112=$B1531))*X1494*$H$10*POWER(1+Inflation,X$11+1)</f>
        <v>0</v>
      </c>
      <c r="Y1531" s="457" cm="1">
        <f t="array" ref="Y1531">-SUMPRODUCT('W2'!$M$12:$V$112*('W2'!$M$7:$V$7=$A1531)*('W2'!$A$12:$A$112=$B1531))*Y1494*$H$10*POWER(1+Inflation,Y$11+1)</f>
        <v>0</v>
      </c>
      <c r="Z1531" s="457" cm="1">
        <f t="array" ref="Z1531">-SUMPRODUCT('W2'!$M$12:$V$112*('W2'!$M$7:$V$7=$A1531)*('W2'!$A$12:$A$112=$B1531))*Z1494*$H$10*POWER(1+Inflation,Z$11+1)</f>
        <v>0</v>
      </c>
      <c r="AA1531" s="457"/>
      <c r="AB1531" s="457"/>
      <c r="AC1531" s="457"/>
      <c r="AD1531" s="457"/>
      <c r="AE1531" s="457"/>
      <c r="AF1531" s="457"/>
      <c r="AG1531" s="457"/>
      <c r="AH1531" s="457"/>
      <c r="AI1531" s="457"/>
      <c r="AJ1531" s="457"/>
    </row>
    <row r="1532" spans="1:36" x14ac:dyDescent="0.25">
      <c r="A1532" t="s">
        <v>862</v>
      </c>
      <c r="H1532" s="454" t="s">
        <v>470</v>
      </c>
      <c r="I1532" s="496" t="str">
        <f>IF($H$9="USD","USD","tr. VND")</f>
        <v>tr. VND</v>
      </c>
      <c r="K1532" s="454"/>
      <c r="L1532" s="457" cm="1">
        <f t="array" ref="L1532">-SUMPRODUCT('Lãi vay'!$E$5:$AI$54*('Lãi vay'!$A$5:$A$54=$A1532)*('Lãi vay'!$B$5:$B$54="Lãi vay")*('Lãi vay'!$E$3:$AI$3=L$14))*$H$10</f>
        <v>-22086.740200000004</v>
      </c>
      <c r="M1532" s="457" cm="1">
        <f t="array" ref="M1532">-SUMPRODUCT('Lãi vay'!$E$5:$AI$54*('Lãi vay'!$A$5:$A$54=$A1532)*('Lãi vay'!$B$5:$B$54="Lãi vay")*('Lãi vay'!$E$3:$AI$3=M$14))*$H$10</f>
        <v>-21207.806662872372</v>
      </c>
      <c r="N1532" s="457" cm="1">
        <f t="array" ref="N1532">-SUMPRODUCT('Lãi vay'!$E$5:$AI$54*('Lãi vay'!$A$5:$A$54=$A1532)*('Lãi vay'!$B$5:$B$54="Lãi vay")*('Lãi vay'!$E$3:$AI$3=N$14))*$H$10</f>
        <v>-20267.347778145802</v>
      </c>
      <c r="O1532" s="457" cm="1">
        <f t="array" ref="O1532">-SUMPRODUCT('Lãi vay'!$E$5:$AI$54*('Lãi vay'!$A$5:$A$54=$A1532)*('Lãi vay'!$B$5:$B$54="Lãi vay")*('Lãi vay'!$E$3:$AI$3=O$14))*$H$10</f>
        <v>-19261.056771488373</v>
      </c>
      <c r="P1532" s="457" cm="1">
        <f t="array" ref="P1532">-SUMPRODUCT('Lãi vay'!$E$5:$AI$54*('Lãi vay'!$A$5:$A$54=$A1532)*('Lãi vay'!$B$5:$B$54="Lãi vay")*('Lãi vay'!$E$3:$AI$3=P$14))*$H$10</f>
        <v>-18184.325394364925</v>
      </c>
      <c r="Q1532" s="457" cm="1">
        <f t="array" ref="Q1532">-SUMPRODUCT('Lãi vay'!$E$5:$AI$54*('Lãi vay'!$A$5:$A$54=$A1532)*('Lãi vay'!$B$5:$B$54="Lãi vay")*('Lãi vay'!$E$3:$AI$3=Q$14))*$H$10</f>
        <v>-17032.222820842835</v>
      </c>
      <c r="R1532" s="457" cm="1">
        <f t="array" ref="R1532">-SUMPRODUCT('Lãi vay'!$E$5:$AI$54*('Lãi vay'!$A$5:$A$54=$A1532)*('Lãi vay'!$B$5:$B$54="Lãi vay")*('Lãi vay'!$E$3:$AI$3=R$14))*$H$10</f>
        <v>-15799.473067174198</v>
      </c>
      <c r="S1532" s="457" cm="1">
        <f t="array" ref="S1532">-SUMPRODUCT('Lãi vay'!$E$5:$AI$54*('Lãi vay'!$A$5:$A$54=$A1532)*('Lãi vay'!$B$5:$B$54="Lãi vay")*('Lãi vay'!$E$3:$AI$3=S$14))*$H$10</f>
        <v>-14480.430830748757</v>
      </c>
      <c r="T1532" s="457" cm="1">
        <f t="array" ref="T1532">-SUMPRODUCT('Lãi vay'!$E$5:$AI$54*('Lãi vay'!$A$5:$A$54=$A1532)*('Lãi vay'!$B$5:$B$54="Lãi vay")*('Lãi vay'!$E$3:$AI$3=T$14))*$H$10</f>
        <v>-13069.055637773536</v>
      </c>
      <c r="U1532" s="457" cm="1">
        <f t="array" ref="U1532">-SUMPRODUCT('Lãi vay'!$E$5:$AI$54*('Lãi vay'!$A$5:$A$54=$A1532)*('Lãi vay'!$B$5:$B$54="Lãi vay")*('Lãi vay'!$E$3:$AI$3=U$14))*$H$10</f>
        <v>-11558.884181290048</v>
      </c>
      <c r="V1532" s="457" cm="1">
        <f t="array" ref="V1532">-SUMPRODUCT('Lãi vay'!$E$5:$AI$54*('Lãi vay'!$A$5:$A$54=$A1532)*('Lãi vay'!$B$5:$B$54="Lãi vay")*('Lãi vay'!$E$3:$AI$3=V$14))*$H$10</f>
        <v>-9943.0007228527174</v>
      </c>
      <c r="W1532" s="457" cm="1">
        <f t="array" ref="W1532">-SUMPRODUCT('Lãi vay'!$E$5:$AI$54*('Lãi vay'!$A$5:$A$54=$A1532)*('Lãi vay'!$B$5:$B$54="Lãi vay")*('Lãi vay'!$E$3:$AI$3=W$14))*$H$10</f>
        <v>-8214.0054223247735</v>
      </c>
      <c r="X1532" s="457" cm="1">
        <f t="array" ref="X1532">-SUMPRODUCT('Lãi vay'!$E$5:$AI$54*('Lãi vay'!$A$5:$A$54=$A1532)*('Lãi vay'!$B$5:$B$54="Lãi vay")*('Lãi vay'!$E$3:$AI$3=X$14))*$H$10</f>
        <v>-6363.9804507598728</v>
      </c>
      <c r="Y1532" s="457" cm="1">
        <f t="array" ref="Y1532">-SUMPRODUCT('Lãi vay'!$E$5:$AI$54*('Lãi vay'!$A$5:$A$54=$A1532)*('Lãi vay'!$B$5:$B$54="Lãi vay")*('Lãi vay'!$E$3:$AI$3=Y$14))*$H$10</f>
        <v>-4384.4537311854301</v>
      </c>
      <c r="Z1532" s="457" cm="1">
        <f t="array" ref="Z1532">-SUMPRODUCT('Lãi vay'!$E$5:$AI$54*('Lãi vay'!$A$5:$A$54=$A1532)*('Lãi vay'!$B$5:$B$54="Lãi vay")*('Lãi vay'!$E$3:$AI$3=Z$14))*$H$10</f>
        <v>-2266.3601412407766</v>
      </c>
      <c r="AA1532" s="457"/>
      <c r="AB1532" s="457"/>
      <c r="AC1532" s="457"/>
      <c r="AD1532" s="457"/>
      <c r="AE1532" s="457"/>
      <c r="AF1532" s="457"/>
      <c r="AG1532" s="457"/>
      <c r="AH1532" s="457"/>
      <c r="AI1532" s="457"/>
      <c r="AJ1532" s="457"/>
    </row>
    <row r="1533" spans="1:36" x14ac:dyDescent="0.25">
      <c r="A1533" t="s">
        <v>862</v>
      </c>
      <c r="K1533" s="15"/>
      <c r="L1533" s="15"/>
      <c r="M1533" s="15"/>
      <c r="N1533" s="15"/>
      <c r="O1533" s="15"/>
      <c r="P1533" s="15"/>
      <c r="Q1533" s="15"/>
      <c r="R1533" s="15"/>
      <c r="S1533" s="15"/>
      <c r="T1533" s="15"/>
      <c r="U1533" s="15"/>
      <c r="V1533" s="15"/>
      <c r="W1533" s="15"/>
      <c r="X1533" s="15"/>
      <c r="Y1533" s="15"/>
      <c r="Z1533" s="15"/>
      <c r="AA1533" s="15"/>
      <c r="AB1533" s="15"/>
      <c r="AC1533" s="15"/>
      <c r="AD1533" s="15"/>
      <c r="AE1533" s="15"/>
      <c r="AF1533" s="15"/>
      <c r="AG1533" s="15"/>
      <c r="AH1533" s="15"/>
      <c r="AI1533" s="15"/>
      <c r="AJ1533" s="15"/>
    </row>
    <row r="1534" spans="1:36" s="16" customFormat="1" x14ac:dyDescent="0.25">
      <c r="A1534" s="16" t="s">
        <v>862</v>
      </c>
      <c r="H1534" s="270" t="s">
        <v>472</v>
      </c>
      <c r="I1534" s="271" t="str">
        <f>IF($H$9="USD","USD","tr. VND")</f>
        <v>tr. VND</v>
      </c>
      <c r="K1534" s="272">
        <f t="shared" ref="K1534" si="1254">K1527+SUM(K1529:K1532)</f>
        <v>0</v>
      </c>
      <c r="L1534" s="272">
        <f>L1527+SUM(L1529:L1532)</f>
        <v>-167535.70909316011</v>
      </c>
      <c r="M1534" s="272">
        <f t="shared" ref="M1534:AJ1534" si="1255">M1527+SUM(M1529:M1532)</f>
        <v>-204057.18934902988</v>
      </c>
      <c r="N1534" s="272">
        <f t="shared" si="1255"/>
        <v>-264515.41429388872</v>
      </c>
      <c r="O1534" s="272">
        <f t="shared" si="1255"/>
        <v>-268972.34338600188</v>
      </c>
      <c r="P1534" s="272">
        <f t="shared" si="1255"/>
        <v>-273530.25199029793</v>
      </c>
      <c r="Q1534" s="272">
        <f t="shared" si="1255"/>
        <v>-278190.7454525308</v>
      </c>
      <c r="R1534" s="272">
        <f t="shared" si="1255"/>
        <v>-282955.37007277482</v>
      </c>
      <c r="S1534" s="272">
        <f t="shared" si="1255"/>
        <v>-287825.60243605479</v>
      </c>
      <c r="T1534" s="272">
        <f t="shared" si="1255"/>
        <v>-292802.83771000936</v>
      </c>
      <c r="U1534" s="272">
        <f t="shared" si="1255"/>
        <v>-297888.3768237863</v>
      </c>
      <c r="V1534" s="272">
        <f t="shared" si="1255"/>
        <v>-303083.41243570589</v>
      </c>
      <c r="W1534" s="272">
        <f t="shared" si="1255"/>
        <v>-308389.01359006815</v>
      </c>
      <c r="X1534" s="272">
        <f t="shared" si="1255"/>
        <v>-287741.12628910679</v>
      </c>
      <c r="Y1534" s="272">
        <f t="shared" si="1255"/>
        <v>-293270.48586449446</v>
      </c>
      <c r="Z1534" s="272">
        <f t="shared" si="1255"/>
        <v>-298912.70102390496</v>
      </c>
      <c r="AA1534" s="272"/>
      <c r="AB1534" s="272"/>
      <c r="AC1534" s="272"/>
      <c r="AD1534" s="272"/>
      <c r="AE1534" s="272"/>
      <c r="AF1534" s="272"/>
      <c r="AG1534" s="272"/>
      <c r="AH1534" s="272"/>
      <c r="AI1534" s="272"/>
      <c r="AJ1534" s="272"/>
    </row>
    <row r="1535" spans="1:36" x14ac:dyDescent="0.25">
      <c r="A1535" t="s">
        <v>862</v>
      </c>
    </row>
    <row r="1536" spans="1:36" s="24" customFormat="1" ht="17.25" x14ac:dyDescent="0.3">
      <c r="A1536" s="24" t="s">
        <v>862</v>
      </c>
      <c r="H1536" s="643" t="s">
        <v>473</v>
      </c>
      <c r="I1536" s="643"/>
      <c r="K1536" s="643"/>
      <c r="L1536" s="643"/>
      <c r="M1536" s="643"/>
      <c r="N1536" s="643"/>
      <c r="O1536" s="643"/>
      <c r="P1536" s="643"/>
      <c r="Q1536" s="643"/>
      <c r="R1536" s="643"/>
      <c r="S1536" s="643"/>
      <c r="T1536" s="643"/>
      <c r="U1536" s="643"/>
      <c r="V1536" s="643"/>
      <c r="W1536" s="643"/>
      <c r="X1536" s="643"/>
      <c r="Y1536" s="643"/>
      <c r="Z1536" s="643"/>
      <c r="AA1536" s="643"/>
      <c r="AB1536" s="643"/>
      <c r="AC1536" s="643"/>
      <c r="AD1536" s="643"/>
      <c r="AE1536" s="643"/>
      <c r="AF1536" s="643"/>
      <c r="AG1536" s="643"/>
      <c r="AH1536" s="643"/>
      <c r="AI1536" s="643"/>
      <c r="AJ1536" s="643"/>
    </row>
    <row r="1537" spans="1:39" s="1" customFormat="1" x14ac:dyDescent="0.25">
      <c r="A1537" s="1" t="s">
        <v>862</v>
      </c>
      <c r="H1537" s="273" t="s">
        <v>434</v>
      </c>
      <c r="I1537" s="274" t="str">
        <f>IF($H$9="USD","USD/tấn","tr. VND/tấn")</f>
        <v>tr. VND/tấn</v>
      </c>
      <c r="K1537" s="278">
        <f t="shared" ref="K1537" si="1256">SUM(K1538:K1539,K1542:K1545,)</f>
        <v>0</v>
      </c>
      <c r="L1537" s="278">
        <f>SUM(L1538:L1539,L1542:L1545,)</f>
        <v>16.128035493627401</v>
      </c>
      <c r="M1537" s="278">
        <f t="shared" ref="M1537:AJ1537" si="1257">SUM(M1538:M1539,M1542:M1545,)</f>
        <v>11.520025352591</v>
      </c>
      <c r="N1537" s="278">
        <f t="shared" si="1257"/>
        <v>8.2092021666088186</v>
      </c>
      <c r="O1537" s="278">
        <f t="shared" si="1257"/>
        <v>8.3616458073936943</v>
      </c>
      <c r="P1537" s="278">
        <f t="shared" si="1257"/>
        <v>8.5217116302178137</v>
      </c>
      <c r="Q1537" s="278">
        <f t="shared" si="1257"/>
        <v>8.6897807441831354</v>
      </c>
      <c r="R1537" s="278">
        <f t="shared" si="1257"/>
        <v>8.866253313846725</v>
      </c>
      <c r="S1537" s="278">
        <f t="shared" si="1257"/>
        <v>9.0515495119934961</v>
      </c>
      <c r="T1537" s="278">
        <f t="shared" si="1257"/>
        <v>9.2461105200476048</v>
      </c>
      <c r="U1537" s="278">
        <f t="shared" si="1257"/>
        <v>9.450399578504415</v>
      </c>
      <c r="V1537" s="278">
        <f t="shared" si="1257"/>
        <v>9.6649030898840689</v>
      </c>
      <c r="W1537" s="278">
        <f t="shared" si="1257"/>
        <v>9.8901317768327068</v>
      </c>
      <c r="X1537" s="278">
        <f t="shared" si="1257"/>
        <v>6.0804844495677273</v>
      </c>
      <c r="Y1537" s="278">
        <f t="shared" si="1257"/>
        <v>6.3287990769285969</v>
      </c>
      <c r="Z1537" s="278">
        <f t="shared" si="1257"/>
        <v>6.5895294356575143</v>
      </c>
      <c r="AA1537" s="278"/>
      <c r="AB1537" s="278"/>
      <c r="AC1537" s="278"/>
      <c r="AD1537" s="278"/>
      <c r="AE1537" s="278"/>
      <c r="AF1537" s="278"/>
      <c r="AG1537" s="278"/>
      <c r="AH1537" s="278"/>
      <c r="AI1537" s="278"/>
      <c r="AJ1537" s="278"/>
      <c r="AL1537" s="1006"/>
      <c r="AM1537" s="17"/>
    </row>
    <row r="1538" spans="1:39" x14ac:dyDescent="0.25">
      <c r="A1538" t="s">
        <v>862</v>
      </c>
      <c r="C1538" t="s">
        <v>367</v>
      </c>
      <c r="H1538" s="556" t="s">
        <v>190</v>
      </c>
      <c r="I1538" s="557" t="str">
        <f t="shared" ref="I1538:I1571" si="1258">IF($H$9="USD","USD/tấn","tr. VND/tấn")</f>
        <v>tr. VND/tấn</v>
      </c>
      <c r="K1538" s="562"/>
      <c r="L1538" s="563">
        <f t="shared" ref="L1538:AJ1538" si="1259">-IF($H$9="VND",L1506/L1494/$H$10/10^3,L1506/L1494/$H$10*10^3)</f>
        <v>10.029578903950334</v>
      </c>
      <c r="M1538" s="563">
        <f t="shared" si="1259"/>
        <v>7.1639849313930961</v>
      </c>
      <c r="N1538" s="563">
        <f t="shared" si="1259"/>
        <v>5.014789451975167</v>
      </c>
      <c r="O1538" s="563">
        <f t="shared" si="1259"/>
        <v>5.014789451975167</v>
      </c>
      <c r="P1538" s="563">
        <f t="shared" si="1259"/>
        <v>5.014789451975167</v>
      </c>
      <c r="Q1538" s="563">
        <f t="shared" si="1259"/>
        <v>5.014789451975167</v>
      </c>
      <c r="R1538" s="563">
        <f t="shared" si="1259"/>
        <v>5.014789451975167</v>
      </c>
      <c r="S1538" s="563">
        <f t="shared" si="1259"/>
        <v>5.014789451975167</v>
      </c>
      <c r="T1538" s="563">
        <f t="shared" si="1259"/>
        <v>5.014789451975167</v>
      </c>
      <c r="U1538" s="563">
        <f t="shared" si="1259"/>
        <v>5.014789451975167</v>
      </c>
      <c r="V1538" s="563">
        <f t="shared" si="1259"/>
        <v>5.014789451975167</v>
      </c>
      <c r="W1538" s="563">
        <f t="shared" si="1259"/>
        <v>5.014789451975167</v>
      </c>
      <c r="X1538" s="563">
        <f t="shared" si="1259"/>
        <v>0.96865200341411861</v>
      </c>
      <c r="Y1538" s="563">
        <f t="shared" si="1259"/>
        <v>0.96865200341411861</v>
      </c>
      <c r="Z1538" s="563">
        <f t="shared" si="1259"/>
        <v>0.96865200341411861</v>
      </c>
      <c r="AA1538" s="563"/>
      <c r="AB1538" s="563"/>
      <c r="AC1538" s="563"/>
      <c r="AD1538" s="563"/>
      <c r="AE1538" s="563"/>
      <c r="AF1538" s="563"/>
      <c r="AG1538" s="563"/>
      <c r="AH1538" s="563"/>
      <c r="AI1538" s="563"/>
      <c r="AJ1538" s="563"/>
      <c r="AL1538" s="324"/>
      <c r="AM1538" s="263"/>
    </row>
    <row r="1539" spans="1:39" x14ac:dyDescent="0.25">
      <c r="A1539" t="s">
        <v>862</v>
      </c>
      <c r="H1539" s="558" t="s">
        <v>429</v>
      </c>
      <c r="I1539" s="559" t="str">
        <f t="shared" si="1258"/>
        <v>tr. VND/tấn</v>
      </c>
      <c r="K1539" s="564">
        <f>SUM(K1540:K1541)</f>
        <v>0</v>
      </c>
      <c r="L1539" s="564">
        <f t="shared" ref="L1539:AJ1539" si="1260">SUM(L1540:L1541)</f>
        <v>1.9410042574812794</v>
      </c>
      <c r="M1539" s="564">
        <f t="shared" si="1260"/>
        <v>1.3864316124866283</v>
      </c>
      <c r="N1539" s="564">
        <f t="shared" si="1260"/>
        <v>1.0190272351776717</v>
      </c>
      <c r="O1539" s="564">
        <f t="shared" si="1260"/>
        <v>1.0699785969365552</v>
      </c>
      <c r="P1539" s="564">
        <f t="shared" si="1260"/>
        <v>1.1234775267833832</v>
      </c>
      <c r="Q1539" s="564">
        <f t="shared" si="1260"/>
        <v>1.179651403122552</v>
      </c>
      <c r="R1539" s="564">
        <f t="shared" si="1260"/>
        <v>1.2386339732786797</v>
      </c>
      <c r="S1539" s="564">
        <f t="shared" si="1260"/>
        <v>1.3005656719426137</v>
      </c>
      <c r="T1539" s="564">
        <f t="shared" si="1260"/>
        <v>1.3655939555397447</v>
      </c>
      <c r="U1539" s="564">
        <f t="shared" si="1260"/>
        <v>1.4338736533167316</v>
      </c>
      <c r="V1539" s="564">
        <f t="shared" si="1260"/>
        <v>1.5055673359825681</v>
      </c>
      <c r="W1539" s="564">
        <f t="shared" si="1260"/>
        <v>1.5808457027816967</v>
      </c>
      <c r="X1539" s="564">
        <f t="shared" si="1260"/>
        <v>1.6598879879207817</v>
      </c>
      <c r="Y1539" s="564">
        <f t="shared" si="1260"/>
        <v>1.7428823873168202</v>
      </c>
      <c r="Z1539" s="564">
        <f t="shared" si="1260"/>
        <v>1.8300265066826618</v>
      </c>
      <c r="AA1539" s="564"/>
      <c r="AB1539" s="564"/>
      <c r="AC1539" s="564"/>
      <c r="AD1539" s="564"/>
      <c r="AE1539" s="564"/>
      <c r="AF1539" s="564"/>
      <c r="AG1539" s="564"/>
      <c r="AH1539" s="564"/>
      <c r="AI1539" s="564"/>
      <c r="AJ1539" s="564"/>
      <c r="AL1539" s="324"/>
      <c r="AM1539" s="263"/>
    </row>
    <row r="1540" spans="1:39" s="299" customFormat="1" x14ac:dyDescent="0.25">
      <c r="A1540" s="299" t="s">
        <v>862</v>
      </c>
      <c r="C1540" s="299" t="s">
        <v>367</v>
      </c>
      <c r="H1540" s="560" t="s">
        <v>430</v>
      </c>
      <c r="I1540" s="561" t="str">
        <f t="shared" si="1258"/>
        <v>tr. VND/tấn</v>
      </c>
      <c r="K1540" s="565"/>
      <c r="L1540" s="565">
        <f t="shared" ref="L1540:AJ1540" si="1261">-IF($H$9="VND",L1508/L1494/$H$10/10^3,L1508/L1494/$H$10*10^3)</f>
        <v>0.31733039631846527</v>
      </c>
      <c r="M1540" s="565">
        <f t="shared" si="1261"/>
        <v>0.22666456879890379</v>
      </c>
      <c r="N1540" s="565">
        <f t="shared" si="1261"/>
        <v>0.16659845806719425</v>
      </c>
      <c r="O1540" s="565">
        <f t="shared" si="1261"/>
        <v>0.17492838097055399</v>
      </c>
      <c r="P1540" s="565">
        <f t="shared" si="1261"/>
        <v>0.18367480001908168</v>
      </c>
      <c r="Q1540" s="565">
        <f t="shared" si="1261"/>
        <v>0.19285854002003575</v>
      </c>
      <c r="R1540" s="565">
        <f t="shared" si="1261"/>
        <v>0.20250146702103758</v>
      </c>
      <c r="S1540" s="565">
        <f t="shared" si="1261"/>
        <v>0.21262654037208945</v>
      </c>
      <c r="T1540" s="565">
        <f t="shared" si="1261"/>
        <v>0.22325786739069392</v>
      </c>
      <c r="U1540" s="565">
        <f t="shared" si="1261"/>
        <v>0.23442076076022861</v>
      </c>
      <c r="V1540" s="565">
        <f t="shared" si="1261"/>
        <v>0.24614179879824005</v>
      </c>
      <c r="W1540" s="565">
        <f t="shared" si="1261"/>
        <v>0.25844888873815203</v>
      </c>
      <c r="X1540" s="565">
        <f t="shared" si="1261"/>
        <v>0.27137133317505963</v>
      </c>
      <c r="Y1540" s="565">
        <f t="shared" si="1261"/>
        <v>0.28493989983381263</v>
      </c>
      <c r="Z1540" s="565">
        <f t="shared" si="1261"/>
        <v>0.29918689482550326</v>
      </c>
      <c r="AA1540" s="565"/>
      <c r="AB1540" s="565"/>
      <c r="AC1540" s="565"/>
      <c r="AD1540" s="565"/>
      <c r="AE1540" s="565"/>
      <c r="AF1540" s="565"/>
      <c r="AG1540" s="565"/>
      <c r="AH1540" s="565"/>
      <c r="AI1540" s="565"/>
      <c r="AJ1540" s="565"/>
      <c r="AL1540" s="1007"/>
      <c r="AM1540" s="975"/>
    </row>
    <row r="1541" spans="1:39" s="299" customFormat="1" x14ac:dyDescent="0.25">
      <c r="A1541" s="299" t="s">
        <v>862</v>
      </c>
      <c r="C1541" s="299" t="s">
        <v>367</v>
      </c>
      <c r="H1541" s="560" t="s">
        <v>431</v>
      </c>
      <c r="I1541" s="561" t="str">
        <f t="shared" si="1258"/>
        <v>tr. VND/tấn</v>
      </c>
      <c r="K1541" s="565"/>
      <c r="L1541" s="565">
        <f t="shared" ref="L1541:AJ1541" si="1262">-IF($H$9="VND",L1509/L1494/$H$10/10^3,L1509/L1494/$H$10*10^3)</f>
        <v>1.6236738611628141</v>
      </c>
      <c r="M1541" s="565">
        <f t="shared" si="1262"/>
        <v>1.1597670436877245</v>
      </c>
      <c r="N1541" s="565">
        <f t="shared" si="1262"/>
        <v>0.85242877711047738</v>
      </c>
      <c r="O1541" s="565">
        <f t="shared" si="1262"/>
        <v>0.89505021596600121</v>
      </c>
      <c r="P1541" s="565">
        <f t="shared" si="1262"/>
        <v>0.93980272676430154</v>
      </c>
      <c r="Q1541" s="565">
        <f t="shared" si="1262"/>
        <v>0.98679286310251635</v>
      </c>
      <c r="R1541" s="565">
        <f t="shared" si="1262"/>
        <v>1.0361325062576421</v>
      </c>
      <c r="S1541" s="565">
        <f t="shared" si="1262"/>
        <v>1.0879391315705242</v>
      </c>
      <c r="T1541" s="565">
        <f t="shared" si="1262"/>
        <v>1.1423360881490507</v>
      </c>
      <c r="U1541" s="565">
        <f t="shared" si="1262"/>
        <v>1.1994528925565029</v>
      </c>
      <c r="V1541" s="565">
        <f t="shared" si="1262"/>
        <v>1.2594255371843281</v>
      </c>
      <c r="W1541" s="565">
        <f t="shared" si="1262"/>
        <v>1.3223968140435447</v>
      </c>
      <c r="X1541" s="565">
        <f t="shared" si="1262"/>
        <v>1.3885166547457222</v>
      </c>
      <c r="Y1541" s="565">
        <f t="shared" si="1262"/>
        <v>1.4579424874830076</v>
      </c>
      <c r="Z1541" s="565">
        <f t="shared" si="1262"/>
        <v>1.5308396118571586</v>
      </c>
      <c r="AA1541" s="565"/>
      <c r="AB1541" s="565"/>
      <c r="AC1541" s="565"/>
      <c r="AD1541" s="565"/>
      <c r="AE1541" s="565"/>
      <c r="AF1541" s="565"/>
      <c r="AG1541" s="565"/>
      <c r="AH1541" s="565"/>
      <c r="AI1541" s="565"/>
      <c r="AJ1541" s="565"/>
      <c r="AL1541" s="1007"/>
      <c r="AM1541" s="975"/>
    </row>
    <row r="1542" spans="1:39" x14ac:dyDescent="0.25">
      <c r="A1542" t="s">
        <v>862</v>
      </c>
      <c r="C1542" t="s">
        <v>367</v>
      </c>
      <c r="H1542" s="558" t="s">
        <v>656</v>
      </c>
      <c r="I1542" s="559" t="str">
        <f t="shared" si="1258"/>
        <v>tr. VND/tấn</v>
      </c>
      <c r="K1542" s="564"/>
      <c r="L1542" s="564">
        <f t="shared" ref="L1542:AJ1542" si="1263">-IF($H$9="VND",L1510/L1494/$H$10/10^3,L1510/L1494/$H$10*10^3)</f>
        <v>0.77492160273129496</v>
      </c>
      <c r="M1542" s="564">
        <f t="shared" si="1263"/>
        <v>0.55351543052235352</v>
      </c>
      <c r="N1542" s="564">
        <f t="shared" si="1263"/>
        <v>0.40683384143392981</v>
      </c>
      <c r="O1542" s="564">
        <f t="shared" si="1263"/>
        <v>0.42717553350562631</v>
      </c>
      <c r="P1542" s="564">
        <f t="shared" si="1263"/>
        <v>0.44853431018090767</v>
      </c>
      <c r="Q1542" s="564">
        <f t="shared" si="1263"/>
        <v>0.47096102568995302</v>
      </c>
      <c r="R1542" s="564">
        <f t="shared" si="1263"/>
        <v>0.49450907697445079</v>
      </c>
      <c r="S1542" s="564">
        <f t="shared" si="1263"/>
        <v>0.51923453082317328</v>
      </c>
      <c r="T1542" s="564">
        <f t="shared" si="1263"/>
        <v>0.54519625736433197</v>
      </c>
      <c r="U1542" s="564">
        <f t="shared" si="1263"/>
        <v>0.57245607023254841</v>
      </c>
      <c r="V1542" s="564">
        <f t="shared" si="1263"/>
        <v>0.60107887374417601</v>
      </c>
      <c r="W1542" s="564">
        <f t="shared" si="1263"/>
        <v>0.63113281743138472</v>
      </c>
      <c r="X1542" s="564">
        <f t="shared" si="1263"/>
        <v>0.662689458302954</v>
      </c>
      <c r="Y1542" s="564">
        <f t="shared" si="1263"/>
        <v>0.69582393121810171</v>
      </c>
      <c r="Z1542" s="564">
        <f t="shared" si="1263"/>
        <v>0.73061512777900695</v>
      </c>
      <c r="AA1542" s="564"/>
      <c r="AB1542" s="564"/>
      <c r="AC1542" s="564"/>
      <c r="AD1542" s="564"/>
      <c r="AE1542" s="564"/>
      <c r="AF1542" s="564"/>
      <c r="AG1542" s="564"/>
      <c r="AH1542" s="564"/>
      <c r="AI1542" s="564"/>
      <c r="AJ1542" s="564"/>
      <c r="AL1542" s="324"/>
      <c r="AM1542" s="263"/>
    </row>
    <row r="1543" spans="1:39" x14ac:dyDescent="0.25">
      <c r="A1543" t="s">
        <v>862</v>
      </c>
      <c r="C1543" t="s">
        <v>367</v>
      </c>
      <c r="H1543" s="558" t="s">
        <v>432</v>
      </c>
      <c r="I1543" s="559" t="str">
        <f t="shared" si="1258"/>
        <v>tr. VND/tấn</v>
      </c>
      <c r="K1543" s="564"/>
      <c r="L1543" s="564">
        <f t="shared" ref="L1543:AJ1543" si="1264">-IF($H$9="VND",L1511/L1494/$H$10/10^3,L1511/L1494/$H$10*10^3)</f>
        <v>2.9132189629639549</v>
      </c>
      <c r="M1543" s="564">
        <f t="shared" si="1264"/>
        <v>2.0808706878313963</v>
      </c>
      <c r="N1543" s="564">
        <f t="shared" si="1264"/>
        <v>1.5294399555560763</v>
      </c>
      <c r="O1543" s="564">
        <f t="shared" si="1264"/>
        <v>1.6059119533338804</v>
      </c>
      <c r="P1543" s="564">
        <f t="shared" si="1264"/>
        <v>1.6862075510005743</v>
      </c>
      <c r="Q1543" s="564">
        <f t="shared" si="1264"/>
        <v>1.7705179285506027</v>
      </c>
      <c r="R1543" s="564">
        <f t="shared" si="1264"/>
        <v>1.8590438249781329</v>
      </c>
      <c r="S1543" s="564">
        <f t="shared" si="1264"/>
        <v>1.9519960162270396</v>
      </c>
      <c r="T1543" s="564">
        <f t="shared" si="1264"/>
        <v>2.0495958170383921</v>
      </c>
      <c r="U1543" s="564">
        <f t="shared" si="1264"/>
        <v>2.1520756078903109</v>
      </c>
      <c r="V1543" s="564">
        <f t="shared" si="1264"/>
        <v>2.2596793882848267</v>
      </c>
      <c r="W1543" s="564">
        <f t="shared" si="1264"/>
        <v>2.3726633576990679</v>
      </c>
      <c r="X1543" s="564">
        <f t="shared" si="1264"/>
        <v>2.4912965255840218</v>
      </c>
      <c r="Y1543" s="564">
        <f t="shared" si="1264"/>
        <v>2.6158613518632223</v>
      </c>
      <c r="Z1543" s="564">
        <f t="shared" si="1264"/>
        <v>2.7466544194563838</v>
      </c>
      <c r="AA1543" s="564"/>
      <c r="AB1543" s="564"/>
      <c r="AC1543" s="564"/>
      <c r="AD1543" s="564"/>
      <c r="AE1543" s="564"/>
      <c r="AF1543" s="564"/>
      <c r="AG1543" s="564"/>
      <c r="AH1543" s="564"/>
      <c r="AI1543" s="564"/>
      <c r="AJ1543" s="564"/>
      <c r="AL1543" s="324"/>
      <c r="AM1543" s="263"/>
    </row>
    <row r="1544" spans="1:39" x14ac:dyDescent="0.25">
      <c r="A1544" t="s">
        <v>862</v>
      </c>
      <c r="C1544" t="s">
        <v>367</v>
      </c>
      <c r="H1544" s="558" t="s">
        <v>433</v>
      </c>
      <c r="I1544" s="559" t="str">
        <f t="shared" si="1258"/>
        <v>tr. VND/tấn</v>
      </c>
      <c r="K1544" s="564"/>
      <c r="L1544" s="564">
        <f t="shared" ref="L1544:AJ1544" si="1265">-IF($H$9="VND",L1512/L1494/$H$10/10^3,L1512/L1494/$H$10*10^3)</f>
        <v>0.17823196862819785</v>
      </c>
      <c r="M1544" s="564">
        <f t="shared" si="1265"/>
        <v>0.12730854902014133</v>
      </c>
      <c r="N1544" s="564">
        <f t="shared" si="1265"/>
        <v>9.3571783529803873E-2</v>
      </c>
      <c r="O1544" s="564">
        <f t="shared" si="1265"/>
        <v>9.8250372706294054E-2</v>
      </c>
      <c r="P1544" s="564">
        <f t="shared" si="1265"/>
        <v>0.10316289134160876</v>
      </c>
      <c r="Q1544" s="564">
        <f t="shared" si="1265"/>
        <v>0.1083210359086892</v>
      </c>
      <c r="R1544" s="564">
        <f t="shared" si="1265"/>
        <v>0.11373708770412366</v>
      </c>
      <c r="S1544" s="564">
        <f t="shared" si="1265"/>
        <v>0.11942394208932984</v>
      </c>
      <c r="T1544" s="564">
        <f t="shared" si="1265"/>
        <v>0.12539513919379636</v>
      </c>
      <c r="U1544" s="564">
        <f t="shared" si="1265"/>
        <v>0.13166489615348614</v>
      </c>
      <c r="V1544" s="564">
        <f t="shared" si="1265"/>
        <v>0.13824814096116045</v>
      </c>
      <c r="W1544" s="564">
        <f t="shared" si="1265"/>
        <v>0.14516054800921852</v>
      </c>
      <c r="X1544" s="564">
        <f t="shared" si="1265"/>
        <v>0.15241857540967946</v>
      </c>
      <c r="Y1544" s="564">
        <f t="shared" si="1265"/>
        <v>0.16003950418016336</v>
      </c>
      <c r="Z1544" s="564">
        <f t="shared" si="1265"/>
        <v>0.16804147938917158</v>
      </c>
      <c r="AA1544" s="564"/>
      <c r="AB1544" s="564"/>
      <c r="AC1544" s="564"/>
      <c r="AD1544" s="564"/>
      <c r="AE1544" s="564"/>
      <c r="AF1544" s="564"/>
      <c r="AG1544" s="564"/>
      <c r="AH1544" s="564"/>
      <c r="AI1544" s="564"/>
      <c r="AJ1544" s="564"/>
      <c r="AL1544" s="324"/>
      <c r="AM1544" s="263"/>
    </row>
    <row r="1545" spans="1:39" x14ac:dyDescent="0.25">
      <c r="A1545" t="s">
        <v>862</v>
      </c>
      <c r="C1545" t="s">
        <v>367</v>
      </c>
      <c r="H1545" s="558" t="s">
        <v>520</v>
      </c>
      <c r="I1545" s="559" t="str">
        <f t="shared" si="1258"/>
        <v>tr. VND/tấn</v>
      </c>
      <c r="K1545" s="564"/>
      <c r="L1545" s="564">
        <f t="shared" ref="L1545:AJ1545" si="1266">-IF($H$9="VND",L1513/L1494/$H$10/10^3,L1513/L1494/$H$10*10^3)</f>
        <v>0.29107979787234217</v>
      </c>
      <c r="M1545" s="564">
        <f t="shared" si="1266"/>
        <v>0.20791414133738728</v>
      </c>
      <c r="N1545" s="564">
        <f t="shared" si="1266"/>
        <v>0.14553989893617109</v>
      </c>
      <c r="O1545" s="564">
        <f t="shared" si="1266"/>
        <v>0.14553989893617109</v>
      </c>
      <c r="P1545" s="564">
        <f t="shared" si="1266"/>
        <v>0.14553989893617109</v>
      </c>
      <c r="Q1545" s="564">
        <f t="shared" si="1266"/>
        <v>0.14553989893617109</v>
      </c>
      <c r="R1545" s="564">
        <f t="shared" si="1266"/>
        <v>0.14553989893617109</v>
      </c>
      <c r="S1545" s="564">
        <f t="shared" si="1266"/>
        <v>0.14553989893617109</v>
      </c>
      <c r="T1545" s="564">
        <f t="shared" si="1266"/>
        <v>0.14553989893617109</v>
      </c>
      <c r="U1545" s="564">
        <f t="shared" si="1266"/>
        <v>0.14553989893617109</v>
      </c>
      <c r="V1545" s="564">
        <f t="shared" si="1266"/>
        <v>0.14553989893617109</v>
      </c>
      <c r="W1545" s="564">
        <f t="shared" si="1266"/>
        <v>0.14553989893617109</v>
      </c>
      <c r="X1545" s="564">
        <f t="shared" si="1266"/>
        <v>0.14553989893617109</v>
      </c>
      <c r="Y1545" s="564">
        <f t="shared" si="1266"/>
        <v>0.14553989893617109</v>
      </c>
      <c r="Z1545" s="564">
        <f t="shared" si="1266"/>
        <v>0.14553989893617109</v>
      </c>
      <c r="AA1545" s="564"/>
      <c r="AB1545" s="564"/>
      <c r="AC1545" s="564"/>
      <c r="AD1545" s="564"/>
      <c r="AE1545" s="564"/>
      <c r="AF1545" s="564"/>
      <c r="AG1545" s="564"/>
      <c r="AH1545" s="564"/>
      <c r="AI1545" s="564"/>
      <c r="AJ1545" s="564"/>
      <c r="AL1545" s="324"/>
      <c r="AM1545" s="263"/>
    </row>
    <row r="1546" spans="1:39" x14ac:dyDescent="0.25">
      <c r="A1546" t="s">
        <v>862</v>
      </c>
      <c r="H1546" s="247"/>
      <c r="I1546" s="275"/>
      <c r="K1546" s="279"/>
      <c r="L1546" s="279"/>
      <c r="M1546" s="279"/>
      <c r="N1546" s="279"/>
      <c r="O1546" s="279"/>
      <c r="P1546" s="279"/>
      <c r="Q1546" s="279"/>
      <c r="R1546" s="279"/>
      <c r="S1546" s="279"/>
      <c r="T1546" s="279"/>
      <c r="U1546" s="279"/>
      <c r="V1546" s="279"/>
      <c r="W1546" s="279"/>
      <c r="X1546" s="279"/>
      <c r="Y1546" s="279"/>
      <c r="Z1546" s="279"/>
      <c r="AA1546" s="279"/>
      <c r="AB1546" s="279"/>
      <c r="AC1546" s="279"/>
      <c r="AD1546" s="279"/>
      <c r="AE1546" s="279"/>
      <c r="AF1546" s="279"/>
      <c r="AG1546" s="279"/>
      <c r="AH1546" s="279"/>
      <c r="AI1546" s="279"/>
      <c r="AJ1546" s="279"/>
      <c r="AL1546" s="324"/>
      <c r="AM1546" s="15"/>
    </row>
    <row r="1547" spans="1:39" s="1" customFormat="1" x14ac:dyDescent="0.25">
      <c r="A1547" s="1" t="s">
        <v>862</v>
      </c>
      <c r="H1547" s="273" t="s">
        <v>435</v>
      </c>
      <c r="I1547" s="274" t="str">
        <f t="shared" si="1258"/>
        <v>tr. VND/tấn</v>
      </c>
      <c r="K1547" s="280">
        <f>K1548+K1551+K1554</f>
        <v>0</v>
      </c>
      <c r="L1547" s="280">
        <f t="shared" ref="L1547:AJ1547" si="1267">L1548+L1551+L1554</f>
        <v>29.946220655109496</v>
      </c>
      <c r="M1547" s="280">
        <f t="shared" si="1267"/>
        <v>29.761900249468042</v>
      </c>
      <c r="N1547" s="280">
        <f t="shared" si="1267"/>
        <v>30.289360993474389</v>
      </c>
      <c r="O1547" s="280">
        <f t="shared" si="1267"/>
        <v>30.972243868317261</v>
      </c>
      <c r="P1547" s="280">
        <f t="shared" si="1267"/>
        <v>31.672845596579684</v>
      </c>
      <c r="Q1547" s="280">
        <f t="shared" si="1267"/>
        <v>32.391723615126203</v>
      </c>
      <c r="R1547" s="280">
        <f t="shared" si="1267"/>
        <v>33.129456662548428</v>
      </c>
      <c r="S1547" s="280">
        <f t="shared" si="1267"/>
        <v>33.886645712849131</v>
      </c>
      <c r="T1547" s="280">
        <f t="shared" si="1267"/>
        <v>34.663914953182356</v>
      </c>
      <c r="U1547" s="280">
        <f t="shared" si="1267"/>
        <v>35.461912807800097</v>
      </c>
      <c r="V1547" s="280">
        <f t="shared" si="1267"/>
        <v>36.281313010461943</v>
      </c>
      <c r="W1547" s="280">
        <f t="shared" si="1267"/>
        <v>37.122815727676354</v>
      </c>
      <c r="X1547" s="280">
        <f t="shared" si="1267"/>
        <v>37.825303237316888</v>
      </c>
      <c r="Y1547" s="280">
        <f t="shared" si="1267"/>
        <v>38.713223152877063</v>
      </c>
      <c r="Z1547" s="280">
        <f t="shared" si="1267"/>
        <v>39.625516726965209</v>
      </c>
      <c r="AA1547" s="280"/>
      <c r="AB1547" s="280"/>
      <c r="AC1547" s="280"/>
      <c r="AD1547" s="280"/>
      <c r="AE1547" s="280"/>
      <c r="AF1547" s="280"/>
      <c r="AG1547" s="280"/>
      <c r="AH1547" s="280"/>
      <c r="AI1547" s="280"/>
      <c r="AJ1547" s="280"/>
      <c r="AL1547" s="1006"/>
      <c r="AM1547" s="39"/>
    </row>
    <row r="1548" spans="1:39" x14ac:dyDescent="0.25">
      <c r="A1548" t="s">
        <v>862</v>
      </c>
      <c r="H1548" s="556" t="s">
        <v>454</v>
      </c>
      <c r="I1548" s="557" t="str">
        <f t="shared" si="1258"/>
        <v>tr. VND/tấn</v>
      </c>
      <c r="K1548" s="566">
        <f>SUM(K1549:K1550)</f>
        <v>0</v>
      </c>
      <c r="L1548" s="566">
        <f t="shared" ref="L1548:AJ1548" si="1268">SUM(L1549:L1550)</f>
        <v>26.838709677419356</v>
      </c>
      <c r="M1548" s="566">
        <f t="shared" si="1268"/>
        <v>26.838709677419359</v>
      </c>
      <c r="N1548" s="566">
        <f t="shared" si="1268"/>
        <v>27.375483870967745</v>
      </c>
      <c r="O1548" s="566">
        <f t="shared" si="1268"/>
        <v>27.922993548387105</v>
      </c>
      <c r="P1548" s="566">
        <f t="shared" si="1268"/>
        <v>28.481453419354843</v>
      </c>
      <c r="Q1548" s="566">
        <f t="shared" si="1268"/>
        <v>29.05108248774194</v>
      </c>
      <c r="R1548" s="566">
        <f t="shared" si="1268"/>
        <v>29.632104137496778</v>
      </c>
      <c r="S1548" s="566">
        <f t="shared" si="1268"/>
        <v>30.224746220246715</v>
      </c>
      <c r="T1548" s="566">
        <f t="shared" si="1268"/>
        <v>30.829241144651643</v>
      </c>
      <c r="U1548" s="566">
        <f t="shared" si="1268"/>
        <v>31.445825967544675</v>
      </c>
      <c r="V1548" s="566">
        <f t="shared" si="1268"/>
        <v>32.074742486895573</v>
      </c>
      <c r="W1548" s="566">
        <f t="shared" si="1268"/>
        <v>32.71623733663349</v>
      </c>
      <c r="X1548" s="566">
        <f t="shared" si="1268"/>
        <v>33.370562083366146</v>
      </c>
      <c r="Y1548" s="566">
        <f t="shared" si="1268"/>
        <v>34.037973325033477</v>
      </c>
      <c r="Z1548" s="566">
        <f t="shared" si="1268"/>
        <v>34.718732791534151</v>
      </c>
      <c r="AA1548" s="566"/>
      <c r="AB1548" s="566"/>
      <c r="AC1548" s="566"/>
      <c r="AD1548" s="566"/>
      <c r="AE1548" s="566"/>
      <c r="AF1548" s="566"/>
      <c r="AG1548" s="566"/>
      <c r="AH1548" s="566"/>
      <c r="AI1548" s="566"/>
      <c r="AJ1548" s="566"/>
      <c r="AL1548" s="324"/>
      <c r="AM1548" s="15"/>
    </row>
    <row r="1549" spans="1:39" s="299" customFormat="1" x14ac:dyDescent="0.25">
      <c r="A1549" s="299" t="s">
        <v>862</v>
      </c>
      <c r="C1549" s="299" t="s">
        <v>504</v>
      </c>
      <c r="E1549" s="331"/>
      <c r="F1549" s="331"/>
      <c r="H1549" s="560" t="s">
        <v>167</v>
      </c>
      <c r="I1549" s="561" t="str">
        <f t="shared" si="1258"/>
        <v>tr. VND/tấn</v>
      </c>
      <c r="K1549" s="565"/>
      <c r="L1549" s="565">
        <f t="shared" ref="L1549" si="1269">-IF($H$9="VND",L1517/L1494/$H$10/10^3,L1517/L1494/$H$10*10^3)</f>
        <v>24.96</v>
      </c>
      <c r="M1549" s="565">
        <f>-IF($H$9="VND",M1517/M1494/$H$10/10^3,M1517/M1494/$H$10*10^3)</f>
        <v>24.96</v>
      </c>
      <c r="N1549" s="565">
        <f t="shared" ref="N1549:AJ1549" si="1270">-IF($H$9="VND",N1517/N1494/$H$10/10^3,N1517/N1494/$H$10*10^3)</f>
        <v>25.459199999999999</v>
      </c>
      <c r="O1549" s="565">
        <f t="shared" si="1270"/>
        <v>25.968384000000004</v>
      </c>
      <c r="P1549" s="565">
        <f t="shared" si="1270"/>
        <v>26.487751680000002</v>
      </c>
      <c r="Q1549" s="565">
        <f t="shared" si="1270"/>
        <v>27.017506713600003</v>
      </c>
      <c r="R1549" s="565">
        <f t="shared" si="1270"/>
        <v>27.557856847872003</v>
      </c>
      <c r="S1549" s="565">
        <f t="shared" si="1270"/>
        <v>28.109013984829442</v>
      </c>
      <c r="T1549" s="565">
        <f t="shared" si="1270"/>
        <v>28.671194264526026</v>
      </c>
      <c r="U1549" s="565">
        <f t="shared" si="1270"/>
        <v>29.244618149816546</v>
      </c>
      <c r="V1549" s="565">
        <f t="shared" si="1270"/>
        <v>29.829510512812881</v>
      </c>
      <c r="W1549" s="565">
        <f t="shared" si="1270"/>
        <v>30.426100723069144</v>
      </c>
      <c r="X1549" s="565">
        <f t="shared" si="1270"/>
        <v>31.034622737530515</v>
      </c>
      <c r="Y1549" s="565">
        <f t="shared" si="1270"/>
        <v>31.655315192281126</v>
      </c>
      <c r="Z1549" s="565">
        <f t="shared" si="1270"/>
        <v>32.288421496126759</v>
      </c>
      <c r="AA1549" s="565"/>
      <c r="AB1549" s="565"/>
      <c r="AC1549" s="565"/>
      <c r="AD1549" s="565"/>
      <c r="AE1549" s="565"/>
      <c r="AF1549" s="565"/>
      <c r="AG1549" s="565"/>
      <c r="AH1549" s="565"/>
      <c r="AI1549" s="565"/>
      <c r="AJ1549" s="565"/>
      <c r="AL1549" s="1007"/>
      <c r="AM1549" s="876"/>
    </row>
    <row r="1550" spans="1:39" s="299" customFormat="1" x14ac:dyDescent="0.25">
      <c r="A1550" s="299" t="s">
        <v>862</v>
      </c>
      <c r="C1550" s="299" t="s">
        <v>387</v>
      </c>
      <c r="E1550" s="331"/>
      <c r="F1550" s="331"/>
      <c r="H1550" s="640" t="s">
        <v>203</v>
      </c>
      <c r="I1550" s="641" t="str">
        <f t="shared" si="1258"/>
        <v>tr. VND/tấn</v>
      </c>
      <c r="K1550" s="642"/>
      <c r="L1550" s="642">
        <f>-IF($H$9="VND",L1518/L1494/$H$10/10^3,L1518/L1494/$H$10*10^3)</f>
        <v>1.8787096774193559</v>
      </c>
      <c r="M1550" s="642">
        <f t="shared" ref="M1550:AJ1550" si="1271">-IF($H$9="VND",M1518/M1494/$H$10/10^3,M1518/M1494/$H$10*10^3)</f>
        <v>1.8787096774193583</v>
      </c>
      <c r="N1550" s="642">
        <f t="shared" si="1271"/>
        <v>1.9162838709677454</v>
      </c>
      <c r="O1550" s="642">
        <f t="shared" si="1271"/>
        <v>1.9546095483871007</v>
      </c>
      <c r="P1550" s="642">
        <f t="shared" si="1271"/>
        <v>1.9937017393548417</v>
      </c>
      <c r="Q1550" s="642">
        <f t="shared" si="1271"/>
        <v>2.0335757741419362</v>
      </c>
      <c r="R1550" s="642">
        <f t="shared" si="1271"/>
        <v>2.0742472896247759</v>
      </c>
      <c r="S1550" s="642">
        <f t="shared" si="1271"/>
        <v>2.1157322354172718</v>
      </c>
      <c r="T1550" s="642">
        <f t="shared" si="1271"/>
        <v>2.1580468801256183</v>
      </c>
      <c r="U1550" s="642">
        <f t="shared" si="1271"/>
        <v>2.2012078177281285</v>
      </c>
      <c r="V1550" s="642">
        <f t="shared" si="1271"/>
        <v>2.2452319740826931</v>
      </c>
      <c r="W1550" s="642">
        <f t="shared" si="1271"/>
        <v>2.2901366135643446</v>
      </c>
      <c r="X1550" s="642">
        <f t="shared" si="1271"/>
        <v>2.3359393458356301</v>
      </c>
      <c r="Y1550" s="642">
        <f t="shared" si="1271"/>
        <v>2.3826581327523475</v>
      </c>
      <c r="Z1550" s="642">
        <f t="shared" si="1271"/>
        <v>2.430311295407392</v>
      </c>
      <c r="AA1550" s="642"/>
      <c r="AB1550" s="642"/>
      <c r="AC1550" s="642"/>
      <c r="AD1550" s="642"/>
      <c r="AE1550" s="642"/>
      <c r="AF1550" s="642"/>
      <c r="AG1550" s="642"/>
      <c r="AH1550" s="642"/>
      <c r="AI1550" s="642"/>
      <c r="AJ1550" s="642"/>
      <c r="AL1550" s="1007"/>
      <c r="AM1550" s="876"/>
    </row>
    <row r="1551" spans="1:39" x14ac:dyDescent="0.25">
      <c r="A1551" t="s">
        <v>862</v>
      </c>
      <c r="H1551" s="558" t="s">
        <v>676</v>
      </c>
      <c r="I1551" s="559" t="str">
        <f t="shared" si="1258"/>
        <v>tr. VND/tấn</v>
      </c>
      <c r="K1551" s="567">
        <f>SUM(K1552:K1553)</f>
        <v>0</v>
      </c>
      <c r="L1551" s="567">
        <f t="shared" ref="L1551:AJ1551" si="1272">SUM(L1552:L1553)</f>
        <v>0.20420258064516131</v>
      </c>
      <c r="M1551" s="567">
        <f t="shared" si="1272"/>
        <v>0.20420258064516134</v>
      </c>
      <c r="N1551" s="567">
        <f t="shared" si="1272"/>
        <v>0.21441270967741941</v>
      </c>
      <c r="O1551" s="567">
        <f t="shared" si="1272"/>
        <v>0.22513334516129035</v>
      </c>
      <c r="P1551" s="567">
        <f t="shared" si="1272"/>
        <v>0.23639001241935489</v>
      </c>
      <c r="Q1551" s="567">
        <f t="shared" si="1272"/>
        <v>0.24820951304032263</v>
      </c>
      <c r="R1551" s="567">
        <f t="shared" si="1272"/>
        <v>0.26061998869233877</v>
      </c>
      <c r="S1551" s="567">
        <f t="shared" si="1272"/>
        <v>0.27365098812695565</v>
      </c>
      <c r="T1551" s="567">
        <f t="shared" si="1272"/>
        <v>0.28733353753330354</v>
      </c>
      <c r="U1551" s="567">
        <f t="shared" si="1272"/>
        <v>0.30170021440996864</v>
      </c>
      <c r="V1551" s="567">
        <f t="shared" si="1272"/>
        <v>0.31678522513046709</v>
      </c>
      <c r="W1551" s="567">
        <f t="shared" si="1272"/>
        <v>0.33262448638699044</v>
      </c>
      <c r="X1551" s="567">
        <f t="shared" si="1272"/>
        <v>0.34925571070633998</v>
      </c>
      <c r="Y1551" s="567">
        <f t="shared" si="1272"/>
        <v>0.36671849624165698</v>
      </c>
      <c r="Z1551" s="567">
        <f t="shared" si="1272"/>
        <v>0.38505442105373988</v>
      </c>
      <c r="AA1551" s="567"/>
      <c r="AB1551" s="567"/>
      <c r="AC1551" s="567"/>
      <c r="AD1551" s="567"/>
      <c r="AE1551" s="567"/>
      <c r="AF1551" s="567"/>
      <c r="AG1551" s="567"/>
      <c r="AH1551" s="567"/>
      <c r="AI1551" s="567"/>
      <c r="AJ1551" s="567"/>
      <c r="AL1551" s="324"/>
      <c r="AM1551" s="15"/>
    </row>
    <row r="1552" spans="1:39" s="299" customFormat="1" x14ac:dyDescent="0.25">
      <c r="A1552" s="299" t="s">
        <v>862</v>
      </c>
      <c r="C1552" s="299" t="s">
        <v>367</v>
      </c>
      <c r="E1552" s="331"/>
      <c r="F1552" s="331"/>
      <c r="H1552" s="560" t="s">
        <v>673</v>
      </c>
      <c r="I1552" s="561" t="str">
        <f t="shared" si="1258"/>
        <v>tr. VND/tấn</v>
      </c>
      <c r="K1552" s="565"/>
      <c r="L1552" s="565">
        <f>-IF($H$9="VND",L1520/L1494/$H$10/10^3,L1520/L1494/$H$10*10^3)</f>
        <v>0.20420258064516131</v>
      </c>
      <c r="M1552" s="565">
        <f t="shared" ref="M1552:AJ1552" si="1273">-IF($H$9="VND",M1520/M1494/$H$10/10^3,M1520/M1494/$H$10*10^3)</f>
        <v>0.20420258064516134</v>
      </c>
      <c r="N1552" s="565">
        <f t="shared" si="1273"/>
        <v>0.21441270967741941</v>
      </c>
      <c r="O1552" s="565">
        <f t="shared" si="1273"/>
        <v>0.22513334516129035</v>
      </c>
      <c r="P1552" s="565">
        <f t="shared" si="1273"/>
        <v>0.23639001241935489</v>
      </c>
      <c r="Q1552" s="565">
        <f t="shared" si="1273"/>
        <v>0.24820951304032263</v>
      </c>
      <c r="R1552" s="565">
        <f t="shared" si="1273"/>
        <v>0.26061998869233877</v>
      </c>
      <c r="S1552" s="565">
        <f t="shared" si="1273"/>
        <v>0.27365098812695565</v>
      </c>
      <c r="T1552" s="565">
        <f t="shared" si="1273"/>
        <v>0.28733353753330354</v>
      </c>
      <c r="U1552" s="565">
        <f t="shared" si="1273"/>
        <v>0.30170021440996864</v>
      </c>
      <c r="V1552" s="565">
        <f t="shared" si="1273"/>
        <v>0.31678522513046709</v>
      </c>
      <c r="W1552" s="565">
        <f t="shared" si="1273"/>
        <v>0.33262448638699044</v>
      </c>
      <c r="X1552" s="565">
        <f t="shared" si="1273"/>
        <v>0.34925571070633998</v>
      </c>
      <c r="Y1552" s="565">
        <f t="shared" si="1273"/>
        <v>0.36671849624165698</v>
      </c>
      <c r="Z1552" s="565">
        <f t="shared" si="1273"/>
        <v>0.38505442105373988</v>
      </c>
      <c r="AA1552" s="565"/>
      <c r="AB1552" s="565"/>
      <c r="AC1552" s="565"/>
      <c r="AD1552" s="565"/>
      <c r="AE1552" s="565"/>
      <c r="AF1552" s="565"/>
      <c r="AG1552" s="565"/>
      <c r="AH1552" s="565"/>
      <c r="AI1552" s="565"/>
      <c r="AJ1552" s="565"/>
      <c r="AL1552" s="1007"/>
      <c r="AM1552" s="876"/>
    </row>
    <row r="1553" spans="1:39" s="299" customFormat="1" x14ac:dyDescent="0.25">
      <c r="A1553" s="299" t="s">
        <v>862</v>
      </c>
      <c r="C1553" s="299" t="s">
        <v>367</v>
      </c>
      <c r="E1553" s="331"/>
      <c r="F1553" s="331"/>
      <c r="H1553" s="560" t="s">
        <v>674</v>
      </c>
      <c r="I1553" s="561" t="str">
        <f t="shared" si="1258"/>
        <v>tr. VND/tấn</v>
      </c>
      <c r="K1553" s="565"/>
      <c r="L1553" s="565">
        <f>-IF($H$9="VND",L1521/L1494/$H$10/10^3,L1521/L1494/$H$10*10^3)</f>
        <v>0</v>
      </c>
      <c r="M1553" s="565">
        <f t="shared" ref="M1553:AJ1553" si="1274">-IF($H$9="VND",M1521/M1494/$H$10/10^3,M1521/M1494/$H$10*10^3)</f>
        <v>0</v>
      </c>
      <c r="N1553" s="565">
        <f t="shared" si="1274"/>
        <v>0</v>
      </c>
      <c r="O1553" s="565">
        <f t="shared" si="1274"/>
        <v>0</v>
      </c>
      <c r="P1553" s="565">
        <f t="shared" si="1274"/>
        <v>0</v>
      </c>
      <c r="Q1553" s="565">
        <f t="shared" si="1274"/>
        <v>0</v>
      </c>
      <c r="R1553" s="565">
        <f t="shared" si="1274"/>
        <v>0</v>
      </c>
      <c r="S1553" s="565">
        <f t="shared" si="1274"/>
        <v>0</v>
      </c>
      <c r="T1553" s="565">
        <f t="shared" si="1274"/>
        <v>0</v>
      </c>
      <c r="U1553" s="565">
        <f t="shared" si="1274"/>
        <v>0</v>
      </c>
      <c r="V1553" s="565">
        <f t="shared" si="1274"/>
        <v>0</v>
      </c>
      <c r="W1553" s="565">
        <f t="shared" si="1274"/>
        <v>0</v>
      </c>
      <c r="X1553" s="565">
        <f t="shared" si="1274"/>
        <v>0</v>
      </c>
      <c r="Y1553" s="565">
        <f t="shared" si="1274"/>
        <v>0</v>
      </c>
      <c r="Z1553" s="565">
        <f t="shared" si="1274"/>
        <v>0</v>
      </c>
      <c r="AA1553" s="565"/>
      <c r="AB1553" s="565"/>
      <c r="AC1553" s="565"/>
      <c r="AD1553" s="565"/>
      <c r="AE1553" s="565"/>
      <c r="AF1553" s="565"/>
      <c r="AG1553" s="565"/>
      <c r="AH1553" s="565"/>
      <c r="AI1553" s="565"/>
      <c r="AJ1553" s="565"/>
      <c r="AL1553" s="1007"/>
      <c r="AM1553" s="876"/>
    </row>
    <row r="1554" spans="1:39" x14ac:dyDescent="0.25">
      <c r="A1554" t="s">
        <v>862</v>
      </c>
      <c r="H1554" s="558" t="s">
        <v>180</v>
      </c>
      <c r="I1554" s="559" t="str">
        <f t="shared" si="1258"/>
        <v>tr. VND/tấn</v>
      </c>
      <c r="K1554" s="567">
        <f>SUM(K1555:K1557)</f>
        <v>0</v>
      </c>
      <c r="L1554" s="567">
        <f>SUM(L1555:L1557)</f>
        <v>2.9033083970449769</v>
      </c>
      <c r="M1554" s="567">
        <f t="shared" ref="M1554:AJ1554" si="1275">SUM(M1555:M1557)</f>
        <v>2.7189879914035204</v>
      </c>
      <c r="N1554" s="567">
        <f t="shared" si="1275"/>
        <v>2.6994644128292276</v>
      </c>
      <c r="O1554" s="567">
        <f t="shared" si="1275"/>
        <v>2.8241169747688661</v>
      </c>
      <c r="P1554" s="567">
        <f t="shared" si="1275"/>
        <v>2.9550021648054869</v>
      </c>
      <c r="Q1554" s="567">
        <f t="shared" si="1275"/>
        <v>3.0924316143439388</v>
      </c>
      <c r="R1554" s="567">
        <f t="shared" si="1275"/>
        <v>3.2367325363593134</v>
      </c>
      <c r="S1554" s="567">
        <f t="shared" si="1275"/>
        <v>3.3882485044754564</v>
      </c>
      <c r="T1554" s="567">
        <f t="shared" si="1275"/>
        <v>3.547340270997406</v>
      </c>
      <c r="U1554" s="567">
        <f t="shared" si="1275"/>
        <v>3.7143866258454539</v>
      </c>
      <c r="V1554" s="567">
        <f t="shared" si="1275"/>
        <v>3.8897852984359034</v>
      </c>
      <c r="W1554" s="567">
        <f t="shared" si="1275"/>
        <v>4.0739539046558768</v>
      </c>
      <c r="X1554" s="567">
        <f t="shared" si="1275"/>
        <v>4.1054854432444063</v>
      </c>
      <c r="Y1554" s="567">
        <f t="shared" si="1275"/>
        <v>4.3085313316019249</v>
      </c>
      <c r="Z1554" s="567">
        <f t="shared" si="1275"/>
        <v>4.5217295143773217</v>
      </c>
      <c r="AA1554" s="567"/>
      <c r="AB1554" s="567"/>
      <c r="AC1554" s="567"/>
      <c r="AD1554" s="567"/>
      <c r="AE1554" s="567"/>
      <c r="AF1554" s="567"/>
      <c r="AG1554" s="567"/>
      <c r="AH1554" s="567"/>
      <c r="AI1554" s="567"/>
      <c r="AJ1554" s="567"/>
      <c r="AL1554" s="324"/>
      <c r="AM1554" s="15"/>
    </row>
    <row r="1555" spans="1:39" s="299" customFormat="1" x14ac:dyDescent="0.25">
      <c r="A1555" s="299" t="s">
        <v>862</v>
      </c>
      <c r="C1555" s="299" t="s">
        <v>367</v>
      </c>
      <c r="H1555" s="560" t="s">
        <v>73</v>
      </c>
      <c r="I1555" s="561" t="str">
        <f t="shared" si="1258"/>
        <v>tr. VND/tấn</v>
      </c>
      <c r="K1555" s="565"/>
      <c r="L1555" s="565">
        <f t="shared" ref="L1555:AJ1555" si="1276">-IF($H$9="VND",L1523/L1494/$H$10/10^3,L1523/L1494/$H$10*10^3)</f>
        <v>1.8565188172043012</v>
      </c>
      <c r="M1555" s="565">
        <f t="shared" si="1276"/>
        <v>1.8565188172043008</v>
      </c>
      <c r="N1555" s="565">
        <f t="shared" si="1276"/>
        <v>1.949344758064516</v>
      </c>
      <c r="O1555" s="565">
        <f t="shared" si="1276"/>
        <v>2.046811995967742</v>
      </c>
      <c r="P1555" s="565">
        <f t="shared" si="1276"/>
        <v>2.1491525957661293</v>
      </c>
      <c r="Q1555" s="565">
        <f t="shared" si="1276"/>
        <v>2.2566102255544358</v>
      </c>
      <c r="R1555" s="565">
        <f t="shared" si="1276"/>
        <v>2.3694407368321579</v>
      </c>
      <c r="S1555" s="565">
        <f t="shared" si="1276"/>
        <v>2.4879127736737656</v>
      </c>
      <c r="T1555" s="565">
        <f t="shared" si="1276"/>
        <v>2.6123084123574536</v>
      </c>
      <c r="U1555" s="565">
        <f t="shared" si="1276"/>
        <v>2.7429238329753267</v>
      </c>
      <c r="V1555" s="565">
        <f t="shared" si="1276"/>
        <v>2.8800700246240925</v>
      </c>
      <c r="W1555" s="565">
        <f t="shared" si="1276"/>
        <v>3.0240735258552975</v>
      </c>
      <c r="X1555" s="565">
        <f t="shared" si="1276"/>
        <v>3.1752772021480626</v>
      </c>
      <c r="Y1555" s="565">
        <f t="shared" si="1276"/>
        <v>3.3340410622554648</v>
      </c>
      <c r="Z1555" s="565">
        <f t="shared" si="1276"/>
        <v>3.5007431153682393</v>
      </c>
      <c r="AA1555" s="565"/>
      <c r="AB1555" s="565"/>
      <c r="AC1555" s="565"/>
      <c r="AD1555" s="565"/>
      <c r="AE1555" s="565"/>
      <c r="AF1555" s="565"/>
      <c r="AG1555" s="565"/>
      <c r="AH1555" s="565"/>
      <c r="AI1555" s="565"/>
      <c r="AJ1555" s="565"/>
      <c r="AL1555" s="1007"/>
      <c r="AM1555" s="876"/>
    </row>
    <row r="1556" spans="1:39" s="299" customFormat="1" x14ac:dyDescent="0.25">
      <c r="A1556" s="299" t="s">
        <v>862</v>
      </c>
      <c r="C1556" s="299" t="s">
        <v>370</v>
      </c>
      <c r="H1556" s="560" t="s">
        <v>192</v>
      </c>
      <c r="I1556" s="561" t="str">
        <f t="shared" si="1258"/>
        <v>tr. VND/tấn</v>
      </c>
      <c r="K1556" s="565"/>
      <c r="L1556" s="565">
        <f t="shared" ref="L1556:AJ1556" si="1277">-IF($H$9="VND",L1524/L1494/$H$10/10^3,L1524/L1494/$H$10*10^3)</f>
        <v>0.31481481481481483</v>
      </c>
      <c r="M1556" s="565">
        <f t="shared" si="1277"/>
        <v>0.31481481481481483</v>
      </c>
      <c r="N1556" s="565">
        <f t="shared" si="1277"/>
        <v>0.3305555555555556</v>
      </c>
      <c r="O1556" s="565">
        <f t="shared" si="1277"/>
        <v>0.34708333333333335</v>
      </c>
      <c r="P1556" s="565">
        <f t="shared" si="1277"/>
        <v>0.36443750000000008</v>
      </c>
      <c r="Q1556" s="565">
        <f t="shared" si="1277"/>
        <v>0.38265937500000002</v>
      </c>
      <c r="R1556" s="565">
        <f t="shared" si="1277"/>
        <v>0.40179234375000006</v>
      </c>
      <c r="S1556" s="565">
        <f t="shared" si="1277"/>
        <v>0.42188196093749997</v>
      </c>
      <c r="T1556" s="565">
        <f t="shared" si="1277"/>
        <v>0.44297605898437514</v>
      </c>
      <c r="U1556" s="565">
        <f t="shared" si="1277"/>
        <v>0.46512486193359376</v>
      </c>
      <c r="V1556" s="565">
        <f t="shared" si="1277"/>
        <v>0.48838110503027343</v>
      </c>
      <c r="W1556" s="565">
        <f t="shared" si="1277"/>
        <v>0.51280016028178721</v>
      </c>
      <c r="X1556" s="565">
        <f t="shared" si="1277"/>
        <v>0.5384401682958766</v>
      </c>
      <c r="Y1556" s="565">
        <f t="shared" si="1277"/>
        <v>0.56536217671067035</v>
      </c>
      <c r="Z1556" s="565">
        <f t="shared" si="1277"/>
        <v>0.5936302855462039</v>
      </c>
      <c r="AA1556" s="565"/>
      <c r="AB1556" s="565"/>
      <c r="AC1556" s="565"/>
      <c r="AD1556" s="565"/>
      <c r="AE1556" s="565"/>
      <c r="AF1556" s="565"/>
      <c r="AG1556" s="565"/>
      <c r="AH1556" s="565"/>
      <c r="AI1556" s="565"/>
      <c r="AJ1556" s="565"/>
      <c r="AL1556" s="1007"/>
      <c r="AM1556" s="876"/>
    </row>
    <row r="1557" spans="1:39" s="299" customFormat="1" x14ac:dyDescent="0.25">
      <c r="A1557" s="299" t="s">
        <v>862</v>
      </c>
      <c r="C1557" s="299" t="s">
        <v>367</v>
      </c>
      <c r="H1557" s="560" t="s">
        <v>175</v>
      </c>
      <c r="I1557" s="561" t="str">
        <f t="shared" si="1258"/>
        <v>tr. VND/tấn</v>
      </c>
      <c r="K1557" s="565"/>
      <c r="L1557" s="565">
        <f>-IF($H$9="VND",L1525/L1494/$H$10/10^3,L1525/L1494/$H$10*10^3)</f>
        <v>0.73197476502586101</v>
      </c>
      <c r="M1557" s="565">
        <f t="shared" ref="M1557:AJ1557" si="1278">-IF($H$9="VND",M1525/M1494/$H$10/10^3,M1525/M1494/$H$10*10^3)</f>
        <v>0.54765435938440488</v>
      </c>
      <c r="N1557" s="565">
        <f t="shared" si="1278"/>
        <v>0.41956409920915572</v>
      </c>
      <c r="O1557" s="565">
        <f t="shared" si="1278"/>
        <v>0.43022164546779085</v>
      </c>
      <c r="P1557" s="565">
        <f t="shared" si="1278"/>
        <v>0.4414120690393577</v>
      </c>
      <c r="Q1557" s="565">
        <f t="shared" si="1278"/>
        <v>0.45316201378950288</v>
      </c>
      <c r="R1557" s="565">
        <f t="shared" si="1278"/>
        <v>0.4654994557771554</v>
      </c>
      <c r="S1557" s="565">
        <f t="shared" si="1278"/>
        <v>0.47845376986419047</v>
      </c>
      <c r="T1557" s="565">
        <f t="shared" si="1278"/>
        <v>0.49205579965557728</v>
      </c>
      <c r="U1557" s="565">
        <f t="shared" si="1278"/>
        <v>0.50633793093653356</v>
      </c>
      <c r="V1557" s="565">
        <f t="shared" si="1278"/>
        <v>0.52133416878153738</v>
      </c>
      <c r="W1557" s="565">
        <f t="shared" si="1278"/>
        <v>0.53708021851879162</v>
      </c>
      <c r="X1557" s="565">
        <f t="shared" si="1278"/>
        <v>0.39176807280046666</v>
      </c>
      <c r="Y1557" s="565">
        <f t="shared" si="1278"/>
        <v>0.40912809263578942</v>
      </c>
      <c r="Z1557" s="565">
        <f t="shared" si="1278"/>
        <v>0.42735611346287838</v>
      </c>
      <c r="AA1557" s="565"/>
      <c r="AB1557" s="565"/>
      <c r="AC1557" s="565"/>
      <c r="AD1557" s="565"/>
      <c r="AE1557" s="565"/>
      <c r="AF1557" s="565"/>
      <c r="AG1557" s="565"/>
      <c r="AH1557" s="565"/>
      <c r="AI1557" s="565"/>
      <c r="AJ1557" s="565"/>
      <c r="AL1557" s="1007"/>
      <c r="AM1557" s="876"/>
    </row>
    <row r="1558" spans="1:39" x14ac:dyDescent="0.25">
      <c r="A1558" t="s">
        <v>862</v>
      </c>
      <c r="H1558" s="247"/>
      <c r="I1558" s="275"/>
      <c r="K1558" s="281"/>
      <c r="L1558" s="282"/>
      <c r="M1558" s="281"/>
      <c r="N1558" s="281"/>
      <c r="O1558" s="281"/>
      <c r="P1558" s="281"/>
      <c r="Q1558" s="281"/>
      <c r="R1558" s="281"/>
      <c r="S1558" s="281"/>
      <c r="T1558" s="281"/>
      <c r="U1558" s="281"/>
      <c r="V1558" s="281"/>
      <c r="W1558" s="281"/>
      <c r="X1558" s="281"/>
      <c r="Y1558" s="281"/>
      <c r="Z1558" s="281"/>
      <c r="AA1558" s="281"/>
      <c r="AB1558" s="281"/>
      <c r="AC1558" s="281"/>
      <c r="AD1558" s="281"/>
      <c r="AE1558" s="281"/>
      <c r="AF1558" s="281"/>
      <c r="AG1558" s="281"/>
      <c r="AH1558" s="281"/>
      <c r="AI1558" s="281"/>
      <c r="AJ1558" s="281"/>
      <c r="AL1558" s="324"/>
      <c r="AM1558" s="15"/>
    </row>
    <row r="1559" spans="1:39" s="16" customFormat="1" x14ac:dyDescent="0.25">
      <c r="A1559" s="16" t="s">
        <v>862</v>
      </c>
      <c r="H1559" s="276" t="s">
        <v>464</v>
      </c>
      <c r="I1559" s="277" t="str">
        <f t="shared" si="1258"/>
        <v>tr. VND/tấn</v>
      </c>
      <c r="K1559" s="283">
        <f>K1537+K1547</f>
        <v>0</v>
      </c>
      <c r="L1559" s="283">
        <f t="shared" ref="L1559:AJ1559" si="1279">L1537+L1547</f>
        <v>46.074256148736893</v>
      </c>
      <c r="M1559" s="283">
        <f t="shared" si="1279"/>
        <v>41.28192560205904</v>
      </c>
      <c r="N1559" s="283">
        <f t="shared" si="1279"/>
        <v>38.498563160083208</v>
      </c>
      <c r="O1559" s="283">
        <f t="shared" si="1279"/>
        <v>39.333889675710957</v>
      </c>
      <c r="P1559" s="283">
        <f t="shared" si="1279"/>
        <v>40.1945572267975</v>
      </c>
      <c r="Q1559" s="283">
        <f t="shared" si="1279"/>
        <v>41.081504359309335</v>
      </c>
      <c r="R1559" s="283">
        <f t="shared" si="1279"/>
        <v>41.995709976395155</v>
      </c>
      <c r="S1559" s="283">
        <f t="shared" si="1279"/>
        <v>42.93819522484263</v>
      </c>
      <c r="T1559" s="283">
        <f t="shared" si="1279"/>
        <v>43.910025473229965</v>
      </c>
      <c r="U1559" s="283">
        <f t="shared" si="1279"/>
        <v>44.912312386304514</v>
      </c>
      <c r="V1559" s="283">
        <f t="shared" si="1279"/>
        <v>45.946216100346014</v>
      </c>
      <c r="W1559" s="283">
        <f t="shared" si="1279"/>
        <v>47.012947504509057</v>
      </c>
      <c r="X1559" s="283">
        <f t="shared" si="1279"/>
        <v>43.905787686884615</v>
      </c>
      <c r="Y1559" s="283">
        <f t="shared" si="1279"/>
        <v>45.04202222980566</v>
      </c>
      <c r="Z1559" s="283">
        <f t="shared" si="1279"/>
        <v>46.215046162622727</v>
      </c>
      <c r="AA1559" s="283"/>
      <c r="AB1559" s="283"/>
      <c r="AC1559" s="283"/>
      <c r="AD1559" s="283"/>
      <c r="AE1559" s="283"/>
      <c r="AF1559" s="283"/>
      <c r="AG1559" s="283"/>
      <c r="AH1559" s="283"/>
      <c r="AI1559" s="283"/>
      <c r="AJ1559" s="283"/>
      <c r="AL1559" s="1008"/>
      <c r="AM1559" s="29"/>
    </row>
    <row r="1560" spans="1:39" x14ac:dyDescent="0.25">
      <c r="A1560" t="s">
        <v>862</v>
      </c>
      <c r="H1560" s="247"/>
      <c r="I1560" s="275"/>
      <c r="K1560" s="281"/>
      <c r="L1560" s="281"/>
      <c r="M1560" s="281"/>
      <c r="N1560" s="281"/>
      <c r="O1560" s="281"/>
      <c r="P1560" s="281"/>
      <c r="Q1560" s="281"/>
      <c r="R1560" s="281"/>
      <c r="S1560" s="281"/>
      <c r="T1560" s="281"/>
      <c r="U1560" s="281"/>
      <c r="V1560" s="281"/>
      <c r="W1560" s="281"/>
      <c r="X1560" s="281"/>
      <c r="Y1560" s="281"/>
      <c r="Z1560" s="281"/>
      <c r="AA1560" s="281"/>
      <c r="AB1560" s="281"/>
      <c r="AC1560" s="281"/>
      <c r="AD1560" s="281"/>
      <c r="AE1560" s="281"/>
      <c r="AF1560" s="281"/>
      <c r="AG1560" s="281"/>
      <c r="AH1560" s="281"/>
      <c r="AI1560" s="281"/>
      <c r="AJ1560" s="281"/>
      <c r="AL1560" s="324"/>
      <c r="AM1560" s="15"/>
    </row>
    <row r="1561" spans="1:39" x14ac:dyDescent="0.25">
      <c r="A1561" t="s">
        <v>862</v>
      </c>
      <c r="C1561" t="s">
        <v>367</v>
      </c>
      <c r="H1561" s="568" t="s">
        <v>166</v>
      </c>
      <c r="I1561" s="569" t="str">
        <f t="shared" si="1258"/>
        <v>tr. VND/tấn</v>
      </c>
      <c r="K1561" s="570"/>
      <c r="L1561" s="570">
        <f>-IF($H$9="VND",L1529/L1494/$H$10/10^3,L1529/L1494/$H$10*10^3)</f>
        <v>0.88888888888888906</v>
      </c>
      <c r="M1561" s="570">
        <f t="shared" ref="M1561:AJ1561" si="1280">-IF($H$9="VND",M1529/M1494/$H$10/10^3,M1529/M1494/$H$10*10^3)</f>
        <v>0.88888888888888895</v>
      </c>
      <c r="N1561" s="570">
        <f t="shared" si="1280"/>
        <v>0.93333333333333335</v>
      </c>
      <c r="O1561" s="570">
        <f t="shared" si="1280"/>
        <v>0.9800000000000002</v>
      </c>
      <c r="P1561" s="570">
        <f t="shared" si="1280"/>
        <v>1.0290000000000001</v>
      </c>
      <c r="Q1561" s="570">
        <f t="shared" si="1280"/>
        <v>1.0804500000000004</v>
      </c>
      <c r="R1561" s="570">
        <f t="shared" si="1280"/>
        <v>1.1344725000000002</v>
      </c>
      <c r="S1561" s="570">
        <f t="shared" si="1280"/>
        <v>1.1911961249999998</v>
      </c>
      <c r="T1561" s="570">
        <f t="shared" si="1280"/>
        <v>1.2507559312500003</v>
      </c>
      <c r="U1561" s="570">
        <f t="shared" si="1280"/>
        <v>1.3132937278125001</v>
      </c>
      <c r="V1561" s="570">
        <f t="shared" si="1280"/>
        <v>1.3789584142031253</v>
      </c>
      <c r="W1561" s="570">
        <f t="shared" si="1280"/>
        <v>1.4479063349132817</v>
      </c>
      <c r="X1561" s="570">
        <f t="shared" si="1280"/>
        <v>1.5203016516589456</v>
      </c>
      <c r="Y1561" s="570">
        <f t="shared" si="1280"/>
        <v>1.5963167342418931</v>
      </c>
      <c r="Z1561" s="570">
        <f t="shared" si="1280"/>
        <v>1.6761325709539878</v>
      </c>
      <c r="AA1561" s="570"/>
      <c r="AB1561" s="570"/>
      <c r="AC1561" s="570"/>
      <c r="AD1561" s="570"/>
      <c r="AE1561" s="570"/>
      <c r="AF1561" s="570"/>
      <c r="AG1561" s="570"/>
      <c r="AH1561" s="570"/>
      <c r="AI1561" s="570"/>
      <c r="AJ1561" s="570"/>
      <c r="AL1561" s="324"/>
      <c r="AM1561" s="15"/>
    </row>
    <row r="1562" spans="1:39" x14ac:dyDescent="0.25">
      <c r="A1562" t="s">
        <v>862</v>
      </c>
      <c r="C1562" t="s">
        <v>367</v>
      </c>
      <c r="H1562" s="558" t="s">
        <v>469</v>
      </c>
      <c r="I1562" s="559" t="str">
        <f t="shared" si="1258"/>
        <v>tr. VND/tấn</v>
      </c>
      <c r="K1562" s="571"/>
      <c r="L1562" s="571">
        <f t="shared" ref="L1562:AJ1562" si="1281">-IF($H$9="VND",L1530/L1494/$H$10/10^3,L1530/L1494/$H$10*10^3)</f>
        <v>0</v>
      </c>
      <c r="M1562" s="571">
        <f t="shared" si="1281"/>
        <v>0</v>
      </c>
      <c r="N1562" s="571">
        <f t="shared" si="1281"/>
        <v>0</v>
      </c>
      <c r="O1562" s="571">
        <f t="shared" si="1281"/>
        <v>0</v>
      </c>
      <c r="P1562" s="571">
        <f t="shared" si="1281"/>
        <v>0</v>
      </c>
      <c r="Q1562" s="571">
        <f t="shared" si="1281"/>
        <v>0</v>
      </c>
      <c r="R1562" s="571">
        <f t="shared" si="1281"/>
        <v>0</v>
      </c>
      <c r="S1562" s="571">
        <f t="shared" si="1281"/>
        <v>0</v>
      </c>
      <c r="T1562" s="571">
        <f t="shared" si="1281"/>
        <v>0</v>
      </c>
      <c r="U1562" s="571">
        <f t="shared" si="1281"/>
        <v>0</v>
      </c>
      <c r="V1562" s="571">
        <f t="shared" si="1281"/>
        <v>0</v>
      </c>
      <c r="W1562" s="571">
        <f t="shared" si="1281"/>
        <v>0</v>
      </c>
      <c r="X1562" s="571">
        <f t="shared" si="1281"/>
        <v>0</v>
      </c>
      <c r="Y1562" s="571">
        <f t="shared" si="1281"/>
        <v>0</v>
      </c>
      <c r="Z1562" s="571">
        <f t="shared" si="1281"/>
        <v>0</v>
      </c>
      <c r="AA1562" s="571"/>
      <c r="AB1562" s="571"/>
      <c r="AC1562" s="571"/>
      <c r="AD1562" s="571"/>
      <c r="AE1562" s="571"/>
      <c r="AF1562" s="571"/>
      <c r="AG1562" s="571"/>
      <c r="AH1562" s="571"/>
      <c r="AI1562" s="571"/>
      <c r="AJ1562" s="571"/>
      <c r="AL1562" s="324"/>
      <c r="AM1562" s="15"/>
    </row>
    <row r="1563" spans="1:39" x14ac:dyDescent="0.25">
      <c r="A1563" t="s">
        <v>862</v>
      </c>
      <c r="C1563" t="s">
        <v>367</v>
      </c>
      <c r="H1563" s="558" t="s">
        <v>468</v>
      </c>
      <c r="I1563" s="559" t="str">
        <f t="shared" si="1258"/>
        <v>tr. VND/tấn</v>
      </c>
      <c r="K1563" s="558"/>
      <c r="L1563" s="571">
        <f t="shared" ref="L1563:AJ1563" si="1282">-IF($H$9="VND",L1531/L1494/$H$10/10^3,L1531/L1494/$H$10*10^3)</f>
        <v>0</v>
      </c>
      <c r="M1563" s="571">
        <f t="shared" si="1282"/>
        <v>0</v>
      </c>
      <c r="N1563" s="571">
        <f t="shared" si="1282"/>
        <v>0</v>
      </c>
      <c r="O1563" s="571">
        <f t="shared" si="1282"/>
        <v>0</v>
      </c>
      <c r="P1563" s="571">
        <f t="shared" si="1282"/>
        <v>0</v>
      </c>
      <c r="Q1563" s="571">
        <f t="shared" si="1282"/>
        <v>0</v>
      </c>
      <c r="R1563" s="571">
        <f t="shared" si="1282"/>
        <v>0</v>
      </c>
      <c r="S1563" s="571">
        <f t="shared" si="1282"/>
        <v>0</v>
      </c>
      <c r="T1563" s="571">
        <f t="shared" si="1282"/>
        <v>0</v>
      </c>
      <c r="U1563" s="571">
        <f t="shared" si="1282"/>
        <v>0</v>
      </c>
      <c r="V1563" s="571">
        <f t="shared" si="1282"/>
        <v>0</v>
      </c>
      <c r="W1563" s="571">
        <f t="shared" si="1282"/>
        <v>0</v>
      </c>
      <c r="X1563" s="571">
        <f t="shared" si="1282"/>
        <v>0</v>
      </c>
      <c r="Y1563" s="571">
        <f t="shared" si="1282"/>
        <v>0</v>
      </c>
      <c r="Z1563" s="571">
        <f t="shared" si="1282"/>
        <v>0</v>
      </c>
      <c r="AA1563" s="571"/>
      <c r="AB1563" s="571"/>
      <c r="AC1563" s="571"/>
      <c r="AD1563" s="571"/>
      <c r="AE1563" s="571"/>
      <c r="AF1563" s="571"/>
      <c r="AG1563" s="571"/>
      <c r="AH1563" s="571"/>
      <c r="AI1563" s="571"/>
      <c r="AJ1563" s="571"/>
      <c r="AL1563" s="324"/>
      <c r="AM1563" s="15"/>
    </row>
    <row r="1564" spans="1:39" x14ac:dyDescent="0.25">
      <c r="A1564" t="s">
        <v>862</v>
      </c>
      <c r="C1564" t="s">
        <v>367</v>
      </c>
      <c r="H1564" s="558" t="s">
        <v>470</v>
      </c>
      <c r="I1564" s="559" t="str">
        <f t="shared" si="1258"/>
        <v>tr. VND/tấn</v>
      </c>
      <c r="K1564" s="558"/>
      <c r="L1564" s="571">
        <f t="shared" ref="L1564:AJ1564" si="1283">-IF($H$9="VND",L1532/L1494/$H$10/10^3,L1532/L1494/$H$10*10^3)</f>
        <v>7.131455047872385</v>
      </c>
      <c r="M1564" s="571">
        <f t="shared" si="1283"/>
        <v>4.8911867647644334</v>
      </c>
      <c r="N1564" s="571">
        <f t="shared" si="1283"/>
        <v>3.2720011715319366</v>
      </c>
      <c r="O1564" s="571">
        <f t="shared" si="1283"/>
        <v>3.1095435382625483</v>
      </c>
      <c r="P1564" s="571">
        <f t="shared" si="1283"/>
        <v>2.9357138706643027</v>
      </c>
      <c r="Q1564" s="571">
        <f t="shared" si="1283"/>
        <v>2.7497161263341807</v>
      </c>
      <c r="R1564" s="571">
        <f t="shared" si="1283"/>
        <v>2.5506985399009494</v>
      </c>
      <c r="S1564" s="571">
        <f t="shared" si="1283"/>
        <v>2.3377497224173927</v>
      </c>
      <c r="T1564" s="571">
        <f t="shared" si="1283"/>
        <v>2.1098944877099868</v>
      </c>
      <c r="U1564" s="571">
        <f t="shared" si="1283"/>
        <v>1.8660893865730617</v>
      </c>
      <c r="V1564" s="571">
        <f t="shared" si="1283"/>
        <v>1.6052179283565524</v>
      </c>
      <c r="W1564" s="571">
        <f t="shared" si="1283"/>
        <v>1.3260854680648875</v>
      </c>
      <c r="X1564" s="571">
        <f t="shared" si="1283"/>
        <v>1.0274137355528061</v>
      </c>
      <c r="Y1564" s="571">
        <f t="shared" si="1283"/>
        <v>0.70783498176487913</v>
      </c>
      <c r="Z1564" s="571">
        <f t="shared" si="1283"/>
        <v>0.36588571521179714</v>
      </c>
      <c r="AA1564" s="571"/>
      <c r="AB1564" s="571"/>
      <c r="AC1564" s="571"/>
      <c r="AD1564" s="571"/>
      <c r="AE1564" s="571"/>
      <c r="AF1564" s="571"/>
      <c r="AG1564" s="571"/>
      <c r="AH1564" s="571"/>
      <c r="AI1564" s="571"/>
      <c r="AJ1564" s="571"/>
      <c r="AL1564" s="324"/>
      <c r="AM1564" s="15"/>
    </row>
    <row r="1565" spans="1:39" x14ac:dyDescent="0.25">
      <c r="A1565" t="s">
        <v>862</v>
      </c>
      <c r="H1565" s="247"/>
      <c r="I1565" s="275"/>
      <c r="K1565" s="247"/>
      <c r="L1565" s="247"/>
      <c r="M1565" s="247"/>
      <c r="N1565" s="247"/>
      <c r="O1565" s="247"/>
      <c r="P1565" s="247"/>
      <c r="Q1565" s="247"/>
      <c r="R1565" s="247"/>
      <c r="S1565" s="247"/>
      <c r="T1565" s="247"/>
      <c r="U1565" s="247"/>
      <c r="V1565" s="247"/>
      <c r="W1565" s="247"/>
      <c r="X1565" s="247"/>
      <c r="Y1565" s="247"/>
      <c r="Z1565" s="247"/>
      <c r="AA1565" s="247"/>
      <c r="AB1565" s="247"/>
      <c r="AC1565" s="247"/>
      <c r="AD1565" s="247"/>
      <c r="AE1565" s="247"/>
      <c r="AF1565" s="247"/>
      <c r="AG1565" s="247"/>
      <c r="AH1565" s="247"/>
      <c r="AI1565" s="247"/>
      <c r="AJ1565" s="247"/>
      <c r="AL1565" s="324"/>
      <c r="AM1565" s="15"/>
    </row>
    <row r="1566" spans="1:39" s="16" customFormat="1" x14ac:dyDescent="0.25">
      <c r="A1566" s="16" t="s">
        <v>862</v>
      </c>
      <c r="H1566" s="276" t="s">
        <v>474</v>
      </c>
      <c r="I1566" s="277" t="str">
        <f t="shared" si="1258"/>
        <v>tr. VND/tấn</v>
      </c>
      <c r="K1566" s="283">
        <f t="shared" ref="K1566" si="1284">K1559+SUM(K1561:K1564)</f>
        <v>0</v>
      </c>
      <c r="L1566" s="283">
        <f>L1559+SUM(L1561:L1564)</f>
        <v>54.094600085498165</v>
      </c>
      <c r="M1566" s="283">
        <f t="shared" ref="M1566:AJ1566" si="1285">M1559+SUM(M1561:M1564)</f>
        <v>47.06200125571236</v>
      </c>
      <c r="N1566" s="283">
        <f t="shared" si="1285"/>
        <v>42.703897664948478</v>
      </c>
      <c r="O1566" s="283">
        <f t="shared" si="1285"/>
        <v>43.423433213973503</v>
      </c>
      <c r="P1566" s="283">
        <f t="shared" si="1285"/>
        <v>44.159271097461804</v>
      </c>
      <c r="Q1566" s="283">
        <f t="shared" si="1285"/>
        <v>44.911670485643519</v>
      </c>
      <c r="R1566" s="283">
        <f t="shared" si="1285"/>
        <v>45.680881016296105</v>
      </c>
      <c r="S1566" s="283">
        <f t="shared" si="1285"/>
        <v>46.46714107226002</v>
      </c>
      <c r="T1566" s="283">
        <f t="shared" si="1285"/>
        <v>47.270675892189949</v>
      </c>
      <c r="U1566" s="283">
        <f t="shared" si="1285"/>
        <v>48.091695500690079</v>
      </c>
      <c r="V1566" s="283">
        <f t="shared" si="1285"/>
        <v>48.930392442905692</v>
      </c>
      <c r="W1566" s="283">
        <f t="shared" si="1285"/>
        <v>49.786939307487224</v>
      </c>
      <c r="X1566" s="283">
        <f t="shared" si="1285"/>
        <v>46.453503074096368</v>
      </c>
      <c r="Y1566" s="283">
        <f t="shared" si="1285"/>
        <v>47.346173945812431</v>
      </c>
      <c r="Z1566" s="283">
        <f t="shared" si="1285"/>
        <v>48.257064448788512</v>
      </c>
      <c r="AA1566" s="283"/>
      <c r="AB1566" s="283"/>
      <c r="AC1566" s="283"/>
      <c r="AD1566" s="283"/>
      <c r="AE1566" s="283"/>
      <c r="AF1566" s="283"/>
      <c r="AG1566" s="283"/>
      <c r="AH1566" s="283"/>
      <c r="AI1566" s="283"/>
      <c r="AJ1566" s="283"/>
      <c r="AL1566" s="1008"/>
      <c r="AM1566" s="29"/>
    </row>
    <row r="1567" spans="1:39" x14ac:dyDescent="0.25">
      <c r="A1567" t="s">
        <v>862</v>
      </c>
      <c r="AL1567" s="324"/>
    </row>
    <row r="1568" spans="1:39" x14ac:dyDescent="0.25">
      <c r="A1568" t="s">
        <v>862</v>
      </c>
      <c r="H1568" s="568" t="s">
        <v>361</v>
      </c>
      <c r="I1568" s="569" t="str">
        <f t="shared" si="1258"/>
        <v>tr. VND/tấn</v>
      </c>
      <c r="K1568" s="568"/>
      <c r="L1568" s="589">
        <f>INDEX('Cover Page'!$H$12:$AJ$12,MATCH($A1568,'Cover Page'!$H$5:$AJ$5,0))</f>
        <v>6.6666666666666666E-2</v>
      </c>
      <c r="M1568" s="589">
        <f>INDEX('Cover Page'!$H$12:$AJ$12,MATCH($A1568,'Cover Page'!$H$5:$AJ$5,0))</f>
        <v>6.6666666666666666E-2</v>
      </c>
      <c r="N1568" s="589">
        <f>INDEX('Cover Page'!$H$12:$AJ$12,MATCH($A1568,'Cover Page'!$H$5:$AJ$5,0))</f>
        <v>6.6666666666666666E-2</v>
      </c>
      <c r="O1568" s="589">
        <f>INDEX('Cover Page'!$H$12:$AJ$12,MATCH($A1568,'Cover Page'!$H$5:$AJ$5,0))</f>
        <v>6.6666666666666666E-2</v>
      </c>
      <c r="P1568" s="589">
        <f>INDEX('Cover Page'!$H$12:$AJ$12,MATCH($A1568,'Cover Page'!$H$5:$AJ$5,0))</f>
        <v>6.6666666666666666E-2</v>
      </c>
      <c r="Q1568" s="589">
        <f>INDEX('Cover Page'!$H$12:$AJ$12,MATCH($A1568,'Cover Page'!$H$5:$AJ$5,0))</f>
        <v>6.6666666666666666E-2</v>
      </c>
      <c r="R1568" s="589">
        <f>INDEX('Cover Page'!$H$12:$AJ$12,MATCH($A1568,'Cover Page'!$H$5:$AJ$5,0))</f>
        <v>6.6666666666666666E-2</v>
      </c>
      <c r="S1568" s="589">
        <f>INDEX('Cover Page'!$H$12:$AJ$12,MATCH($A1568,'Cover Page'!$H$5:$AJ$5,0))</f>
        <v>6.6666666666666666E-2</v>
      </c>
      <c r="T1568" s="589">
        <f>INDEX('Cover Page'!$H$12:$AJ$12,MATCH($A1568,'Cover Page'!$H$5:$AJ$5,0))</f>
        <v>6.6666666666666666E-2</v>
      </c>
      <c r="U1568" s="589">
        <f>INDEX('Cover Page'!$H$12:$AJ$12,MATCH($A1568,'Cover Page'!$H$5:$AJ$5,0))</f>
        <v>6.6666666666666666E-2</v>
      </c>
      <c r="V1568" s="589">
        <f>INDEX('Cover Page'!$H$12:$AJ$12,MATCH($A1568,'Cover Page'!$H$5:$AJ$5,0))</f>
        <v>6.6666666666666666E-2</v>
      </c>
      <c r="W1568" s="589">
        <f>INDEX('Cover Page'!$H$12:$AJ$12,MATCH($A1568,'Cover Page'!$H$5:$AJ$5,0))</f>
        <v>6.6666666666666666E-2</v>
      </c>
      <c r="X1568" s="589">
        <f>INDEX('Cover Page'!$H$12:$AJ$12,MATCH($A1568,'Cover Page'!$H$5:$AJ$5,0))</f>
        <v>6.6666666666666666E-2</v>
      </c>
      <c r="Y1568" s="589">
        <f>INDEX('Cover Page'!$H$12:$AJ$12,MATCH($A1568,'Cover Page'!$H$5:$AJ$5,0))</f>
        <v>6.6666666666666666E-2</v>
      </c>
      <c r="Z1568" s="589">
        <f>INDEX('Cover Page'!$H$12:$AJ$12,MATCH($A1568,'Cover Page'!$H$5:$AJ$5,0))</f>
        <v>6.6666666666666666E-2</v>
      </c>
      <c r="AA1568" s="589"/>
      <c r="AB1568" s="589"/>
      <c r="AC1568" s="589"/>
      <c r="AD1568" s="589"/>
      <c r="AE1568" s="589"/>
      <c r="AF1568" s="589"/>
      <c r="AG1568" s="589"/>
      <c r="AH1568" s="589"/>
      <c r="AI1568" s="589"/>
      <c r="AJ1568" s="589"/>
      <c r="AL1568" s="324"/>
    </row>
    <row r="1569" spans="1:38" s="1" customFormat="1" x14ac:dyDescent="0.25">
      <c r="A1569" s="1" t="s">
        <v>862</v>
      </c>
      <c r="H1569" s="585" t="s">
        <v>490</v>
      </c>
      <c r="I1569" s="586" t="str">
        <f t="shared" si="1258"/>
        <v>tr. VND/tấn</v>
      </c>
      <c r="K1569" s="585"/>
      <c r="L1569" s="590">
        <f t="shared" ref="L1569:AJ1569" si="1286">L1566*(1+L1568)</f>
        <v>57.700906757864708</v>
      </c>
      <c r="M1569" s="590">
        <f t="shared" si="1286"/>
        <v>50.199468006093184</v>
      </c>
      <c r="N1569" s="590">
        <f t="shared" si="1286"/>
        <v>45.550824175945046</v>
      </c>
      <c r="O1569" s="590">
        <f t="shared" si="1286"/>
        <v>46.318328761571735</v>
      </c>
      <c r="P1569" s="590">
        <f t="shared" si="1286"/>
        <v>47.103222503959259</v>
      </c>
      <c r="Q1569" s="590">
        <f t="shared" si="1286"/>
        <v>47.905781851353083</v>
      </c>
      <c r="R1569" s="590">
        <f t="shared" si="1286"/>
        <v>48.726273084049176</v>
      </c>
      <c r="S1569" s="590">
        <f t="shared" si="1286"/>
        <v>49.564950477077353</v>
      </c>
      <c r="T1569" s="590">
        <f t="shared" si="1286"/>
        <v>50.422054285002609</v>
      </c>
      <c r="U1569" s="590">
        <f t="shared" si="1286"/>
        <v>51.297808534069418</v>
      </c>
      <c r="V1569" s="590">
        <f t="shared" si="1286"/>
        <v>52.192418605766072</v>
      </c>
      <c r="W1569" s="590">
        <f t="shared" si="1286"/>
        <v>53.106068594653038</v>
      </c>
      <c r="X1569" s="590">
        <f t="shared" si="1286"/>
        <v>49.550403279036125</v>
      </c>
      <c r="Y1569" s="590">
        <f t="shared" si="1286"/>
        <v>50.502585542199924</v>
      </c>
      <c r="Z1569" s="590">
        <f t="shared" si="1286"/>
        <v>51.474202078707748</v>
      </c>
      <c r="AA1569" s="590"/>
      <c r="AB1569" s="590"/>
      <c r="AC1569" s="590"/>
      <c r="AD1569" s="590"/>
      <c r="AE1569" s="590"/>
      <c r="AF1569" s="590"/>
      <c r="AG1569" s="590"/>
      <c r="AH1569" s="590"/>
      <c r="AI1569" s="590"/>
      <c r="AJ1569" s="590"/>
      <c r="AL1569" s="1006"/>
    </row>
    <row r="1570" spans="1:38" x14ac:dyDescent="0.25">
      <c r="A1570" t="s">
        <v>862</v>
      </c>
      <c r="H1570" s="558" t="s">
        <v>292</v>
      </c>
      <c r="I1570" s="559" t="str">
        <f t="shared" si="1258"/>
        <v>tr. VND/tấn</v>
      </c>
      <c r="K1570" s="558"/>
      <c r="L1570" s="591">
        <f t="shared" ref="L1570:AJ1570" si="1287">Tax_rate</f>
        <v>0.2</v>
      </c>
      <c r="M1570" s="591">
        <f t="shared" si="1287"/>
        <v>0.2</v>
      </c>
      <c r="N1570" s="591">
        <f t="shared" si="1287"/>
        <v>0.2</v>
      </c>
      <c r="O1570" s="591">
        <f t="shared" si="1287"/>
        <v>0.2</v>
      </c>
      <c r="P1570" s="591">
        <f t="shared" si="1287"/>
        <v>0.2</v>
      </c>
      <c r="Q1570" s="591">
        <f t="shared" si="1287"/>
        <v>0.2</v>
      </c>
      <c r="R1570" s="591">
        <f t="shared" si="1287"/>
        <v>0.2</v>
      </c>
      <c r="S1570" s="591">
        <f t="shared" si="1287"/>
        <v>0.2</v>
      </c>
      <c r="T1570" s="591">
        <f t="shared" si="1287"/>
        <v>0.2</v>
      </c>
      <c r="U1570" s="591">
        <f t="shared" si="1287"/>
        <v>0.2</v>
      </c>
      <c r="V1570" s="591">
        <f t="shared" si="1287"/>
        <v>0.2</v>
      </c>
      <c r="W1570" s="591">
        <f t="shared" si="1287"/>
        <v>0.2</v>
      </c>
      <c r="X1570" s="591">
        <f t="shared" si="1287"/>
        <v>0.2</v>
      </c>
      <c r="Y1570" s="591">
        <f t="shared" si="1287"/>
        <v>0.2</v>
      </c>
      <c r="Z1570" s="591">
        <f t="shared" si="1287"/>
        <v>0.2</v>
      </c>
      <c r="AA1570" s="591"/>
      <c r="AB1570" s="591"/>
      <c r="AC1570" s="591"/>
      <c r="AD1570" s="591"/>
      <c r="AE1570" s="591"/>
      <c r="AF1570" s="591"/>
      <c r="AG1570" s="591"/>
      <c r="AH1570" s="591"/>
      <c r="AI1570" s="591"/>
      <c r="AJ1570" s="591"/>
      <c r="AL1570" s="324"/>
    </row>
    <row r="1571" spans="1:38" s="1" customFormat="1" x14ac:dyDescent="0.25">
      <c r="A1571" s="1" t="s">
        <v>862</v>
      </c>
      <c r="H1571" s="585" t="s">
        <v>491</v>
      </c>
      <c r="I1571" s="586" t="str">
        <f t="shared" si="1258"/>
        <v>tr. VND/tấn</v>
      </c>
      <c r="K1571" s="585"/>
      <c r="L1571" s="590">
        <f>(L1569-L1566)*(1-L1570)</f>
        <v>2.8850453378932346</v>
      </c>
      <c r="M1571" s="590">
        <f t="shared" ref="M1571:AJ1571" si="1288">(M1569-M1566)*(1-M1570)</f>
        <v>2.5099734003046592</v>
      </c>
      <c r="N1571" s="590">
        <f t="shared" si="1288"/>
        <v>2.277541208797254</v>
      </c>
      <c r="O1571" s="590">
        <f t="shared" si="1288"/>
        <v>2.3159164380785855</v>
      </c>
      <c r="P1571" s="590">
        <f t="shared" si="1288"/>
        <v>2.3551611251979638</v>
      </c>
      <c r="Q1571" s="590">
        <f t="shared" si="1288"/>
        <v>2.3952890925676513</v>
      </c>
      <c r="R1571" s="590">
        <f t="shared" si="1288"/>
        <v>2.4363136542024564</v>
      </c>
      <c r="S1571" s="590">
        <f t="shared" si="1288"/>
        <v>2.4782475238538666</v>
      </c>
      <c r="T1571" s="590">
        <f t="shared" si="1288"/>
        <v>2.5211027142501283</v>
      </c>
      <c r="U1571" s="590">
        <f t="shared" si="1288"/>
        <v>2.5648904267034709</v>
      </c>
      <c r="V1571" s="590">
        <f t="shared" si="1288"/>
        <v>2.6096209302883042</v>
      </c>
      <c r="W1571" s="590">
        <f t="shared" si="1288"/>
        <v>2.6553034297326521</v>
      </c>
      <c r="X1571" s="590">
        <f t="shared" si="1288"/>
        <v>2.4775201639518061</v>
      </c>
      <c r="Y1571" s="590">
        <f t="shared" si="1288"/>
        <v>2.5251292771099942</v>
      </c>
      <c r="Z1571" s="590">
        <f t="shared" si="1288"/>
        <v>2.5737101039353889</v>
      </c>
      <c r="AA1571" s="590"/>
      <c r="AB1571" s="590"/>
      <c r="AC1571" s="590"/>
      <c r="AD1571" s="590"/>
      <c r="AE1571" s="590"/>
      <c r="AF1571" s="590"/>
      <c r="AG1571" s="590"/>
      <c r="AH1571" s="590"/>
      <c r="AI1571" s="590"/>
      <c r="AJ1571" s="590"/>
      <c r="AL1571" s="1006"/>
    </row>
    <row r="1572" spans="1:38" s="146" customFormat="1" x14ac:dyDescent="0.25">
      <c r="A1572" s="146" t="s">
        <v>862</v>
      </c>
      <c r="H1572" s="587" t="s">
        <v>492</v>
      </c>
      <c r="I1572" s="588"/>
      <c r="K1572" s="587"/>
      <c r="L1572" s="592">
        <f>IFERROR(L1571/L1569,0)</f>
        <v>4.9999999999999989E-2</v>
      </c>
      <c r="M1572" s="592">
        <f>IFERROR(M1571/M1569,0)</f>
        <v>0.05</v>
      </c>
      <c r="N1572" s="592">
        <f t="shared" ref="N1572:AJ1572" si="1289">IFERROR(N1571/N1569,0)</f>
        <v>5.0000000000000037E-2</v>
      </c>
      <c r="O1572" s="592">
        <f t="shared" si="1289"/>
        <v>4.9999999999999975E-2</v>
      </c>
      <c r="P1572" s="592">
        <f t="shared" si="1289"/>
        <v>5.0000000000000017E-2</v>
      </c>
      <c r="Q1572" s="592">
        <f t="shared" si="1289"/>
        <v>4.999999999999994E-2</v>
      </c>
      <c r="R1572" s="592">
        <f t="shared" si="1289"/>
        <v>4.9999999999999954E-2</v>
      </c>
      <c r="S1572" s="592">
        <f t="shared" si="1289"/>
        <v>4.9999999999999982E-2</v>
      </c>
      <c r="T1572" s="592">
        <f t="shared" si="1289"/>
        <v>4.9999999999999961E-2</v>
      </c>
      <c r="U1572" s="592">
        <f t="shared" si="1289"/>
        <v>0.05</v>
      </c>
      <c r="V1572" s="592">
        <f t="shared" si="1289"/>
        <v>5.000000000000001E-2</v>
      </c>
      <c r="W1572" s="592">
        <f t="shared" si="1289"/>
        <v>0.05</v>
      </c>
      <c r="X1572" s="592">
        <f t="shared" si="1289"/>
        <v>4.9999999999999996E-2</v>
      </c>
      <c r="Y1572" s="592">
        <f t="shared" si="1289"/>
        <v>4.9999999999999961E-2</v>
      </c>
      <c r="Z1572" s="592">
        <f t="shared" si="1289"/>
        <v>5.0000000000000031E-2</v>
      </c>
      <c r="AA1572" s="592"/>
      <c r="AB1572" s="592"/>
      <c r="AC1572" s="592"/>
      <c r="AD1572" s="592"/>
      <c r="AE1572" s="592"/>
      <c r="AF1572" s="592"/>
      <c r="AG1572" s="592"/>
      <c r="AH1572" s="592"/>
      <c r="AI1572" s="592"/>
      <c r="AJ1572" s="592"/>
      <c r="AL1572" s="1009"/>
    </row>
    <row r="1573" spans="1:38" x14ac:dyDescent="0.25">
      <c r="A1573" t="s">
        <v>862</v>
      </c>
    </row>
    <row r="1574" spans="1:38" s="24" customFormat="1" ht="17.25" x14ac:dyDescent="0.3">
      <c r="A1574" s="24" t="s">
        <v>862</v>
      </c>
      <c r="H1574" s="644" t="s">
        <v>476</v>
      </c>
      <c r="I1574" s="644"/>
      <c r="K1574" s="644"/>
      <c r="L1574" s="644"/>
      <c r="M1574" s="644"/>
      <c r="N1574" s="644"/>
      <c r="O1574" s="644"/>
      <c r="P1574" s="644"/>
      <c r="Q1574" s="644"/>
      <c r="R1574" s="644"/>
      <c r="S1574" s="644"/>
      <c r="T1574" s="644"/>
      <c r="U1574" s="644"/>
      <c r="V1574" s="644"/>
      <c r="W1574" s="644"/>
      <c r="X1574" s="644"/>
      <c r="Y1574" s="644"/>
      <c r="Z1574" s="644"/>
      <c r="AA1574" s="644"/>
      <c r="AB1574" s="644"/>
      <c r="AC1574" s="644"/>
      <c r="AD1574" s="644"/>
      <c r="AE1574" s="644"/>
      <c r="AF1574" s="644"/>
      <c r="AG1574" s="644"/>
      <c r="AH1574" s="644"/>
      <c r="AI1574" s="644"/>
      <c r="AJ1574" s="644"/>
    </row>
    <row r="1575" spans="1:38" s="1" customFormat="1" x14ac:dyDescent="0.25">
      <c r="A1575" s="1" t="s">
        <v>862</v>
      </c>
      <c r="H1575" s="287" t="s">
        <v>434</v>
      </c>
      <c r="I1575" s="288" t="str">
        <f>IF($H$9="USD","USD/1.000 phôi","VND/phôi")</f>
        <v>VND/phôi</v>
      </c>
      <c r="K1575" s="293">
        <f t="shared" ref="K1575" si="1290">SUM(K1576:K1577,K1580:K1583,)</f>
        <v>0</v>
      </c>
      <c r="L1575" s="293">
        <f>SUM(L1576:L1577,L1580:L1583,)</f>
        <v>241.92053240441103</v>
      </c>
      <c r="M1575" s="293">
        <f t="shared" ref="M1575:AJ1575" si="1291">SUM(M1576:M1577,M1580:M1583,)</f>
        <v>172.80038028886503</v>
      </c>
      <c r="N1575" s="293">
        <f t="shared" si="1291"/>
        <v>123.13803249913229</v>
      </c>
      <c r="O1575" s="293">
        <f t="shared" si="1291"/>
        <v>125.42468711090538</v>
      </c>
      <c r="P1575" s="293">
        <f t="shared" si="1291"/>
        <v>127.82567445326717</v>
      </c>
      <c r="Q1575" s="293">
        <f t="shared" si="1291"/>
        <v>130.34671116274703</v>
      </c>
      <c r="R1575" s="293">
        <f t="shared" si="1291"/>
        <v>132.99379970770087</v>
      </c>
      <c r="S1575" s="293">
        <f t="shared" si="1291"/>
        <v>135.77324267990244</v>
      </c>
      <c r="T1575" s="293">
        <f t="shared" si="1291"/>
        <v>138.69165780071404</v>
      </c>
      <c r="U1575" s="293">
        <f t="shared" si="1291"/>
        <v>141.75599367756624</v>
      </c>
      <c r="V1575" s="293">
        <f t="shared" si="1291"/>
        <v>144.97354634826104</v>
      </c>
      <c r="W1575" s="293">
        <f t="shared" si="1291"/>
        <v>148.35197665249063</v>
      </c>
      <c r="X1575" s="293">
        <f t="shared" si="1291"/>
        <v>91.207266743515888</v>
      </c>
      <c r="Y1575" s="293">
        <f t="shared" si="1291"/>
        <v>94.931986153928946</v>
      </c>
      <c r="Z1575" s="293">
        <f t="shared" si="1291"/>
        <v>98.842941534862703</v>
      </c>
      <c r="AA1575" s="293"/>
      <c r="AB1575" s="293"/>
      <c r="AC1575" s="293"/>
      <c r="AD1575" s="293"/>
      <c r="AE1575" s="293"/>
      <c r="AF1575" s="293"/>
      <c r="AG1575" s="293"/>
      <c r="AH1575" s="293"/>
      <c r="AI1575" s="293"/>
      <c r="AJ1575" s="293"/>
    </row>
    <row r="1576" spans="1:38" x14ac:dyDescent="0.25">
      <c r="A1576" t="s">
        <v>862</v>
      </c>
      <c r="E1576" t="s">
        <v>173</v>
      </c>
      <c r="H1576" s="572" t="s">
        <v>190</v>
      </c>
      <c r="I1576" s="573" t="str">
        <f t="shared" ref="I1576:I1583" si="1292">IF($H$9="USD","USD/1.000 phôi","VND/phôi")</f>
        <v>VND/phôi</v>
      </c>
      <c r="K1576" s="578"/>
      <c r="L1576" s="579">
        <f t="shared" ref="L1576:AJ1576" si="1293">-IF($H$9="USD",L1506/L1495/$H$10*10^3,L1506/L1495/$H$10)</f>
        <v>150.44368355925502</v>
      </c>
      <c r="M1576" s="579">
        <f t="shared" si="1293"/>
        <v>107.45977397089644</v>
      </c>
      <c r="N1576" s="579">
        <f t="shared" si="1293"/>
        <v>75.221841779627511</v>
      </c>
      <c r="O1576" s="579">
        <f t="shared" si="1293"/>
        <v>75.221841779627511</v>
      </c>
      <c r="P1576" s="579">
        <f t="shared" si="1293"/>
        <v>75.221841779627511</v>
      </c>
      <c r="Q1576" s="579">
        <f t="shared" si="1293"/>
        <v>75.221841779627511</v>
      </c>
      <c r="R1576" s="579">
        <f t="shared" si="1293"/>
        <v>75.221841779627511</v>
      </c>
      <c r="S1576" s="579">
        <f t="shared" si="1293"/>
        <v>75.221841779627511</v>
      </c>
      <c r="T1576" s="579">
        <f t="shared" si="1293"/>
        <v>75.221841779627511</v>
      </c>
      <c r="U1576" s="579">
        <f t="shared" si="1293"/>
        <v>75.221841779627511</v>
      </c>
      <c r="V1576" s="579">
        <f t="shared" si="1293"/>
        <v>75.221841779627511</v>
      </c>
      <c r="W1576" s="579">
        <f t="shared" si="1293"/>
        <v>75.221841779627511</v>
      </c>
      <c r="X1576" s="579">
        <f t="shared" si="1293"/>
        <v>14.529780051211779</v>
      </c>
      <c r="Y1576" s="579">
        <f t="shared" si="1293"/>
        <v>14.529780051211779</v>
      </c>
      <c r="Z1576" s="579">
        <f t="shared" si="1293"/>
        <v>14.529780051211779</v>
      </c>
      <c r="AA1576" s="579"/>
      <c r="AB1576" s="579"/>
      <c r="AC1576" s="579"/>
      <c r="AD1576" s="579"/>
      <c r="AE1576" s="579"/>
      <c r="AF1576" s="579"/>
      <c r="AG1576" s="579"/>
      <c r="AH1576" s="579"/>
      <c r="AI1576" s="579"/>
      <c r="AJ1576" s="579"/>
    </row>
    <row r="1577" spans="1:38" x14ac:dyDescent="0.25">
      <c r="A1577" t="s">
        <v>862</v>
      </c>
      <c r="H1577" s="574" t="s">
        <v>429</v>
      </c>
      <c r="I1577" s="575" t="str">
        <f t="shared" si="1292"/>
        <v>VND/phôi</v>
      </c>
      <c r="K1577" s="580">
        <f>SUM(K1578:K1579)</f>
        <v>0</v>
      </c>
      <c r="L1577" s="580">
        <f t="shared" ref="L1577:AJ1577" si="1294">SUM(L1578:L1579)</f>
        <v>29.115063862219181</v>
      </c>
      <c r="M1577" s="580">
        <f t="shared" si="1294"/>
        <v>20.79647418729942</v>
      </c>
      <c r="N1577" s="580">
        <f t="shared" si="1294"/>
        <v>15.285408527665071</v>
      </c>
      <c r="O1577" s="580">
        <f t="shared" si="1294"/>
        <v>16.049678954048325</v>
      </c>
      <c r="P1577" s="580">
        <f t="shared" si="1294"/>
        <v>16.852162901750745</v>
      </c>
      <c r="Q1577" s="580">
        <f t="shared" si="1294"/>
        <v>17.69477104683828</v>
      </c>
      <c r="R1577" s="580">
        <f t="shared" si="1294"/>
        <v>18.579509599180195</v>
      </c>
      <c r="S1577" s="580">
        <f t="shared" si="1294"/>
        <v>19.508485079139202</v>
      </c>
      <c r="T1577" s="580">
        <f t="shared" si="1294"/>
        <v>20.483909333096165</v>
      </c>
      <c r="U1577" s="580">
        <f t="shared" si="1294"/>
        <v>21.508104799750974</v>
      </c>
      <c r="V1577" s="580">
        <f t="shared" si="1294"/>
        <v>22.58351003973852</v>
      </c>
      <c r="W1577" s="580">
        <f t="shared" si="1294"/>
        <v>23.712685541725449</v>
      </c>
      <c r="X1577" s="580">
        <f t="shared" si="1294"/>
        <v>24.898319818811725</v>
      </c>
      <c r="Y1577" s="580">
        <f t="shared" si="1294"/>
        <v>26.143235809752301</v>
      </c>
      <c r="Z1577" s="580">
        <f t="shared" si="1294"/>
        <v>27.450397600239924</v>
      </c>
      <c r="AA1577" s="580"/>
      <c r="AB1577" s="580"/>
      <c r="AC1577" s="580"/>
      <c r="AD1577" s="580"/>
      <c r="AE1577" s="580"/>
      <c r="AF1577" s="580"/>
      <c r="AG1577" s="580"/>
      <c r="AH1577" s="580"/>
      <c r="AI1577" s="580"/>
      <c r="AJ1577" s="580"/>
    </row>
    <row r="1578" spans="1:38" s="299" customFormat="1" x14ac:dyDescent="0.25">
      <c r="A1578" s="299" t="s">
        <v>862</v>
      </c>
      <c r="E1578" s="299" t="s">
        <v>171</v>
      </c>
      <c r="H1578" s="576" t="s">
        <v>430</v>
      </c>
      <c r="I1578" s="577" t="str">
        <f t="shared" si="1292"/>
        <v>VND/phôi</v>
      </c>
      <c r="K1578" s="581"/>
      <c r="L1578" s="581">
        <f t="shared" ref="L1578:AJ1578" si="1295">-IF($H$9="USD",L1508/L1495/$H$10*10^3,L1508/L1495/$H$10)</f>
        <v>4.7599559447769781</v>
      </c>
      <c r="M1578" s="581">
        <f t="shared" si="1295"/>
        <v>3.3999685319835566</v>
      </c>
      <c r="N1578" s="581">
        <f t="shared" si="1295"/>
        <v>2.4989768710079137</v>
      </c>
      <c r="O1578" s="581">
        <f t="shared" si="1295"/>
        <v>2.6239257145583097</v>
      </c>
      <c r="P1578" s="581">
        <f t="shared" si="1295"/>
        <v>2.7551220002862253</v>
      </c>
      <c r="Q1578" s="581">
        <f t="shared" si="1295"/>
        <v>2.8928781003005359</v>
      </c>
      <c r="R1578" s="581">
        <f t="shared" si="1295"/>
        <v>3.0375220053155632</v>
      </c>
      <c r="S1578" s="581">
        <f t="shared" si="1295"/>
        <v>3.1893981055813412</v>
      </c>
      <c r="T1578" s="581">
        <f t="shared" si="1295"/>
        <v>3.3488680108604085</v>
      </c>
      <c r="U1578" s="581">
        <f t="shared" si="1295"/>
        <v>3.5163114114034286</v>
      </c>
      <c r="V1578" s="581">
        <f t="shared" si="1295"/>
        <v>3.6921269819736002</v>
      </c>
      <c r="W1578" s="581">
        <f t="shared" si="1295"/>
        <v>3.8767333310722805</v>
      </c>
      <c r="X1578" s="581">
        <f t="shared" si="1295"/>
        <v>4.0705699976258947</v>
      </c>
      <c r="Y1578" s="581">
        <f t="shared" si="1295"/>
        <v>4.2740984975071887</v>
      </c>
      <c r="Z1578" s="581">
        <f t="shared" si="1295"/>
        <v>4.4878034223825489</v>
      </c>
      <c r="AA1578" s="581"/>
      <c r="AB1578" s="581"/>
      <c r="AC1578" s="581"/>
      <c r="AD1578" s="581"/>
      <c r="AE1578" s="581"/>
      <c r="AF1578" s="581"/>
      <c r="AG1578" s="581"/>
      <c r="AH1578" s="581"/>
      <c r="AI1578" s="581"/>
      <c r="AJ1578" s="581"/>
    </row>
    <row r="1579" spans="1:38" s="299" customFormat="1" x14ac:dyDescent="0.25">
      <c r="A1579" s="299" t="s">
        <v>862</v>
      </c>
      <c r="E1579" s="299" t="s">
        <v>171</v>
      </c>
      <c r="H1579" s="576" t="s">
        <v>431</v>
      </c>
      <c r="I1579" s="577" t="str">
        <f t="shared" si="1292"/>
        <v>VND/phôi</v>
      </c>
      <c r="K1579" s="581"/>
      <c r="L1579" s="581">
        <f t="shared" ref="L1579:AJ1579" si="1296">-IF($H$9="USD",L1509/L1495/$H$10*10^3,L1509/L1495/$H$10)</f>
        <v>24.355107917442204</v>
      </c>
      <c r="M1579" s="581">
        <f t="shared" si="1296"/>
        <v>17.396505655315863</v>
      </c>
      <c r="N1579" s="581">
        <f t="shared" si="1296"/>
        <v>12.786431656657157</v>
      </c>
      <c r="O1579" s="581">
        <f t="shared" si="1296"/>
        <v>13.425753239490016</v>
      </c>
      <c r="P1579" s="581">
        <f t="shared" si="1296"/>
        <v>14.097040901464521</v>
      </c>
      <c r="Q1579" s="581">
        <f t="shared" si="1296"/>
        <v>14.801892946537743</v>
      </c>
      <c r="R1579" s="581">
        <f t="shared" si="1296"/>
        <v>15.541987593864631</v>
      </c>
      <c r="S1579" s="581">
        <f t="shared" si="1296"/>
        <v>16.319086973557862</v>
      </c>
      <c r="T1579" s="581">
        <f t="shared" si="1296"/>
        <v>17.135041322235757</v>
      </c>
      <c r="U1579" s="581">
        <f t="shared" si="1296"/>
        <v>17.991793388347546</v>
      </c>
      <c r="V1579" s="581">
        <f t="shared" si="1296"/>
        <v>18.891383057764919</v>
      </c>
      <c r="W1579" s="581">
        <f t="shared" si="1296"/>
        <v>19.835952210653168</v>
      </c>
      <c r="X1579" s="581">
        <f t="shared" si="1296"/>
        <v>20.827749821185829</v>
      </c>
      <c r="Y1579" s="581">
        <f t="shared" si="1296"/>
        <v>21.869137312245112</v>
      </c>
      <c r="Z1579" s="581">
        <f t="shared" si="1296"/>
        <v>22.962594177857376</v>
      </c>
      <c r="AA1579" s="581"/>
      <c r="AB1579" s="581"/>
      <c r="AC1579" s="581"/>
      <c r="AD1579" s="581"/>
      <c r="AE1579" s="581"/>
      <c r="AF1579" s="581"/>
      <c r="AG1579" s="581"/>
      <c r="AH1579" s="581"/>
      <c r="AI1579" s="581"/>
      <c r="AJ1579" s="581"/>
    </row>
    <row r="1580" spans="1:38" x14ac:dyDescent="0.25">
      <c r="A1580" t="s">
        <v>862</v>
      </c>
      <c r="E1580" t="s">
        <v>172</v>
      </c>
      <c r="H1580" s="574" t="s">
        <v>656</v>
      </c>
      <c r="I1580" s="575" t="str">
        <f t="shared" si="1292"/>
        <v>VND/phôi</v>
      </c>
      <c r="K1580" s="580"/>
      <c r="L1580" s="580">
        <f t="shared" ref="L1580:AJ1580" si="1297">-IF($H$9="USD",L1510/L1495/$H$10*10^3,L1510/L1495/$H$10)</f>
        <v>11.623824040969422</v>
      </c>
      <c r="M1580" s="580">
        <f t="shared" si="1297"/>
        <v>8.3027314578353018</v>
      </c>
      <c r="N1580" s="580">
        <f t="shared" si="1297"/>
        <v>6.1025076215089467</v>
      </c>
      <c r="O1580" s="580">
        <f t="shared" si="1297"/>
        <v>6.4076330025843937</v>
      </c>
      <c r="P1580" s="580">
        <f t="shared" si="1297"/>
        <v>6.7280146527136147</v>
      </c>
      <c r="Q1580" s="580">
        <f t="shared" si="1297"/>
        <v>7.064415385349295</v>
      </c>
      <c r="R1580" s="580">
        <f t="shared" si="1297"/>
        <v>7.4176361546167602</v>
      </c>
      <c r="S1580" s="580">
        <f t="shared" si="1297"/>
        <v>7.7885179623475977</v>
      </c>
      <c r="T1580" s="580">
        <f t="shared" si="1297"/>
        <v>8.1779438604649783</v>
      </c>
      <c r="U1580" s="580">
        <f t="shared" si="1297"/>
        <v>8.5868410534882269</v>
      </c>
      <c r="V1580" s="580">
        <f t="shared" si="1297"/>
        <v>9.0161831061626376</v>
      </c>
      <c r="W1580" s="580">
        <f t="shared" si="1297"/>
        <v>9.4669922614707716</v>
      </c>
      <c r="X1580" s="580">
        <f t="shared" si="1297"/>
        <v>9.9403418745443091</v>
      </c>
      <c r="Y1580" s="580">
        <f t="shared" si="1297"/>
        <v>10.437358968271525</v>
      </c>
      <c r="Z1580" s="580">
        <f t="shared" si="1297"/>
        <v>10.959226916685102</v>
      </c>
      <c r="AA1580" s="580"/>
      <c r="AB1580" s="580"/>
      <c r="AC1580" s="580"/>
      <c r="AD1580" s="580"/>
      <c r="AE1580" s="580"/>
      <c r="AF1580" s="580"/>
      <c r="AG1580" s="580"/>
      <c r="AH1580" s="580"/>
      <c r="AI1580" s="580"/>
      <c r="AJ1580" s="580"/>
    </row>
    <row r="1581" spans="1:38" x14ac:dyDescent="0.25">
      <c r="A1581" t="s">
        <v>862</v>
      </c>
      <c r="E1581" t="s">
        <v>172</v>
      </c>
      <c r="H1581" s="574" t="s">
        <v>432</v>
      </c>
      <c r="I1581" s="575" t="str">
        <f t="shared" si="1292"/>
        <v>VND/phôi</v>
      </c>
      <c r="K1581" s="580"/>
      <c r="L1581" s="580">
        <f t="shared" ref="L1581:AJ1581" si="1298">-IF($H$9="USD",L1511/L1495/$H$10*10^3,L1511/L1495/$H$10)</f>
        <v>43.698284444459318</v>
      </c>
      <c r="M1581" s="580">
        <f t="shared" si="1298"/>
        <v>31.213060317470944</v>
      </c>
      <c r="N1581" s="580">
        <f t="shared" si="1298"/>
        <v>22.941599333341141</v>
      </c>
      <c r="O1581" s="580">
        <f t="shared" si="1298"/>
        <v>24.088679300008199</v>
      </c>
      <c r="P1581" s="580">
        <f t="shared" si="1298"/>
        <v>25.293113265008611</v>
      </c>
      <c r="Q1581" s="580">
        <f t="shared" si="1298"/>
        <v>26.557768928259037</v>
      </c>
      <c r="R1581" s="580">
        <f t="shared" si="1298"/>
        <v>27.88565737467199</v>
      </c>
      <c r="S1581" s="580">
        <f t="shared" si="1298"/>
        <v>29.279940243405587</v>
      </c>
      <c r="T1581" s="580">
        <f t="shared" si="1298"/>
        <v>30.743937255575872</v>
      </c>
      <c r="U1581" s="580">
        <f t="shared" si="1298"/>
        <v>32.281134118354665</v>
      </c>
      <c r="V1581" s="580">
        <f t="shared" si="1298"/>
        <v>33.895190824272397</v>
      </c>
      <c r="W1581" s="580">
        <f t="shared" si="1298"/>
        <v>35.589950365486018</v>
      </c>
      <c r="X1581" s="580">
        <f t="shared" si="1298"/>
        <v>37.369447883760323</v>
      </c>
      <c r="Y1581" s="580">
        <f t="shared" si="1298"/>
        <v>39.237920277948334</v>
      </c>
      <c r="Z1581" s="580">
        <f t="shared" si="1298"/>
        <v>41.199816291845757</v>
      </c>
      <c r="AA1581" s="580"/>
      <c r="AB1581" s="580"/>
      <c r="AC1581" s="580"/>
      <c r="AD1581" s="580"/>
      <c r="AE1581" s="580"/>
      <c r="AF1581" s="580"/>
      <c r="AG1581" s="580"/>
      <c r="AH1581" s="580"/>
      <c r="AI1581" s="580"/>
      <c r="AJ1581" s="580"/>
    </row>
    <row r="1582" spans="1:38" x14ac:dyDescent="0.25">
      <c r="A1582" t="s">
        <v>862</v>
      </c>
      <c r="E1582" t="s">
        <v>172</v>
      </c>
      <c r="H1582" s="574" t="s">
        <v>433</v>
      </c>
      <c r="I1582" s="575" t="str">
        <f t="shared" si="1292"/>
        <v>VND/phôi</v>
      </c>
      <c r="K1582" s="580"/>
      <c r="L1582" s="580">
        <f t="shared" ref="L1582:AJ1582" si="1299">-IF($H$9="USD",L1512/L1495/$H$10*10^3,L1512/L1495/$H$10)</f>
        <v>2.6734795294229672</v>
      </c>
      <c r="M1582" s="580">
        <f t="shared" si="1299"/>
        <v>1.9096282353021197</v>
      </c>
      <c r="N1582" s="580">
        <f t="shared" si="1299"/>
        <v>1.4035767529470577</v>
      </c>
      <c r="O1582" s="580">
        <f t="shared" si="1299"/>
        <v>1.4737555905944109</v>
      </c>
      <c r="P1582" s="580">
        <f t="shared" si="1299"/>
        <v>1.5474433701241312</v>
      </c>
      <c r="Q1582" s="580">
        <f t="shared" si="1299"/>
        <v>1.624815538630338</v>
      </c>
      <c r="R1582" s="580">
        <f t="shared" si="1299"/>
        <v>1.7060563155618549</v>
      </c>
      <c r="S1582" s="580">
        <f t="shared" si="1299"/>
        <v>1.7913591313399475</v>
      </c>
      <c r="T1582" s="580">
        <f t="shared" si="1299"/>
        <v>1.8809270879069451</v>
      </c>
      <c r="U1582" s="580">
        <f t="shared" si="1299"/>
        <v>1.9749734423022924</v>
      </c>
      <c r="V1582" s="580">
        <f t="shared" si="1299"/>
        <v>2.0737221144174067</v>
      </c>
      <c r="W1582" s="580">
        <f t="shared" si="1299"/>
        <v>2.1774082201382772</v>
      </c>
      <c r="X1582" s="580">
        <f t="shared" si="1299"/>
        <v>2.2862786311451915</v>
      </c>
      <c r="Y1582" s="580">
        <f t="shared" si="1299"/>
        <v>2.4005925627024505</v>
      </c>
      <c r="Z1582" s="580">
        <f t="shared" si="1299"/>
        <v>2.5206221908375732</v>
      </c>
      <c r="AA1582" s="580"/>
      <c r="AB1582" s="580"/>
      <c r="AC1582" s="580"/>
      <c r="AD1582" s="580"/>
      <c r="AE1582" s="580"/>
      <c r="AF1582" s="580"/>
      <c r="AG1582" s="580"/>
      <c r="AH1582" s="580"/>
      <c r="AI1582" s="580"/>
      <c r="AJ1582" s="580"/>
    </row>
    <row r="1583" spans="1:38" x14ac:dyDescent="0.25">
      <c r="A1583" t="s">
        <v>862</v>
      </c>
      <c r="E1583" t="s">
        <v>172</v>
      </c>
      <c r="H1583" s="574" t="s">
        <v>520</v>
      </c>
      <c r="I1583" s="575" t="str">
        <f t="shared" si="1292"/>
        <v>VND/phôi</v>
      </c>
      <c r="K1583" s="580"/>
      <c r="L1583" s="580">
        <f t="shared" ref="L1583:AJ1583" si="1300">-IF($H$9="USD",L1513/L1495/$H$10*10^3,L1513/L1495/$H$10)</f>
        <v>4.3661969680851325</v>
      </c>
      <c r="M1583" s="580">
        <f t="shared" si="1300"/>
        <v>3.1187121200608092</v>
      </c>
      <c r="N1583" s="580">
        <f t="shared" si="1300"/>
        <v>2.1830984840425662</v>
      </c>
      <c r="O1583" s="580">
        <f t="shared" si="1300"/>
        <v>2.1830984840425662</v>
      </c>
      <c r="P1583" s="580">
        <f t="shared" si="1300"/>
        <v>2.1830984840425662</v>
      </c>
      <c r="Q1583" s="580">
        <f t="shared" si="1300"/>
        <v>2.1830984840425662</v>
      </c>
      <c r="R1583" s="580">
        <f t="shared" si="1300"/>
        <v>2.1830984840425662</v>
      </c>
      <c r="S1583" s="580">
        <f t="shared" si="1300"/>
        <v>2.1830984840425662</v>
      </c>
      <c r="T1583" s="580">
        <f t="shared" si="1300"/>
        <v>2.1830984840425662</v>
      </c>
      <c r="U1583" s="580">
        <f t="shared" si="1300"/>
        <v>2.1830984840425662</v>
      </c>
      <c r="V1583" s="580">
        <f t="shared" si="1300"/>
        <v>2.1830984840425662</v>
      </c>
      <c r="W1583" s="580">
        <f t="shared" si="1300"/>
        <v>2.1830984840425662</v>
      </c>
      <c r="X1583" s="580">
        <f t="shared" si="1300"/>
        <v>2.1830984840425662</v>
      </c>
      <c r="Y1583" s="580">
        <f t="shared" si="1300"/>
        <v>2.1830984840425662</v>
      </c>
      <c r="Z1583" s="580">
        <f t="shared" si="1300"/>
        <v>2.1830984840425662</v>
      </c>
      <c r="AA1583" s="580"/>
      <c r="AB1583" s="580"/>
      <c r="AC1583" s="580"/>
      <c r="AD1583" s="580"/>
      <c r="AE1583" s="580"/>
      <c r="AF1583" s="580"/>
      <c r="AG1583" s="580"/>
      <c r="AH1583" s="580"/>
      <c r="AI1583" s="580"/>
      <c r="AJ1583" s="580"/>
    </row>
    <row r="1584" spans="1:38" x14ac:dyDescent="0.25">
      <c r="A1584" t="s">
        <v>862</v>
      </c>
      <c r="H1584" s="289"/>
      <c r="I1584" s="290"/>
      <c r="K1584" s="294"/>
      <c r="L1584" s="294"/>
      <c r="M1584" s="294"/>
      <c r="N1584" s="294"/>
      <c r="O1584" s="294"/>
      <c r="P1584" s="294"/>
      <c r="Q1584" s="294"/>
      <c r="R1584" s="294"/>
      <c r="S1584" s="294"/>
      <c r="T1584" s="294"/>
      <c r="U1584" s="294"/>
      <c r="V1584" s="294"/>
      <c r="W1584" s="294"/>
      <c r="X1584" s="294"/>
      <c r="Y1584" s="294"/>
      <c r="Z1584" s="294"/>
      <c r="AA1584" s="294"/>
      <c r="AB1584" s="294"/>
      <c r="AC1584" s="294"/>
      <c r="AD1584" s="294"/>
      <c r="AE1584" s="294"/>
      <c r="AF1584" s="294"/>
      <c r="AG1584" s="294"/>
      <c r="AH1584" s="294"/>
      <c r="AI1584" s="294"/>
      <c r="AJ1584" s="294"/>
    </row>
    <row r="1585" spans="1:36" s="1" customFormat="1" x14ac:dyDescent="0.25">
      <c r="A1585" s="1" t="s">
        <v>862</v>
      </c>
      <c r="H1585" s="287" t="s">
        <v>435</v>
      </c>
      <c r="I1585" s="288" t="str">
        <f t="shared" ref="I1585:I1609" si="1301">IF($H$9="USD","USD/1.000 phôi","VND/phôi")</f>
        <v>VND/phôi</v>
      </c>
      <c r="K1585" s="295">
        <f>K1586+K1589+K1592</f>
        <v>0</v>
      </c>
      <c r="L1585" s="295">
        <f t="shared" ref="L1585:AJ1585" si="1302">L1586+L1589+L1592</f>
        <v>449.19330982664235</v>
      </c>
      <c r="M1585" s="295">
        <f t="shared" si="1302"/>
        <v>446.42850374202067</v>
      </c>
      <c r="N1585" s="295">
        <f t="shared" si="1302"/>
        <v>454.34041490211587</v>
      </c>
      <c r="O1585" s="295">
        <f t="shared" si="1302"/>
        <v>464.58365802475885</v>
      </c>
      <c r="P1585" s="295">
        <f t="shared" si="1302"/>
        <v>475.09268394869514</v>
      </c>
      <c r="Q1585" s="295">
        <f t="shared" si="1302"/>
        <v>485.87585422689295</v>
      </c>
      <c r="R1585" s="295">
        <f t="shared" si="1302"/>
        <v>496.94184993822643</v>
      </c>
      <c r="S1585" s="295">
        <f t="shared" si="1302"/>
        <v>508.29968569273683</v>
      </c>
      <c r="T1585" s="295">
        <f t="shared" si="1302"/>
        <v>519.95872429773522</v>
      </c>
      <c r="U1585" s="295">
        <f t="shared" si="1302"/>
        <v>531.92869211700133</v>
      </c>
      <c r="V1585" s="295">
        <f t="shared" si="1302"/>
        <v>544.21969515692911</v>
      </c>
      <c r="W1585" s="295">
        <f t="shared" si="1302"/>
        <v>556.84223591514524</v>
      </c>
      <c r="X1585" s="295">
        <f t="shared" si="1302"/>
        <v>567.37954855975329</v>
      </c>
      <c r="Y1585" s="295">
        <f t="shared" si="1302"/>
        <v>580.69834729315585</v>
      </c>
      <c r="Z1585" s="295">
        <f t="shared" si="1302"/>
        <v>594.38275090447803</v>
      </c>
      <c r="AA1585" s="295"/>
      <c r="AB1585" s="295"/>
      <c r="AC1585" s="295"/>
      <c r="AD1585" s="295"/>
      <c r="AE1585" s="295"/>
      <c r="AF1585" s="295"/>
      <c r="AG1585" s="295"/>
      <c r="AH1585" s="295"/>
      <c r="AI1585" s="295"/>
      <c r="AJ1585" s="295"/>
    </row>
    <row r="1586" spans="1:36" x14ac:dyDescent="0.25">
      <c r="A1586" t="s">
        <v>862</v>
      </c>
      <c r="H1586" s="572" t="s">
        <v>454</v>
      </c>
      <c r="I1586" s="573" t="str">
        <f t="shared" si="1301"/>
        <v>VND/phôi</v>
      </c>
      <c r="K1586" s="582">
        <f>SUM(K1587:K1588)</f>
        <v>0</v>
      </c>
      <c r="L1586" s="582">
        <f t="shared" ref="L1586:AJ1586" si="1303">SUM(L1587:L1588)</f>
        <v>402.58064516129031</v>
      </c>
      <c r="M1586" s="582">
        <f t="shared" si="1303"/>
        <v>402.58064516129042</v>
      </c>
      <c r="N1586" s="582">
        <f t="shared" si="1303"/>
        <v>410.63225806451618</v>
      </c>
      <c r="O1586" s="582">
        <f t="shared" si="1303"/>
        <v>418.84490322580649</v>
      </c>
      <c r="P1586" s="582">
        <f t="shared" si="1303"/>
        <v>427.22180129032256</v>
      </c>
      <c r="Q1586" s="582">
        <f t="shared" si="1303"/>
        <v>435.76623731612904</v>
      </c>
      <c r="R1586" s="582">
        <f t="shared" si="1303"/>
        <v>444.48156206245164</v>
      </c>
      <c r="S1586" s="582">
        <f t="shared" si="1303"/>
        <v>453.37119330370069</v>
      </c>
      <c r="T1586" s="582">
        <f t="shared" si="1303"/>
        <v>462.4386171697746</v>
      </c>
      <c r="U1586" s="582">
        <f t="shared" si="1303"/>
        <v>471.68738951317005</v>
      </c>
      <c r="V1586" s="582">
        <f t="shared" si="1303"/>
        <v>481.12113730343356</v>
      </c>
      <c r="W1586" s="582">
        <f t="shared" si="1303"/>
        <v>490.74356004950221</v>
      </c>
      <c r="X1586" s="582">
        <f t="shared" si="1303"/>
        <v>500.55843125049216</v>
      </c>
      <c r="Y1586" s="582">
        <f t="shared" si="1303"/>
        <v>510.56959987550215</v>
      </c>
      <c r="Z1586" s="582">
        <f t="shared" si="1303"/>
        <v>520.78099187301211</v>
      </c>
      <c r="AA1586" s="582"/>
      <c r="AB1586" s="582"/>
      <c r="AC1586" s="582"/>
      <c r="AD1586" s="582"/>
      <c r="AE1586" s="582"/>
      <c r="AF1586" s="582"/>
      <c r="AG1586" s="582"/>
      <c r="AH1586" s="582"/>
      <c r="AI1586" s="582"/>
      <c r="AJ1586" s="582"/>
    </row>
    <row r="1587" spans="1:36" s="299" customFormat="1" x14ac:dyDescent="0.25">
      <c r="A1587" s="299" t="s">
        <v>862</v>
      </c>
      <c r="E1587" s="299" t="s">
        <v>536</v>
      </c>
      <c r="H1587" s="576" t="s">
        <v>167</v>
      </c>
      <c r="I1587" s="577" t="str">
        <f t="shared" si="1301"/>
        <v>VND/phôi</v>
      </c>
      <c r="K1587" s="581"/>
      <c r="L1587" s="581">
        <f>-IF($H$9="USD",L1517/L1495/$H$10*10^3,L1517/L1495/$H$10)</f>
        <v>374.4</v>
      </c>
      <c r="M1587" s="581">
        <f t="shared" ref="M1587:AJ1587" si="1304">-IF($H$9="USD",M1517/M1495/$H$10*10^3,M1517/M1495/$H$10)</f>
        <v>374.40000000000003</v>
      </c>
      <c r="N1587" s="581">
        <f t="shared" si="1304"/>
        <v>381.88799999999998</v>
      </c>
      <c r="O1587" s="581">
        <f t="shared" si="1304"/>
        <v>389.52575999999999</v>
      </c>
      <c r="P1587" s="581">
        <f t="shared" si="1304"/>
        <v>397.31627519999995</v>
      </c>
      <c r="Q1587" s="581">
        <f t="shared" si="1304"/>
        <v>405.26260070400002</v>
      </c>
      <c r="R1587" s="581">
        <f t="shared" si="1304"/>
        <v>413.36785271808003</v>
      </c>
      <c r="S1587" s="581">
        <f t="shared" si="1304"/>
        <v>421.63520977244161</v>
      </c>
      <c r="T1587" s="581">
        <f t="shared" si="1304"/>
        <v>430.06791396789032</v>
      </c>
      <c r="U1587" s="581">
        <f t="shared" si="1304"/>
        <v>438.66927224724816</v>
      </c>
      <c r="V1587" s="581">
        <f t="shared" si="1304"/>
        <v>447.44265769219317</v>
      </c>
      <c r="W1587" s="581">
        <f t="shared" si="1304"/>
        <v>456.39151084603702</v>
      </c>
      <c r="X1587" s="581">
        <f t="shared" si="1304"/>
        <v>465.51934106295772</v>
      </c>
      <c r="Y1587" s="581">
        <f t="shared" si="1304"/>
        <v>474.82972788421694</v>
      </c>
      <c r="Z1587" s="581">
        <f t="shared" si="1304"/>
        <v>484.32632244190125</v>
      </c>
      <c r="AA1587" s="581"/>
      <c r="AB1587" s="581"/>
      <c r="AC1587" s="581"/>
      <c r="AD1587" s="581"/>
      <c r="AE1587" s="581"/>
      <c r="AF1587" s="581"/>
      <c r="AG1587" s="581"/>
      <c r="AH1587" s="581"/>
      <c r="AI1587" s="581"/>
      <c r="AJ1587" s="581"/>
    </row>
    <row r="1588" spans="1:36" s="299" customFormat="1" x14ac:dyDescent="0.25">
      <c r="A1588" s="299" t="s">
        <v>862</v>
      </c>
      <c r="E1588" s="299" t="s">
        <v>537</v>
      </c>
      <c r="H1588" s="645" t="s">
        <v>203</v>
      </c>
      <c r="I1588" s="646" t="str">
        <f t="shared" si="1301"/>
        <v>VND/phôi</v>
      </c>
      <c r="K1588" s="647"/>
      <c r="L1588" s="647">
        <f>-IF($H$9="USD",L1518/L1495/$H$10*10^3,L1518/L1495/$H$10)</f>
        <v>28.180645161290336</v>
      </c>
      <c r="M1588" s="647">
        <f t="shared" ref="M1588:AJ1588" si="1305">-IF($H$9="USD",M1518/M1495/$H$10*10^3,M1518/M1495/$H$10)</f>
        <v>28.180645161290371</v>
      </c>
      <c r="N1588" s="647">
        <f t="shared" si="1305"/>
        <v>28.744258064516178</v>
      </c>
      <c r="O1588" s="647">
        <f t="shared" si="1305"/>
        <v>29.319143225806506</v>
      </c>
      <c r="P1588" s="647">
        <f t="shared" si="1305"/>
        <v>29.905526090322624</v>
      </c>
      <c r="Q1588" s="647">
        <f t="shared" si="1305"/>
        <v>30.503636612129036</v>
      </c>
      <c r="R1588" s="647">
        <f t="shared" si="1305"/>
        <v>31.113709344371639</v>
      </c>
      <c r="S1588" s="647">
        <f t="shared" si="1305"/>
        <v>31.735983531259077</v>
      </c>
      <c r="T1588" s="647">
        <f t="shared" si="1305"/>
        <v>32.370703201884282</v>
      </c>
      <c r="U1588" s="647">
        <f t="shared" si="1305"/>
        <v>33.018117265921916</v>
      </c>
      <c r="V1588" s="647">
        <f t="shared" si="1305"/>
        <v>33.678479611240391</v>
      </c>
      <c r="W1588" s="647">
        <f t="shared" si="1305"/>
        <v>34.352049203465171</v>
      </c>
      <c r="X1588" s="647">
        <f t="shared" si="1305"/>
        <v>35.039090187534455</v>
      </c>
      <c r="Y1588" s="647">
        <f t="shared" si="1305"/>
        <v>35.739871991285206</v>
      </c>
      <c r="Z1588" s="647">
        <f t="shared" si="1305"/>
        <v>36.454669431110879</v>
      </c>
      <c r="AA1588" s="647"/>
      <c r="AB1588" s="647"/>
      <c r="AC1588" s="647"/>
      <c r="AD1588" s="647"/>
      <c r="AE1588" s="647"/>
      <c r="AF1588" s="647"/>
      <c r="AG1588" s="647"/>
      <c r="AH1588" s="647"/>
      <c r="AI1588" s="647"/>
      <c r="AJ1588" s="647"/>
    </row>
    <row r="1589" spans="1:36" x14ac:dyDescent="0.25">
      <c r="A1589" t="s">
        <v>862</v>
      </c>
      <c r="E1589" t="s">
        <v>177</v>
      </c>
      <c r="H1589" s="574" t="s">
        <v>676</v>
      </c>
      <c r="I1589" s="575" t="str">
        <f t="shared" si="1301"/>
        <v>VND/phôi</v>
      </c>
      <c r="K1589" s="583">
        <f>SUM(K1590:K1591)</f>
        <v>0</v>
      </c>
      <c r="L1589" s="583">
        <f t="shared" ref="L1589:AJ1589" si="1306">SUM(L1590:L1591)</f>
        <v>3.0630387096774192</v>
      </c>
      <c r="M1589" s="583">
        <f t="shared" si="1306"/>
        <v>3.0630387096774196</v>
      </c>
      <c r="N1589" s="583">
        <f t="shared" si="1306"/>
        <v>3.2161906451612912</v>
      </c>
      <c r="O1589" s="583">
        <f t="shared" si="1306"/>
        <v>3.377000177419355</v>
      </c>
      <c r="P1589" s="583">
        <f t="shared" si="1306"/>
        <v>3.5458501862903229</v>
      </c>
      <c r="Q1589" s="583">
        <f t="shared" si="1306"/>
        <v>3.7231426956048392</v>
      </c>
      <c r="R1589" s="583">
        <f t="shared" si="1306"/>
        <v>3.9092998303850814</v>
      </c>
      <c r="S1589" s="583">
        <f t="shared" si="1306"/>
        <v>4.1047648219043342</v>
      </c>
      <c r="T1589" s="583">
        <f t="shared" si="1306"/>
        <v>4.3100030629995523</v>
      </c>
      <c r="U1589" s="583">
        <f t="shared" si="1306"/>
        <v>4.525503216149529</v>
      </c>
      <c r="V1589" s="583">
        <f t="shared" si="1306"/>
        <v>4.7517783769570059</v>
      </c>
      <c r="W1589" s="583">
        <f t="shared" si="1306"/>
        <v>4.9893672958048558</v>
      </c>
      <c r="X1589" s="583">
        <f t="shared" si="1306"/>
        <v>5.2388356605950994</v>
      </c>
      <c r="Y1589" s="583">
        <f t="shared" si="1306"/>
        <v>5.5007774436248544</v>
      </c>
      <c r="Z1589" s="583">
        <f t="shared" si="1306"/>
        <v>5.7758163158060976</v>
      </c>
      <c r="AA1589" s="583"/>
      <c r="AB1589" s="583"/>
      <c r="AC1589" s="583"/>
      <c r="AD1589" s="583"/>
      <c r="AE1589" s="583"/>
      <c r="AF1589" s="583"/>
      <c r="AG1589" s="583"/>
      <c r="AH1589" s="583"/>
      <c r="AI1589" s="583"/>
      <c r="AJ1589" s="583"/>
    </row>
    <row r="1590" spans="1:36" s="299" customFormat="1" x14ac:dyDescent="0.25">
      <c r="A1590" s="299" t="s">
        <v>862</v>
      </c>
      <c r="H1590" s="576" t="s">
        <v>673</v>
      </c>
      <c r="I1590" s="577" t="str">
        <f t="shared" si="1301"/>
        <v>VND/phôi</v>
      </c>
      <c r="K1590" s="581"/>
      <c r="L1590" s="581">
        <f>-IF($H$9="USD",L1520/L1495/$H$10*10^3,L1520/L1495/$H$10)</f>
        <v>3.0630387096774192</v>
      </c>
      <c r="M1590" s="581">
        <f t="shared" ref="M1590:AJ1590" si="1307">-IF($H$9="USD",M1520/M1495/$H$10*10^3,M1520/M1495/$H$10)</f>
        <v>3.0630387096774196</v>
      </c>
      <c r="N1590" s="581">
        <f t="shared" si="1307"/>
        <v>3.2161906451612912</v>
      </c>
      <c r="O1590" s="581">
        <f t="shared" si="1307"/>
        <v>3.377000177419355</v>
      </c>
      <c r="P1590" s="581">
        <f t="shared" si="1307"/>
        <v>3.5458501862903229</v>
      </c>
      <c r="Q1590" s="581">
        <f t="shared" si="1307"/>
        <v>3.7231426956048392</v>
      </c>
      <c r="R1590" s="581">
        <f t="shared" si="1307"/>
        <v>3.9092998303850814</v>
      </c>
      <c r="S1590" s="581">
        <f t="shared" si="1307"/>
        <v>4.1047648219043342</v>
      </c>
      <c r="T1590" s="581">
        <f t="shared" si="1307"/>
        <v>4.3100030629995523</v>
      </c>
      <c r="U1590" s="581">
        <f t="shared" si="1307"/>
        <v>4.525503216149529</v>
      </c>
      <c r="V1590" s="581">
        <f t="shared" si="1307"/>
        <v>4.7517783769570059</v>
      </c>
      <c r="W1590" s="581">
        <f t="shared" si="1307"/>
        <v>4.9893672958048558</v>
      </c>
      <c r="X1590" s="581">
        <f t="shared" si="1307"/>
        <v>5.2388356605950994</v>
      </c>
      <c r="Y1590" s="581">
        <f t="shared" si="1307"/>
        <v>5.5007774436248544</v>
      </c>
      <c r="Z1590" s="581">
        <f t="shared" si="1307"/>
        <v>5.7758163158060976</v>
      </c>
      <c r="AA1590" s="581"/>
      <c r="AB1590" s="581"/>
      <c r="AC1590" s="581"/>
      <c r="AD1590" s="581"/>
      <c r="AE1590" s="581"/>
      <c r="AF1590" s="581"/>
      <c r="AG1590" s="581"/>
      <c r="AH1590" s="581"/>
      <c r="AI1590" s="581"/>
      <c r="AJ1590" s="581"/>
    </row>
    <row r="1591" spans="1:36" s="299" customFormat="1" x14ac:dyDescent="0.25">
      <c r="A1591" s="299" t="s">
        <v>862</v>
      </c>
      <c r="H1591" s="576" t="s">
        <v>674</v>
      </c>
      <c r="I1591" s="577" t="str">
        <f t="shared" si="1301"/>
        <v>VND/phôi</v>
      </c>
      <c r="K1591" s="581"/>
      <c r="L1591" s="581">
        <f>-IF($H$9="USD",L1521/L1495/$H$10*10^3,L1521/L1495/$H$10)</f>
        <v>0</v>
      </c>
      <c r="M1591" s="581">
        <f t="shared" ref="M1591:AJ1591" si="1308">-IF($H$9="USD",M1521/M1495/$H$10*10^3,M1521/M1495/$H$10)</f>
        <v>0</v>
      </c>
      <c r="N1591" s="581">
        <f t="shared" si="1308"/>
        <v>0</v>
      </c>
      <c r="O1591" s="581">
        <f t="shared" si="1308"/>
        <v>0</v>
      </c>
      <c r="P1591" s="581">
        <f t="shared" si="1308"/>
        <v>0</v>
      </c>
      <c r="Q1591" s="581">
        <f t="shared" si="1308"/>
        <v>0</v>
      </c>
      <c r="R1591" s="581">
        <f t="shared" si="1308"/>
        <v>0</v>
      </c>
      <c r="S1591" s="581">
        <f t="shared" si="1308"/>
        <v>0</v>
      </c>
      <c r="T1591" s="581">
        <f t="shared" si="1308"/>
        <v>0</v>
      </c>
      <c r="U1591" s="581">
        <f t="shared" si="1308"/>
        <v>0</v>
      </c>
      <c r="V1591" s="581">
        <f t="shared" si="1308"/>
        <v>0</v>
      </c>
      <c r="W1591" s="581">
        <f t="shared" si="1308"/>
        <v>0</v>
      </c>
      <c r="X1591" s="581">
        <f t="shared" si="1308"/>
        <v>0</v>
      </c>
      <c r="Y1591" s="581">
        <f t="shared" si="1308"/>
        <v>0</v>
      </c>
      <c r="Z1591" s="581">
        <f t="shared" si="1308"/>
        <v>0</v>
      </c>
      <c r="AA1591" s="581"/>
      <c r="AB1591" s="581"/>
      <c r="AC1591" s="581"/>
      <c r="AD1591" s="581"/>
      <c r="AE1591" s="581"/>
      <c r="AF1591" s="581"/>
      <c r="AG1591" s="581"/>
      <c r="AH1591" s="581"/>
      <c r="AI1591" s="581"/>
      <c r="AJ1591" s="581"/>
    </row>
    <row r="1592" spans="1:36" x14ac:dyDescent="0.25">
      <c r="A1592" t="s">
        <v>862</v>
      </c>
      <c r="H1592" s="574" t="s">
        <v>180</v>
      </c>
      <c r="I1592" s="575" t="str">
        <f t="shared" si="1301"/>
        <v>VND/phôi</v>
      </c>
      <c r="K1592" s="583">
        <f>SUM(K1593:K1595)</f>
        <v>0</v>
      </c>
      <c r="L1592" s="583">
        <f>SUM(L1593:L1595)</f>
        <v>43.549625955674657</v>
      </c>
      <c r="M1592" s="583">
        <f t="shared" ref="M1592:AJ1592" si="1309">SUM(M1593:M1595)</f>
        <v>40.784819871052804</v>
      </c>
      <c r="N1592" s="583">
        <f t="shared" si="1309"/>
        <v>40.491966192438404</v>
      </c>
      <c r="O1592" s="583">
        <f t="shared" si="1309"/>
        <v>42.361754621532988</v>
      </c>
      <c r="P1592" s="583">
        <f t="shared" si="1309"/>
        <v>44.325032472082299</v>
      </c>
      <c r="Q1592" s="583">
        <f t="shared" si="1309"/>
        <v>46.386474215159069</v>
      </c>
      <c r="R1592" s="583">
        <f t="shared" si="1309"/>
        <v>48.550988045389694</v>
      </c>
      <c r="S1592" s="583">
        <f t="shared" si="1309"/>
        <v>50.823727567131826</v>
      </c>
      <c r="T1592" s="583">
        <f t="shared" si="1309"/>
        <v>53.210104064961087</v>
      </c>
      <c r="U1592" s="583">
        <f t="shared" si="1309"/>
        <v>55.715799387681798</v>
      </c>
      <c r="V1592" s="583">
        <f t="shared" si="1309"/>
        <v>58.346779476538543</v>
      </c>
      <c r="W1592" s="583">
        <f t="shared" si="1309"/>
        <v>61.109308569838142</v>
      </c>
      <c r="X1592" s="583">
        <f t="shared" si="1309"/>
        <v>61.582281648666068</v>
      </c>
      <c r="Y1592" s="583">
        <f t="shared" si="1309"/>
        <v>64.627969974028858</v>
      </c>
      <c r="Z1592" s="583">
        <f t="shared" si="1309"/>
        <v>67.825942715659806</v>
      </c>
      <c r="AA1592" s="583"/>
      <c r="AB1592" s="583"/>
      <c r="AC1592" s="583"/>
      <c r="AD1592" s="583"/>
      <c r="AE1592" s="583"/>
      <c r="AF1592" s="583"/>
      <c r="AG1592" s="583"/>
      <c r="AH1592" s="583"/>
      <c r="AI1592" s="583"/>
      <c r="AJ1592" s="583"/>
    </row>
    <row r="1593" spans="1:36" s="299" customFormat="1" x14ac:dyDescent="0.25">
      <c r="A1593" s="299" t="s">
        <v>862</v>
      </c>
      <c r="E1593" s="299" t="s">
        <v>174</v>
      </c>
      <c r="H1593" s="576" t="s">
        <v>73</v>
      </c>
      <c r="I1593" s="577" t="str">
        <f t="shared" si="1301"/>
        <v>VND/phôi</v>
      </c>
      <c r="K1593" s="581"/>
      <c r="L1593" s="581">
        <f t="shared" ref="L1593:AJ1593" si="1310">-IF($H$9="USD",L1523/L1495/$H$10*10^3,L1523/L1495/$H$10)</f>
        <v>27.847782258064516</v>
      </c>
      <c r="M1593" s="581">
        <f t="shared" si="1310"/>
        <v>27.847782258064512</v>
      </c>
      <c r="N1593" s="581">
        <f t="shared" si="1310"/>
        <v>29.24017137096774</v>
      </c>
      <c r="O1593" s="581">
        <f t="shared" si="1310"/>
        <v>30.702179939516128</v>
      </c>
      <c r="P1593" s="581">
        <f t="shared" si="1310"/>
        <v>32.237288936491936</v>
      </c>
      <c r="Q1593" s="581">
        <f t="shared" si="1310"/>
        <v>33.849153383316526</v>
      </c>
      <c r="R1593" s="581">
        <f t="shared" si="1310"/>
        <v>35.541611052482359</v>
      </c>
      <c r="S1593" s="581">
        <f t="shared" si="1310"/>
        <v>37.318691605106473</v>
      </c>
      <c r="T1593" s="581">
        <f t="shared" si="1310"/>
        <v>39.1846261853618</v>
      </c>
      <c r="U1593" s="581">
        <f t="shared" si="1310"/>
        <v>41.143857494629891</v>
      </c>
      <c r="V1593" s="581">
        <f t="shared" si="1310"/>
        <v>43.201050369361383</v>
      </c>
      <c r="W1593" s="581">
        <f t="shared" si="1310"/>
        <v>45.36110288782946</v>
      </c>
      <c r="X1593" s="581">
        <f t="shared" si="1310"/>
        <v>47.629158032220928</v>
      </c>
      <c r="Y1593" s="581">
        <f t="shared" si="1310"/>
        <v>50.010615933831971</v>
      </c>
      <c r="Z1593" s="581">
        <f t="shared" si="1310"/>
        <v>52.511146730523578</v>
      </c>
      <c r="AA1593" s="581"/>
      <c r="AB1593" s="581"/>
      <c r="AC1593" s="581"/>
      <c r="AD1593" s="581"/>
      <c r="AE1593" s="581"/>
      <c r="AF1593" s="581"/>
      <c r="AG1593" s="581"/>
      <c r="AH1593" s="581"/>
      <c r="AI1593" s="581"/>
      <c r="AJ1593" s="581"/>
    </row>
    <row r="1594" spans="1:36" s="299" customFormat="1" x14ac:dyDescent="0.25">
      <c r="A1594" s="299" t="s">
        <v>862</v>
      </c>
      <c r="E1594" s="299" t="s">
        <v>306</v>
      </c>
      <c r="H1594" s="576" t="s">
        <v>192</v>
      </c>
      <c r="I1594" s="577" t="str">
        <f t="shared" si="1301"/>
        <v>VND/phôi</v>
      </c>
      <c r="K1594" s="581"/>
      <c r="L1594" s="581">
        <f t="shared" ref="L1594:AJ1594" si="1311">-IF($H$9="USD",L1524/L1495/$H$10*10^3,L1524/L1495/$H$10)</f>
        <v>4.7222222222222214</v>
      </c>
      <c r="M1594" s="581">
        <f t="shared" si="1311"/>
        <v>4.7222222222222214</v>
      </c>
      <c r="N1594" s="581">
        <f t="shared" si="1311"/>
        <v>4.958333333333333</v>
      </c>
      <c r="O1594" s="581">
        <f t="shared" si="1311"/>
        <v>5.2062499999999998</v>
      </c>
      <c r="P1594" s="581">
        <f t="shared" si="1311"/>
        <v>5.4665624999999993</v>
      </c>
      <c r="Q1594" s="581">
        <f t="shared" si="1311"/>
        <v>5.7398906249999992</v>
      </c>
      <c r="R1594" s="581">
        <f t="shared" si="1311"/>
        <v>6.0268851562500005</v>
      </c>
      <c r="S1594" s="581">
        <f t="shared" si="1311"/>
        <v>6.3282294140624984</v>
      </c>
      <c r="T1594" s="581">
        <f t="shared" si="1311"/>
        <v>6.6446408847656251</v>
      </c>
      <c r="U1594" s="581">
        <f t="shared" si="1311"/>
        <v>6.976872929003906</v>
      </c>
      <c r="V1594" s="581">
        <f t="shared" si="1311"/>
        <v>7.3257165754541012</v>
      </c>
      <c r="W1594" s="581">
        <f t="shared" si="1311"/>
        <v>7.6920024042268071</v>
      </c>
      <c r="X1594" s="581">
        <f t="shared" si="1311"/>
        <v>8.0766025244381474</v>
      </c>
      <c r="Y1594" s="581">
        <f t="shared" si="1311"/>
        <v>8.4804326506600525</v>
      </c>
      <c r="Z1594" s="581">
        <f t="shared" si="1311"/>
        <v>8.9044542831930595</v>
      </c>
      <c r="AA1594" s="581"/>
      <c r="AB1594" s="581"/>
      <c r="AC1594" s="581"/>
      <c r="AD1594" s="581"/>
      <c r="AE1594" s="581"/>
      <c r="AF1594" s="581"/>
      <c r="AG1594" s="581"/>
      <c r="AH1594" s="581"/>
      <c r="AI1594" s="581"/>
      <c r="AJ1594" s="581"/>
    </row>
    <row r="1595" spans="1:36" s="299" customFormat="1" x14ac:dyDescent="0.25">
      <c r="A1595" s="299" t="s">
        <v>862</v>
      </c>
      <c r="E1595" s="299" t="s">
        <v>172</v>
      </c>
      <c r="H1595" s="576" t="s">
        <v>175</v>
      </c>
      <c r="I1595" s="577" t="str">
        <f t="shared" si="1301"/>
        <v>VND/phôi</v>
      </c>
      <c r="K1595" s="581"/>
      <c r="L1595" s="581">
        <f t="shared" ref="L1595:AJ1595" si="1312">-IF($H$9="USD",L1525/L1495/$H$10*10^3,L1525/L1495/$H$10)</f>
        <v>10.979621475387912</v>
      </c>
      <c r="M1595" s="581">
        <f t="shared" si="1312"/>
        <v>8.2148153907660717</v>
      </c>
      <c r="N1595" s="581">
        <f t="shared" si="1312"/>
        <v>6.2934614881373347</v>
      </c>
      <c r="O1595" s="581">
        <f t="shared" si="1312"/>
        <v>6.4533246820168619</v>
      </c>
      <c r="P1595" s="581">
        <f t="shared" si="1312"/>
        <v>6.6211810355903635</v>
      </c>
      <c r="Q1595" s="581">
        <f t="shared" si="1312"/>
        <v>6.7974302068425425</v>
      </c>
      <c r="R1595" s="581">
        <f t="shared" si="1312"/>
        <v>6.9824918366573296</v>
      </c>
      <c r="S1595" s="581">
        <f t="shared" si="1312"/>
        <v>7.1768065479628564</v>
      </c>
      <c r="T1595" s="581">
        <f t="shared" si="1312"/>
        <v>7.3808369948336585</v>
      </c>
      <c r="U1595" s="581">
        <f t="shared" si="1312"/>
        <v>7.5950689640480018</v>
      </c>
      <c r="V1595" s="581">
        <f t="shared" si="1312"/>
        <v>7.8200125317230604</v>
      </c>
      <c r="W1595" s="581">
        <f t="shared" si="1312"/>
        <v>8.056203277781874</v>
      </c>
      <c r="X1595" s="581">
        <f t="shared" si="1312"/>
        <v>5.8765210920069988</v>
      </c>
      <c r="Y1595" s="581">
        <f t="shared" si="1312"/>
        <v>6.1369213895368393</v>
      </c>
      <c r="Z1595" s="581">
        <f t="shared" si="1312"/>
        <v>6.4103417019431745</v>
      </c>
      <c r="AA1595" s="581"/>
      <c r="AB1595" s="581"/>
      <c r="AC1595" s="581"/>
      <c r="AD1595" s="581"/>
      <c r="AE1595" s="581"/>
      <c r="AF1595" s="581"/>
      <c r="AG1595" s="581"/>
      <c r="AH1595" s="581"/>
      <c r="AI1595" s="581"/>
      <c r="AJ1595" s="581"/>
    </row>
    <row r="1596" spans="1:36" x14ac:dyDescent="0.25">
      <c r="A1596" t="s">
        <v>862</v>
      </c>
      <c r="H1596" s="289"/>
      <c r="I1596" s="290"/>
      <c r="K1596" s="296"/>
      <c r="L1596" s="297"/>
      <c r="M1596" s="296"/>
      <c r="N1596" s="296"/>
      <c r="O1596" s="296"/>
      <c r="P1596" s="296"/>
      <c r="Q1596" s="296"/>
      <c r="R1596" s="296"/>
      <c r="S1596" s="296"/>
      <c r="T1596" s="296"/>
      <c r="U1596" s="296"/>
      <c r="V1596" s="296"/>
      <c r="W1596" s="296"/>
      <c r="X1596" s="296"/>
      <c r="Y1596" s="296"/>
      <c r="Z1596" s="296"/>
      <c r="AA1596" s="296"/>
      <c r="AB1596" s="296"/>
      <c r="AC1596" s="296"/>
      <c r="AD1596" s="296"/>
      <c r="AE1596" s="296"/>
      <c r="AF1596" s="296"/>
      <c r="AG1596" s="296"/>
      <c r="AH1596" s="296"/>
      <c r="AI1596" s="296"/>
      <c r="AJ1596" s="296"/>
    </row>
    <row r="1597" spans="1:36" s="16" customFormat="1" x14ac:dyDescent="0.25">
      <c r="A1597" s="16" t="s">
        <v>862</v>
      </c>
      <c r="H1597" s="291" t="s">
        <v>464</v>
      </c>
      <c r="I1597" s="292" t="str">
        <f t="shared" si="1301"/>
        <v>VND/phôi</v>
      </c>
      <c r="K1597" s="298">
        <f>K1575+K1585</f>
        <v>0</v>
      </c>
      <c r="L1597" s="298">
        <f t="shared" ref="L1597:AJ1597" si="1313">L1575+L1585</f>
        <v>691.11384223105335</v>
      </c>
      <c r="M1597" s="298">
        <f t="shared" si="1313"/>
        <v>619.22888403088564</v>
      </c>
      <c r="N1597" s="298">
        <f t="shared" si="1313"/>
        <v>577.4784474012481</v>
      </c>
      <c r="O1597" s="298">
        <f t="shared" si="1313"/>
        <v>590.00834513566429</v>
      </c>
      <c r="P1597" s="298">
        <f t="shared" si="1313"/>
        <v>602.91835840196234</v>
      </c>
      <c r="Q1597" s="298">
        <f t="shared" si="1313"/>
        <v>616.22256538963995</v>
      </c>
      <c r="R1597" s="298">
        <f t="shared" si="1313"/>
        <v>629.93564964592724</v>
      </c>
      <c r="S1597" s="298">
        <f t="shared" si="1313"/>
        <v>644.07292837263924</v>
      </c>
      <c r="T1597" s="298">
        <f t="shared" si="1313"/>
        <v>658.6503820984492</v>
      </c>
      <c r="U1597" s="298">
        <f t="shared" si="1313"/>
        <v>673.6846857945676</v>
      </c>
      <c r="V1597" s="298">
        <f t="shared" si="1313"/>
        <v>689.19324150519014</v>
      </c>
      <c r="W1597" s="298">
        <f t="shared" si="1313"/>
        <v>705.19421256763587</v>
      </c>
      <c r="X1597" s="298">
        <f t="shared" si="1313"/>
        <v>658.58681530326919</v>
      </c>
      <c r="Y1597" s="298">
        <f t="shared" si="1313"/>
        <v>675.63033344708481</v>
      </c>
      <c r="Z1597" s="298">
        <f t="shared" si="1313"/>
        <v>693.22569243934072</v>
      </c>
      <c r="AA1597" s="298"/>
      <c r="AB1597" s="298"/>
      <c r="AC1597" s="298"/>
      <c r="AD1597" s="298"/>
      <c r="AE1597" s="298"/>
      <c r="AF1597" s="298"/>
      <c r="AG1597" s="298"/>
      <c r="AH1597" s="298"/>
      <c r="AI1597" s="298"/>
      <c r="AJ1597" s="298"/>
    </row>
    <row r="1598" spans="1:36" x14ac:dyDescent="0.25">
      <c r="A1598" t="s">
        <v>862</v>
      </c>
      <c r="H1598" s="289"/>
      <c r="I1598" s="290"/>
      <c r="K1598" s="296"/>
      <c r="L1598" s="296"/>
      <c r="M1598" s="296"/>
      <c r="N1598" s="296"/>
      <c r="O1598" s="296"/>
      <c r="P1598" s="296"/>
      <c r="Q1598" s="296"/>
      <c r="R1598" s="296"/>
      <c r="S1598" s="296"/>
      <c r="T1598" s="296"/>
      <c r="U1598" s="296"/>
      <c r="V1598" s="296"/>
      <c r="W1598" s="296"/>
      <c r="X1598" s="296"/>
      <c r="Y1598" s="296"/>
      <c r="Z1598" s="296"/>
      <c r="AA1598" s="296"/>
      <c r="AB1598" s="296"/>
      <c r="AC1598" s="296"/>
      <c r="AD1598" s="296"/>
      <c r="AE1598" s="296"/>
      <c r="AF1598" s="296"/>
      <c r="AG1598" s="296"/>
      <c r="AH1598" s="296"/>
      <c r="AI1598" s="296"/>
      <c r="AJ1598" s="296"/>
    </row>
    <row r="1599" spans="1:36" x14ac:dyDescent="0.25">
      <c r="A1599" t="s">
        <v>862</v>
      </c>
      <c r="E1599" t="s">
        <v>172</v>
      </c>
      <c r="H1599" s="593" t="s">
        <v>166</v>
      </c>
      <c r="I1599" s="594" t="str">
        <f t="shared" si="1301"/>
        <v>VND/phôi</v>
      </c>
      <c r="K1599" s="604"/>
      <c r="L1599" s="604">
        <f>-IF($H$9="USD",L1529/L1495/$H$10*10^3,L1529/L1495/$H$10)</f>
        <v>13.333333333333334</v>
      </c>
      <c r="M1599" s="604">
        <f t="shared" ref="M1599:AJ1599" si="1314">-IF($H$9="USD",M1529/M1495/$H$10*10^3,M1529/M1495/$H$10)</f>
        <v>13.333333333333332</v>
      </c>
      <c r="N1599" s="604">
        <f t="shared" si="1314"/>
        <v>13.999999999999998</v>
      </c>
      <c r="O1599" s="604">
        <f t="shared" si="1314"/>
        <v>14.700000000000001</v>
      </c>
      <c r="P1599" s="604">
        <f t="shared" si="1314"/>
        <v>15.435</v>
      </c>
      <c r="Q1599" s="604">
        <f t="shared" si="1314"/>
        <v>16.20675</v>
      </c>
      <c r="R1599" s="604">
        <f t="shared" si="1314"/>
        <v>17.017087500000002</v>
      </c>
      <c r="S1599" s="604">
        <f t="shared" si="1314"/>
        <v>17.867941875</v>
      </c>
      <c r="T1599" s="604">
        <f t="shared" si="1314"/>
        <v>18.761338968750003</v>
      </c>
      <c r="U1599" s="604">
        <f t="shared" si="1314"/>
        <v>19.699405917187502</v>
      </c>
      <c r="V1599" s="604">
        <f t="shared" si="1314"/>
        <v>20.684376213046878</v>
      </c>
      <c r="W1599" s="604">
        <f t="shared" si="1314"/>
        <v>21.718595023699219</v>
      </c>
      <c r="X1599" s="604">
        <f t="shared" si="1314"/>
        <v>22.804524774884179</v>
      </c>
      <c r="Y1599" s="604">
        <f t="shared" si="1314"/>
        <v>23.944751013628391</v>
      </c>
      <c r="Z1599" s="604">
        <f t="shared" si="1314"/>
        <v>25.141988564309816</v>
      </c>
      <c r="AA1599" s="604"/>
      <c r="AB1599" s="604"/>
      <c r="AC1599" s="604"/>
      <c r="AD1599" s="604"/>
      <c r="AE1599" s="604"/>
      <c r="AF1599" s="604"/>
      <c r="AG1599" s="604"/>
      <c r="AH1599" s="604"/>
      <c r="AI1599" s="604"/>
      <c r="AJ1599" s="604"/>
    </row>
    <row r="1600" spans="1:36" x14ac:dyDescent="0.25">
      <c r="A1600" t="s">
        <v>862</v>
      </c>
      <c r="E1600" t="s">
        <v>171</v>
      </c>
      <c r="H1600" s="574" t="s">
        <v>469</v>
      </c>
      <c r="I1600" s="575" t="str">
        <f t="shared" si="1301"/>
        <v>VND/phôi</v>
      </c>
      <c r="K1600" s="584"/>
      <c r="L1600" s="584">
        <f t="shared" ref="L1600:AJ1600" si="1315">-IF($H$9="USD",L1530/L1495/$H$10*10^3,L1530/L1495/$H$10)</f>
        <v>0</v>
      </c>
      <c r="M1600" s="584">
        <f t="shared" si="1315"/>
        <v>0</v>
      </c>
      <c r="N1600" s="584">
        <f t="shared" si="1315"/>
        <v>0</v>
      </c>
      <c r="O1600" s="584">
        <f t="shared" si="1315"/>
        <v>0</v>
      </c>
      <c r="P1600" s="584">
        <f t="shared" si="1315"/>
        <v>0</v>
      </c>
      <c r="Q1600" s="584">
        <f t="shared" si="1315"/>
        <v>0</v>
      </c>
      <c r="R1600" s="584">
        <f t="shared" si="1315"/>
        <v>0</v>
      </c>
      <c r="S1600" s="584">
        <f t="shared" si="1315"/>
        <v>0</v>
      </c>
      <c r="T1600" s="584">
        <f t="shared" si="1315"/>
        <v>0</v>
      </c>
      <c r="U1600" s="584">
        <f t="shared" si="1315"/>
        <v>0</v>
      </c>
      <c r="V1600" s="584">
        <f t="shared" si="1315"/>
        <v>0</v>
      </c>
      <c r="W1600" s="584">
        <f t="shared" si="1315"/>
        <v>0</v>
      </c>
      <c r="X1600" s="584">
        <f t="shared" si="1315"/>
        <v>0</v>
      </c>
      <c r="Y1600" s="584">
        <f t="shared" si="1315"/>
        <v>0</v>
      </c>
      <c r="Z1600" s="584">
        <f t="shared" si="1315"/>
        <v>0</v>
      </c>
      <c r="AA1600" s="584"/>
      <c r="AB1600" s="584"/>
      <c r="AC1600" s="584"/>
      <c r="AD1600" s="584"/>
      <c r="AE1600" s="584"/>
      <c r="AF1600" s="584"/>
      <c r="AG1600" s="584"/>
      <c r="AH1600" s="584"/>
      <c r="AI1600" s="584"/>
      <c r="AJ1600" s="584"/>
    </row>
    <row r="1601" spans="1:36" x14ac:dyDescent="0.25">
      <c r="A1601" t="s">
        <v>862</v>
      </c>
      <c r="E1601" t="s">
        <v>182</v>
      </c>
      <c r="H1601" s="574" t="s">
        <v>468</v>
      </c>
      <c r="I1601" s="575" t="str">
        <f t="shared" si="1301"/>
        <v>VND/phôi</v>
      </c>
      <c r="K1601" s="574"/>
      <c r="L1601" s="584">
        <f t="shared" ref="L1601:AJ1601" si="1316">-IF($H$9="USD",L1531/L1495/$H$10*10^3,L1531/L1495/$H$10)</f>
        <v>0</v>
      </c>
      <c r="M1601" s="584">
        <f t="shared" si="1316"/>
        <v>0</v>
      </c>
      <c r="N1601" s="584">
        <f t="shared" si="1316"/>
        <v>0</v>
      </c>
      <c r="O1601" s="584">
        <f t="shared" si="1316"/>
        <v>0</v>
      </c>
      <c r="P1601" s="584">
        <f t="shared" si="1316"/>
        <v>0</v>
      </c>
      <c r="Q1601" s="584">
        <f t="shared" si="1316"/>
        <v>0</v>
      </c>
      <c r="R1601" s="584">
        <f t="shared" si="1316"/>
        <v>0</v>
      </c>
      <c r="S1601" s="584">
        <f t="shared" si="1316"/>
        <v>0</v>
      </c>
      <c r="T1601" s="584">
        <f t="shared" si="1316"/>
        <v>0</v>
      </c>
      <c r="U1601" s="584">
        <f t="shared" si="1316"/>
        <v>0</v>
      </c>
      <c r="V1601" s="584">
        <f t="shared" si="1316"/>
        <v>0</v>
      </c>
      <c r="W1601" s="584">
        <f t="shared" si="1316"/>
        <v>0</v>
      </c>
      <c r="X1601" s="584">
        <f t="shared" si="1316"/>
        <v>0</v>
      </c>
      <c r="Y1601" s="584">
        <f t="shared" si="1316"/>
        <v>0</v>
      </c>
      <c r="Z1601" s="584">
        <f t="shared" si="1316"/>
        <v>0</v>
      </c>
      <c r="AA1601" s="584"/>
      <c r="AB1601" s="584"/>
      <c r="AC1601" s="584"/>
      <c r="AD1601" s="584"/>
      <c r="AE1601" s="584"/>
      <c r="AF1601" s="584"/>
      <c r="AG1601" s="584"/>
      <c r="AH1601" s="584"/>
      <c r="AI1601" s="584"/>
      <c r="AJ1601" s="584"/>
    </row>
    <row r="1602" spans="1:36" x14ac:dyDescent="0.25">
      <c r="A1602" t="s">
        <v>862</v>
      </c>
      <c r="E1602" t="s">
        <v>182</v>
      </c>
      <c r="H1602" s="574" t="s">
        <v>470</v>
      </c>
      <c r="I1602" s="575" t="str">
        <f t="shared" si="1301"/>
        <v>VND/phôi</v>
      </c>
      <c r="K1602" s="574"/>
      <c r="L1602" s="584">
        <f>-IF($H$9="USD",L1532/L1495/$H$10*10^3,L1532/L1495/$H$10)</f>
        <v>106.97182571808577</v>
      </c>
      <c r="M1602" s="584">
        <f t="shared" ref="M1602:AJ1602" si="1317">-IF($H$9="USD",M1532/M1495/$H$10*10^3,M1532/M1495/$H$10)</f>
        <v>73.367801471466493</v>
      </c>
      <c r="N1602" s="584">
        <f t="shared" si="1317"/>
        <v>49.080017572979045</v>
      </c>
      <c r="O1602" s="584">
        <f t="shared" si="1317"/>
        <v>46.643153073938215</v>
      </c>
      <c r="P1602" s="584">
        <f t="shared" si="1317"/>
        <v>44.035708059964541</v>
      </c>
      <c r="Q1602" s="584">
        <f t="shared" si="1317"/>
        <v>41.245741895012706</v>
      </c>
      <c r="R1602" s="584">
        <f t="shared" si="1317"/>
        <v>38.260478098514241</v>
      </c>
      <c r="S1602" s="584">
        <f t="shared" si="1317"/>
        <v>35.066245836260883</v>
      </c>
      <c r="T1602" s="584">
        <f t="shared" si="1317"/>
        <v>31.648417315649791</v>
      </c>
      <c r="U1602" s="584">
        <f t="shared" si="1317"/>
        <v>27.991340798595921</v>
      </c>
      <c r="V1602" s="584">
        <f t="shared" si="1317"/>
        <v>24.078268925348286</v>
      </c>
      <c r="W1602" s="584">
        <f t="shared" si="1317"/>
        <v>19.891282020973311</v>
      </c>
      <c r="X1602" s="584">
        <f t="shared" si="1317"/>
        <v>15.411206033292091</v>
      </c>
      <c r="Y1602" s="584">
        <f t="shared" si="1317"/>
        <v>10.617524726473185</v>
      </c>
      <c r="Z1602" s="584">
        <f t="shared" si="1317"/>
        <v>5.4882857281769573</v>
      </c>
      <c r="AA1602" s="584"/>
      <c r="AB1602" s="584"/>
      <c r="AC1602" s="584"/>
      <c r="AD1602" s="584"/>
      <c r="AE1602" s="584"/>
      <c r="AF1602" s="584"/>
      <c r="AG1602" s="584"/>
      <c r="AH1602" s="584"/>
      <c r="AI1602" s="584"/>
      <c r="AJ1602" s="584"/>
    </row>
    <row r="1603" spans="1:36" x14ac:dyDescent="0.25">
      <c r="A1603" t="s">
        <v>862</v>
      </c>
      <c r="H1603" s="289"/>
      <c r="I1603" s="290"/>
      <c r="K1603" s="289"/>
      <c r="L1603" s="289"/>
      <c r="M1603" s="289"/>
      <c r="N1603" s="289"/>
      <c r="O1603" s="289"/>
      <c r="P1603" s="289"/>
      <c r="Q1603" s="289"/>
      <c r="R1603" s="289"/>
      <c r="S1603" s="289"/>
      <c r="T1603" s="289"/>
      <c r="U1603" s="289"/>
      <c r="V1603" s="289"/>
      <c r="W1603" s="289"/>
      <c r="X1603" s="289"/>
      <c r="Y1603" s="289"/>
      <c r="Z1603" s="289"/>
      <c r="AA1603" s="289"/>
      <c r="AB1603" s="289"/>
      <c r="AC1603" s="289"/>
      <c r="AD1603" s="289"/>
      <c r="AE1603" s="289"/>
      <c r="AF1603" s="289"/>
      <c r="AG1603" s="289"/>
      <c r="AH1603" s="289"/>
      <c r="AI1603" s="289"/>
      <c r="AJ1603" s="289"/>
    </row>
    <row r="1604" spans="1:36" s="16" customFormat="1" x14ac:dyDescent="0.25">
      <c r="A1604" s="16" t="s">
        <v>862</v>
      </c>
      <c r="H1604" s="291" t="s">
        <v>487</v>
      </c>
      <c r="I1604" s="292" t="str">
        <f t="shared" si="1301"/>
        <v>VND/phôi</v>
      </c>
      <c r="K1604" s="298">
        <f>K1597+SUM(K1599:K1602)</f>
        <v>0</v>
      </c>
      <c r="L1604" s="298">
        <f t="shared" ref="L1604:AJ1604" si="1318">L1597+SUM(L1599:L1602)</f>
        <v>811.41900128247244</v>
      </c>
      <c r="M1604" s="298">
        <f t="shared" si="1318"/>
        <v>705.93001883568547</v>
      </c>
      <c r="N1604" s="298">
        <f t="shared" si="1318"/>
        <v>640.55846497422715</v>
      </c>
      <c r="O1604" s="298">
        <f t="shared" si="1318"/>
        <v>651.35149820960248</v>
      </c>
      <c r="P1604" s="298">
        <f t="shared" si="1318"/>
        <v>662.38906646192686</v>
      </c>
      <c r="Q1604" s="298">
        <f t="shared" si="1318"/>
        <v>673.67505728465267</v>
      </c>
      <c r="R1604" s="298">
        <f t="shared" si="1318"/>
        <v>685.21321524444147</v>
      </c>
      <c r="S1604" s="298">
        <f t="shared" si="1318"/>
        <v>697.00711608390009</v>
      </c>
      <c r="T1604" s="298">
        <f t="shared" si="1318"/>
        <v>709.060138382849</v>
      </c>
      <c r="U1604" s="298">
        <f t="shared" si="1318"/>
        <v>721.37543251035106</v>
      </c>
      <c r="V1604" s="298">
        <f t="shared" si="1318"/>
        <v>733.95588664358536</v>
      </c>
      <c r="W1604" s="298">
        <f t="shared" si="1318"/>
        <v>746.80408961230842</v>
      </c>
      <c r="X1604" s="298">
        <f t="shared" si="1318"/>
        <v>696.80254611144551</v>
      </c>
      <c r="Y1604" s="298">
        <f t="shared" si="1318"/>
        <v>710.19260918718635</v>
      </c>
      <c r="Z1604" s="298">
        <f t="shared" si="1318"/>
        <v>723.85596673182749</v>
      </c>
      <c r="AA1604" s="298"/>
      <c r="AB1604" s="298"/>
      <c r="AC1604" s="298"/>
      <c r="AD1604" s="298"/>
      <c r="AE1604" s="298"/>
      <c r="AF1604" s="298"/>
      <c r="AG1604" s="298"/>
      <c r="AH1604" s="298"/>
      <c r="AI1604" s="298"/>
      <c r="AJ1604" s="298"/>
    </row>
    <row r="1605" spans="1:36" x14ac:dyDescent="0.25">
      <c r="A1605" t="s">
        <v>862</v>
      </c>
    </row>
    <row r="1606" spans="1:36" x14ac:dyDescent="0.25">
      <c r="A1606" t="s">
        <v>862</v>
      </c>
      <c r="H1606" s="593" t="s">
        <v>361</v>
      </c>
      <c r="I1606" s="594" t="str">
        <f t="shared" si="1301"/>
        <v>VND/phôi</v>
      </c>
      <c r="K1606" s="593"/>
      <c r="L1606" s="599">
        <f>INDEX('Cover Page'!$H$12:$AJ$12,MATCH($A1606,'Cover Page'!$H$5:$AJ$5,0))</f>
        <v>6.6666666666666666E-2</v>
      </c>
      <c r="M1606" s="599">
        <f>INDEX('Cover Page'!$H$12:$AJ$12,MATCH($A1606,'Cover Page'!$H$5:$AJ$5,0))</f>
        <v>6.6666666666666666E-2</v>
      </c>
      <c r="N1606" s="599">
        <f>INDEX('Cover Page'!$H$12:$AJ$12,MATCH($A1606,'Cover Page'!$H$5:$AJ$5,0))</f>
        <v>6.6666666666666666E-2</v>
      </c>
      <c r="O1606" s="599">
        <f>INDEX('Cover Page'!$H$12:$AJ$12,MATCH($A1606,'Cover Page'!$H$5:$AJ$5,0))</f>
        <v>6.6666666666666666E-2</v>
      </c>
      <c r="P1606" s="599">
        <f>INDEX('Cover Page'!$H$12:$AJ$12,MATCH($A1606,'Cover Page'!$H$5:$AJ$5,0))</f>
        <v>6.6666666666666666E-2</v>
      </c>
      <c r="Q1606" s="599">
        <f>INDEX('Cover Page'!$H$12:$AJ$12,MATCH($A1606,'Cover Page'!$H$5:$AJ$5,0))</f>
        <v>6.6666666666666666E-2</v>
      </c>
      <c r="R1606" s="599">
        <f>INDEX('Cover Page'!$H$12:$AJ$12,MATCH($A1606,'Cover Page'!$H$5:$AJ$5,0))</f>
        <v>6.6666666666666666E-2</v>
      </c>
      <c r="S1606" s="599">
        <f>INDEX('Cover Page'!$H$12:$AJ$12,MATCH($A1606,'Cover Page'!$H$5:$AJ$5,0))</f>
        <v>6.6666666666666666E-2</v>
      </c>
      <c r="T1606" s="599">
        <f>INDEX('Cover Page'!$H$12:$AJ$12,MATCH($A1606,'Cover Page'!$H$5:$AJ$5,0))</f>
        <v>6.6666666666666666E-2</v>
      </c>
      <c r="U1606" s="599">
        <f>INDEX('Cover Page'!$H$12:$AJ$12,MATCH($A1606,'Cover Page'!$H$5:$AJ$5,0))</f>
        <v>6.6666666666666666E-2</v>
      </c>
      <c r="V1606" s="599">
        <f>INDEX('Cover Page'!$H$12:$AJ$12,MATCH($A1606,'Cover Page'!$H$5:$AJ$5,0))</f>
        <v>6.6666666666666666E-2</v>
      </c>
      <c r="W1606" s="599">
        <f>INDEX('Cover Page'!$H$12:$AJ$12,MATCH($A1606,'Cover Page'!$H$5:$AJ$5,0))</f>
        <v>6.6666666666666666E-2</v>
      </c>
      <c r="X1606" s="599">
        <f>INDEX('Cover Page'!$H$12:$AJ$12,MATCH($A1606,'Cover Page'!$H$5:$AJ$5,0))</f>
        <v>6.6666666666666666E-2</v>
      </c>
      <c r="Y1606" s="599">
        <f>INDEX('Cover Page'!$H$12:$AJ$12,MATCH($A1606,'Cover Page'!$H$5:$AJ$5,0))</f>
        <v>6.6666666666666666E-2</v>
      </c>
      <c r="Z1606" s="599">
        <f>INDEX('Cover Page'!$H$12:$AJ$12,MATCH($A1606,'Cover Page'!$H$5:$AJ$5,0))</f>
        <v>6.6666666666666666E-2</v>
      </c>
      <c r="AA1606" s="599"/>
      <c r="AB1606" s="599"/>
      <c r="AC1606" s="599"/>
      <c r="AD1606" s="599"/>
      <c r="AE1606" s="599"/>
      <c r="AF1606" s="599"/>
      <c r="AG1606" s="599"/>
      <c r="AH1606" s="599"/>
      <c r="AI1606" s="599"/>
      <c r="AJ1606" s="599"/>
    </row>
    <row r="1607" spans="1:36" s="1" customFormat="1" x14ac:dyDescent="0.25">
      <c r="A1607" s="1" t="s">
        <v>862</v>
      </c>
      <c r="H1607" s="595" t="s">
        <v>490</v>
      </c>
      <c r="I1607" s="596" t="str">
        <f t="shared" si="1301"/>
        <v>VND/phôi</v>
      </c>
      <c r="K1607" s="595"/>
      <c r="L1607" s="600">
        <f>L1604*(1+L1606)</f>
        <v>865.51360136797064</v>
      </c>
      <c r="M1607" s="600">
        <f t="shared" ref="M1607:AJ1607" si="1319">M1604*(1+M1606)</f>
        <v>752.99202009139788</v>
      </c>
      <c r="N1607" s="600">
        <f t="shared" si="1319"/>
        <v>683.26236263917565</v>
      </c>
      <c r="O1607" s="600">
        <f t="shared" si="1319"/>
        <v>694.77493142357594</v>
      </c>
      <c r="P1607" s="600">
        <f t="shared" si="1319"/>
        <v>706.54833755938864</v>
      </c>
      <c r="Q1607" s="600">
        <f t="shared" si="1319"/>
        <v>718.58672777029619</v>
      </c>
      <c r="R1607" s="600">
        <f t="shared" si="1319"/>
        <v>730.89409626073757</v>
      </c>
      <c r="S1607" s="600">
        <f t="shared" si="1319"/>
        <v>743.47425715616009</v>
      </c>
      <c r="T1607" s="600">
        <f t="shared" si="1319"/>
        <v>756.33081427503896</v>
      </c>
      <c r="U1607" s="600">
        <f t="shared" si="1319"/>
        <v>769.46712801104115</v>
      </c>
      <c r="V1607" s="600">
        <f t="shared" si="1319"/>
        <v>782.88627908649107</v>
      </c>
      <c r="W1607" s="600">
        <f t="shared" si="1319"/>
        <v>796.59102891979569</v>
      </c>
      <c r="X1607" s="600">
        <f t="shared" si="1319"/>
        <v>743.25604918554188</v>
      </c>
      <c r="Y1607" s="600">
        <f t="shared" si="1319"/>
        <v>757.53878313299879</v>
      </c>
      <c r="Z1607" s="600">
        <f t="shared" si="1319"/>
        <v>772.11303118061596</v>
      </c>
      <c r="AA1607" s="600"/>
      <c r="AB1607" s="600"/>
      <c r="AC1607" s="600"/>
      <c r="AD1607" s="600"/>
      <c r="AE1607" s="600"/>
      <c r="AF1607" s="600"/>
      <c r="AG1607" s="600"/>
      <c r="AH1607" s="600"/>
      <c r="AI1607" s="600"/>
      <c r="AJ1607" s="600"/>
    </row>
    <row r="1608" spans="1:36" x14ac:dyDescent="0.25">
      <c r="A1608" t="s">
        <v>862</v>
      </c>
      <c r="H1608" s="574" t="s">
        <v>292</v>
      </c>
      <c r="I1608" s="575" t="str">
        <f t="shared" si="1301"/>
        <v>VND/phôi</v>
      </c>
      <c r="K1608" s="574"/>
      <c r="L1608" s="601">
        <f t="shared" ref="L1608:AJ1608" si="1320">Tax_rate</f>
        <v>0.2</v>
      </c>
      <c r="M1608" s="601">
        <f t="shared" si="1320"/>
        <v>0.2</v>
      </c>
      <c r="N1608" s="601">
        <f t="shared" si="1320"/>
        <v>0.2</v>
      </c>
      <c r="O1608" s="601">
        <f t="shared" si="1320"/>
        <v>0.2</v>
      </c>
      <c r="P1608" s="601">
        <f t="shared" si="1320"/>
        <v>0.2</v>
      </c>
      <c r="Q1608" s="601">
        <f t="shared" si="1320"/>
        <v>0.2</v>
      </c>
      <c r="R1608" s="601">
        <f t="shared" si="1320"/>
        <v>0.2</v>
      </c>
      <c r="S1608" s="601">
        <f t="shared" si="1320"/>
        <v>0.2</v>
      </c>
      <c r="T1608" s="601">
        <f t="shared" si="1320"/>
        <v>0.2</v>
      </c>
      <c r="U1608" s="601">
        <f t="shared" si="1320"/>
        <v>0.2</v>
      </c>
      <c r="V1608" s="601">
        <f t="shared" si="1320"/>
        <v>0.2</v>
      </c>
      <c r="W1608" s="601">
        <f t="shared" si="1320"/>
        <v>0.2</v>
      </c>
      <c r="X1608" s="601">
        <f t="shared" si="1320"/>
        <v>0.2</v>
      </c>
      <c r="Y1608" s="601">
        <f t="shared" si="1320"/>
        <v>0.2</v>
      </c>
      <c r="Z1608" s="601">
        <f t="shared" si="1320"/>
        <v>0.2</v>
      </c>
      <c r="AA1608" s="601"/>
      <c r="AB1608" s="601"/>
      <c r="AC1608" s="601"/>
      <c r="AD1608" s="601"/>
      <c r="AE1608" s="601"/>
      <c r="AF1608" s="601"/>
      <c r="AG1608" s="601"/>
      <c r="AH1608" s="601"/>
      <c r="AI1608" s="601"/>
      <c r="AJ1608" s="601"/>
    </row>
    <row r="1609" spans="1:36" s="1" customFormat="1" x14ac:dyDescent="0.25">
      <c r="A1609" s="1" t="s">
        <v>862</v>
      </c>
      <c r="H1609" s="595" t="s">
        <v>491</v>
      </c>
      <c r="I1609" s="596" t="str">
        <f t="shared" si="1301"/>
        <v>VND/phôi</v>
      </c>
      <c r="K1609" s="595"/>
      <c r="L1609" s="600">
        <f>(L1607-L1604)*(1-L1608)</f>
        <v>43.275680068398565</v>
      </c>
      <c r="M1609" s="600">
        <f t="shared" ref="M1609:AJ1609" si="1321">(M1607-M1604)*(1-M1608)</f>
        <v>37.649601004569924</v>
      </c>
      <c r="N1609" s="600">
        <f t="shared" si="1321"/>
        <v>34.163118131958804</v>
      </c>
      <c r="O1609" s="600">
        <f t="shared" si="1321"/>
        <v>34.738746571178766</v>
      </c>
      <c r="P1609" s="600">
        <f t="shared" si="1321"/>
        <v>35.327416877969426</v>
      </c>
      <c r="Q1609" s="600">
        <f t="shared" si="1321"/>
        <v>35.92933638851482</v>
      </c>
      <c r="R1609" s="600">
        <f t="shared" si="1321"/>
        <v>36.54470481303688</v>
      </c>
      <c r="S1609" s="600">
        <f t="shared" si="1321"/>
        <v>37.173712857808006</v>
      </c>
      <c r="T1609" s="600">
        <f t="shared" si="1321"/>
        <v>37.816540713751969</v>
      </c>
      <c r="U1609" s="600">
        <f t="shared" si="1321"/>
        <v>38.473356400552078</v>
      </c>
      <c r="V1609" s="600">
        <f t="shared" si="1321"/>
        <v>39.144313954324574</v>
      </c>
      <c r="W1609" s="600">
        <f t="shared" si="1321"/>
        <v>39.829551445989821</v>
      </c>
      <c r="X1609" s="600">
        <f t="shared" si="1321"/>
        <v>37.162802459277103</v>
      </c>
      <c r="Y1609" s="600">
        <f t="shared" si="1321"/>
        <v>37.876939156649954</v>
      </c>
      <c r="Z1609" s="600">
        <f t="shared" si="1321"/>
        <v>38.605651559030775</v>
      </c>
      <c r="AA1609" s="600"/>
      <c r="AB1609" s="600"/>
      <c r="AC1609" s="600"/>
      <c r="AD1609" s="600"/>
      <c r="AE1609" s="600"/>
      <c r="AF1609" s="600"/>
      <c r="AG1609" s="600"/>
      <c r="AH1609" s="600"/>
      <c r="AI1609" s="600"/>
      <c r="AJ1609" s="600"/>
    </row>
    <row r="1610" spans="1:36" s="146" customFormat="1" x14ac:dyDescent="0.25">
      <c r="A1610" s="146" t="s">
        <v>862</v>
      </c>
      <c r="H1610" s="597" t="s">
        <v>492</v>
      </c>
      <c r="I1610" s="598"/>
      <c r="K1610" s="597"/>
      <c r="L1610" s="602">
        <f>IFERROR(L1609/L1607,0)</f>
        <v>5.0000000000000037E-2</v>
      </c>
      <c r="M1610" s="602">
        <f>IFERROR(M1609/M1607,0)</f>
        <v>5.0000000000000037E-2</v>
      </c>
      <c r="N1610" s="602">
        <f t="shared" ref="N1610:AJ1610" si="1322">IFERROR(N1609/N1607,0)</f>
        <v>5.0000000000000031E-2</v>
      </c>
      <c r="O1610" s="602">
        <f t="shared" si="1322"/>
        <v>4.9999999999999954E-2</v>
      </c>
      <c r="P1610" s="602">
        <f t="shared" si="1322"/>
        <v>4.9999999999999989E-2</v>
      </c>
      <c r="Q1610" s="602">
        <f t="shared" si="1322"/>
        <v>5.0000000000000017E-2</v>
      </c>
      <c r="R1610" s="602">
        <f t="shared" si="1322"/>
        <v>0.05</v>
      </c>
      <c r="S1610" s="602">
        <f t="shared" si="1322"/>
        <v>0.05</v>
      </c>
      <c r="T1610" s="602">
        <f t="shared" si="1322"/>
        <v>5.0000000000000031E-2</v>
      </c>
      <c r="U1610" s="602">
        <f t="shared" si="1322"/>
        <v>5.0000000000000024E-2</v>
      </c>
      <c r="V1610" s="602">
        <f t="shared" si="1322"/>
        <v>5.0000000000000024E-2</v>
      </c>
      <c r="W1610" s="602">
        <f t="shared" si="1322"/>
        <v>5.0000000000000044E-2</v>
      </c>
      <c r="X1610" s="602">
        <f t="shared" si="1322"/>
        <v>5.000000000000001E-2</v>
      </c>
      <c r="Y1610" s="602">
        <f t="shared" si="1322"/>
        <v>5.0000000000000017E-2</v>
      </c>
      <c r="Z1610" s="602">
        <f t="shared" si="1322"/>
        <v>4.9999999999999968E-2</v>
      </c>
      <c r="AA1610" s="602"/>
      <c r="AB1610" s="602"/>
      <c r="AC1610" s="602"/>
      <c r="AD1610" s="602"/>
      <c r="AE1610" s="602"/>
      <c r="AF1610" s="602"/>
      <c r="AG1610" s="602"/>
      <c r="AH1610" s="602"/>
      <c r="AI1610" s="602"/>
      <c r="AJ1610" s="602"/>
    </row>
    <row r="1611" spans="1:36" x14ac:dyDescent="0.25">
      <c r="A1611" t="s">
        <v>862</v>
      </c>
      <c r="L1611" s="64"/>
    </row>
    <row r="1612" spans="1:36" x14ac:dyDescent="0.25">
      <c r="A1612" t="s">
        <v>862</v>
      </c>
      <c r="H1612" s="1" t="s">
        <v>493</v>
      </c>
    </row>
    <row r="1613" spans="1:36" x14ac:dyDescent="0.25">
      <c r="A1613" t="s">
        <v>862</v>
      </c>
      <c r="H1613" t="s">
        <v>493</v>
      </c>
      <c r="I1613" s="65" t="s">
        <v>475</v>
      </c>
      <c r="K1613" s="15"/>
      <c r="L1613" s="15">
        <f t="shared" ref="L1613:AJ1613" si="1323">L1614*PHOI_KG*10^3/10^6</f>
        <v>45.333333333333336</v>
      </c>
      <c r="M1613" s="15">
        <f t="shared" si="1323"/>
        <v>46.240000000000009</v>
      </c>
      <c r="N1613" s="15">
        <f t="shared" si="1323"/>
        <v>47.1648</v>
      </c>
      <c r="O1613" s="15">
        <f t="shared" si="1323"/>
        <v>48.10809600000001</v>
      </c>
      <c r="P1613" s="15">
        <f t="shared" si="1323"/>
        <v>49.070257920000003</v>
      </c>
      <c r="Q1613" s="15">
        <f t="shared" si="1323"/>
        <v>50.051663078400004</v>
      </c>
      <c r="R1613" s="15">
        <f t="shared" si="1323"/>
        <v>51.052696339968008</v>
      </c>
      <c r="S1613" s="15">
        <f t="shared" si="1323"/>
        <v>52.073750266767355</v>
      </c>
      <c r="T1613" s="15">
        <f t="shared" si="1323"/>
        <v>53.115225272102705</v>
      </c>
      <c r="U1613" s="15">
        <f t="shared" si="1323"/>
        <v>54.177529777544763</v>
      </c>
      <c r="V1613" s="15">
        <f t="shared" si="1323"/>
        <v>55.261080373095652</v>
      </c>
      <c r="W1613" s="15">
        <f t="shared" si="1323"/>
        <v>56.366301980557566</v>
      </c>
      <c r="X1613" s="15">
        <f t="shared" si="1323"/>
        <v>57.493628020168721</v>
      </c>
      <c r="Y1613" s="15">
        <f t="shared" si="1323"/>
        <v>58.643500580572088</v>
      </c>
      <c r="Z1613" s="15">
        <f t="shared" si="1323"/>
        <v>59.816370592183539</v>
      </c>
      <c r="AA1613" s="15"/>
      <c r="AB1613" s="15"/>
      <c r="AC1613" s="15"/>
      <c r="AD1613" s="15"/>
      <c r="AE1613" s="15"/>
      <c r="AF1613" s="15"/>
      <c r="AG1613" s="15"/>
      <c r="AH1613" s="15"/>
      <c r="AI1613" s="15"/>
      <c r="AJ1613" s="15"/>
    </row>
    <row r="1614" spans="1:36" x14ac:dyDescent="0.25">
      <c r="A1614" t="s">
        <v>862</v>
      </c>
      <c r="F1614" t="s">
        <v>570</v>
      </c>
      <c r="H1614" t="s">
        <v>493</v>
      </c>
      <c r="I1614" s="65" t="s">
        <v>368</v>
      </c>
      <c r="K1614" s="27"/>
      <c r="L1614" s="27">
        <f>INDEX('Cover Page'!$H$14:$AJ$14,MATCH($A1614,'Cover Page'!$H$5:$AJ$5,0))*POWER(1+INDEX('Cover Page'!$H$17:$AJ$17,MATCH($A1614,'Cover Page'!$H$5:$AJ$5,0)),L$12+1)</f>
        <v>680</v>
      </c>
      <c r="M1614" s="27">
        <f>INDEX('Cover Page'!$H$14:$AJ$14,MATCH($A1614,'Cover Page'!$H$5:$AJ$5,0))*POWER(1+INDEX('Cover Page'!$H$17:$AJ$17,MATCH($A1614,'Cover Page'!$H$5:$AJ$5,0)),M$12+1)</f>
        <v>693.6</v>
      </c>
      <c r="N1614" s="27">
        <f>INDEX('Cover Page'!$H$14:$AJ$14,MATCH($A1614,'Cover Page'!$H$5:$AJ$5,0))*POWER(1+INDEX('Cover Page'!$H$17:$AJ$17,MATCH($A1614,'Cover Page'!$H$5:$AJ$5,0)),N$12+1)</f>
        <v>707.47199999999998</v>
      </c>
      <c r="O1614" s="27">
        <f>INDEX('Cover Page'!$H$14:$AJ$14,MATCH($A1614,'Cover Page'!$H$5:$AJ$5,0))*POWER(1+INDEX('Cover Page'!$H$17:$AJ$17,MATCH($A1614,'Cover Page'!$H$5:$AJ$5,0)),O$12+1)</f>
        <v>721.62144000000001</v>
      </c>
      <c r="P1614" s="27">
        <f>INDEX('Cover Page'!$H$14:$AJ$14,MATCH($A1614,'Cover Page'!$H$5:$AJ$5,0))*POWER(1+INDEX('Cover Page'!$H$17:$AJ$17,MATCH($A1614,'Cover Page'!$H$5:$AJ$5,0)),P$12+1)</f>
        <v>736.05386880000003</v>
      </c>
      <c r="Q1614" s="27">
        <f>INDEX('Cover Page'!$H$14:$AJ$14,MATCH($A1614,'Cover Page'!$H$5:$AJ$5,0))*POWER(1+INDEX('Cover Page'!$H$17:$AJ$17,MATCH($A1614,'Cover Page'!$H$5:$AJ$5,0)),Q$12+1)</f>
        <v>750.77494617599996</v>
      </c>
      <c r="R1614" s="27">
        <f>INDEX('Cover Page'!$H$14:$AJ$14,MATCH($A1614,'Cover Page'!$H$5:$AJ$5,0))*POWER(1+INDEX('Cover Page'!$H$17:$AJ$17,MATCH($A1614,'Cover Page'!$H$5:$AJ$5,0)),R$12+1)</f>
        <v>765.79044509952007</v>
      </c>
      <c r="S1614" s="27">
        <f>INDEX('Cover Page'!$H$14:$AJ$14,MATCH($A1614,'Cover Page'!$H$5:$AJ$5,0))*POWER(1+INDEX('Cover Page'!$H$17:$AJ$17,MATCH($A1614,'Cover Page'!$H$5:$AJ$5,0)),S$12+1)</f>
        <v>781.10625400151025</v>
      </c>
      <c r="T1614" s="27">
        <f>INDEX('Cover Page'!$H$14:$AJ$14,MATCH($A1614,'Cover Page'!$H$5:$AJ$5,0))*POWER(1+INDEX('Cover Page'!$H$17:$AJ$17,MATCH($A1614,'Cover Page'!$H$5:$AJ$5,0)),T$12+1)</f>
        <v>796.72837908154054</v>
      </c>
      <c r="U1614" s="27">
        <f>INDEX('Cover Page'!$H$14:$AJ$14,MATCH($A1614,'Cover Page'!$H$5:$AJ$5,0))*POWER(1+INDEX('Cover Page'!$H$17:$AJ$17,MATCH($A1614,'Cover Page'!$H$5:$AJ$5,0)),U$12+1)</f>
        <v>812.6629466631714</v>
      </c>
      <c r="V1614" s="27">
        <f>INDEX('Cover Page'!$H$14:$AJ$14,MATCH($A1614,'Cover Page'!$H$5:$AJ$5,0))*POWER(1+INDEX('Cover Page'!$H$17:$AJ$17,MATCH($A1614,'Cover Page'!$H$5:$AJ$5,0)),V$12+1)</f>
        <v>828.91620559643479</v>
      </c>
      <c r="W1614" s="27">
        <f>INDEX('Cover Page'!$H$14:$AJ$14,MATCH($A1614,'Cover Page'!$H$5:$AJ$5,0))*POWER(1+INDEX('Cover Page'!$H$17:$AJ$17,MATCH($A1614,'Cover Page'!$H$5:$AJ$5,0)),W$12+1)</f>
        <v>845.49452970836342</v>
      </c>
      <c r="X1614" s="27">
        <f>INDEX('Cover Page'!$H$14:$AJ$14,MATCH($A1614,'Cover Page'!$H$5:$AJ$5,0))*POWER(1+INDEX('Cover Page'!$H$17:$AJ$17,MATCH($A1614,'Cover Page'!$H$5:$AJ$5,0)),X$12+1)</f>
        <v>862.40442030253075</v>
      </c>
      <c r="Y1614" s="27">
        <f>INDEX('Cover Page'!$H$14:$AJ$14,MATCH($A1614,'Cover Page'!$H$5:$AJ$5,0))*POWER(1+INDEX('Cover Page'!$H$17:$AJ$17,MATCH($A1614,'Cover Page'!$H$5:$AJ$5,0)),Y$12+1)</f>
        <v>879.65250870858131</v>
      </c>
      <c r="Z1614" s="27">
        <f>INDEX('Cover Page'!$H$14:$AJ$14,MATCH($A1614,'Cover Page'!$H$5:$AJ$5,0))*POWER(1+INDEX('Cover Page'!$H$17:$AJ$17,MATCH($A1614,'Cover Page'!$H$5:$AJ$5,0)),Z$12+1)</f>
        <v>897.24555888275302</v>
      </c>
      <c r="AA1614" s="27"/>
      <c r="AB1614" s="27"/>
      <c r="AC1614" s="27"/>
      <c r="AD1614" s="27"/>
      <c r="AE1614" s="27"/>
      <c r="AF1614" s="27"/>
      <c r="AG1614" s="27"/>
      <c r="AH1614" s="27"/>
      <c r="AI1614" s="27"/>
      <c r="AJ1614" s="27"/>
    </row>
    <row r="1615" spans="1:36" x14ac:dyDescent="0.25">
      <c r="A1615" t="s">
        <v>862</v>
      </c>
      <c r="H1615" t="s">
        <v>493</v>
      </c>
      <c r="I1615" s="65" t="s">
        <v>369</v>
      </c>
      <c r="K1615" s="15"/>
      <c r="L1615" s="15">
        <f t="shared" ref="L1615:AJ1615" si="1324">L1613/EXR*10^6</f>
        <v>1743.5897435897436</v>
      </c>
      <c r="M1615" s="15">
        <f t="shared" si="1324"/>
        <v>1778.4615384615388</v>
      </c>
      <c r="N1615" s="15">
        <f t="shared" si="1324"/>
        <v>1814.0307692307692</v>
      </c>
      <c r="O1615" s="15">
        <f t="shared" si="1324"/>
        <v>1850.3113846153849</v>
      </c>
      <c r="P1615" s="15">
        <f t="shared" si="1324"/>
        <v>1887.3176123076926</v>
      </c>
      <c r="Q1615" s="15">
        <f t="shared" si="1324"/>
        <v>1925.0639645538463</v>
      </c>
      <c r="R1615" s="15">
        <f t="shared" si="1324"/>
        <v>1963.5652438449235</v>
      </c>
      <c r="S1615" s="15">
        <f t="shared" si="1324"/>
        <v>2002.8365487218214</v>
      </c>
      <c r="T1615" s="15">
        <f t="shared" si="1324"/>
        <v>2042.8932796962579</v>
      </c>
      <c r="U1615" s="15">
        <f t="shared" si="1324"/>
        <v>2083.7511452901831</v>
      </c>
      <c r="V1615" s="15">
        <f t="shared" si="1324"/>
        <v>2125.426168195987</v>
      </c>
      <c r="W1615" s="15">
        <f t="shared" si="1324"/>
        <v>2167.9346915599062</v>
      </c>
      <c r="X1615" s="15">
        <f t="shared" si="1324"/>
        <v>2211.2933853911045</v>
      </c>
      <c r="Y1615" s="15">
        <f t="shared" si="1324"/>
        <v>2255.5192530989266</v>
      </c>
      <c r="Z1615" s="15">
        <f t="shared" si="1324"/>
        <v>2300.6296381609054</v>
      </c>
      <c r="AA1615" s="15"/>
      <c r="AB1615" s="15"/>
      <c r="AC1615" s="15"/>
      <c r="AD1615" s="15"/>
      <c r="AE1615" s="15"/>
      <c r="AF1615" s="15"/>
      <c r="AG1615" s="15"/>
      <c r="AH1615" s="15"/>
      <c r="AI1615" s="15"/>
      <c r="AJ1615" s="15"/>
    </row>
    <row r="1616" spans="1:36" x14ac:dyDescent="0.25">
      <c r="A1616" t="s">
        <v>862</v>
      </c>
      <c r="H1616" t="s">
        <v>493</v>
      </c>
      <c r="I1616" s="65" t="s">
        <v>494</v>
      </c>
      <c r="K1616" s="15"/>
      <c r="L1616" s="15">
        <f t="shared" ref="L1616:AJ1616" si="1325">L1614*1000/EXR</f>
        <v>26.153846153846153</v>
      </c>
      <c r="M1616" s="15">
        <f t="shared" si="1325"/>
        <v>26.676923076923078</v>
      </c>
      <c r="N1616" s="15">
        <f t="shared" si="1325"/>
        <v>27.210461538461537</v>
      </c>
      <c r="O1616" s="15">
        <f t="shared" si="1325"/>
        <v>27.754670769230771</v>
      </c>
      <c r="P1616" s="15">
        <f t="shared" si="1325"/>
        <v>28.309764184615386</v>
      </c>
      <c r="Q1616" s="15">
        <f t="shared" si="1325"/>
        <v>28.875959468307691</v>
      </c>
      <c r="R1616" s="15">
        <f t="shared" si="1325"/>
        <v>29.453478657673848</v>
      </c>
      <c r="S1616" s="15">
        <f t="shared" si="1325"/>
        <v>30.042548230827315</v>
      </c>
      <c r="T1616" s="15">
        <f t="shared" si="1325"/>
        <v>30.643399195443866</v>
      </c>
      <c r="U1616" s="15">
        <f t="shared" si="1325"/>
        <v>31.256267179352747</v>
      </c>
      <c r="V1616" s="15">
        <f t="shared" si="1325"/>
        <v>31.881392522939798</v>
      </c>
      <c r="W1616" s="15">
        <f t="shared" si="1325"/>
        <v>32.519020373398597</v>
      </c>
      <c r="X1616" s="15">
        <f t="shared" si="1325"/>
        <v>33.169400780866567</v>
      </c>
      <c r="Y1616" s="15">
        <f t="shared" si="1325"/>
        <v>33.832788796483896</v>
      </c>
      <c r="Z1616" s="15">
        <f t="shared" si="1325"/>
        <v>34.509444572413578</v>
      </c>
      <c r="AA1616" s="15"/>
      <c r="AB1616" s="15"/>
      <c r="AC1616" s="15"/>
      <c r="AD1616" s="15"/>
      <c r="AE1616" s="15"/>
      <c r="AF1616" s="15"/>
      <c r="AG1616" s="15"/>
      <c r="AH1616" s="15"/>
      <c r="AI1616" s="15"/>
      <c r="AJ1616" s="15"/>
    </row>
    <row r="1617" spans="1:36" x14ac:dyDescent="0.25">
      <c r="A1617" t="s">
        <v>862</v>
      </c>
    </row>
    <row r="1618" spans="1:36" s="16" customFormat="1" x14ac:dyDescent="0.25">
      <c r="A1618" s="16" t="s">
        <v>862</v>
      </c>
      <c r="D1618" s="16" t="s">
        <v>722</v>
      </c>
      <c r="H1618" s="270" t="s">
        <v>497</v>
      </c>
      <c r="I1618" s="271" t="str">
        <f>IF($H$9="USD","USD","tr. VND")</f>
        <v>tr. VND</v>
      </c>
      <c r="K1618" s="270"/>
      <c r="L1618" s="272">
        <f t="shared" ref="L1618:AJ1618" si="1326">IF($H$9="USD",L1615*L1494/10^3,L1613*L1494/10^3)</f>
        <v>140401.29945600001</v>
      </c>
      <c r="M1618" s="272">
        <f t="shared" si="1326"/>
        <v>200493.05562316801</v>
      </c>
      <c r="N1618" s="272">
        <f t="shared" si="1326"/>
        <v>292147.02390804479</v>
      </c>
      <c r="O1618" s="272">
        <f t="shared" si="1326"/>
        <v>297989.96438620571</v>
      </c>
      <c r="P1618" s="272">
        <f t="shared" si="1326"/>
        <v>303949.76367392979</v>
      </c>
      <c r="Q1618" s="272">
        <f t="shared" si="1326"/>
        <v>310028.75894740841</v>
      </c>
      <c r="R1618" s="272">
        <f t="shared" si="1326"/>
        <v>316229.33412635658</v>
      </c>
      <c r="S1618" s="272">
        <f t="shared" si="1326"/>
        <v>322553.92080888367</v>
      </c>
      <c r="T1618" s="272">
        <f t="shared" si="1326"/>
        <v>329004.99922506133</v>
      </c>
      <c r="U1618" s="272">
        <f t="shared" si="1326"/>
        <v>335585.09920956258</v>
      </c>
      <c r="V1618" s="272">
        <f t="shared" si="1326"/>
        <v>342296.80119375384</v>
      </c>
      <c r="W1618" s="272">
        <f t="shared" si="1326"/>
        <v>349142.73721762892</v>
      </c>
      <c r="X1618" s="272">
        <f t="shared" si="1326"/>
        <v>356125.5919619815</v>
      </c>
      <c r="Y1618" s="272">
        <f t="shared" si="1326"/>
        <v>363248.10380122106</v>
      </c>
      <c r="Z1618" s="272">
        <f t="shared" si="1326"/>
        <v>370513.06587724556</v>
      </c>
      <c r="AA1618" s="272"/>
      <c r="AB1618" s="272"/>
      <c r="AC1618" s="272"/>
      <c r="AD1618" s="272"/>
      <c r="AE1618" s="272"/>
      <c r="AF1618" s="272"/>
      <c r="AG1618" s="272"/>
      <c r="AH1618" s="272"/>
      <c r="AI1618" s="272"/>
      <c r="AJ1618" s="272"/>
    </row>
    <row r="1619" spans="1:36" x14ac:dyDescent="0.25">
      <c r="A1619" t="s">
        <v>862</v>
      </c>
    </row>
    <row r="1620" spans="1:36" s="1" customFormat="1" x14ac:dyDescent="0.25">
      <c r="A1620" s="1" t="s">
        <v>862</v>
      </c>
      <c r="H1620" s="266" t="s">
        <v>495</v>
      </c>
      <c r="I1620" s="267" t="str">
        <f>IF($H$9="USD","USD","tr. VND")</f>
        <v>tr. VND</v>
      </c>
      <c r="K1620" s="266"/>
      <c r="L1620" s="269">
        <f>L1618+L1534</f>
        <v>-27134.409637160104</v>
      </c>
      <c r="M1620" s="269">
        <f t="shared" ref="M1620:AJ1620" si="1327">M1618+M1534</f>
        <v>-3564.1337258618732</v>
      </c>
      <c r="N1620" s="269">
        <f t="shared" si="1327"/>
        <v>27631.60961415607</v>
      </c>
      <c r="O1620" s="269">
        <f t="shared" si="1327"/>
        <v>29017.621000203828</v>
      </c>
      <c r="P1620" s="269">
        <f t="shared" si="1327"/>
        <v>30419.511683631863</v>
      </c>
      <c r="Q1620" s="269">
        <f t="shared" si="1327"/>
        <v>31838.01349487761</v>
      </c>
      <c r="R1620" s="269">
        <f t="shared" si="1327"/>
        <v>33273.96405358176</v>
      </c>
      <c r="S1620" s="269">
        <f t="shared" si="1327"/>
        <v>34728.318372828886</v>
      </c>
      <c r="T1620" s="269">
        <f t="shared" si="1327"/>
        <v>36202.161515051965</v>
      </c>
      <c r="U1620" s="269">
        <f t="shared" si="1327"/>
        <v>37696.722385776287</v>
      </c>
      <c r="V1620" s="269">
        <f t="shared" si="1327"/>
        <v>39213.38875804795</v>
      </c>
      <c r="W1620" s="269">
        <f t="shared" si="1327"/>
        <v>40753.723627560772</v>
      </c>
      <c r="X1620" s="269">
        <f t="shared" si="1327"/>
        <v>68384.465672874707</v>
      </c>
      <c r="Y1620" s="269">
        <f t="shared" si="1327"/>
        <v>69977.617936726601</v>
      </c>
      <c r="Z1620" s="269">
        <f t="shared" si="1327"/>
        <v>71600.364853340609</v>
      </c>
      <c r="AA1620" s="269"/>
      <c r="AB1620" s="269"/>
      <c r="AC1620" s="269"/>
      <c r="AD1620" s="269"/>
      <c r="AE1620" s="269"/>
      <c r="AF1620" s="269"/>
      <c r="AG1620" s="269"/>
      <c r="AH1620" s="269"/>
      <c r="AI1620" s="269"/>
      <c r="AJ1620" s="269"/>
    </row>
    <row r="1621" spans="1:36" s="146" customFormat="1" x14ac:dyDescent="0.25">
      <c r="A1621" s="146" t="s">
        <v>862</v>
      </c>
      <c r="H1621" s="146" t="s">
        <v>496</v>
      </c>
      <c r="I1621" s="144"/>
      <c r="L1621" s="147">
        <f>IFERROR(L1620/L1618,0)</f>
        <v>-0.19326323718010663</v>
      </c>
      <c r="M1621" s="147">
        <f t="shared" ref="M1621:AJ1621" si="1328">IFERROR(M1620/M1618,0)</f>
        <v>-1.7776843765405805E-2</v>
      </c>
      <c r="N1621" s="147">
        <f t="shared" si="1328"/>
        <v>9.4581177807422409E-2</v>
      </c>
      <c r="O1621" s="147">
        <f t="shared" si="1328"/>
        <v>9.737784646531232E-2</v>
      </c>
      <c r="P1621" s="147">
        <f t="shared" si="1328"/>
        <v>0.10008072161643529</v>
      </c>
      <c r="Q1621" s="147">
        <f t="shared" si="1328"/>
        <v>0.10269374235787732</v>
      </c>
      <c r="R1621" s="147">
        <f t="shared" si="1328"/>
        <v>0.10522099142227709</v>
      </c>
      <c r="S1621" s="147">
        <f t="shared" si="1328"/>
        <v>0.10766670665710416</v>
      </c>
      <c r="T1621" s="147">
        <f t="shared" si="1328"/>
        <v>0.11003529308163271</v>
      </c>
      <c r="U1621" s="147">
        <f t="shared" si="1328"/>
        <v>0.11233133555264277</v>
      </c>
      <c r="V1621" s="147">
        <f t="shared" si="1328"/>
        <v>0.11455961207143033</v>
      </c>
      <c r="W1621" s="147">
        <f t="shared" si="1328"/>
        <v>0.11672510776633459</v>
      </c>
      <c r="X1621" s="147">
        <f t="shared" si="1328"/>
        <v>0.19202345244588642</v>
      </c>
      <c r="Y1621" s="147">
        <f t="shared" si="1328"/>
        <v>0.19264413827475943</v>
      </c>
      <c r="Z1621" s="147">
        <f t="shared" si="1328"/>
        <v>0.19324653149225912</v>
      </c>
      <c r="AA1621" s="147"/>
      <c r="AB1621" s="147"/>
      <c r="AC1621" s="147"/>
      <c r="AD1621" s="147"/>
      <c r="AE1621" s="147"/>
      <c r="AF1621" s="147"/>
      <c r="AG1621" s="147"/>
      <c r="AH1621" s="147"/>
      <c r="AI1621" s="147"/>
      <c r="AJ1621" s="147"/>
    </row>
    <row r="1622" spans="1:36" x14ac:dyDescent="0.25">
      <c r="A1622" t="s">
        <v>862</v>
      </c>
    </row>
    <row r="1623" spans="1:36" s="16" customFormat="1" x14ac:dyDescent="0.25">
      <c r="A1623" s="16" t="s">
        <v>862</v>
      </c>
      <c r="D1623" s="16" t="s">
        <v>488</v>
      </c>
      <c r="H1623" s="270" t="s">
        <v>488</v>
      </c>
      <c r="I1623" s="271" t="str">
        <f>IF($H$9="USD","USD","tr. VND")</f>
        <v>tr. VND</v>
      </c>
      <c r="K1623" s="270"/>
      <c r="L1623" s="272">
        <f t="shared" ref="L1623:AJ1623" si="1329">L1620*(1-Tax_rate)</f>
        <v>-21707.527709728085</v>
      </c>
      <c r="M1623" s="272">
        <f t="shared" si="1329"/>
        <v>-2851.3069806894987</v>
      </c>
      <c r="N1623" s="272">
        <f t="shared" si="1329"/>
        <v>22105.287691324858</v>
      </c>
      <c r="O1623" s="272">
        <f t="shared" si="1329"/>
        <v>23214.096800163064</v>
      </c>
      <c r="P1623" s="272">
        <f t="shared" si="1329"/>
        <v>24335.60934690549</v>
      </c>
      <c r="Q1623" s="272">
        <f t="shared" si="1329"/>
        <v>25470.410795902091</v>
      </c>
      <c r="R1623" s="272">
        <f t="shared" si="1329"/>
        <v>26619.17124286541</v>
      </c>
      <c r="S1623" s="272">
        <f t="shared" si="1329"/>
        <v>27782.654698263112</v>
      </c>
      <c r="T1623" s="272">
        <f t="shared" si="1329"/>
        <v>28961.729212041573</v>
      </c>
      <c r="U1623" s="272">
        <f t="shared" si="1329"/>
        <v>30157.377908621031</v>
      </c>
      <c r="V1623" s="272">
        <f t="shared" si="1329"/>
        <v>31370.71100643836</v>
      </c>
      <c r="W1623" s="272">
        <f t="shared" si="1329"/>
        <v>32602.978902048621</v>
      </c>
      <c r="X1623" s="272">
        <f t="shared" si="1329"/>
        <v>54707.57253829977</v>
      </c>
      <c r="Y1623" s="272">
        <f t="shared" si="1329"/>
        <v>55982.094349381281</v>
      </c>
      <c r="Z1623" s="272">
        <f t="shared" si="1329"/>
        <v>57280.291882672493</v>
      </c>
      <c r="AA1623" s="272"/>
      <c r="AB1623" s="272"/>
      <c r="AC1623" s="272"/>
      <c r="AD1623" s="272"/>
      <c r="AE1623" s="272"/>
      <c r="AF1623" s="272"/>
      <c r="AG1623" s="272"/>
      <c r="AH1623" s="272"/>
      <c r="AI1623" s="272"/>
      <c r="AJ1623" s="272"/>
    </row>
    <row r="1624" spans="1:36" s="146" customFormat="1" x14ac:dyDescent="0.25">
      <c r="A1624" s="146" t="s">
        <v>862</v>
      </c>
      <c r="H1624" s="146" t="s">
        <v>489</v>
      </c>
      <c r="I1624" s="144"/>
      <c r="L1624" s="147">
        <f>IFERROR(L1623/L1618,0)</f>
        <v>-0.15461058974408531</v>
      </c>
      <c r="M1624" s="147">
        <f t="shared" ref="M1624:AJ1624" si="1330">IFERROR(M1623/M1618,0)</f>
        <v>-1.4221475012324644E-2</v>
      </c>
      <c r="N1624" s="147">
        <f t="shared" si="1330"/>
        <v>7.5664942245937936E-2</v>
      </c>
      <c r="O1624" s="147">
        <f t="shared" si="1330"/>
        <v>7.7902277172249873E-2</v>
      </c>
      <c r="P1624" s="147">
        <f t="shared" si="1330"/>
        <v>8.0064577293148226E-2</v>
      </c>
      <c r="Q1624" s="147">
        <f t="shared" si="1330"/>
        <v>8.2154993886301861E-2</v>
      </c>
      <c r="R1624" s="147">
        <f t="shared" si="1330"/>
        <v>8.417679313782167E-2</v>
      </c>
      <c r="S1624" s="147">
        <f t="shared" si="1330"/>
        <v>8.6133365325683345E-2</v>
      </c>
      <c r="T1624" s="147">
        <f t="shared" si="1330"/>
        <v>8.8028234465306165E-2</v>
      </c>
      <c r="U1624" s="147">
        <f t="shared" si="1330"/>
        <v>8.9865068442114213E-2</v>
      </c>
      <c r="V1624" s="147">
        <f t="shared" si="1330"/>
        <v>9.164768965714426E-2</v>
      </c>
      <c r="W1624" s="147">
        <f t="shared" si="1330"/>
        <v>9.3380086213067676E-2</v>
      </c>
      <c r="X1624" s="147">
        <f t="shared" si="1330"/>
        <v>0.15361876195670915</v>
      </c>
      <c r="Y1624" s="147">
        <f t="shared" si="1330"/>
        <v>0.15411531061980754</v>
      </c>
      <c r="Z1624" s="147">
        <f t="shared" si="1330"/>
        <v>0.15459722519380731</v>
      </c>
      <c r="AA1624" s="147"/>
      <c r="AB1624" s="147"/>
      <c r="AC1624" s="147"/>
      <c r="AD1624" s="147"/>
      <c r="AE1624" s="147"/>
      <c r="AF1624" s="147"/>
      <c r="AG1624" s="147"/>
      <c r="AH1624" s="147"/>
      <c r="AI1624" s="147"/>
      <c r="AJ1624" s="147"/>
    </row>
    <row r="1625" spans="1:36" x14ac:dyDescent="0.25">
      <c r="A1625" t="s">
        <v>862</v>
      </c>
    </row>
    <row r="1626" spans="1:36" s="16" customFormat="1" x14ac:dyDescent="0.25">
      <c r="A1626" s="16" t="s">
        <v>862</v>
      </c>
      <c r="H1626" s="270" t="s">
        <v>477</v>
      </c>
      <c r="I1626" s="271" t="str">
        <f>IF($H$9="USD","USD","tr. VND")</f>
        <v>tr. VND</v>
      </c>
      <c r="K1626" s="272">
        <f>SUM(K1628:K1631)</f>
        <v>-450749.80000000005</v>
      </c>
      <c r="L1626" s="272">
        <f t="shared" ref="L1626:AJ1626" si="1331">SUM(L1628:L1631)</f>
        <v>0</v>
      </c>
      <c r="M1626" s="272">
        <f t="shared" si="1331"/>
        <v>0</v>
      </c>
      <c r="N1626" s="272">
        <f t="shared" si="1331"/>
        <v>0</v>
      </c>
      <c r="O1626" s="272">
        <f t="shared" si="1331"/>
        <v>0</v>
      </c>
      <c r="P1626" s="272">
        <f t="shared" si="1331"/>
        <v>0</v>
      </c>
      <c r="Q1626" s="272">
        <f t="shared" si="1331"/>
        <v>0</v>
      </c>
      <c r="R1626" s="272">
        <f t="shared" si="1331"/>
        <v>0</v>
      </c>
      <c r="S1626" s="272">
        <f t="shared" si="1331"/>
        <v>0</v>
      </c>
      <c r="T1626" s="272">
        <f t="shared" si="1331"/>
        <v>0</v>
      </c>
      <c r="U1626" s="272">
        <f t="shared" si="1331"/>
        <v>0</v>
      </c>
      <c r="V1626" s="272">
        <f t="shared" si="1331"/>
        <v>0</v>
      </c>
      <c r="W1626" s="272">
        <f t="shared" si="1331"/>
        <v>0</v>
      </c>
      <c r="X1626" s="272">
        <f t="shared" si="1331"/>
        <v>0</v>
      </c>
      <c r="Y1626" s="272">
        <f t="shared" si="1331"/>
        <v>0</v>
      </c>
      <c r="Z1626" s="272">
        <f t="shared" si="1331"/>
        <v>0</v>
      </c>
      <c r="AA1626" s="272"/>
      <c r="AB1626" s="272"/>
      <c r="AC1626" s="272"/>
      <c r="AD1626" s="272"/>
      <c r="AE1626" s="272"/>
      <c r="AF1626" s="272"/>
      <c r="AG1626" s="272"/>
      <c r="AH1626" s="272"/>
      <c r="AI1626" s="272"/>
      <c r="AJ1626" s="272"/>
    </row>
    <row r="1627" spans="1:36" x14ac:dyDescent="0.25">
      <c r="A1627" t="s">
        <v>862</v>
      </c>
    </row>
    <row r="1628" spans="1:36" x14ac:dyDescent="0.25">
      <c r="A1628" t="s">
        <v>862</v>
      </c>
      <c r="B1628" t="s">
        <v>480</v>
      </c>
      <c r="H1628" s="459" t="s">
        <v>30</v>
      </c>
      <c r="I1628" s="493" t="str">
        <f t="shared" ref="I1628:I1631" si="1332">IF($H$9="USD","USD","tr. VND")</f>
        <v>tr. VND</v>
      </c>
      <c r="K1628" s="461" cm="1">
        <f t="array" ref="K1628">-SUMPRODUCT('W1'!$H$10:$BC$60*('W1'!$A$10:$A$60=$B1628)*('W1'!$H$7:$BC$7="Giá trị đầu tư")*('W1'!$H$6:$BC$6=$A1628))*$H$10</f>
        <v>-246389.00000000003</v>
      </c>
      <c r="L1628" s="461"/>
      <c r="M1628" s="461"/>
      <c r="N1628" s="461"/>
      <c r="O1628" s="461"/>
      <c r="P1628" s="461"/>
      <c r="Q1628" s="461"/>
      <c r="R1628" s="461"/>
      <c r="S1628" s="461"/>
      <c r="T1628" s="461"/>
      <c r="U1628" s="461"/>
      <c r="V1628" s="461"/>
      <c r="W1628" s="461"/>
      <c r="X1628" s="461"/>
      <c r="Y1628" s="461"/>
      <c r="Z1628" s="461"/>
      <c r="AA1628" s="461"/>
      <c r="AB1628" s="461"/>
      <c r="AC1628" s="461"/>
      <c r="AD1628" s="461"/>
      <c r="AE1628" s="461"/>
      <c r="AF1628" s="461"/>
      <c r="AG1628" s="461"/>
      <c r="AH1628" s="461"/>
      <c r="AI1628" s="461"/>
      <c r="AJ1628" s="461"/>
    </row>
    <row r="1629" spans="1:36" x14ac:dyDescent="0.25">
      <c r="A1629" t="s">
        <v>862</v>
      </c>
      <c r="B1629" t="s">
        <v>481</v>
      </c>
      <c r="H1629" s="454" t="s">
        <v>32</v>
      </c>
      <c r="I1629" s="496" t="str">
        <f t="shared" si="1332"/>
        <v>tr. VND</v>
      </c>
      <c r="K1629" s="457" cm="1">
        <f t="array" ref="K1629">-SUMPRODUCT('W1'!$H$10:$BC$60*('W1'!$A$10:$A$60=$B1629)*('W1'!$H$7:$BC$7="Giá trị đầu tư")*('W1'!$H$6:$BC$6=$A1629))*$H$10</f>
        <v>-38110.799999999996</v>
      </c>
      <c r="L1629" s="457"/>
      <c r="M1629" s="457"/>
      <c r="N1629" s="457"/>
      <c r="O1629" s="457"/>
      <c r="P1629" s="457"/>
      <c r="Q1629" s="457"/>
      <c r="R1629" s="457"/>
      <c r="S1629" s="457"/>
      <c r="T1629" s="457"/>
      <c r="U1629" s="457"/>
      <c r="V1629" s="457"/>
      <c r="W1629" s="457"/>
      <c r="X1629" s="457"/>
      <c r="Y1629" s="457"/>
      <c r="Z1629" s="457"/>
      <c r="AA1629" s="457"/>
      <c r="AB1629" s="457"/>
      <c r="AC1629" s="457"/>
      <c r="AD1629" s="457"/>
      <c r="AE1629" s="457"/>
      <c r="AF1629" s="457"/>
      <c r="AG1629" s="457"/>
      <c r="AH1629" s="457"/>
      <c r="AI1629" s="457"/>
      <c r="AJ1629" s="457"/>
    </row>
    <row r="1630" spans="1:36" x14ac:dyDescent="0.25">
      <c r="A1630" t="s">
        <v>862</v>
      </c>
      <c r="B1630" t="s">
        <v>482</v>
      </c>
      <c r="H1630" s="454" t="s">
        <v>478</v>
      </c>
      <c r="I1630" s="496" t="str">
        <f t="shared" si="1332"/>
        <v>tr. VND</v>
      </c>
      <c r="K1630" s="457" cm="1">
        <f t="array" ref="K1630">-SUMPRODUCT('W1'!$H$10:$BC$60*('W1'!$A$10:$A$60=$B1630)*('W1'!$H$7:$BC$7="Giá trị đầu tư")*('W1'!$H$6:$BC$6=$A1630))*$H$10</f>
        <v>-150000</v>
      </c>
      <c r="L1630" s="457"/>
      <c r="M1630" s="457"/>
      <c r="N1630" s="457"/>
      <c r="O1630" s="457"/>
      <c r="P1630" s="457"/>
      <c r="Q1630" s="457"/>
      <c r="R1630" s="457"/>
      <c r="S1630" s="457"/>
      <c r="T1630" s="457"/>
      <c r="U1630" s="457"/>
      <c r="V1630" s="457"/>
      <c r="W1630" s="457"/>
      <c r="X1630" s="457"/>
      <c r="Y1630" s="457"/>
      <c r="Z1630" s="457"/>
      <c r="AA1630" s="457"/>
      <c r="AB1630" s="457"/>
      <c r="AC1630" s="457"/>
      <c r="AD1630" s="457"/>
      <c r="AE1630" s="457"/>
      <c r="AF1630" s="457"/>
      <c r="AG1630" s="457"/>
      <c r="AH1630" s="457"/>
      <c r="AI1630" s="457"/>
      <c r="AJ1630" s="457"/>
    </row>
    <row r="1631" spans="1:36" x14ac:dyDescent="0.25">
      <c r="A1631" t="s">
        <v>862</v>
      </c>
      <c r="B1631" t="s">
        <v>483</v>
      </c>
      <c r="H1631" s="454" t="s">
        <v>479</v>
      </c>
      <c r="I1631" s="496" t="str">
        <f t="shared" si="1332"/>
        <v>tr. VND</v>
      </c>
      <c r="K1631" s="457" cm="1">
        <f t="array" ref="K1631">-SUMPRODUCT('W1'!$H$10:$BC$60*('W1'!$A$10:$A$60=$B1631)*('W1'!$H$7:$BC$7="Giá trị đầu tư")*('W1'!$H$6:$BC$6=$A1631))*$H$10</f>
        <v>-16250</v>
      </c>
      <c r="L1631" s="457"/>
      <c r="M1631" s="457"/>
      <c r="N1631" s="457"/>
      <c r="O1631" s="457"/>
      <c r="P1631" s="457"/>
      <c r="Q1631" s="457"/>
      <c r="R1631" s="457"/>
      <c r="S1631" s="457"/>
      <c r="T1631" s="457"/>
      <c r="U1631" s="457"/>
      <c r="V1631" s="457"/>
      <c r="W1631" s="457"/>
      <c r="X1631" s="457"/>
      <c r="Y1631" s="457"/>
      <c r="Z1631" s="457"/>
      <c r="AA1631" s="457"/>
      <c r="AB1631" s="457"/>
      <c r="AC1631" s="457"/>
      <c r="AD1631" s="457"/>
      <c r="AE1631" s="457"/>
      <c r="AF1631" s="457"/>
      <c r="AG1631" s="457"/>
      <c r="AH1631" s="457"/>
      <c r="AI1631" s="457"/>
      <c r="AJ1631" s="457"/>
    </row>
    <row r="1632" spans="1:36" x14ac:dyDescent="0.25">
      <c r="A1632" t="s">
        <v>862</v>
      </c>
      <c r="K1632" s="15"/>
      <c r="L1632" s="15"/>
      <c r="M1632" s="15"/>
      <c r="N1632" s="15"/>
      <c r="O1632" s="15"/>
      <c r="P1632" s="15"/>
      <c r="Q1632" s="15"/>
      <c r="R1632" s="15"/>
      <c r="S1632" s="15"/>
      <c r="T1632" s="15"/>
      <c r="U1632" s="15"/>
      <c r="V1632" s="15"/>
      <c r="W1632" s="15"/>
      <c r="X1632" s="15"/>
      <c r="Y1632" s="15"/>
      <c r="Z1632" s="15"/>
      <c r="AA1632" s="15"/>
      <c r="AB1632" s="15"/>
      <c r="AC1632" s="15"/>
      <c r="AD1632" s="15"/>
      <c r="AE1632" s="15"/>
      <c r="AF1632" s="15"/>
      <c r="AG1632" s="15"/>
      <c r="AH1632" s="15"/>
      <c r="AI1632" s="15"/>
      <c r="AJ1632" s="15"/>
    </row>
    <row r="1633" spans="1:36" s="16" customFormat="1" x14ac:dyDescent="0.25">
      <c r="A1633" s="16" t="s">
        <v>862</v>
      </c>
      <c r="H1633" s="270" t="s">
        <v>498</v>
      </c>
      <c r="I1633" s="271" t="str">
        <f>IF($H$9="USD","USD","tr. VND")</f>
        <v>tr. VND</v>
      </c>
      <c r="K1633" s="272">
        <f>K1626</f>
        <v>-450749.80000000005</v>
      </c>
      <c r="L1633" s="272">
        <f t="shared" ref="L1633:AJ1633" si="1333">L1618+L1534-(L1506+L1532)</f>
        <v>26014.813896173233</v>
      </c>
      <c r="M1633" s="272">
        <f t="shared" si="1333"/>
        <v>48706.156270343832</v>
      </c>
      <c r="N1633" s="272">
        <f t="shared" si="1333"/>
        <v>78961.440725635213</v>
      </c>
      <c r="O1633" s="272">
        <f t="shared" si="1333"/>
        <v>79341.161105025531</v>
      </c>
      <c r="P1633" s="272">
        <f t="shared" si="1333"/>
        <v>79666.320411330118</v>
      </c>
      <c r="Q1633" s="272">
        <f t="shared" si="1333"/>
        <v>79932.719649053775</v>
      </c>
      <c r="R1633" s="272">
        <f t="shared" si="1333"/>
        <v>80135.920454089297</v>
      </c>
      <c r="S1633" s="272">
        <f t="shared" si="1333"/>
        <v>80271.232536910975</v>
      </c>
      <c r="T1633" s="272">
        <f t="shared" si="1333"/>
        <v>80333.700486158836</v>
      </c>
      <c r="U1633" s="272">
        <f t="shared" si="1333"/>
        <v>80318.089900399675</v>
      </c>
      <c r="V1633" s="272">
        <f t="shared" si="1333"/>
        <v>80218.872814233997</v>
      </c>
      <c r="W1633" s="272">
        <f t="shared" si="1333"/>
        <v>80030.212383218881</v>
      </c>
      <c r="X1633" s="272">
        <f t="shared" si="1333"/>
        <v>80748.446123634581</v>
      </c>
      <c r="Y1633" s="272">
        <f t="shared" si="1333"/>
        <v>80362.071667912038</v>
      </c>
      <c r="Z1633" s="272">
        <f t="shared" si="1333"/>
        <v>79866.724994581382</v>
      </c>
      <c r="AA1633" s="272"/>
      <c r="AB1633" s="272"/>
      <c r="AC1633" s="272"/>
      <c r="AD1633" s="272"/>
      <c r="AE1633" s="272"/>
      <c r="AF1633" s="272"/>
      <c r="AG1633" s="272"/>
      <c r="AH1633" s="272"/>
      <c r="AI1633" s="272"/>
      <c r="AJ1633" s="272"/>
    </row>
    <row r="1634" spans="1:36" x14ac:dyDescent="0.25">
      <c r="A1634" t="s">
        <v>862</v>
      </c>
      <c r="H1634" t="s">
        <v>292</v>
      </c>
      <c r="I1634" s="65" t="str">
        <f t="shared" ref="I1634:I1641" si="1334">IF($H$9="USD","USD","tr. VND")</f>
        <v>tr. VND</v>
      </c>
      <c r="L1634" s="15">
        <f>-(L1633+L1506)*Tax_rate</f>
        <v>1009.5338874320202</v>
      </c>
      <c r="M1634" s="15">
        <f t="shared" ref="M1634:AJ1634" si="1335">-(M1633+M1506)*Tax_rate</f>
        <v>-3528.7345874020998</v>
      </c>
      <c r="N1634" s="15">
        <f t="shared" si="1335"/>
        <v>-9579.7914784603763</v>
      </c>
      <c r="O1634" s="15">
        <f t="shared" si="1335"/>
        <v>-9655.7355543384383</v>
      </c>
      <c r="P1634" s="15">
        <f t="shared" si="1335"/>
        <v>-9720.7674155993573</v>
      </c>
      <c r="Q1634" s="15">
        <f t="shared" si="1335"/>
        <v>-9774.047263144088</v>
      </c>
      <c r="R1634" s="15">
        <f t="shared" si="1335"/>
        <v>-9814.6874241511923</v>
      </c>
      <c r="S1634" s="15">
        <f t="shared" si="1335"/>
        <v>-9841.749840715529</v>
      </c>
      <c r="T1634" s="15">
        <f t="shared" si="1335"/>
        <v>-9854.2434305651004</v>
      </c>
      <c r="U1634" s="15">
        <f t="shared" si="1335"/>
        <v>-9851.1213134132686</v>
      </c>
      <c r="V1634" s="15">
        <f t="shared" si="1335"/>
        <v>-9831.2778961801323</v>
      </c>
      <c r="W1634" s="15">
        <f t="shared" si="1335"/>
        <v>-9793.5458099771095</v>
      </c>
      <c r="X1634" s="15">
        <f t="shared" si="1335"/>
        <v>-14949.689224726917</v>
      </c>
      <c r="Y1634" s="15">
        <f t="shared" si="1335"/>
        <v>-14872.414333582408</v>
      </c>
      <c r="Z1634" s="15">
        <f t="shared" si="1335"/>
        <v>-14773.344998916276</v>
      </c>
      <c r="AA1634" s="15"/>
      <c r="AB1634" s="15"/>
      <c r="AC1634" s="15"/>
      <c r="AD1634" s="15"/>
      <c r="AE1634" s="15"/>
      <c r="AF1634" s="15"/>
      <c r="AG1634" s="15"/>
      <c r="AH1634" s="15"/>
      <c r="AI1634" s="15"/>
      <c r="AJ1634" s="15"/>
    </row>
    <row r="1635" spans="1:36" s="16" customFormat="1" x14ac:dyDescent="0.25">
      <c r="A1635" s="16" t="s">
        <v>862</v>
      </c>
      <c r="H1635" s="270" t="s">
        <v>499</v>
      </c>
      <c r="I1635" s="271" t="str">
        <f t="shared" si="1334"/>
        <v>tr. VND</v>
      </c>
      <c r="K1635" s="272">
        <f>K1633+K1634</f>
        <v>-450749.80000000005</v>
      </c>
      <c r="L1635" s="272">
        <f t="shared" ref="L1635:AJ1635" si="1336">L1633+L1634</f>
        <v>27024.347783605252</v>
      </c>
      <c r="M1635" s="272">
        <f t="shared" si="1336"/>
        <v>45177.421682941735</v>
      </c>
      <c r="N1635" s="272">
        <f t="shared" si="1336"/>
        <v>69381.649247174835</v>
      </c>
      <c r="O1635" s="272">
        <f t="shared" si="1336"/>
        <v>69685.425550687098</v>
      </c>
      <c r="P1635" s="272">
        <f t="shared" si="1336"/>
        <v>69945.552995730759</v>
      </c>
      <c r="Q1635" s="272">
        <f t="shared" si="1336"/>
        <v>70158.672385909682</v>
      </c>
      <c r="R1635" s="272">
        <f t="shared" si="1336"/>
        <v>70321.233029938099</v>
      </c>
      <c r="S1635" s="272">
        <f t="shared" si="1336"/>
        <v>70429.482696195453</v>
      </c>
      <c r="T1635" s="272">
        <f t="shared" si="1336"/>
        <v>70479.457055593739</v>
      </c>
      <c r="U1635" s="272">
        <f t="shared" si="1336"/>
        <v>70466.968586986404</v>
      </c>
      <c r="V1635" s="272">
        <f t="shared" si="1336"/>
        <v>70387.594918053859</v>
      </c>
      <c r="W1635" s="272">
        <f t="shared" si="1336"/>
        <v>70236.666573241775</v>
      </c>
      <c r="X1635" s="272">
        <f t="shared" si="1336"/>
        <v>65798.756898907668</v>
      </c>
      <c r="Y1635" s="272">
        <f t="shared" si="1336"/>
        <v>65489.657334329633</v>
      </c>
      <c r="Z1635" s="272">
        <f t="shared" si="1336"/>
        <v>65093.379995665106</v>
      </c>
      <c r="AA1635" s="272"/>
      <c r="AB1635" s="272"/>
      <c r="AC1635" s="272"/>
      <c r="AD1635" s="272"/>
      <c r="AE1635" s="272"/>
      <c r="AF1635" s="272"/>
      <c r="AG1635" s="272"/>
      <c r="AH1635" s="272"/>
      <c r="AI1635" s="272"/>
      <c r="AJ1635" s="272"/>
    </row>
    <row r="1636" spans="1:36" x14ac:dyDescent="0.25">
      <c r="A1636" t="s">
        <v>862</v>
      </c>
      <c r="H1636" t="s">
        <v>500</v>
      </c>
      <c r="K1636" s="95">
        <f>INDEX('Cover Page'!$H$23:$AJ$23,MATCH($A1636,'Cover Page'!$H$5:$AJ$5,0))</f>
        <v>7.2660000000000016E-2</v>
      </c>
    </row>
    <row r="1637" spans="1:36" s="16" customFormat="1" x14ac:dyDescent="0.25">
      <c r="A1637" s="16" t="s">
        <v>862</v>
      </c>
      <c r="D1637" s="16" t="s">
        <v>515</v>
      </c>
      <c r="H1637" s="270" t="s">
        <v>501</v>
      </c>
      <c r="I1637" s="271" t="str">
        <f t="shared" si="1334"/>
        <v>tr. VND</v>
      </c>
      <c r="K1637" s="272">
        <f>K1635/POWER(1+$K1636,K$14)</f>
        <v>-450749.80000000005</v>
      </c>
      <c r="L1637" s="272">
        <f t="shared" ref="L1637:AJ1637" si="1337">L1635/POWER(1+$K1636,L$14)</f>
        <v>25193.768560033237</v>
      </c>
      <c r="M1637" s="272">
        <f t="shared" si="1337"/>
        <v>39264.246717462811</v>
      </c>
      <c r="N1637" s="272">
        <f t="shared" si="1337"/>
        <v>56215.795602428887</v>
      </c>
      <c r="O1637" s="272">
        <f t="shared" si="1337"/>
        <v>52637.301055435077</v>
      </c>
      <c r="P1637" s="272">
        <f t="shared" si="1337"/>
        <v>49254.926882417029</v>
      </c>
      <c r="Q1637" s="272">
        <f t="shared" si="1337"/>
        <v>46058.399985117845</v>
      </c>
      <c r="R1637" s="272">
        <f t="shared" si="1337"/>
        <v>43037.979664966428</v>
      </c>
      <c r="S1637" s="272">
        <f t="shared" si="1337"/>
        <v>40184.429915170651</v>
      </c>
      <c r="T1637" s="272">
        <f t="shared" si="1337"/>
        <v>37488.993172505041</v>
      </c>
      <c r="U1637" s="272">
        <f t="shared" si="1337"/>
        <v>34943.365450545207</v>
      </c>
      <c r="V1637" s="272">
        <f t="shared" si="1337"/>
        <v>32539.672780384935</v>
      </c>
      <c r="W1637" s="272">
        <f t="shared" si="1337"/>
        <v>30270.448888914871</v>
      </c>
      <c r="X1637" s="272">
        <f t="shared" si="1337"/>
        <v>26436.902685318502</v>
      </c>
      <c r="Y1637" s="272">
        <f t="shared" si="1337"/>
        <v>24530.337064554456</v>
      </c>
      <c r="Z1637" s="272">
        <f t="shared" si="1337"/>
        <v>22730.319217111504</v>
      </c>
      <c r="AA1637" s="272"/>
      <c r="AB1637" s="272"/>
      <c r="AC1637" s="272"/>
      <c r="AD1637" s="272"/>
      <c r="AE1637" s="272"/>
      <c r="AF1637" s="272"/>
      <c r="AG1637" s="272"/>
      <c r="AH1637" s="272"/>
      <c r="AI1637" s="272"/>
      <c r="AJ1637" s="272"/>
    </row>
    <row r="1638" spans="1:36" x14ac:dyDescent="0.25">
      <c r="A1638" t="s">
        <v>862</v>
      </c>
      <c r="H1638" t="s">
        <v>503</v>
      </c>
      <c r="I1638" s="65" t="str">
        <f t="shared" si="1334"/>
        <v>tr. VND</v>
      </c>
      <c r="K1638" s="15">
        <f>SUM($K1637:K1637)</f>
        <v>-450749.80000000005</v>
      </c>
      <c r="L1638" s="15">
        <f>SUM($K1637:L1637)</f>
        <v>-425556.03143996681</v>
      </c>
      <c r="M1638" s="15">
        <f>SUM($K1637:M1637)</f>
        <v>-386291.78472250397</v>
      </c>
      <c r="N1638" s="15">
        <f>SUM($K1637:N1637)</f>
        <v>-330075.98912007507</v>
      </c>
      <c r="O1638" s="15">
        <f>SUM($K1637:O1637)</f>
        <v>-277438.68806463998</v>
      </c>
      <c r="P1638" s="15">
        <f>SUM($K1637:P1637)</f>
        <v>-228183.76118222295</v>
      </c>
      <c r="Q1638" s="15">
        <f>SUM($K1637:Q1637)</f>
        <v>-182125.36119710511</v>
      </c>
      <c r="R1638" s="15">
        <f>SUM($K1637:R1637)</f>
        <v>-139087.38153213868</v>
      </c>
      <c r="S1638" s="15">
        <f>SUM($K1637:S1637)</f>
        <v>-98902.951616968028</v>
      </c>
      <c r="T1638" s="15">
        <f>SUM($K1637:T1637)</f>
        <v>-61413.958444462987</v>
      </c>
      <c r="U1638" s="15">
        <f>SUM($K1637:U1637)</f>
        <v>-26470.59299391778</v>
      </c>
      <c r="V1638" s="15">
        <f>SUM($K1637:V1637)</f>
        <v>6069.0797864671549</v>
      </c>
      <c r="W1638" s="15">
        <f>SUM($K1637:W1637)</f>
        <v>36339.528675382026</v>
      </c>
      <c r="X1638" s="15">
        <f>SUM($K1637:X1637)</f>
        <v>62776.431360700532</v>
      </c>
      <c r="Y1638" s="15">
        <f>SUM($K1637:Y1637)</f>
        <v>87306.768425254995</v>
      </c>
      <c r="Z1638" s="15">
        <f>SUM($K1637:Z1637)</f>
        <v>110037.0876423665</v>
      </c>
      <c r="AA1638" s="15"/>
      <c r="AB1638" s="15"/>
      <c r="AC1638" s="15"/>
      <c r="AD1638" s="15"/>
      <c r="AE1638" s="15"/>
      <c r="AF1638" s="15"/>
      <c r="AG1638" s="15"/>
      <c r="AH1638" s="15"/>
      <c r="AI1638" s="15"/>
      <c r="AJ1638" s="15"/>
    </row>
    <row r="1639" spans="1:36" x14ac:dyDescent="0.25">
      <c r="A1639" t="s">
        <v>862</v>
      </c>
    </row>
    <row r="1640" spans="1:36" ht="15.75" thickBot="1" x14ac:dyDescent="0.3">
      <c r="A1640" t="s">
        <v>862</v>
      </c>
    </row>
    <row r="1641" spans="1:36" x14ac:dyDescent="0.25">
      <c r="A1641" t="s">
        <v>862</v>
      </c>
      <c r="D1641" t="s">
        <v>544</v>
      </c>
      <c r="H1641" s="96" t="s">
        <v>401</v>
      </c>
      <c r="I1641" s="310" t="str">
        <f t="shared" si="1334"/>
        <v>tr. VND</v>
      </c>
      <c r="J1641" s="311"/>
      <c r="K1641" s="97">
        <f>SUM(K1637:AJ1637)</f>
        <v>110037.0876423665</v>
      </c>
      <c r="L1641" s="263"/>
      <c r="M1641" s="70"/>
      <c r="N1641" s="70"/>
    </row>
    <row r="1642" spans="1:36" x14ac:dyDescent="0.25">
      <c r="A1642" t="s">
        <v>862</v>
      </c>
      <c r="D1642" t="s">
        <v>516</v>
      </c>
      <c r="H1642" s="212" t="s">
        <v>402</v>
      </c>
      <c r="I1642" s="255"/>
      <c r="J1642" s="48"/>
      <c r="K1642" s="314">
        <f>IFERROR(IRR(K1635:AJ1635),0)</f>
        <v>0.10663649141917064</v>
      </c>
    </row>
    <row r="1643" spans="1:36" ht="15.75" thickBot="1" x14ac:dyDescent="0.3">
      <c r="A1643" t="s">
        <v>862</v>
      </c>
      <c r="D1643" t="s">
        <v>517</v>
      </c>
      <c r="H1643" s="98" t="s">
        <v>403</v>
      </c>
      <c r="I1643" s="312" t="s">
        <v>290</v>
      </c>
      <c r="J1643" s="313"/>
      <c r="K1643" s="315" cm="1">
        <f t="array" ref="K1643">ROUNDUP(IF(K1641&lt;0,0,INDEX(K$14:AJ$14,,MATCH(_xlfn.MINIFS(K1638:AJ1638,K1638:AJ1638,"&gt;"&amp;0),K1638:AJ1638))-1-INDEX(K1638:AJ1638,,MATCH(_xlfn.MINIFS(K1638:AJ1638,K1638:AJ1638,"&gt;"&amp;0),K1638:AJ1638)-1)/INDEX(K1637:AJ1637,,MATCH(_xlfn.MINIFS(K1638:AJ1638,K1638:AJ1638,"&gt;"&amp;0),K1638:AJ1638))),1)</f>
        <v>10.9</v>
      </c>
    </row>
    <row r="1644" spans="1:36" x14ac:dyDescent="0.25">
      <c r="A1644" t="s">
        <v>862</v>
      </c>
      <c r="H1644" s="316" t="str">
        <f>INT(K1643)&amp;" năm"&amp;IF(MOD(K1643,1)*12=0,," "&amp;TEXT(MOD(K1643,1)*12,"00")&amp;" tháng")</f>
        <v>10 năm 11 tháng</v>
      </c>
    </row>
    <row r="1645" spans="1:36" x14ac:dyDescent="0.25">
      <c r="A1645" t="s">
        <v>862</v>
      </c>
    </row>
    <row r="1646" spans="1:36" x14ac:dyDescent="0.25">
      <c r="A1646" t="s">
        <v>862</v>
      </c>
    </row>
    <row r="1647" spans="1:36" s="304" customFormat="1" x14ac:dyDescent="0.25">
      <c r="I1647" s="305"/>
    </row>
    <row r="1670" spans="9:9" ht="15.75" thickBot="1" x14ac:dyDescent="0.3"/>
    <row r="1671" spans="9:9" s="214" customFormat="1" x14ac:dyDescent="0.25">
      <c r="I1671" s="318"/>
    </row>
  </sheetData>
  <autoFilter ref="A17:AJ487" xr:uid="{A2C5C339-B9D2-4F39-8A73-0DF85329D33E}"/>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A1515-C0E7-43DC-A313-904ED582369A}">
  <dimension ref="B1:XFC45"/>
  <sheetViews>
    <sheetView showGridLines="0" zoomScaleNormal="100" workbookViewId="0">
      <pane xSplit="13" ySplit="9" topLeftCell="N10" activePane="bottomRight" state="frozen"/>
      <selection pane="topRight" activeCell="N1" sqref="N1"/>
      <selection pane="bottomLeft" activeCell="A10" sqref="A10"/>
      <selection pane="bottomRight" activeCell="N22" sqref="N22"/>
    </sheetView>
  </sheetViews>
  <sheetFormatPr defaultColWidth="8.5" defaultRowHeight="19.149999999999999" customHeight="1" outlineLevelRow="1" outlineLevelCol="1" x14ac:dyDescent="0.25"/>
  <cols>
    <col min="1" max="1" width="2.75" style="154" customWidth="1"/>
    <col min="2" max="2" width="4.5" style="161" customWidth="1"/>
    <col min="3" max="3" width="17.5" style="154" customWidth="1"/>
    <col min="4" max="4" width="44.75" style="154" customWidth="1"/>
    <col min="5" max="5" width="0.75" style="154" customWidth="1"/>
    <col min="6" max="6" width="9.375" style="154" hidden="1" customWidth="1" outlineLevel="1"/>
    <col min="7" max="7" width="10.75" style="154" hidden="1" customWidth="1" outlineLevel="1"/>
    <col min="8" max="8" width="6.75" style="156" hidden="1" customWidth="1" outlineLevel="1"/>
    <col min="9" max="9" width="0.75" style="154" hidden="1" customWidth="1" outlineLevel="1"/>
    <col min="10" max="10" width="11.375" style="154" hidden="1" customWidth="1" outlineLevel="1"/>
    <col min="11" max="11" width="10.75" style="154" hidden="1" customWidth="1" outlineLevel="1"/>
    <col min="12" max="12" width="6.75" style="156" hidden="1" customWidth="1" outlineLevel="1"/>
    <col min="13" max="13" width="0.75" style="154" hidden="1" customWidth="1" outlineLevel="1"/>
    <col min="14" max="14" width="9.5" style="154" customWidth="1" collapsed="1"/>
    <col min="15" max="15" width="10.75" style="154" bestFit="1" customWidth="1"/>
    <col min="16" max="16" width="7.125" style="156" customWidth="1"/>
    <col min="17" max="17" width="0.75" style="154" customWidth="1"/>
    <col min="18" max="18" width="10.75" style="154" customWidth="1"/>
    <col min="19" max="19" width="10.75" style="154" bestFit="1" customWidth="1"/>
    <col min="20" max="20" width="7.125" style="156" customWidth="1"/>
    <col min="21" max="21" width="0.75" style="154" customWidth="1"/>
    <col min="22" max="22" width="11" style="234" hidden="1" customWidth="1"/>
    <col min="23" max="23" width="13.75" style="154" hidden="1" customWidth="1"/>
    <col min="24" max="24" width="12.75" style="156" hidden="1" customWidth="1"/>
    <col min="25" max="25" width="0.75" style="154" customWidth="1"/>
    <col min="26" max="26" width="11" style="234" customWidth="1"/>
    <col min="27" max="27" width="10.5" style="154" bestFit="1" customWidth="1"/>
    <col min="28" max="28" width="11.75" style="156" bestFit="1" customWidth="1"/>
    <col min="29" max="29" width="0.75" style="154" customWidth="1"/>
    <col min="30" max="30" width="11" style="234" hidden="1" customWidth="1"/>
    <col min="31" max="31" width="9.75" style="154" hidden="1" customWidth="1"/>
    <col min="32" max="32" width="11.75" style="156" hidden="1" customWidth="1"/>
    <col min="33" max="33" width="0.75" style="154" hidden="1" customWidth="1"/>
    <col min="34" max="36" width="13" style="154" hidden="1" customWidth="1"/>
    <col min="37" max="16384" width="8.5" style="154"/>
  </cols>
  <sheetData>
    <row r="1" spans="2:16383" ht="19.149999999999999" customHeight="1" x14ac:dyDescent="0.25">
      <c r="X1" s="351">
        <v>3</v>
      </c>
      <c r="AB1" s="351">
        <f>X1</f>
        <v>3</v>
      </c>
      <c r="AF1" s="351">
        <f>AB1</f>
        <v>3</v>
      </c>
      <c r="AH1" s="234"/>
      <c r="AJ1" s="351">
        <f>AF1</f>
        <v>3</v>
      </c>
      <c r="AN1" s="309" t="str">
        <f>Currency</f>
        <v>VND</v>
      </c>
      <c r="AO1" s="159">
        <f>IF($AN$1="USD",1,EXR/1000000)</f>
        <v>2.5999999999999999E-2</v>
      </c>
    </row>
    <row r="2" spans="2:16383" s="151" customFormat="1" ht="19.149999999999999" customHeight="1" x14ac:dyDescent="0.25">
      <c r="B2" s="148"/>
      <c r="C2" s="149" t="s">
        <v>375</v>
      </c>
      <c r="D2" s="149" t="s">
        <v>376</v>
      </c>
      <c r="E2" s="149"/>
      <c r="F2" s="149"/>
      <c r="G2" s="149"/>
      <c r="H2" s="150"/>
      <c r="I2" s="149"/>
      <c r="J2" s="149"/>
      <c r="K2" s="149"/>
      <c r="L2" s="150"/>
      <c r="M2" s="149"/>
      <c r="N2" s="150"/>
      <c r="O2" s="150"/>
      <c r="P2" s="150"/>
      <c r="Q2" s="150"/>
      <c r="R2" s="150"/>
      <c r="S2" s="150"/>
      <c r="T2" s="150"/>
      <c r="U2" s="150"/>
      <c r="V2" s="233"/>
      <c r="W2" s="150"/>
      <c r="X2" s="150"/>
      <c r="Y2" s="150"/>
      <c r="Z2" s="233"/>
      <c r="AA2" s="150"/>
      <c r="AB2" s="150"/>
      <c r="AC2" s="150"/>
      <c r="AD2" s="233"/>
      <c r="AE2" s="150"/>
      <c r="AF2" s="150"/>
      <c r="AG2" s="150"/>
      <c r="AH2" s="233"/>
      <c r="AI2" s="150"/>
      <c r="AJ2" s="150"/>
    </row>
    <row r="3" spans="2:16383" ht="19.149999999999999" customHeight="1" x14ac:dyDescent="0.25">
      <c r="B3" s="153"/>
      <c r="C3" s="154" t="s">
        <v>377</v>
      </c>
      <c r="D3" s="399">
        <v>15</v>
      </c>
      <c r="V3" s="155">
        <f>$D3</f>
        <v>15</v>
      </c>
      <c r="Z3" s="155">
        <f>$D3</f>
        <v>15</v>
      </c>
      <c r="AD3" s="155">
        <f>$D3</f>
        <v>15</v>
      </c>
      <c r="AH3" s="155">
        <f>$D3</f>
        <v>15</v>
      </c>
      <c r="AJ3" s="156"/>
    </row>
    <row r="4" spans="2:16383" ht="19.149999999999999" customHeight="1" x14ac:dyDescent="0.25">
      <c r="B4" s="153"/>
      <c r="C4" s="154" t="s">
        <v>378</v>
      </c>
      <c r="D4" s="157">
        <f>1000/D3</f>
        <v>66.666666666666671</v>
      </c>
      <c r="V4" s="157">
        <f>1000/V3</f>
        <v>66.666666666666671</v>
      </c>
      <c r="Z4" s="157">
        <f>1000/Z3</f>
        <v>66.666666666666671</v>
      </c>
      <c r="AD4" s="157">
        <f>1000/AD3</f>
        <v>66.666666666666671</v>
      </c>
      <c r="AH4" s="157">
        <f>1000/AH3</f>
        <v>66.666666666666671</v>
      </c>
      <c r="AJ4" s="156"/>
    </row>
    <row r="5" spans="2:16383" ht="19.149999999999999" customHeight="1" x14ac:dyDescent="0.25">
      <c r="B5" s="153"/>
      <c r="C5" s="154" t="s">
        <v>383</v>
      </c>
      <c r="D5" s="158">
        <v>1000</v>
      </c>
      <c r="V5" s="158">
        <v>1000</v>
      </c>
      <c r="Z5" s="158">
        <v>1000</v>
      </c>
      <c r="AD5" s="158">
        <v>1000</v>
      </c>
      <c r="AH5" s="158">
        <v>1000</v>
      </c>
      <c r="AJ5" s="156"/>
    </row>
    <row r="6" spans="2:16383" ht="19.149999999999999" customHeight="1" x14ac:dyDescent="0.25">
      <c r="B6" s="153"/>
      <c r="C6" s="157" t="s">
        <v>380</v>
      </c>
      <c r="D6" s="159">
        <f>IF(C6="USD",25000,1)</f>
        <v>25000</v>
      </c>
      <c r="E6" s="157"/>
      <c r="G6" s="157"/>
      <c r="H6" s="160"/>
      <c r="I6" s="157"/>
      <c r="J6" s="157"/>
      <c r="K6" s="157"/>
      <c r="L6" s="160"/>
      <c r="M6" s="157"/>
      <c r="N6" s="157"/>
      <c r="O6" s="157"/>
      <c r="P6" s="160"/>
      <c r="Q6" s="157"/>
      <c r="R6" s="157"/>
      <c r="S6" s="157"/>
      <c r="T6" s="160"/>
      <c r="U6" s="157"/>
      <c r="V6" s="159">
        <f>IF($C$6="USD",25000,1)</f>
        <v>25000</v>
      </c>
      <c r="W6" s="157"/>
      <c r="X6" s="160"/>
      <c r="Y6" s="157"/>
      <c r="Z6" s="159">
        <f>IF($C$6="USD",25000,1)</f>
        <v>25000</v>
      </c>
      <c r="AA6" s="157"/>
      <c r="AB6" s="160"/>
      <c r="AC6" s="157"/>
      <c r="AD6" s="159">
        <f>IF($C$6="USD",25000,1)</f>
        <v>25000</v>
      </c>
      <c r="AE6" s="157"/>
      <c r="AF6" s="160"/>
      <c r="AG6" s="157"/>
      <c r="AH6" s="159">
        <f>IF($C$6="USD",25000,1)</f>
        <v>25000</v>
      </c>
      <c r="AI6" s="157"/>
      <c r="AJ6" s="160"/>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7"/>
      <c r="BK6" s="157"/>
      <c r="BL6" s="157"/>
      <c r="BM6" s="157"/>
      <c r="BN6" s="157"/>
      <c r="BO6" s="157"/>
      <c r="BP6" s="157"/>
      <c r="BQ6" s="157"/>
      <c r="BR6" s="157"/>
      <c r="BS6" s="157"/>
      <c r="BT6" s="157"/>
      <c r="BU6" s="157"/>
      <c r="BV6" s="157"/>
      <c r="BW6" s="157"/>
      <c r="BX6" s="157"/>
      <c r="BY6" s="157"/>
      <c r="BZ6" s="157"/>
      <c r="CA6" s="157"/>
      <c r="CB6" s="157"/>
      <c r="CC6" s="157"/>
      <c r="CD6" s="157"/>
      <c r="CE6" s="157"/>
      <c r="CF6" s="157"/>
      <c r="CG6" s="157"/>
      <c r="CH6" s="157"/>
      <c r="CI6" s="157"/>
      <c r="CJ6" s="157"/>
      <c r="CK6" s="157"/>
      <c r="CL6" s="157"/>
      <c r="CM6" s="157"/>
      <c r="CN6" s="157"/>
      <c r="CO6" s="157"/>
      <c r="CP6" s="157"/>
      <c r="CQ6" s="157"/>
      <c r="CR6" s="157"/>
      <c r="CS6" s="157"/>
      <c r="CT6" s="157"/>
      <c r="CU6" s="157"/>
      <c r="CV6" s="157"/>
      <c r="CW6" s="157"/>
      <c r="CX6" s="157"/>
      <c r="CY6" s="157"/>
      <c r="CZ6" s="157"/>
      <c r="DA6" s="157"/>
      <c r="DB6" s="157"/>
      <c r="DC6" s="157"/>
      <c r="DD6" s="157"/>
      <c r="DE6" s="157"/>
      <c r="DF6" s="157"/>
      <c r="DG6" s="157"/>
      <c r="DH6" s="157"/>
      <c r="DI6" s="157"/>
      <c r="DJ6" s="157"/>
      <c r="DK6" s="157"/>
      <c r="DL6" s="157"/>
      <c r="DM6" s="157"/>
      <c r="DN6" s="157"/>
      <c r="DO6" s="157"/>
      <c r="DP6" s="157"/>
      <c r="DQ6" s="157"/>
      <c r="DR6" s="157"/>
      <c r="DS6" s="157"/>
      <c r="DT6" s="157"/>
      <c r="DU6" s="157"/>
      <c r="DV6" s="157"/>
      <c r="DW6" s="157"/>
      <c r="DX6" s="157"/>
      <c r="DY6" s="157"/>
      <c r="DZ6" s="157"/>
      <c r="EA6" s="157"/>
      <c r="EB6" s="157"/>
      <c r="EC6" s="157"/>
      <c r="ED6" s="157"/>
      <c r="EE6" s="157"/>
      <c r="EF6" s="157"/>
      <c r="EG6" s="157"/>
      <c r="EH6" s="157"/>
      <c r="EI6" s="157"/>
      <c r="EJ6" s="15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7"/>
      <c r="HM6" s="157"/>
      <c r="HN6" s="157"/>
      <c r="HO6" s="157"/>
      <c r="HP6" s="157"/>
      <c r="HQ6" s="157"/>
      <c r="HR6" s="157"/>
      <c r="HS6" s="157"/>
      <c r="HT6" s="157"/>
      <c r="HU6" s="157"/>
      <c r="HV6" s="157"/>
      <c r="HW6" s="157"/>
      <c r="HX6" s="157"/>
      <c r="HY6" s="157"/>
      <c r="HZ6" s="157"/>
      <c r="IA6" s="157"/>
      <c r="IB6" s="157"/>
      <c r="IC6" s="157"/>
      <c r="ID6" s="157"/>
      <c r="IE6" s="157"/>
      <c r="IF6" s="157"/>
      <c r="IG6" s="157"/>
      <c r="IH6" s="157"/>
      <c r="II6" s="157"/>
      <c r="IJ6" s="157"/>
      <c r="IK6" s="157"/>
      <c r="IL6" s="157"/>
      <c r="IM6" s="157"/>
      <c r="IN6" s="157"/>
      <c r="IO6" s="157"/>
      <c r="IP6" s="157"/>
      <c r="IQ6" s="157"/>
      <c r="IR6" s="157"/>
      <c r="IS6" s="157"/>
      <c r="IT6" s="157"/>
      <c r="IU6" s="157"/>
      <c r="IV6" s="157"/>
      <c r="IW6" s="157"/>
      <c r="IX6" s="157"/>
      <c r="IY6" s="157"/>
      <c r="IZ6" s="157"/>
      <c r="JA6" s="157"/>
      <c r="JB6" s="157"/>
      <c r="JC6" s="157"/>
      <c r="JD6" s="157"/>
      <c r="JE6" s="157"/>
      <c r="JF6" s="157"/>
      <c r="JG6" s="157"/>
      <c r="JH6" s="157"/>
      <c r="JI6" s="157"/>
      <c r="JJ6" s="157"/>
      <c r="JK6" s="157"/>
      <c r="JL6" s="157"/>
      <c r="JM6" s="157"/>
      <c r="JN6" s="157"/>
      <c r="JO6" s="157"/>
      <c r="JP6" s="157"/>
      <c r="JQ6" s="157"/>
      <c r="JR6" s="157"/>
      <c r="JS6" s="157"/>
      <c r="JT6" s="157"/>
      <c r="JU6" s="157"/>
      <c r="JV6" s="157"/>
      <c r="JW6" s="157"/>
      <c r="JX6" s="157"/>
      <c r="JY6" s="157"/>
      <c r="JZ6" s="157"/>
      <c r="KA6" s="157"/>
      <c r="KB6" s="157"/>
      <c r="KC6" s="157"/>
      <c r="KD6" s="157"/>
      <c r="KE6" s="157"/>
      <c r="KF6" s="157"/>
      <c r="KG6" s="157"/>
      <c r="KH6" s="157"/>
      <c r="KI6" s="157"/>
      <c r="KJ6" s="157"/>
      <c r="KK6" s="157"/>
      <c r="KL6" s="157"/>
      <c r="KM6" s="157"/>
      <c r="KN6" s="157"/>
      <c r="KO6" s="157"/>
      <c r="KP6" s="157"/>
      <c r="KQ6" s="157"/>
      <c r="KR6" s="157"/>
      <c r="KS6" s="157"/>
      <c r="KT6" s="157"/>
      <c r="KU6" s="157"/>
      <c r="KV6" s="157"/>
      <c r="KW6" s="157"/>
      <c r="KX6" s="157"/>
      <c r="KY6" s="157"/>
      <c r="KZ6" s="157"/>
      <c r="LA6" s="157"/>
      <c r="LB6" s="157"/>
      <c r="LC6" s="157"/>
      <c r="LD6" s="157"/>
      <c r="LE6" s="157"/>
      <c r="LF6" s="157"/>
      <c r="LG6" s="157"/>
      <c r="LH6" s="157"/>
      <c r="LI6" s="157"/>
      <c r="LJ6" s="157"/>
      <c r="LK6" s="157"/>
      <c r="LL6" s="157"/>
      <c r="LM6" s="157"/>
      <c r="LN6" s="157"/>
      <c r="LO6" s="157"/>
      <c r="LP6" s="157"/>
      <c r="LQ6" s="157"/>
      <c r="LR6" s="157"/>
      <c r="LS6" s="157"/>
      <c r="LT6" s="157"/>
      <c r="LU6" s="157"/>
      <c r="LV6" s="157"/>
      <c r="LW6" s="157"/>
      <c r="LX6" s="157"/>
      <c r="LY6" s="157"/>
      <c r="LZ6" s="157"/>
      <c r="MA6" s="157"/>
      <c r="MB6" s="157"/>
      <c r="MC6" s="157"/>
      <c r="MD6" s="157"/>
      <c r="ME6" s="157"/>
      <c r="MF6" s="157"/>
      <c r="MG6" s="157"/>
      <c r="MH6" s="157"/>
      <c r="MI6" s="157"/>
      <c r="MJ6" s="157"/>
      <c r="MK6" s="157"/>
      <c r="ML6" s="157"/>
      <c r="MM6" s="157"/>
      <c r="MN6" s="157"/>
      <c r="MO6" s="157"/>
      <c r="MP6" s="157"/>
      <c r="MQ6" s="157"/>
      <c r="MR6" s="157"/>
      <c r="MS6" s="157"/>
      <c r="MT6" s="157"/>
      <c r="MU6" s="157"/>
      <c r="MV6" s="157"/>
      <c r="MW6" s="157"/>
      <c r="MX6" s="157"/>
      <c r="MY6" s="157"/>
      <c r="MZ6" s="157"/>
      <c r="NA6" s="157"/>
      <c r="NB6" s="157"/>
      <c r="NC6" s="157"/>
      <c r="ND6" s="157"/>
      <c r="NE6" s="157"/>
      <c r="NF6" s="157"/>
      <c r="NG6" s="157"/>
      <c r="NH6" s="157"/>
      <c r="NI6" s="157"/>
      <c r="NJ6" s="157"/>
      <c r="NK6" s="157"/>
      <c r="NL6" s="157"/>
      <c r="NM6" s="157"/>
      <c r="NN6" s="157"/>
      <c r="NO6" s="157"/>
      <c r="NP6" s="157"/>
      <c r="NQ6" s="157"/>
      <c r="NR6" s="157"/>
      <c r="NS6" s="157"/>
      <c r="NT6" s="157"/>
      <c r="NU6" s="157"/>
      <c r="NV6" s="157"/>
      <c r="NW6" s="157"/>
      <c r="NX6" s="157"/>
      <c r="NY6" s="157"/>
      <c r="NZ6" s="157"/>
      <c r="OA6" s="157"/>
      <c r="OB6" s="157"/>
      <c r="OC6" s="157"/>
      <c r="OD6" s="157"/>
      <c r="OE6" s="157"/>
      <c r="OF6" s="157"/>
      <c r="OG6" s="157"/>
      <c r="OH6" s="157"/>
      <c r="OI6" s="157"/>
      <c r="OJ6" s="157"/>
      <c r="OK6" s="157"/>
      <c r="OL6" s="157"/>
      <c r="OM6" s="157"/>
      <c r="ON6" s="157"/>
      <c r="OO6" s="157"/>
      <c r="OP6" s="157"/>
      <c r="OQ6" s="157"/>
      <c r="OR6" s="157"/>
      <c r="OS6" s="157"/>
      <c r="OT6" s="157"/>
      <c r="OU6" s="157"/>
      <c r="OV6" s="157"/>
      <c r="OW6" s="157"/>
      <c r="OX6" s="157"/>
      <c r="OY6" s="157"/>
      <c r="OZ6" s="157"/>
      <c r="PA6" s="157"/>
      <c r="PB6" s="157"/>
      <c r="PC6" s="157"/>
      <c r="PD6" s="157"/>
      <c r="PE6" s="157"/>
      <c r="PF6" s="157"/>
      <c r="PG6" s="157"/>
      <c r="PH6" s="157"/>
      <c r="PI6" s="157"/>
      <c r="PJ6" s="157"/>
      <c r="PK6" s="157"/>
      <c r="PL6" s="157"/>
      <c r="PM6" s="157"/>
      <c r="PN6" s="157"/>
      <c r="PO6" s="157"/>
      <c r="PP6" s="157"/>
      <c r="PQ6" s="157"/>
      <c r="PR6" s="157"/>
      <c r="PS6" s="157"/>
      <c r="PT6" s="157"/>
      <c r="PU6" s="157"/>
      <c r="PV6" s="157"/>
      <c r="PW6" s="157"/>
      <c r="PX6" s="157"/>
      <c r="PY6" s="157"/>
      <c r="PZ6" s="157"/>
      <c r="QA6" s="157"/>
      <c r="QB6" s="157"/>
      <c r="QC6" s="157"/>
      <c r="QD6" s="157"/>
      <c r="QE6" s="157"/>
      <c r="QF6" s="157"/>
      <c r="QG6" s="157"/>
      <c r="QH6" s="157"/>
      <c r="QI6" s="157"/>
      <c r="QJ6" s="157"/>
      <c r="QK6" s="157"/>
      <c r="QL6" s="157"/>
      <c r="QM6" s="157"/>
      <c r="QN6" s="157"/>
      <c r="QO6" s="157"/>
      <c r="QP6" s="157"/>
      <c r="QQ6" s="157"/>
      <c r="QR6" s="157"/>
      <c r="QS6" s="157"/>
      <c r="QT6" s="157"/>
      <c r="QU6" s="157"/>
      <c r="QV6" s="157"/>
      <c r="QW6" s="157"/>
      <c r="QX6" s="157"/>
      <c r="QY6" s="157"/>
      <c r="QZ6" s="157"/>
      <c r="RA6" s="157"/>
      <c r="RB6" s="157"/>
      <c r="RC6" s="157"/>
      <c r="RD6" s="157"/>
      <c r="RE6" s="157"/>
      <c r="RF6" s="157"/>
      <c r="RG6" s="157"/>
      <c r="RH6" s="157"/>
      <c r="RI6" s="157"/>
      <c r="RJ6" s="157"/>
      <c r="RK6" s="157"/>
      <c r="RL6" s="157"/>
      <c r="RM6" s="157"/>
      <c r="RN6" s="157"/>
      <c r="RO6" s="157"/>
      <c r="RP6" s="157"/>
      <c r="RQ6" s="157"/>
      <c r="RR6" s="157"/>
      <c r="RS6" s="157"/>
      <c r="RT6" s="157"/>
      <c r="RU6" s="157"/>
      <c r="RV6" s="157"/>
      <c r="RW6" s="157"/>
      <c r="RX6" s="157"/>
      <c r="RY6" s="157"/>
      <c r="RZ6" s="157"/>
      <c r="SA6" s="157"/>
      <c r="SB6" s="157"/>
      <c r="SC6" s="157"/>
      <c r="SD6" s="157"/>
      <c r="SE6" s="157"/>
      <c r="SF6" s="157"/>
      <c r="SG6" s="157"/>
      <c r="SH6" s="157"/>
      <c r="SI6" s="157"/>
      <c r="SJ6" s="157"/>
      <c r="SK6" s="157"/>
      <c r="SL6" s="157"/>
      <c r="SM6" s="157"/>
      <c r="SN6" s="157"/>
      <c r="SO6" s="157"/>
      <c r="SP6" s="157"/>
      <c r="SQ6" s="157"/>
      <c r="SR6" s="157"/>
      <c r="SS6" s="157"/>
      <c r="ST6" s="157"/>
      <c r="SU6" s="157"/>
      <c r="SV6" s="157"/>
      <c r="SW6" s="157"/>
      <c r="SX6" s="157"/>
      <c r="SY6" s="157"/>
      <c r="SZ6" s="157"/>
      <c r="TA6" s="157"/>
      <c r="TB6" s="157"/>
      <c r="TC6" s="157"/>
      <c r="TD6" s="157"/>
      <c r="TE6" s="157"/>
      <c r="TF6" s="157"/>
      <c r="TG6" s="157"/>
      <c r="TH6" s="157"/>
      <c r="TI6" s="157"/>
      <c r="TJ6" s="157"/>
      <c r="TK6" s="157"/>
      <c r="TL6" s="157"/>
      <c r="TM6" s="157"/>
      <c r="TN6" s="157"/>
      <c r="TO6" s="157"/>
      <c r="TP6" s="157"/>
      <c r="TQ6" s="157"/>
      <c r="TR6" s="157"/>
      <c r="TS6" s="157"/>
      <c r="TT6" s="157"/>
      <c r="TU6" s="157"/>
      <c r="TV6" s="157"/>
      <c r="TW6" s="157"/>
      <c r="TX6" s="157"/>
      <c r="TY6" s="157"/>
      <c r="TZ6" s="157"/>
      <c r="UA6" s="157"/>
      <c r="UB6" s="157"/>
      <c r="UC6" s="157"/>
      <c r="UD6" s="157"/>
      <c r="UE6" s="157"/>
      <c r="UF6" s="157"/>
      <c r="UG6" s="157"/>
      <c r="UH6" s="157"/>
      <c r="UI6" s="157"/>
      <c r="UJ6" s="157"/>
      <c r="UK6" s="157"/>
      <c r="UL6" s="157"/>
      <c r="UM6" s="157"/>
      <c r="UN6" s="157"/>
      <c r="UO6" s="157"/>
      <c r="UP6" s="157"/>
      <c r="UQ6" s="157"/>
      <c r="UR6" s="157"/>
      <c r="US6" s="157"/>
      <c r="UT6" s="157"/>
      <c r="UU6" s="157"/>
      <c r="UV6" s="157"/>
      <c r="UW6" s="157"/>
      <c r="UX6" s="157"/>
      <c r="UY6" s="157"/>
      <c r="UZ6" s="157"/>
      <c r="VA6" s="157"/>
      <c r="VB6" s="157"/>
      <c r="VC6" s="157"/>
      <c r="VD6" s="157"/>
      <c r="VE6" s="157"/>
      <c r="VF6" s="157"/>
      <c r="VG6" s="157"/>
      <c r="VH6" s="157"/>
      <c r="VI6" s="157"/>
      <c r="VJ6" s="157"/>
      <c r="VK6" s="157"/>
      <c r="VL6" s="157"/>
      <c r="VM6" s="157"/>
      <c r="VN6" s="157"/>
      <c r="VO6" s="157"/>
      <c r="VP6" s="157"/>
      <c r="VQ6" s="157"/>
      <c r="VR6" s="157"/>
      <c r="VS6" s="157"/>
      <c r="VT6" s="157"/>
      <c r="VU6" s="157"/>
      <c r="VV6" s="157"/>
      <c r="VW6" s="157"/>
      <c r="VX6" s="157"/>
      <c r="VY6" s="157"/>
      <c r="VZ6" s="157"/>
      <c r="WA6" s="157"/>
      <c r="WB6" s="157"/>
      <c r="WC6" s="157"/>
      <c r="WD6" s="157"/>
      <c r="WE6" s="157"/>
      <c r="WF6" s="157"/>
      <c r="WG6" s="157"/>
      <c r="WH6" s="157"/>
      <c r="WI6" s="157"/>
      <c r="WJ6" s="157"/>
      <c r="WK6" s="157"/>
      <c r="WL6" s="157"/>
      <c r="WM6" s="157"/>
      <c r="WN6" s="157"/>
      <c r="WO6" s="157"/>
      <c r="WP6" s="157"/>
      <c r="WQ6" s="157"/>
      <c r="WR6" s="157"/>
      <c r="WS6" s="157"/>
      <c r="WT6" s="157"/>
      <c r="WU6" s="157"/>
      <c r="WV6" s="157"/>
      <c r="WW6" s="157"/>
      <c r="WX6" s="157"/>
      <c r="WY6" s="157"/>
      <c r="WZ6" s="157"/>
      <c r="XA6" s="157"/>
      <c r="XB6" s="157"/>
      <c r="XC6" s="157"/>
      <c r="XD6" s="157"/>
      <c r="XE6" s="157"/>
      <c r="XF6" s="157"/>
      <c r="XG6" s="157"/>
      <c r="XH6" s="157"/>
      <c r="XI6" s="157"/>
      <c r="XJ6" s="157"/>
      <c r="XK6" s="157"/>
      <c r="XL6" s="157"/>
      <c r="XM6" s="157"/>
      <c r="XN6" s="157"/>
      <c r="XO6" s="157"/>
      <c r="XP6" s="157"/>
      <c r="XQ6" s="157"/>
      <c r="XR6" s="157"/>
      <c r="XS6" s="157"/>
      <c r="XT6" s="157"/>
      <c r="XU6" s="157"/>
      <c r="XV6" s="157"/>
      <c r="XW6" s="157"/>
      <c r="XX6" s="157"/>
      <c r="XY6" s="157"/>
      <c r="XZ6" s="157"/>
      <c r="YA6" s="157"/>
      <c r="YB6" s="157"/>
      <c r="YC6" s="157"/>
      <c r="YD6" s="157"/>
      <c r="YE6" s="157"/>
      <c r="YF6" s="157"/>
      <c r="YG6" s="157"/>
      <c r="YH6" s="157"/>
      <c r="YI6" s="157"/>
      <c r="YJ6" s="157"/>
      <c r="YK6" s="157"/>
      <c r="YL6" s="157"/>
      <c r="YM6" s="157"/>
      <c r="YN6" s="157"/>
      <c r="YO6" s="157"/>
      <c r="YP6" s="157"/>
      <c r="YQ6" s="157"/>
      <c r="YR6" s="157"/>
      <c r="YS6" s="157"/>
      <c r="YT6" s="157"/>
      <c r="YU6" s="157"/>
      <c r="YV6" s="157"/>
      <c r="YW6" s="157"/>
      <c r="YX6" s="157"/>
      <c r="YY6" s="157"/>
      <c r="YZ6" s="157"/>
      <c r="ZA6" s="157"/>
      <c r="ZB6" s="157"/>
      <c r="ZC6" s="157"/>
      <c r="ZD6" s="157"/>
      <c r="ZE6" s="157"/>
      <c r="ZF6" s="157"/>
      <c r="ZG6" s="157"/>
      <c r="ZH6" s="157"/>
      <c r="ZI6" s="157"/>
      <c r="ZJ6" s="157"/>
      <c r="ZK6" s="157"/>
      <c r="ZL6" s="157"/>
      <c r="ZM6" s="157"/>
      <c r="ZN6" s="157"/>
      <c r="ZO6" s="157"/>
      <c r="ZP6" s="157"/>
      <c r="ZQ6" s="157"/>
      <c r="ZR6" s="157"/>
      <c r="ZS6" s="157"/>
      <c r="ZT6" s="157"/>
      <c r="ZU6" s="157"/>
      <c r="ZV6" s="157"/>
      <c r="ZW6" s="157"/>
      <c r="ZX6" s="157"/>
      <c r="ZY6" s="157"/>
      <c r="ZZ6" s="157"/>
      <c r="AAA6" s="157"/>
      <c r="AAB6" s="157"/>
      <c r="AAC6" s="157"/>
      <c r="AAD6" s="157"/>
      <c r="AAE6" s="157"/>
      <c r="AAF6" s="157"/>
      <c r="AAG6" s="157"/>
      <c r="AAH6" s="157"/>
      <c r="AAI6" s="157"/>
      <c r="AAJ6" s="157"/>
      <c r="AAK6" s="157"/>
      <c r="AAL6" s="157"/>
      <c r="AAM6" s="157"/>
      <c r="AAN6" s="157"/>
      <c r="AAO6" s="157"/>
      <c r="AAP6" s="157"/>
      <c r="AAQ6" s="157"/>
      <c r="AAR6" s="157"/>
      <c r="AAS6" s="157"/>
      <c r="AAT6" s="157"/>
      <c r="AAU6" s="157"/>
      <c r="AAV6" s="157"/>
      <c r="AAW6" s="157"/>
      <c r="AAX6" s="157"/>
      <c r="AAY6" s="157"/>
      <c r="AAZ6" s="157"/>
      <c r="ABA6" s="157"/>
      <c r="ABB6" s="157"/>
      <c r="ABC6" s="157"/>
      <c r="ABD6" s="157"/>
      <c r="ABE6" s="157"/>
      <c r="ABF6" s="157"/>
      <c r="ABG6" s="157"/>
      <c r="ABH6" s="157"/>
      <c r="ABI6" s="157"/>
      <c r="ABJ6" s="157"/>
      <c r="ABK6" s="157"/>
      <c r="ABL6" s="157"/>
      <c r="ABM6" s="157"/>
      <c r="ABN6" s="157"/>
      <c r="ABO6" s="157"/>
      <c r="ABP6" s="157"/>
      <c r="ABQ6" s="157"/>
      <c r="ABR6" s="157"/>
      <c r="ABS6" s="157"/>
      <c r="ABT6" s="157"/>
      <c r="ABU6" s="157"/>
      <c r="ABV6" s="157"/>
      <c r="ABW6" s="157"/>
      <c r="ABX6" s="157"/>
      <c r="ABY6" s="157"/>
      <c r="ABZ6" s="157"/>
      <c r="ACA6" s="157"/>
      <c r="ACB6" s="157"/>
      <c r="ACC6" s="157"/>
      <c r="ACD6" s="157"/>
      <c r="ACE6" s="157"/>
      <c r="ACF6" s="157"/>
      <c r="ACG6" s="157"/>
      <c r="ACH6" s="157"/>
      <c r="ACI6" s="157"/>
      <c r="ACJ6" s="157"/>
      <c r="ACK6" s="157"/>
      <c r="ACL6" s="157"/>
      <c r="ACM6" s="157"/>
      <c r="ACN6" s="157"/>
      <c r="ACO6" s="157"/>
      <c r="ACP6" s="157"/>
      <c r="ACQ6" s="157"/>
      <c r="ACR6" s="157"/>
      <c r="ACS6" s="157"/>
      <c r="ACT6" s="157"/>
      <c r="ACU6" s="157"/>
      <c r="ACV6" s="157"/>
      <c r="ACW6" s="157"/>
      <c r="ACX6" s="157"/>
      <c r="ACY6" s="157"/>
      <c r="ACZ6" s="157"/>
      <c r="ADA6" s="157"/>
      <c r="ADB6" s="157"/>
      <c r="ADC6" s="157"/>
      <c r="ADD6" s="157"/>
      <c r="ADE6" s="157"/>
      <c r="ADF6" s="157"/>
      <c r="ADG6" s="157"/>
      <c r="ADH6" s="157"/>
      <c r="ADI6" s="157"/>
      <c r="ADJ6" s="157"/>
      <c r="ADK6" s="157"/>
      <c r="ADL6" s="157"/>
      <c r="ADM6" s="157"/>
      <c r="ADN6" s="157"/>
      <c r="ADO6" s="157"/>
      <c r="ADP6" s="157"/>
      <c r="ADQ6" s="157"/>
      <c r="ADR6" s="157"/>
      <c r="ADS6" s="157"/>
      <c r="ADT6" s="157"/>
      <c r="ADU6" s="157"/>
      <c r="ADV6" s="157"/>
      <c r="ADW6" s="157"/>
      <c r="ADX6" s="157"/>
      <c r="ADY6" s="157"/>
      <c r="ADZ6" s="157"/>
      <c r="AEA6" s="157"/>
      <c r="AEB6" s="157"/>
      <c r="AEC6" s="157"/>
      <c r="AED6" s="157"/>
      <c r="AEE6" s="157"/>
      <c r="AEF6" s="157"/>
      <c r="AEG6" s="157"/>
      <c r="AEH6" s="157"/>
      <c r="AEI6" s="157"/>
      <c r="AEJ6" s="157"/>
      <c r="AEK6" s="157"/>
      <c r="AEL6" s="157"/>
      <c r="AEM6" s="157"/>
      <c r="AEN6" s="157"/>
      <c r="AEO6" s="157"/>
      <c r="AEP6" s="157"/>
      <c r="AEQ6" s="157"/>
      <c r="AER6" s="157"/>
      <c r="AES6" s="157"/>
      <c r="AET6" s="157"/>
      <c r="AEU6" s="157"/>
      <c r="AEV6" s="157"/>
      <c r="AEW6" s="157"/>
      <c r="AEX6" s="157"/>
      <c r="AEY6" s="157"/>
      <c r="AEZ6" s="157"/>
      <c r="AFA6" s="157"/>
      <c r="AFB6" s="157"/>
      <c r="AFC6" s="157"/>
      <c r="AFD6" s="157"/>
      <c r="AFE6" s="157"/>
      <c r="AFF6" s="157"/>
      <c r="AFG6" s="157"/>
      <c r="AFH6" s="157"/>
      <c r="AFI6" s="157"/>
      <c r="AFJ6" s="157"/>
      <c r="AFK6" s="157"/>
      <c r="AFL6" s="157"/>
      <c r="AFM6" s="157"/>
      <c r="AFN6" s="157"/>
      <c r="AFO6" s="157"/>
      <c r="AFP6" s="157"/>
      <c r="AFQ6" s="157"/>
      <c r="AFR6" s="157"/>
      <c r="AFS6" s="157"/>
      <c r="AFT6" s="157"/>
      <c r="AFU6" s="157"/>
      <c r="AFV6" s="157"/>
      <c r="AFW6" s="157"/>
      <c r="AFX6" s="157"/>
      <c r="AFY6" s="157"/>
      <c r="AFZ6" s="157"/>
      <c r="AGA6" s="157"/>
      <c r="AGB6" s="157"/>
      <c r="AGC6" s="157"/>
      <c r="AGD6" s="157"/>
      <c r="AGE6" s="157"/>
      <c r="AGF6" s="157"/>
      <c r="AGG6" s="157"/>
      <c r="AGH6" s="157"/>
      <c r="AGI6" s="157"/>
      <c r="AGJ6" s="157"/>
      <c r="AGK6" s="157"/>
      <c r="AGL6" s="157"/>
      <c r="AGM6" s="157"/>
      <c r="AGN6" s="157"/>
      <c r="AGO6" s="157"/>
      <c r="AGP6" s="157"/>
      <c r="AGQ6" s="157"/>
      <c r="AGR6" s="157"/>
      <c r="AGS6" s="157"/>
      <c r="AGT6" s="157"/>
      <c r="AGU6" s="157"/>
      <c r="AGV6" s="157"/>
      <c r="AGW6" s="157"/>
      <c r="AGX6" s="157"/>
      <c r="AGY6" s="157"/>
      <c r="AGZ6" s="157"/>
      <c r="AHA6" s="157"/>
      <c r="AHB6" s="157"/>
      <c r="AHC6" s="157"/>
      <c r="AHD6" s="157"/>
      <c r="AHE6" s="157"/>
      <c r="AHF6" s="157"/>
      <c r="AHG6" s="157"/>
      <c r="AHH6" s="157"/>
      <c r="AHI6" s="157"/>
      <c r="AHJ6" s="157"/>
      <c r="AHK6" s="157"/>
      <c r="AHL6" s="157"/>
      <c r="AHM6" s="157"/>
      <c r="AHN6" s="157"/>
      <c r="AHO6" s="157"/>
      <c r="AHP6" s="157"/>
      <c r="AHQ6" s="157"/>
      <c r="AHR6" s="157"/>
      <c r="AHS6" s="157"/>
      <c r="AHT6" s="157"/>
      <c r="AHU6" s="157"/>
      <c r="AHV6" s="157"/>
      <c r="AHW6" s="157"/>
      <c r="AHX6" s="157"/>
      <c r="AHY6" s="157"/>
      <c r="AHZ6" s="157"/>
      <c r="AIA6" s="157"/>
      <c r="AIB6" s="157"/>
      <c r="AIC6" s="157"/>
      <c r="AID6" s="157"/>
      <c r="AIE6" s="157"/>
      <c r="AIF6" s="157"/>
      <c r="AIG6" s="157"/>
      <c r="AIH6" s="157"/>
      <c r="AII6" s="157"/>
      <c r="AIJ6" s="157"/>
      <c r="AIK6" s="157"/>
      <c r="AIL6" s="157"/>
      <c r="AIM6" s="157"/>
      <c r="AIN6" s="157"/>
      <c r="AIO6" s="157"/>
      <c r="AIP6" s="157"/>
      <c r="AIQ6" s="157"/>
      <c r="AIR6" s="157"/>
      <c r="AIS6" s="157"/>
      <c r="AIT6" s="157"/>
      <c r="AIU6" s="157"/>
      <c r="AIV6" s="157"/>
      <c r="AIW6" s="157"/>
      <c r="AIX6" s="157"/>
      <c r="AIY6" s="157"/>
      <c r="AIZ6" s="157"/>
      <c r="AJA6" s="157"/>
      <c r="AJB6" s="157"/>
      <c r="AJC6" s="157"/>
      <c r="AJD6" s="157"/>
      <c r="AJE6" s="157"/>
      <c r="AJF6" s="157"/>
      <c r="AJG6" s="157"/>
      <c r="AJH6" s="157"/>
      <c r="AJI6" s="157"/>
      <c r="AJJ6" s="157"/>
      <c r="AJK6" s="157"/>
      <c r="AJL6" s="157"/>
      <c r="AJM6" s="157"/>
      <c r="AJN6" s="157"/>
      <c r="AJO6" s="157"/>
      <c r="AJP6" s="157"/>
      <c r="AJQ6" s="157"/>
      <c r="AJR6" s="157"/>
      <c r="AJS6" s="157"/>
      <c r="AJT6" s="157"/>
      <c r="AJU6" s="157"/>
      <c r="AJV6" s="157"/>
      <c r="AJW6" s="157"/>
      <c r="AJX6" s="157"/>
      <c r="AJY6" s="157"/>
      <c r="AJZ6" s="157"/>
      <c r="AKA6" s="157"/>
      <c r="AKB6" s="157"/>
      <c r="AKC6" s="157"/>
      <c r="AKD6" s="157"/>
      <c r="AKE6" s="157"/>
      <c r="AKF6" s="157"/>
      <c r="AKG6" s="157"/>
      <c r="AKH6" s="157"/>
      <c r="AKI6" s="157"/>
      <c r="AKJ6" s="157"/>
      <c r="AKK6" s="157"/>
      <c r="AKL6" s="157"/>
      <c r="AKM6" s="157"/>
      <c r="AKN6" s="157"/>
      <c r="AKO6" s="157"/>
      <c r="AKP6" s="157"/>
      <c r="AKQ6" s="157"/>
      <c r="AKR6" s="157"/>
      <c r="AKS6" s="157"/>
      <c r="AKT6" s="157"/>
      <c r="AKU6" s="157"/>
      <c r="AKV6" s="157"/>
      <c r="AKW6" s="157"/>
      <c r="AKX6" s="157"/>
      <c r="AKY6" s="157"/>
      <c r="AKZ6" s="157"/>
      <c r="ALA6" s="157"/>
      <c r="ALB6" s="157"/>
      <c r="ALC6" s="157"/>
      <c r="ALD6" s="157"/>
      <c r="ALE6" s="157"/>
      <c r="ALF6" s="157"/>
      <c r="ALG6" s="157"/>
      <c r="ALH6" s="157"/>
      <c r="ALI6" s="157"/>
      <c r="ALJ6" s="157"/>
      <c r="ALK6" s="157"/>
      <c r="ALL6" s="157"/>
      <c r="ALM6" s="157"/>
      <c r="ALN6" s="157"/>
      <c r="ALO6" s="157"/>
      <c r="ALP6" s="157"/>
      <c r="ALQ6" s="157"/>
      <c r="ALR6" s="157"/>
      <c r="ALS6" s="157"/>
      <c r="ALT6" s="157"/>
      <c r="ALU6" s="157"/>
      <c r="ALV6" s="157"/>
      <c r="ALW6" s="157"/>
      <c r="ALX6" s="157"/>
      <c r="ALY6" s="157"/>
      <c r="ALZ6" s="157"/>
      <c r="AMA6" s="157"/>
      <c r="AMB6" s="157"/>
      <c r="AMC6" s="157"/>
      <c r="AMD6" s="157"/>
      <c r="AME6" s="157"/>
      <c r="AMF6" s="157"/>
      <c r="AMG6" s="157"/>
      <c r="AMH6" s="157"/>
      <c r="AMI6" s="157"/>
      <c r="AMJ6" s="157"/>
      <c r="AMK6" s="157"/>
      <c r="AML6" s="157"/>
      <c r="AMM6" s="157"/>
      <c r="AMN6" s="157"/>
      <c r="AMO6" s="157"/>
      <c r="AMP6" s="157"/>
      <c r="AMQ6" s="157"/>
      <c r="AMR6" s="157"/>
      <c r="AMS6" s="157"/>
      <c r="AMT6" s="157"/>
      <c r="AMU6" s="157"/>
      <c r="AMV6" s="157"/>
      <c r="AMW6" s="157"/>
      <c r="AMX6" s="157"/>
      <c r="AMY6" s="157"/>
      <c r="AMZ6" s="157"/>
      <c r="ANA6" s="157"/>
      <c r="ANB6" s="157"/>
      <c r="ANC6" s="157"/>
      <c r="AND6" s="157"/>
      <c r="ANE6" s="157"/>
      <c r="ANF6" s="157"/>
      <c r="ANG6" s="157"/>
      <c r="ANH6" s="157"/>
      <c r="ANI6" s="157"/>
      <c r="ANJ6" s="157"/>
      <c r="ANK6" s="157"/>
      <c r="ANL6" s="157"/>
      <c r="ANM6" s="157"/>
      <c r="ANN6" s="157"/>
      <c r="ANO6" s="157"/>
      <c r="ANP6" s="157"/>
      <c r="ANQ6" s="157"/>
      <c r="ANR6" s="157"/>
      <c r="ANS6" s="157"/>
      <c r="ANT6" s="157"/>
      <c r="ANU6" s="157"/>
      <c r="ANV6" s="157"/>
      <c r="ANW6" s="157"/>
      <c r="ANX6" s="157"/>
      <c r="ANY6" s="157"/>
      <c r="ANZ6" s="157"/>
      <c r="AOA6" s="157"/>
      <c r="AOB6" s="157"/>
      <c r="AOC6" s="157"/>
      <c r="AOD6" s="157"/>
      <c r="AOE6" s="157"/>
      <c r="AOF6" s="157"/>
      <c r="AOG6" s="157"/>
      <c r="AOH6" s="157"/>
      <c r="AOI6" s="157"/>
      <c r="AOJ6" s="157"/>
      <c r="AOK6" s="157"/>
      <c r="AOL6" s="157"/>
      <c r="AOM6" s="157"/>
      <c r="AON6" s="157"/>
      <c r="AOO6" s="157"/>
      <c r="AOP6" s="157"/>
      <c r="AOQ6" s="157"/>
      <c r="AOR6" s="157"/>
      <c r="AOS6" s="157"/>
      <c r="AOT6" s="157"/>
      <c r="AOU6" s="157"/>
      <c r="AOV6" s="157"/>
      <c r="AOW6" s="157"/>
      <c r="AOX6" s="157"/>
      <c r="AOY6" s="157"/>
      <c r="AOZ6" s="157"/>
      <c r="APA6" s="157"/>
      <c r="APB6" s="157"/>
      <c r="APC6" s="157"/>
      <c r="APD6" s="157"/>
      <c r="APE6" s="157"/>
      <c r="APF6" s="157"/>
      <c r="APG6" s="157"/>
      <c r="APH6" s="157"/>
      <c r="API6" s="157"/>
      <c r="APJ6" s="157"/>
      <c r="APK6" s="157"/>
      <c r="APL6" s="157"/>
      <c r="APM6" s="157"/>
      <c r="APN6" s="157"/>
      <c r="APO6" s="157"/>
      <c r="APP6" s="157"/>
      <c r="APQ6" s="157"/>
      <c r="APR6" s="157"/>
      <c r="APS6" s="157"/>
      <c r="APT6" s="157"/>
      <c r="APU6" s="157"/>
      <c r="APV6" s="157"/>
      <c r="APW6" s="157"/>
      <c r="APX6" s="157"/>
      <c r="APY6" s="157"/>
      <c r="APZ6" s="157"/>
      <c r="AQA6" s="157"/>
      <c r="AQB6" s="157"/>
      <c r="AQC6" s="157"/>
      <c r="AQD6" s="157"/>
      <c r="AQE6" s="157"/>
      <c r="AQF6" s="157"/>
      <c r="AQG6" s="157"/>
      <c r="AQH6" s="157"/>
      <c r="AQI6" s="157"/>
      <c r="AQJ6" s="157"/>
      <c r="AQK6" s="157"/>
      <c r="AQL6" s="157"/>
      <c r="AQM6" s="157"/>
      <c r="AQN6" s="157"/>
      <c r="AQO6" s="157"/>
      <c r="AQP6" s="157"/>
      <c r="AQQ6" s="157"/>
      <c r="AQR6" s="157"/>
      <c r="AQS6" s="157"/>
      <c r="AQT6" s="157"/>
      <c r="AQU6" s="157"/>
      <c r="AQV6" s="157"/>
      <c r="AQW6" s="157"/>
      <c r="AQX6" s="157"/>
      <c r="AQY6" s="157"/>
      <c r="AQZ6" s="157"/>
      <c r="ARA6" s="157"/>
      <c r="ARB6" s="157"/>
      <c r="ARC6" s="157"/>
      <c r="ARD6" s="157"/>
      <c r="ARE6" s="157"/>
      <c r="ARF6" s="157"/>
      <c r="ARG6" s="157"/>
      <c r="ARH6" s="157"/>
      <c r="ARI6" s="157"/>
      <c r="ARJ6" s="157"/>
      <c r="ARK6" s="157"/>
      <c r="ARL6" s="157"/>
      <c r="ARM6" s="157"/>
      <c r="ARN6" s="157"/>
      <c r="ARO6" s="157"/>
      <c r="ARP6" s="157"/>
      <c r="ARQ6" s="157"/>
      <c r="ARR6" s="157"/>
      <c r="ARS6" s="157"/>
      <c r="ART6" s="157"/>
      <c r="ARU6" s="157"/>
      <c r="ARV6" s="157"/>
      <c r="ARW6" s="157"/>
      <c r="ARX6" s="157"/>
      <c r="ARY6" s="157"/>
      <c r="ARZ6" s="157"/>
      <c r="ASA6" s="157"/>
      <c r="ASB6" s="157"/>
      <c r="ASC6" s="157"/>
      <c r="ASD6" s="157"/>
      <c r="ASE6" s="157"/>
      <c r="ASF6" s="157"/>
      <c r="ASG6" s="157"/>
      <c r="ASH6" s="157"/>
      <c r="ASI6" s="157"/>
      <c r="ASJ6" s="157"/>
      <c r="ASK6" s="157"/>
      <c r="ASL6" s="157"/>
      <c r="ASM6" s="157"/>
      <c r="ASN6" s="157"/>
      <c r="ASO6" s="157"/>
      <c r="ASP6" s="157"/>
      <c r="ASQ6" s="157"/>
      <c r="ASR6" s="157"/>
      <c r="ASS6" s="157"/>
      <c r="AST6" s="157"/>
      <c r="ASU6" s="157"/>
      <c r="ASV6" s="157"/>
      <c r="ASW6" s="157"/>
      <c r="ASX6" s="157"/>
      <c r="ASY6" s="157"/>
      <c r="ASZ6" s="157"/>
      <c r="ATA6" s="157"/>
      <c r="ATB6" s="157"/>
      <c r="ATC6" s="157"/>
      <c r="ATD6" s="157"/>
      <c r="ATE6" s="157"/>
      <c r="ATF6" s="157"/>
      <c r="ATG6" s="157"/>
      <c r="ATH6" s="157"/>
      <c r="ATI6" s="157"/>
      <c r="ATJ6" s="157"/>
      <c r="ATK6" s="157"/>
      <c r="ATL6" s="157"/>
      <c r="ATM6" s="157"/>
      <c r="ATN6" s="157"/>
      <c r="ATO6" s="157"/>
      <c r="ATP6" s="157"/>
      <c r="ATQ6" s="157"/>
      <c r="ATR6" s="157"/>
      <c r="ATS6" s="157"/>
      <c r="ATT6" s="157"/>
      <c r="ATU6" s="157"/>
      <c r="ATV6" s="157"/>
      <c r="ATW6" s="157"/>
      <c r="ATX6" s="157"/>
      <c r="ATY6" s="157"/>
      <c r="ATZ6" s="157"/>
      <c r="AUA6" s="157"/>
      <c r="AUB6" s="157"/>
      <c r="AUC6" s="157"/>
      <c r="AUD6" s="157"/>
      <c r="AUE6" s="157"/>
      <c r="AUF6" s="157"/>
      <c r="AUG6" s="157"/>
      <c r="AUH6" s="157"/>
      <c r="AUI6" s="157"/>
      <c r="AUJ6" s="157"/>
      <c r="AUK6" s="157"/>
      <c r="AUL6" s="157"/>
      <c r="AUM6" s="157"/>
      <c r="AUN6" s="157"/>
      <c r="AUO6" s="157"/>
      <c r="AUP6" s="157"/>
      <c r="AUQ6" s="157"/>
      <c r="AUR6" s="157"/>
      <c r="AUS6" s="157"/>
      <c r="AUT6" s="157"/>
      <c r="AUU6" s="157"/>
      <c r="AUV6" s="157"/>
      <c r="AUW6" s="157"/>
      <c r="AUX6" s="157"/>
      <c r="AUY6" s="157"/>
      <c r="AUZ6" s="157"/>
      <c r="AVA6" s="157"/>
      <c r="AVB6" s="157"/>
      <c r="AVC6" s="157"/>
      <c r="AVD6" s="157"/>
      <c r="AVE6" s="157"/>
      <c r="AVF6" s="157"/>
      <c r="AVG6" s="157"/>
      <c r="AVH6" s="157"/>
      <c r="AVI6" s="157"/>
      <c r="AVJ6" s="157"/>
      <c r="AVK6" s="157"/>
      <c r="AVL6" s="157"/>
      <c r="AVM6" s="157"/>
      <c r="AVN6" s="157"/>
      <c r="AVO6" s="157"/>
      <c r="AVP6" s="157"/>
      <c r="AVQ6" s="157"/>
      <c r="AVR6" s="157"/>
      <c r="AVS6" s="157"/>
      <c r="AVT6" s="157"/>
      <c r="AVU6" s="157"/>
      <c r="AVV6" s="157"/>
      <c r="AVW6" s="157"/>
      <c r="AVX6" s="157"/>
      <c r="AVY6" s="157"/>
      <c r="AVZ6" s="157"/>
      <c r="AWA6" s="157"/>
      <c r="AWB6" s="157"/>
      <c r="AWC6" s="157"/>
      <c r="AWD6" s="157"/>
      <c r="AWE6" s="157"/>
      <c r="AWF6" s="157"/>
      <c r="AWG6" s="157"/>
      <c r="AWH6" s="157"/>
      <c r="AWI6" s="157"/>
      <c r="AWJ6" s="157"/>
      <c r="AWK6" s="157"/>
      <c r="AWL6" s="157"/>
      <c r="AWM6" s="157"/>
      <c r="AWN6" s="157"/>
      <c r="AWO6" s="157"/>
      <c r="AWP6" s="157"/>
      <c r="AWQ6" s="157"/>
      <c r="AWR6" s="157"/>
      <c r="AWS6" s="157"/>
      <c r="AWT6" s="157"/>
      <c r="AWU6" s="157"/>
      <c r="AWV6" s="157"/>
      <c r="AWW6" s="157"/>
      <c r="AWX6" s="157"/>
      <c r="AWY6" s="157"/>
      <c r="AWZ6" s="157"/>
      <c r="AXA6" s="157"/>
      <c r="AXB6" s="157"/>
      <c r="AXC6" s="157"/>
      <c r="AXD6" s="157"/>
      <c r="AXE6" s="157"/>
      <c r="AXF6" s="157"/>
      <c r="AXG6" s="157"/>
      <c r="AXH6" s="157"/>
      <c r="AXI6" s="157"/>
      <c r="AXJ6" s="157"/>
      <c r="AXK6" s="157"/>
      <c r="AXL6" s="157"/>
      <c r="AXM6" s="157"/>
      <c r="AXN6" s="157"/>
      <c r="AXO6" s="157"/>
      <c r="AXP6" s="157"/>
      <c r="AXQ6" s="157"/>
      <c r="AXR6" s="157"/>
      <c r="AXS6" s="157"/>
      <c r="AXT6" s="157"/>
      <c r="AXU6" s="157"/>
      <c r="AXV6" s="157"/>
      <c r="AXW6" s="157"/>
      <c r="AXX6" s="157"/>
      <c r="AXY6" s="157"/>
      <c r="AXZ6" s="157"/>
      <c r="AYA6" s="157"/>
      <c r="AYB6" s="157"/>
      <c r="AYC6" s="157"/>
      <c r="AYD6" s="157"/>
      <c r="AYE6" s="157"/>
      <c r="AYF6" s="157"/>
      <c r="AYG6" s="157"/>
      <c r="AYH6" s="157"/>
      <c r="AYI6" s="157"/>
      <c r="AYJ6" s="157"/>
      <c r="AYK6" s="157"/>
      <c r="AYL6" s="157"/>
      <c r="AYM6" s="157"/>
      <c r="AYN6" s="157"/>
      <c r="AYO6" s="157"/>
      <c r="AYP6" s="157"/>
      <c r="AYQ6" s="157"/>
      <c r="AYR6" s="157"/>
      <c r="AYS6" s="157"/>
      <c r="AYT6" s="157"/>
      <c r="AYU6" s="157"/>
      <c r="AYV6" s="157"/>
      <c r="AYW6" s="157"/>
      <c r="AYX6" s="157"/>
      <c r="AYY6" s="157"/>
      <c r="AYZ6" s="157"/>
      <c r="AZA6" s="157"/>
      <c r="AZB6" s="157"/>
      <c r="AZC6" s="157"/>
      <c r="AZD6" s="157"/>
      <c r="AZE6" s="157"/>
      <c r="AZF6" s="157"/>
      <c r="AZG6" s="157"/>
      <c r="AZH6" s="157"/>
      <c r="AZI6" s="157"/>
      <c r="AZJ6" s="157"/>
      <c r="AZK6" s="157"/>
      <c r="AZL6" s="157"/>
      <c r="AZM6" s="157"/>
      <c r="AZN6" s="157"/>
      <c r="AZO6" s="157"/>
      <c r="AZP6" s="157"/>
      <c r="AZQ6" s="157"/>
      <c r="AZR6" s="157"/>
      <c r="AZS6" s="157"/>
      <c r="AZT6" s="157"/>
      <c r="AZU6" s="157"/>
      <c r="AZV6" s="157"/>
      <c r="AZW6" s="157"/>
      <c r="AZX6" s="157"/>
      <c r="AZY6" s="157"/>
      <c r="AZZ6" s="157"/>
      <c r="BAA6" s="157"/>
      <c r="BAB6" s="157"/>
      <c r="BAC6" s="157"/>
      <c r="BAD6" s="157"/>
      <c r="BAE6" s="157"/>
      <c r="BAF6" s="157"/>
      <c r="BAG6" s="157"/>
      <c r="BAH6" s="157"/>
      <c r="BAI6" s="157"/>
      <c r="BAJ6" s="157"/>
      <c r="BAK6" s="157"/>
      <c r="BAL6" s="157"/>
      <c r="BAM6" s="157"/>
      <c r="BAN6" s="157"/>
      <c r="BAO6" s="157"/>
      <c r="BAP6" s="157"/>
      <c r="BAQ6" s="157"/>
      <c r="BAR6" s="157"/>
      <c r="BAS6" s="157"/>
      <c r="BAT6" s="157"/>
      <c r="BAU6" s="157"/>
      <c r="BAV6" s="157"/>
      <c r="BAW6" s="157"/>
      <c r="BAX6" s="157"/>
      <c r="BAY6" s="157"/>
      <c r="BAZ6" s="157"/>
      <c r="BBA6" s="157"/>
      <c r="BBB6" s="157"/>
      <c r="BBC6" s="157"/>
      <c r="BBD6" s="157"/>
      <c r="BBE6" s="157"/>
      <c r="BBF6" s="157"/>
      <c r="BBG6" s="157"/>
      <c r="BBH6" s="157"/>
      <c r="BBI6" s="157"/>
      <c r="BBJ6" s="157"/>
      <c r="BBK6" s="157"/>
      <c r="BBL6" s="157"/>
      <c r="BBM6" s="157"/>
      <c r="BBN6" s="157"/>
      <c r="BBO6" s="157"/>
      <c r="BBP6" s="157"/>
      <c r="BBQ6" s="157"/>
      <c r="BBR6" s="157"/>
      <c r="BBS6" s="157"/>
      <c r="BBT6" s="157"/>
      <c r="BBU6" s="157"/>
      <c r="BBV6" s="157"/>
      <c r="BBW6" s="157"/>
      <c r="BBX6" s="157"/>
      <c r="BBY6" s="157"/>
      <c r="BBZ6" s="157"/>
      <c r="BCA6" s="157"/>
      <c r="BCB6" s="157"/>
      <c r="BCC6" s="157"/>
      <c r="BCD6" s="157"/>
      <c r="BCE6" s="157"/>
      <c r="BCF6" s="157"/>
      <c r="BCG6" s="157"/>
      <c r="BCH6" s="157"/>
      <c r="BCI6" s="157"/>
      <c r="BCJ6" s="157"/>
      <c r="BCK6" s="157"/>
      <c r="BCL6" s="157"/>
      <c r="BCM6" s="157"/>
      <c r="BCN6" s="157"/>
      <c r="BCO6" s="157"/>
      <c r="BCP6" s="157"/>
      <c r="BCQ6" s="157"/>
      <c r="BCR6" s="157"/>
      <c r="BCS6" s="157"/>
      <c r="BCT6" s="157"/>
      <c r="BCU6" s="157"/>
      <c r="BCV6" s="157"/>
      <c r="BCW6" s="157"/>
      <c r="BCX6" s="157"/>
      <c r="BCY6" s="157"/>
      <c r="BCZ6" s="157"/>
      <c r="BDA6" s="157"/>
      <c r="BDB6" s="157"/>
      <c r="BDC6" s="157"/>
      <c r="BDD6" s="157"/>
      <c r="BDE6" s="157"/>
      <c r="BDF6" s="157"/>
      <c r="BDG6" s="157"/>
      <c r="BDH6" s="157"/>
      <c r="BDI6" s="157"/>
      <c r="BDJ6" s="157"/>
      <c r="BDK6" s="157"/>
      <c r="BDL6" s="157"/>
      <c r="BDM6" s="157"/>
      <c r="BDN6" s="157"/>
      <c r="BDO6" s="157"/>
      <c r="BDP6" s="157"/>
      <c r="BDQ6" s="157"/>
      <c r="BDR6" s="157"/>
      <c r="BDS6" s="157"/>
      <c r="BDT6" s="157"/>
      <c r="BDU6" s="157"/>
      <c r="BDV6" s="157"/>
      <c r="BDW6" s="157"/>
      <c r="BDX6" s="157"/>
      <c r="BDY6" s="157"/>
      <c r="BDZ6" s="157"/>
      <c r="BEA6" s="157"/>
      <c r="BEB6" s="157"/>
      <c r="BEC6" s="157"/>
      <c r="BED6" s="157"/>
      <c r="BEE6" s="157"/>
      <c r="BEF6" s="157"/>
      <c r="BEG6" s="157"/>
      <c r="BEH6" s="157"/>
      <c r="BEI6" s="157"/>
      <c r="BEJ6" s="157"/>
      <c r="BEK6" s="157"/>
      <c r="BEL6" s="157"/>
      <c r="BEM6" s="157"/>
      <c r="BEN6" s="157"/>
      <c r="BEO6" s="157"/>
      <c r="BEP6" s="157"/>
      <c r="BEQ6" s="157"/>
      <c r="BER6" s="157"/>
      <c r="BES6" s="157"/>
      <c r="BET6" s="157"/>
      <c r="BEU6" s="157"/>
      <c r="BEV6" s="157"/>
      <c r="BEW6" s="157"/>
      <c r="BEX6" s="157"/>
      <c r="BEY6" s="157"/>
      <c r="BEZ6" s="157"/>
      <c r="BFA6" s="157"/>
      <c r="BFB6" s="157"/>
      <c r="BFC6" s="157"/>
      <c r="BFD6" s="157"/>
      <c r="BFE6" s="157"/>
      <c r="BFF6" s="157"/>
      <c r="BFG6" s="157"/>
      <c r="BFH6" s="157"/>
      <c r="BFI6" s="157"/>
      <c r="BFJ6" s="157"/>
      <c r="BFK6" s="157"/>
      <c r="BFL6" s="157"/>
      <c r="BFM6" s="157"/>
      <c r="BFN6" s="157"/>
      <c r="BFO6" s="157"/>
      <c r="BFP6" s="157"/>
      <c r="BFQ6" s="157"/>
      <c r="BFR6" s="157"/>
      <c r="BFS6" s="157"/>
      <c r="BFT6" s="157"/>
      <c r="BFU6" s="157"/>
      <c r="BFV6" s="157"/>
      <c r="BFW6" s="157"/>
      <c r="BFX6" s="157"/>
      <c r="BFY6" s="157"/>
      <c r="BFZ6" s="157"/>
      <c r="BGA6" s="157"/>
      <c r="BGB6" s="157"/>
      <c r="BGC6" s="157"/>
      <c r="BGD6" s="157"/>
      <c r="BGE6" s="157"/>
      <c r="BGF6" s="157"/>
      <c r="BGG6" s="157"/>
      <c r="BGH6" s="157"/>
      <c r="BGI6" s="157"/>
      <c r="BGJ6" s="157"/>
      <c r="BGK6" s="157"/>
      <c r="BGL6" s="157"/>
      <c r="BGM6" s="157"/>
      <c r="BGN6" s="157"/>
      <c r="BGO6" s="157"/>
      <c r="BGP6" s="157"/>
      <c r="BGQ6" s="157"/>
      <c r="BGR6" s="157"/>
      <c r="BGS6" s="157"/>
      <c r="BGT6" s="157"/>
      <c r="BGU6" s="157"/>
      <c r="BGV6" s="157"/>
      <c r="BGW6" s="157"/>
      <c r="BGX6" s="157"/>
      <c r="BGY6" s="157"/>
      <c r="BGZ6" s="157"/>
      <c r="BHA6" s="157"/>
      <c r="BHB6" s="157"/>
      <c r="BHC6" s="157"/>
      <c r="BHD6" s="157"/>
      <c r="BHE6" s="157"/>
      <c r="BHF6" s="157"/>
      <c r="BHG6" s="157"/>
      <c r="BHH6" s="157"/>
      <c r="BHI6" s="157"/>
      <c r="BHJ6" s="157"/>
      <c r="BHK6" s="157"/>
      <c r="BHL6" s="157"/>
      <c r="BHM6" s="157"/>
      <c r="BHN6" s="157"/>
      <c r="BHO6" s="157"/>
      <c r="BHP6" s="157"/>
      <c r="BHQ6" s="157"/>
      <c r="BHR6" s="157"/>
      <c r="BHS6" s="157"/>
      <c r="BHT6" s="157"/>
      <c r="BHU6" s="157"/>
      <c r="BHV6" s="157"/>
      <c r="BHW6" s="157"/>
      <c r="BHX6" s="157"/>
      <c r="BHY6" s="157"/>
      <c r="BHZ6" s="157"/>
      <c r="BIA6" s="157"/>
      <c r="BIB6" s="157"/>
      <c r="BIC6" s="157"/>
      <c r="BID6" s="157"/>
      <c r="BIE6" s="157"/>
      <c r="BIF6" s="157"/>
      <c r="BIG6" s="157"/>
      <c r="BIH6" s="157"/>
      <c r="BII6" s="157"/>
      <c r="BIJ6" s="157"/>
      <c r="BIK6" s="157"/>
      <c r="BIL6" s="157"/>
      <c r="BIM6" s="157"/>
      <c r="BIN6" s="157"/>
      <c r="BIO6" s="157"/>
      <c r="BIP6" s="157"/>
      <c r="BIQ6" s="157"/>
      <c r="BIR6" s="157"/>
      <c r="BIS6" s="157"/>
      <c r="BIT6" s="157"/>
      <c r="BIU6" s="157"/>
      <c r="BIV6" s="157"/>
      <c r="BIW6" s="157"/>
      <c r="BIX6" s="157"/>
      <c r="BIY6" s="157"/>
      <c r="BIZ6" s="157"/>
      <c r="BJA6" s="157"/>
      <c r="BJB6" s="157"/>
      <c r="BJC6" s="157"/>
      <c r="BJD6" s="157"/>
      <c r="BJE6" s="157"/>
      <c r="BJF6" s="157"/>
      <c r="BJG6" s="157"/>
      <c r="BJH6" s="157"/>
      <c r="BJI6" s="157"/>
      <c r="BJJ6" s="157"/>
      <c r="BJK6" s="157"/>
      <c r="BJL6" s="157"/>
      <c r="BJM6" s="157"/>
      <c r="BJN6" s="157"/>
      <c r="BJO6" s="157"/>
      <c r="BJP6" s="157"/>
      <c r="BJQ6" s="157"/>
      <c r="BJR6" s="157"/>
      <c r="BJS6" s="157"/>
      <c r="BJT6" s="157"/>
      <c r="BJU6" s="157"/>
      <c r="BJV6" s="157"/>
      <c r="BJW6" s="157"/>
      <c r="BJX6" s="157"/>
      <c r="BJY6" s="157"/>
      <c r="BJZ6" s="157"/>
      <c r="BKA6" s="157"/>
      <c r="BKB6" s="157"/>
      <c r="BKC6" s="157"/>
      <c r="BKD6" s="157"/>
      <c r="BKE6" s="157"/>
      <c r="BKF6" s="157"/>
      <c r="BKG6" s="157"/>
      <c r="BKH6" s="157"/>
      <c r="BKI6" s="157"/>
      <c r="BKJ6" s="157"/>
      <c r="BKK6" s="157"/>
      <c r="BKL6" s="157"/>
      <c r="BKM6" s="157"/>
      <c r="BKN6" s="157"/>
      <c r="BKO6" s="157"/>
      <c r="BKP6" s="157"/>
      <c r="BKQ6" s="157"/>
      <c r="BKR6" s="157"/>
      <c r="BKS6" s="157"/>
      <c r="BKT6" s="157"/>
      <c r="BKU6" s="157"/>
      <c r="BKV6" s="157"/>
      <c r="BKW6" s="157"/>
      <c r="BKX6" s="157"/>
      <c r="BKY6" s="157"/>
      <c r="BKZ6" s="157"/>
      <c r="BLA6" s="157"/>
      <c r="BLB6" s="157"/>
      <c r="BLC6" s="157"/>
      <c r="BLD6" s="157"/>
      <c r="BLE6" s="157"/>
      <c r="BLF6" s="157"/>
      <c r="BLG6" s="157"/>
      <c r="BLH6" s="157"/>
      <c r="BLI6" s="157"/>
      <c r="BLJ6" s="157"/>
      <c r="BLK6" s="157"/>
      <c r="BLL6" s="157"/>
      <c r="BLM6" s="157"/>
      <c r="BLN6" s="157"/>
      <c r="BLO6" s="157"/>
      <c r="BLP6" s="157"/>
      <c r="BLQ6" s="157"/>
      <c r="BLR6" s="157"/>
      <c r="BLS6" s="157"/>
      <c r="BLT6" s="157"/>
      <c r="BLU6" s="157"/>
      <c r="BLV6" s="157"/>
      <c r="BLW6" s="157"/>
      <c r="BLX6" s="157"/>
      <c r="BLY6" s="157"/>
      <c r="BLZ6" s="157"/>
      <c r="BMA6" s="157"/>
      <c r="BMB6" s="157"/>
      <c r="BMC6" s="157"/>
      <c r="BMD6" s="157"/>
      <c r="BME6" s="157"/>
      <c r="BMF6" s="157"/>
      <c r="BMG6" s="157"/>
      <c r="BMH6" s="157"/>
      <c r="BMI6" s="157"/>
      <c r="BMJ6" s="157"/>
      <c r="BMK6" s="157"/>
      <c r="BML6" s="157"/>
      <c r="BMM6" s="157"/>
      <c r="BMN6" s="157"/>
      <c r="BMO6" s="157"/>
      <c r="BMP6" s="157"/>
      <c r="BMQ6" s="157"/>
      <c r="BMR6" s="157"/>
      <c r="BMS6" s="157"/>
      <c r="BMT6" s="157"/>
      <c r="BMU6" s="157"/>
      <c r="BMV6" s="157"/>
      <c r="BMW6" s="157"/>
      <c r="BMX6" s="157"/>
      <c r="BMY6" s="157"/>
      <c r="BMZ6" s="157"/>
      <c r="BNA6" s="157"/>
      <c r="BNB6" s="157"/>
      <c r="BNC6" s="157"/>
      <c r="BND6" s="157"/>
      <c r="BNE6" s="157"/>
      <c r="BNF6" s="157"/>
      <c r="BNG6" s="157"/>
      <c r="BNH6" s="157"/>
      <c r="BNI6" s="157"/>
      <c r="BNJ6" s="157"/>
      <c r="BNK6" s="157"/>
      <c r="BNL6" s="157"/>
      <c r="BNM6" s="157"/>
      <c r="BNN6" s="157"/>
      <c r="BNO6" s="157"/>
      <c r="BNP6" s="157"/>
      <c r="BNQ6" s="157"/>
      <c r="BNR6" s="157"/>
      <c r="BNS6" s="157"/>
      <c r="BNT6" s="157"/>
      <c r="BNU6" s="157"/>
      <c r="BNV6" s="157"/>
      <c r="BNW6" s="157"/>
      <c r="BNX6" s="157"/>
      <c r="BNY6" s="157"/>
      <c r="BNZ6" s="157"/>
      <c r="BOA6" s="157"/>
      <c r="BOB6" s="157"/>
      <c r="BOC6" s="157"/>
      <c r="BOD6" s="157"/>
      <c r="BOE6" s="157"/>
      <c r="BOF6" s="157"/>
      <c r="BOG6" s="157"/>
      <c r="BOH6" s="157"/>
      <c r="BOI6" s="157"/>
      <c r="BOJ6" s="157"/>
      <c r="BOK6" s="157"/>
      <c r="BOL6" s="157"/>
      <c r="BOM6" s="157"/>
      <c r="BON6" s="157"/>
      <c r="BOO6" s="157"/>
      <c r="BOP6" s="157"/>
      <c r="BOQ6" s="157"/>
      <c r="BOR6" s="157"/>
      <c r="BOS6" s="157"/>
      <c r="BOT6" s="157"/>
      <c r="BOU6" s="157"/>
      <c r="BOV6" s="157"/>
      <c r="BOW6" s="157"/>
      <c r="BOX6" s="157"/>
      <c r="BOY6" s="157"/>
      <c r="BOZ6" s="157"/>
      <c r="BPA6" s="157"/>
      <c r="BPB6" s="157"/>
      <c r="BPC6" s="157"/>
      <c r="BPD6" s="157"/>
      <c r="BPE6" s="157"/>
      <c r="BPF6" s="157"/>
      <c r="BPG6" s="157"/>
      <c r="BPH6" s="157"/>
      <c r="BPI6" s="157"/>
      <c r="BPJ6" s="157"/>
      <c r="BPK6" s="157"/>
      <c r="BPL6" s="157"/>
      <c r="BPM6" s="157"/>
      <c r="BPN6" s="157"/>
      <c r="BPO6" s="157"/>
      <c r="BPP6" s="157"/>
      <c r="BPQ6" s="157"/>
      <c r="BPR6" s="157"/>
      <c r="BPS6" s="157"/>
      <c r="BPT6" s="157"/>
      <c r="BPU6" s="157"/>
      <c r="BPV6" s="157"/>
      <c r="BPW6" s="157"/>
      <c r="BPX6" s="157"/>
      <c r="BPY6" s="157"/>
      <c r="BPZ6" s="157"/>
      <c r="BQA6" s="157"/>
      <c r="BQB6" s="157"/>
      <c r="BQC6" s="157"/>
      <c r="BQD6" s="157"/>
      <c r="BQE6" s="157"/>
      <c r="BQF6" s="157"/>
      <c r="BQG6" s="157"/>
      <c r="BQH6" s="157"/>
      <c r="BQI6" s="157"/>
      <c r="BQJ6" s="157"/>
      <c r="BQK6" s="157"/>
      <c r="BQL6" s="157"/>
      <c r="BQM6" s="157"/>
      <c r="BQN6" s="157"/>
      <c r="BQO6" s="157"/>
      <c r="BQP6" s="157"/>
      <c r="BQQ6" s="157"/>
      <c r="BQR6" s="157"/>
      <c r="BQS6" s="157"/>
      <c r="BQT6" s="157"/>
      <c r="BQU6" s="157"/>
      <c r="BQV6" s="157"/>
      <c r="BQW6" s="157"/>
      <c r="BQX6" s="157"/>
      <c r="BQY6" s="157"/>
      <c r="BQZ6" s="157"/>
      <c r="BRA6" s="157"/>
      <c r="BRB6" s="157"/>
      <c r="BRC6" s="157"/>
      <c r="BRD6" s="157"/>
      <c r="BRE6" s="157"/>
      <c r="BRF6" s="157"/>
      <c r="BRG6" s="157"/>
      <c r="BRH6" s="157"/>
      <c r="BRI6" s="157"/>
      <c r="BRJ6" s="157"/>
      <c r="BRK6" s="157"/>
      <c r="BRL6" s="157"/>
      <c r="BRM6" s="157"/>
      <c r="BRN6" s="157"/>
      <c r="BRO6" s="157"/>
      <c r="BRP6" s="157"/>
      <c r="BRQ6" s="157"/>
      <c r="BRR6" s="157"/>
      <c r="BRS6" s="157"/>
      <c r="BRT6" s="157"/>
      <c r="BRU6" s="157"/>
      <c r="BRV6" s="157"/>
      <c r="BRW6" s="157"/>
      <c r="BRX6" s="157"/>
      <c r="BRY6" s="157"/>
      <c r="BRZ6" s="157"/>
      <c r="BSA6" s="157"/>
      <c r="BSB6" s="157"/>
      <c r="BSC6" s="157"/>
      <c r="BSD6" s="157"/>
      <c r="BSE6" s="157"/>
      <c r="BSF6" s="157"/>
      <c r="BSG6" s="157"/>
      <c r="BSH6" s="157"/>
      <c r="BSI6" s="157"/>
      <c r="BSJ6" s="157"/>
      <c r="BSK6" s="157"/>
      <c r="BSL6" s="157"/>
      <c r="BSM6" s="157"/>
      <c r="BSN6" s="157"/>
      <c r="BSO6" s="157"/>
      <c r="BSP6" s="157"/>
      <c r="BSQ6" s="157"/>
      <c r="BSR6" s="157"/>
      <c r="BSS6" s="157"/>
      <c r="BST6" s="157"/>
      <c r="BSU6" s="157"/>
      <c r="BSV6" s="157"/>
      <c r="BSW6" s="157"/>
      <c r="BSX6" s="157"/>
      <c r="BSY6" s="157"/>
      <c r="BSZ6" s="157"/>
      <c r="BTA6" s="157"/>
      <c r="BTB6" s="157"/>
      <c r="BTC6" s="157"/>
      <c r="BTD6" s="157"/>
      <c r="BTE6" s="157"/>
      <c r="BTF6" s="157"/>
      <c r="BTG6" s="157"/>
      <c r="BTH6" s="157"/>
      <c r="BTI6" s="157"/>
      <c r="BTJ6" s="157"/>
      <c r="BTK6" s="157"/>
      <c r="BTL6" s="157"/>
      <c r="BTM6" s="157"/>
      <c r="BTN6" s="157"/>
      <c r="BTO6" s="157"/>
      <c r="BTP6" s="157"/>
      <c r="BTQ6" s="157"/>
      <c r="BTR6" s="157"/>
      <c r="BTS6" s="157"/>
      <c r="BTT6" s="157"/>
      <c r="BTU6" s="157"/>
      <c r="BTV6" s="157"/>
      <c r="BTW6" s="157"/>
      <c r="BTX6" s="157"/>
      <c r="BTY6" s="157"/>
      <c r="BTZ6" s="157"/>
      <c r="BUA6" s="157"/>
      <c r="BUB6" s="157"/>
      <c r="BUC6" s="157"/>
      <c r="BUD6" s="157"/>
      <c r="BUE6" s="157"/>
      <c r="BUF6" s="157"/>
      <c r="BUG6" s="157"/>
      <c r="BUH6" s="157"/>
      <c r="BUI6" s="157"/>
      <c r="BUJ6" s="157"/>
      <c r="BUK6" s="157"/>
      <c r="BUL6" s="157"/>
      <c r="BUM6" s="157"/>
      <c r="BUN6" s="157"/>
      <c r="BUO6" s="157"/>
      <c r="BUP6" s="157"/>
      <c r="BUQ6" s="157"/>
      <c r="BUR6" s="157"/>
      <c r="BUS6" s="157"/>
      <c r="BUT6" s="157"/>
      <c r="BUU6" s="157"/>
      <c r="BUV6" s="157"/>
      <c r="BUW6" s="157"/>
      <c r="BUX6" s="157"/>
      <c r="BUY6" s="157"/>
      <c r="BUZ6" s="157"/>
      <c r="BVA6" s="157"/>
      <c r="BVB6" s="157"/>
      <c r="BVC6" s="157"/>
      <c r="BVD6" s="157"/>
      <c r="BVE6" s="157"/>
      <c r="BVF6" s="157"/>
      <c r="BVG6" s="157"/>
      <c r="BVH6" s="157"/>
      <c r="BVI6" s="157"/>
      <c r="BVJ6" s="157"/>
      <c r="BVK6" s="157"/>
      <c r="BVL6" s="157"/>
      <c r="BVM6" s="157"/>
      <c r="BVN6" s="157"/>
      <c r="BVO6" s="157"/>
      <c r="BVP6" s="157"/>
      <c r="BVQ6" s="157"/>
      <c r="BVR6" s="157"/>
      <c r="BVS6" s="157"/>
      <c r="BVT6" s="157"/>
      <c r="BVU6" s="157"/>
      <c r="BVV6" s="157"/>
      <c r="BVW6" s="157"/>
      <c r="BVX6" s="157"/>
      <c r="BVY6" s="157"/>
      <c r="BVZ6" s="157"/>
      <c r="BWA6" s="157"/>
      <c r="BWB6" s="157"/>
      <c r="BWC6" s="157"/>
      <c r="BWD6" s="157"/>
      <c r="BWE6" s="157"/>
      <c r="BWF6" s="157"/>
      <c r="BWG6" s="157"/>
      <c r="BWH6" s="157"/>
      <c r="BWI6" s="157"/>
      <c r="BWJ6" s="157"/>
      <c r="BWK6" s="157"/>
      <c r="BWL6" s="157"/>
      <c r="BWM6" s="157"/>
      <c r="BWN6" s="157"/>
      <c r="BWO6" s="157"/>
      <c r="BWP6" s="157"/>
      <c r="BWQ6" s="157"/>
      <c r="BWR6" s="157"/>
      <c r="BWS6" s="157"/>
      <c r="BWT6" s="157"/>
      <c r="BWU6" s="157"/>
      <c r="BWV6" s="157"/>
      <c r="BWW6" s="157"/>
      <c r="BWX6" s="157"/>
      <c r="BWY6" s="157"/>
      <c r="BWZ6" s="157"/>
      <c r="BXA6" s="157"/>
      <c r="BXB6" s="157"/>
      <c r="BXC6" s="157"/>
      <c r="BXD6" s="157"/>
      <c r="BXE6" s="157"/>
      <c r="BXF6" s="157"/>
      <c r="BXG6" s="157"/>
      <c r="BXH6" s="157"/>
      <c r="BXI6" s="157"/>
      <c r="BXJ6" s="157"/>
      <c r="BXK6" s="157"/>
      <c r="BXL6" s="157"/>
      <c r="BXM6" s="157"/>
      <c r="BXN6" s="157"/>
      <c r="BXO6" s="157"/>
      <c r="BXP6" s="157"/>
      <c r="BXQ6" s="157"/>
      <c r="BXR6" s="157"/>
      <c r="BXS6" s="157"/>
      <c r="BXT6" s="157"/>
      <c r="BXU6" s="157"/>
      <c r="BXV6" s="157"/>
      <c r="BXW6" s="157"/>
      <c r="BXX6" s="157"/>
      <c r="BXY6" s="157"/>
      <c r="BXZ6" s="157"/>
      <c r="BYA6" s="157"/>
      <c r="BYB6" s="157"/>
      <c r="BYC6" s="157"/>
      <c r="BYD6" s="157"/>
      <c r="BYE6" s="157"/>
      <c r="BYF6" s="157"/>
      <c r="BYG6" s="157"/>
      <c r="BYH6" s="157"/>
      <c r="BYI6" s="157"/>
      <c r="BYJ6" s="157"/>
      <c r="BYK6" s="157"/>
      <c r="BYL6" s="157"/>
      <c r="BYM6" s="157"/>
      <c r="BYN6" s="157"/>
      <c r="BYO6" s="157"/>
      <c r="BYP6" s="157"/>
      <c r="BYQ6" s="157"/>
      <c r="BYR6" s="157"/>
      <c r="BYS6" s="157"/>
      <c r="BYT6" s="157"/>
      <c r="BYU6" s="157"/>
      <c r="BYV6" s="157"/>
      <c r="BYW6" s="157"/>
      <c r="BYX6" s="157"/>
      <c r="BYY6" s="157"/>
      <c r="BYZ6" s="157"/>
      <c r="BZA6" s="157"/>
      <c r="BZB6" s="157"/>
      <c r="BZC6" s="157"/>
      <c r="BZD6" s="157"/>
      <c r="BZE6" s="157"/>
      <c r="BZF6" s="157"/>
      <c r="BZG6" s="157"/>
      <c r="BZH6" s="157"/>
      <c r="BZI6" s="157"/>
      <c r="BZJ6" s="157"/>
      <c r="BZK6" s="157"/>
      <c r="BZL6" s="157"/>
      <c r="BZM6" s="157"/>
      <c r="BZN6" s="157"/>
      <c r="BZO6" s="157"/>
      <c r="BZP6" s="157"/>
      <c r="BZQ6" s="157"/>
      <c r="BZR6" s="157"/>
      <c r="BZS6" s="157"/>
      <c r="BZT6" s="157"/>
      <c r="BZU6" s="157"/>
      <c r="BZV6" s="157"/>
      <c r="BZW6" s="157"/>
      <c r="BZX6" s="157"/>
      <c r="BZY6" s="157"/>
      <c r="BZZ6" s="157"/>
      <c r="CAA6" s="157"/>
      <c r="CAB6" s="157"/>
      <c r="CAC6" s="157"/>
      <c r="CAD6" s="157"/>
      <c r="CAE6" s="157"/>
      <c r="CAF6" s="157"/>
      <c r="CAG6" s="157"/>
      <c r="CAH6" s="157"/>
      <c r="CAI6" s="157"/>
      <c r="CAJ6" s="157"/>
      <c r="CAK6" s="157"/>
      <c r="CAL6" s="157"/>
      <c r="CAM6" s="157"/>
      <c r="CAN6" s="157"/>
      <c r="CAO6" s="157"/>
      <c r="CAP6" s="157"/>
      <c r="CAQ6" s="157"/>
      <c r="CAR6" s="157"/>
      <c r="CAS6" s="157"/>
      <c r="CAT6" s="157"/>
      <c r="CAU6" s="157"/>
      <c r="CAV6" s="157"/>
      <c r="CAW6" s="157"/>
      <c r="CAX6" s="157"/>
      <c r="CAY6" s="157"/>
      <c r="CAZ6" s="157"/>
      <c r="CBA6" s="157"/>
      <c r="CBB6" s="157"/>
      <c r="CBC6" s="157"/>
      <c r="CBD6" s="157"/>
      <c r="CBE6" s="157"/>
      <c r="CBF6" s="157"/>
      <c r="CBG6" s="157"/>
      <c r="CBH6" s="157"/>
      <c r="CBI6" s="157"/>
      <c r="CBJ6" s="157"/>
      <c r="CBK6" s="157"/>
      <c r="CBL6" s="157"/>
      <c r="CBM6" s="157"/>
      <c r="CBN6" s="157"/>
      <c r="CBO6" s="157"/>
      <c r="CBP6" s="157"/>
      <c r="CBQ6" s="157"/>
      <c r="CBR6" s="157"/>
      <c r="CBS6" s="157"/>
      <c r="CBT6" s="157"/>
      <c r="CBU6" s="157"/>
      <c r="CBV6" s="157"/>
      <c r="CBW6" s="157"/>
      <c r="CBX6" s="157"/>
      <c r="CBY6" s="157"/>
      <c r="CBZ6" s="157"/>
      <c r="CCA6" s="157"/>
      <c r="CCB6" s="157"/>
      <c r="CCC6" s="157"/>
      <c r="CCD6" s="157"/>
      <c r="CCE6" s="157"/>
      <c r="CCF6" s="157"/>
      <c r="CCG6" s="157"/>
      <c r="CCH6" s="157"/>
      <c r="CCI6" s="157"/>
      <c r="CCJ6" s="157"/>
      <c r="CCK6" s="157"/>
      <c r="CCL6" s="157"/>
      <c r="CCM6" s="157"/>
      <c r="CCN6" s="157"/>
      <c r="CCO6" s="157"/>
      <c r="CCP6" s="157"/>
      <c r="CCQ6" s="157"/>
      <c r="CCR6" s="157"/>
      <c r="CCS6" s="157"/>
      <c r="CCT6" s="157"/>
      <c r="CCU6" s="157"/>
      <c r="CCV6" s="157"/>
      <c r="CCW6" s="157"/>
      <c r="CCX6" s="157"/>
      <c r="CCY6" s="157"/>
      <c r="CCZ6" s="157"/>
      <c r="CDA6" s="157"/>
      <c r="CDB6" s="157"/>
      <c r="CDC6" s="157"/>
      <c r="CDD6" s="157"/>
      <c r="CDE6" s="157"/>
      <c r="CDF6" s="157"/>
      <c r="CDG6" s="157"/>
      <c r="CDH6" s="157"/>
      <c r="CDI6" s="157"/>
      <c r="CDJ6" s="157"/>
      <c r="CDK6" s="157"/>
      <c r="CDL6" s="157"/>
      <c r="CDM6" s="157"/>
      <c r="CDN6" s="157"/>
      <c r="CDO6" s="157"/>
      <c r="CDP6" s="157"/>
      <c r="CDQ6" s="157"/>
      <c r="CDR6" s="157"/>
      <c r="CDS6" s="157"/>
      <c r="CDT6" s="157"/>
      <c r="CDU6" s="157"/>
      <c r="CDV6" s="157"/>
      <c r="CDW6" s="157"/>
      <c r="CDX6" s="157"/>
      <c r="CDY6" s="157"/>
      <c r="CDZ6" s="157"/>
      <c r="CEA6" s="157"/>
      <c r="CEB6" s="157"/>
      <c r="CEC6" s="157"/>
      <c r="CED6" s="157"/>
      <c r="CEE6" s="157"/>
      <c r="CEF6" s="157"/>
      <c r="CEG6" s="157"/>
      <c r="CEH6" s="157"/>
      <c r="CEI6" s="157"/>
      <c r="CEJ6" s="157"/>
      <c r="CEK6" s="157"/>
      <c r="CEL6" s="157"/>
      <c r="CEM6" s="157"/>
      <c r="CEN6" s="157"/>
      <c r="CEO6" s="157"/>
      <c r="CEP6" s="157"/>
      <c r="CEQ6" s="157"/>
      <c r="CER6" s="157"/>
      <c r="CES6" s="157"/>
      <c r="CET6" s="157"/>
      <c r="CEU6" s="157"/>
      <c r="CEV6" s="157"/>
      <c r="CEW6" s="157"/>
      <c r="CEX6" s="157"/>
      <c r="CEY6" s="157"/>
      <c r="CEZ6" s="157"/>
      <c r="CFA6" s="157"/>
      <c r="CFB6" s="157"/>
      <c r="CFC6" s="157"/>
      <c r="CFD6" s="157"/>
      <c r="CFE6" s="157"/>
      <c r="CFF6" s="157"/>
      <c r="CFG6" s="157"/>
      <c r="CFH6" s="157"/>
      <c r="CFI6" s="157"/>
      <c r="CFJ6" s="157"/>
      <c r="CFK6" s="157"/>
      <c r="CFL6" s="157"/>
      <c r="CFM6" s="157"/>
      <c r="CFN6" s="157"/>
      <c r="CFO6" s="157"/>
      <c r="CFP6" s="157"/>
      <c r="CFQ6" s="157"/>
      <c r="CFR6" s="157"/>
      <c r="CFS6" s="157"/>
      <c r="CFT6" s="157"/>
      <c r="CFU6" s="157"/>
      <c r="CFV6" s="157"/>
      <c r="CFW6" s="157"/>
      <c r="CFX6" s="157"/>
      <c r="CFY6" s="157"/>
      <c r="CFZ6" s="157"/>
      <c r="CGA6" s="157"/>
      <c r="CGB6" s="157"/>
      <c r="CGC6" s="157"/>
      <c r="CGD6" s="157"/>
      <c r="CGE6" s="157"/>
      <c r="CGF6" s="157"/>
      <c r="CGG6" s="157"/>
      <c r="CGH6" s="157"/>
      <c r="CGI6" s="157"/>
      <c r="CGJ6" s="157"/>
      <c r="CGK6" s="157"/>
      <c r="CGL6" s="157"/>
      <c r="CGM6" s="157"/>
      <c r="CGN6" s="157"/>
      <c r="CGO6" s="157"/>
      <c r="CGP6" s="157"/>
      <c r="CGQ6" s="157"/>
      <c r="CGR6" s="157"/>
      <c r="CGS6" s="157"/>
      <c r="CGT6" s="157"/>
      <c r="CGU6" s="157"/>
      <c r="CGV6" s="157"/>
      <c r="CGW6" s="157"/>
      <c r="CGX6" s="157"/>
      <c r="CGY6" s="157"/>
      <c r="CGZ6" s="157"/>
      <c r="CHA6" s="157"/>
      <c r="CHB6" s="157"/>
      <c r="CHC6" s="157"/>
      <c r="CHD6" s="157"/>
      <c r="CHE6" s="157"/>
      <c r="CHF6" s="157"/>
      <c r="CHG6" s="157"/>
      <c r="CHH6" s="157"/>
      <c r="CHI6" s="157"/>
      <c r="CHJ6" s="157"/>
      <c r="CHK6" s="157"/>
      <c r="CHL6" s="157"/>
      <c r="CHM6" s="157"/>
      <c r="CHN6" s="157"/>
      <c r="CHO6" s="157"/>
      <c r="CHP6" s="157"/>
      <c r="CHQ6" s="157"/>
      <c r="CHR6" s="157"/>
      <c r="CHS6" s="157"/>
      <c r="CHT6" s="157"/>
      <c r="CHU6" s="157"/>
      <c r="CHV6" s="157"/>
      <c r="CHW6" s="157"/>
      <c r="CHX6" s="157"/>
      <c r="CHY6" s="157"/>
      <c r="CHZ6" s="157"/>
      <c r="CIA6" s="157"/>
      <c r="CIB6" s="157"/>
      <c r="CIC6" s="157"/>
      <c r="CID6" s="157"/>
      <c r="CIE6" s="157"/>
      <c r="CIF6" s="157"/>
      <c r="CIG6" s="157"/>
      <c r="CIH6" s="157"/>
      <c r="CII6" s="157"/>
      <c r="CIJ6" s="157"/>
      <c r="CIK6" s="157"/>
      <c r="CIL6" s="157"/>
      <c r="CIM6" s="157"/>
      <c r="CIN6" s="157"/>
      <c r="CIO6" s="157"/>
      <c r="CIP6" s="157"/>
      <c r="CIQ6" s="157"/>
      <c r="CIR6" s="157"/>
      <c r="CIS6" s="157"/>
      <c r="CIT6" s="157"/>
      <c r="CIU6" s="157"/>
      <c r="CIV6" s="157"/>
      <c r="CIW6" s="157"/>
      <c r="CIX6" s="157"/>
      <c r="CIY6" s="157"/>
      <c r="CIZ6" s="157"/>
      <c r="CJA6" s="157"/>
      <c r="CJB6" s="157"/>
      <c r="CJC6" s="157"/>
      <c r="CJD6" s="157"/>
      <c r="CJE6" s="157"/>
      <c r="CJF6" s="157"/>
      <c r="CJG6" s="157"/>
      <c r="CJH6" s="157"/>
      <c r="CJI6" s="157"/>
      <c r="CJJ6" s="157"/>
      <c r="CJK6" s="157"/>
      <c r="CJL6" s="157"/>
      <c r="CJM6" s="157"/>
      <c r="CJN6" s="157"/>
      <c r="CJO6" s="157"/>
      <c r="CJP6" s="157"/>
      <c r="CJQ6" s="157"/>
      <c r="CJR6" s="157"/>
      <c r="CJS6" s="157"/>
      <c r="CJT6" s="157"/>
      <c r="CJU6" s="157"/>
      <c r="CJV6" s="157"/>
      <c r="CJW6" s="157"/>
      <c r="CJX6" s="157"/>
      <c r="CJY6" s="157"/>
      <c r="CJZ6" s="157"/>
      <c r="CKA6" s="157"/>
      <c r="CKB6" s="157"/>
      <c r="CKC6" s="157"/>
      <c r="CKD6" s="157"/>
      <c r="CKE6" s="157"/>
      <c r="CKF6" s="157"/>
      <c r="CKG6" s="157"/>
      <c r="CKH6" s="157"/>
      <c r="CKI6" s="157"/>
      <c r="CKJ6" s="157"/>
      <c r="CKK6" s="157"/>
      <c r="CKL6" s="157"/>
      <c r="CKM6" s="157"/>
      <c r="CKN6" s="157"/>
      <c r="CKO6" s="157"/>
      <c r="CKP6" s="157"/>
      <c r="CKQ6" s="157"/>
      <c r="CKR6" s="157"/>
      <c r="CKS6" s="157"/>
      <c r="CKT6" s="157"/>
      <c r="CKU6" s="157"/>
      <c r="CKV6" s="157"/>
      <c r="CKW6" s="157"/>
      <c r="CKX6" s="157"/>
      <c r="CKY6" s="157"/>
      <c r="CKZ6" s="157"/>
      <c r="CLA6" s="157"/>
      <c r="CLB6" s="157"/>
      <c r="CLC6" s="157"/>
      <c r="CLD6" s="157"/>
      <c r="CLE6" s="157"/>
      <c r="CLF6" s="157"/>
      <c r="CLG6" s="157"/>
      <c r="CLH6" s="157"/>
      <c r="CLI6" s="157"/>
      <c r="CLJ6" s="157"/>
      <c r="CLK6" s="157"/>
      <c r="CLL6" s="157"/>
      <c r="CLM6" s="157"/>
      <c r="CLN6" s="157"/>
      <c r="CLO6" s="157"/>
      <c r="CLP6" s="157"/>
      <c r="CLQ6" s="157"/>
      <c r="CLR6" s="157"/>
      <c r="CLS6" s="157"/>
      <c r="CLT6" s="157"/>
      <c r="CLU6" s="157"/>
      <c r="CLV6" s="157"/>
      <c r="CLW6" s="157"/>
      <c r="CLX6" s="157"/>
      <c r="CLY6" s="157"/>
      <c r="CLZ6" s="157"/>
      <c r="CMA6" s="157"/>
      <c r="CMB6" s="157"/>
      <c r="CMC6" s="157"/>
      <c r="CMD6" s="157"/>
      <c r="CME6" s="157"/>
      <c r="CMF6" s="157"/>
      <c r="CMG6" s="157"/>
      <c r="CMH6" s="157"/>
      <c r="CMI6" s="157"/>
      <c r="CMJ6" s="157"/>
      <c r="CMK6" s="157"/>
      <c r="CML6" s="157"/>
      <c r="CMM6" s="157"/>
      <c r="CMN6" s="157"/>
      <c r="CMO6" s="157"/>
      <c r="CMP6" s="157"/>
      <c r="CMQ6" s="157"/>
      <c r="CMR6" s="157"/>
      <c r="CMS6" s="157"/>
      <c r="CMT6" s="157"/>
      <c r="CMU6" s="157"/>
      <c r="CMV6" s="157"/>
      <c r="CMW6" s="157"/>
      <c r="CMX6" s="157"/>
      <c r="CMY6" s="157"/>
      <c r="CMZ6" s="157"/>
      <c r="CNA6" s="157"/>
      <c r="CNB6" s="157"/>
      <c r="CNC6" s="157"/>
      <c r="CND6" s="157"/>
      <c r="CNE6" s="157"/>
      <c r="CNF6" s="157"/>
      <c r="CNG6" s="157"/>
      <c r="CNH6" s="157"/>
      <c r="CNI6" s="157"/>
      <c r="CNJ6" s="157"/>
      <c r="CNK6" s="157"/>
      <c r="CNL6" s="157"/>
      <c r="CNM6" s="157"/>
      <c r="CNN6" s="157"/>
      <c r="CNO6" s="157"/>
      <c r="CNP6" s="157"/>
      <c r="CNQ6" s="157"/>
      <c r="CNR6" s="157"/>
      <c r="CNS6" s="157"/>
      <c r="CNT6" s="157"/>
      <c r="CNU6" s="157"/>
      <c r="CNV6" s="157"/>
      <c r="CNW6" s="157"/>
      <c r="CNX6" s="157"/>
      <c r="CNY6" s="157"/>
      <c r="CNZ6" s="157"/>
      <c r="COA6" s="157"/>
      <c r="COB6" s="157"/>
      <c r="COC6" s="157"/>
      <c r="COD6" s="157"/>
      <c r="COE6" s="157"/>
      <c r="COF6" s="157"/>
      <c r="COG6" s="157"/>
      <c r="COH6" s="157"/>
      <c r="COI6" s="157"/>
      <c r="COJ6" s="157"/>
      <c r="COK6" s="157"/>
      <c r="COL6" s="157"/>
      <c r="COM6" s="157"/>
      <c r="CON6" s="157"/>
      <c r="COO6" s="157"/>
      <c r="COP6" s="157"/>
      <c r="COQ6" s="157"/>
      <c r="COR6" s="157"/>
      <c r="COS6" s="157"/>
      <c r="COT6" s="157"/>
      <c r="COU6" s="157"/>
      <c r="COV6" s="157"/>
      <c r="COW6" s="157"/>
      <c r="COX6" s="157"/>
      <c r="COY6" s="157"/>
      <c r="COZ6" s="157"/>
      <c r="CPA6" s="157"/>
      <c r="CPB6" s="157"/>
      <c r="CPC6" s="157"/>
      <c r="CPD6" s="157"/>
      <c r="CPE6" s="157"/>
      <c r="CPF6" s="157"/>
      <c r="CPG6" s="157"/>
      <c r="CPH6" s="157"/>
      <c r="CPI6" s="157"/>
      <c r="CPJ6" s="157"/>
      <c r="CPK6" s="157"/>
      <c r="CPL6" s="157"/>
      <c r="CPM6" s="157"/>
      <c r="CPN6" s="157"/>
      <c r="CPO6" s="157"/>
      <c r="CPP6" s="157"/>
      <c r="CPQ6" s="157"/>
      <c r="CPR6" s="157"/>
      <c r="CPS6" s="157"/>
      <c r="CPT6" s="157"/>
      <c r="CPU6" s="157"/>
      <c r="CPV6" s="157"/>
      <c r="CPW6" s="157"/>
      <c r="CPX6" s="157"/>
      <c r="CPY6" s="157"/>
      <c r="CPZ6" s="157"/>
      <c r="CQA6" s="157"/>
      <c r="CQB6" s="157"/>
      <c r="CQC6" s="157"/>
      <c r="CQD6" s="157"/>
      <c r="CQE6" s="157"/>
      <c r="CQF6" s="157"/>
      <c r="CQG6" s="157"/>
      <c r="CQH6" s="157"/>
      <c r="CQI6" s="157"/>
      <c r="CQJ6" s="157"/>
      <c r="CQK6" s="157"/>
      <c r="CQL6" s="157"/>
      <c r="CQM6" s="157"/>
      <c r="CQN6" s="157"/>
      <c r="CQO6" s="157"/>
      <c r="CQP6" s="157"/>
      <c r="CQQ6" s="157"/>
      <c r="CQR6" s="157"/>
      <c r="CQS6" s="157"/>
      <c r="CQT6" s="157"/>
      <c r="CQU6" s="157"/>
      <c r="CQV6" s="157"/>
      <c r="CQW6" s="157"/>
      <c r="CQX6" s="157"/>
      <c r="CQY6" s="157"/>
      <c r="CQZ6" s="157"/>
      <c r="CRA6" s="157"/>
      <c r="CRB6" s="157"/>
      <c r="CRC6" s="157"/>
      <c r="CRD6" s="157"/>
      <c r="CRE6" s="157"/>
      <c r="CRF6" s="157"/>
      <c r="CRG6" s="157"/>
      <c r="CRH6" s="157"/>
      <c r="CRI6" s="157"/>
      <c r="CRJ6" s="157"/>
      <c r="CRK6" s="157"/>
      <c r="CRL6" s="157"/>
      <c r="CRM6" s="157"/>
      <c r="CRN6" s="157"/>
      <c r="CRO6" s="157"/>
      <c r="CRP6" s="157"/>
      <c r="CRQ6" s="157"/>
      <c r="CRR6" s="157"/>
      <c r="CRS6" s="157"/>
      <c r="CRT6" s="157"/>
      <c r="CRU6" s="157"/>
      <c r="CRV6" s="157"/>
      <c r="CRW6" s="157"/>
      <c r="CRX6" s="157"/>
      <c r="CRY6" s="157"/>
      <c r="CRZ6" s="157"/>
      <c r="CSA6" s="157"/>
      <c r="CSB6" s="157"/>
      <c r="CSC6" s="157"/>
      <c r="CSD6" s="157"/>
      <c r="CSE6" s="157"/>
      <c r="CSF6" s="157"/>
      <c r="CSG6" s="157"/>
      <c r="CSH6" s="157"/>
      <c r="CSI6" s="157"/>
      <c r="CSJ6" s="157"/>
      <c r="CSK6" s="157"/>
      <c r="CSL6" s="157"/>
      <c r="CSM6" s="157"/>
      <c r="CSN6" s="157"/>
      <c r="CSO6" s="157"/>
      <c r="CSP6" s="157"/>
      <c r="CSQ6" s="157"/>
      <c r="CSR6" s="157"/>
      <c r="CSS6" s="157"/>
      <c r="CST6" s="157"/>
      <c r="CSU6" s="157"/>
      <c r="CSV6" s="157"/>
      <c r="CSW6" s="157"/>
      <c r="CSX6" s="157"/>
      <c r="CSY6" s="157"/>
      <c r="CSZ6" s="157"/>
      <c r="CTA6" s="157"/>
      <c r="CTB6" s="157"/>
      <c r="CTC6" s="157"/>
      <c r="CTD6" s="157"/>
      <c r="CTE6" s="157"/>
      <c r="CTF6" s="157"/>
      <c r="CTG6" s="157"/>
      <c r="CTH6" s="157"/>
      <c r="CTI6" s="157"/>
      <c r="CTJ6" s="157"/>
      <c r="CTK6" s="157"/>
      <c r="CTL6" s="157"/>
      <c r="CTM6" s="157"/>
      <c r="CTN6" s="157"/>
      <c r="CTO6" s="157"/>
      <c r="CTP6" s="157"/>
      <c r="CTQ6" s="157"/>
      <c r="CTR6" s="157"/>
      <c r="CTS6" s="157"/>
      <c r="CTT6" s="157"/>
      <c r="CTU6" s="157"/>
      <c r="CTV6" s="157"/>
      <c r="CTW6" s="157"/>
      <c r="CTX6" s="157"/>
      <c r="CTY6" s="157"/>
      <c r="CTZ6" s="157"/>
      <c r="CUA6" s="157"/>
      <c r="CUB6" s="157"/>
      <c r="CUC6" s="157"/>
      <c r="CUD6" s="157"/>
      <c r="CUE6" s="157"/>
      <c r="CUF6" s="157"/>
      <c r="CUG6" s="157"/>
      <c r="CUH6" s="157"/>
      <c r="CUI6" s="157"/>
      <c r="CUJ6" s="157"/>
      <c r="CUK6" s="157"/>
      <c r="CUL6" s="157"/>
      <c r="CUM6" s="157"/>
      <c r="CUN6" s="157"/>
      <c r="CUO6" s="157"/>
      <c r="CUP6" s="157"/>
      <c r="CUQ6" s="157"/>
      <c r="CUR6" s="157"/>
      <c r="CUS6" s="157"/>
      <c r="CUT6" s="157"/>
      <c r="CUU6" s="157"/>
      <c r="CUV6" s="157"/>
      <c r="CUW6" s="157"/>
      <c r="CUX6" s="157"/>
      <c r="CUY6" s="157"/>
      <c r="CUZ6" s="157"/>
      <c r="CVA6" s="157"/>
      <c r="CVB6" s="157"/>
      <c r="CVC6" s="157"/>
      <c r="CVD6" s="157"/>
      <c r="CVE6" s="157"/>
      <c r="CVF6" s="157"/>
      <c r="CVG6" s="157"/>
      <c r="CVH6" s="157"/>
      <c r="CVI6" s="157"/>
      <c r="CVJ6" s="157"/>
      <c r="CVK6" s="157"/>
      <c r="CVL6" s="157"/>
      <c r="CVM6" s="157"/>
      <c r="CVN6" s="157"/>
      <c r="CVO6" s="157"/>
      <c r="CVP6" s="157"/>
      <c r="CVQ6" s="157"/>
      <c r="CVR6" s="157"/>
      <c r="CVS6" s="157"/>
      <c r="CVT6" s="157"/>
      <c r="CVU6" s="157"/>
      <c r="CVV6" s="157"/>
      <c r="CVW6" s="157"/>
      <c r="CVX6" s="157"/>
      <c r="CVY6" s="157"/>
      <c r="CVZ6" s="157"/>
      <c r="CWA6" s="157"/>
      <c r="CWB6" s="157"/>
      <c r="CWC6" s="157"/>
      <c r="CWD6" s="157"/>
      <c r="CWE6" s="157"/>
      <c r="CWF6" s="157"/>
      <c r="CWG6" s="157"/>
      <c r="CWH6" s="157"/>
      <c r="CWI6" s="157"/>
      <c r="CWJ6" s="157"/>
      <c r="CWK6" s="157"/>
      <c r="CWL6" s="157"/>
      <c r="CWM6" s="157"/>
      <c r="CWN6" s="157"/>
      <c r="CWO6" s="157"/>
      <c r="CWP6" s="157"/>
      <c r="CWQ6" s="157"/>
      <c r="CWR6" s="157"/>
      <c r="CWS6" s="157"/>
      <c r="CWT6" s="157"/>
      <c r="CWU6" s="157"/>
      <c r="CWV6" s="157"/>
      <c r="CWW6" s="157"/>
      <c r="CWX6" s="157"/>
      <c r="CWY6" s="157"/>
      <c r="CWZ6" s="157"/>
      <c r="CXA6" s="157"/>
      <c r="CXB6" s="157"/>
      <c r="CXC6" s="157"/>
      <c r="CXD6" s="157"/>
      <c r="CXE6" s="157"/>
      <c r="CXF6" s="157"/>
      <c r="CXG6" s="157"/>
      <c r="CXH6" s="157"/>
      <c r="CXI6" s="157"/>
      <c r="CXJ6" s="157"/>
      <c r="CXK6" s="157"/>
      <c r="CXL6" s="157"/>
      <c r="CXM6" s="157"/>
      <c r="CXN6" s="157"/>
      <c r="CXO6" s="157"/>
      <c r="CXP6" s="157"/>
      <c r="CXQ6" s="157"/>
      <c r="CXR6" s="157"/>
      <c r="CXS6" s="157"/>
      <c r="CXT6" s="157"/>
      <c r="CXU6" s="157"/>
      <c r="CXV6" s="157"/>
      <c r="CXW6" s="157"/>
      <c r="CXX6" s="157"/>
      <c r="CXY6" s="157"/>
      <c r="CXZ6" s="157"/>
      <c r="CYA6" s="157"/>
      <c r="CYB6" s="157"/>
      <c r="CYC6" s="157"/>
      <c r="CYD6" s="157"/>
      <c r="CYE6" s="157"/>
      <c r="CYF6" s="157"/>
      <c r="CYG6" s="157"/>
      <c r="CYH6" s="157"/>
      <c r="CYI6" s="157"/>
      <c r="CYJ6" s="157"/>
      <c r="CYK6" s="157"/>
      <c r="CYL6" s="157"/>
      <c r="CYM6" s="157"/>
      <c r="CYN6" s="157"/>
      <c r="CYO6" s="157"/>
      <c r="CYP6" s="157"/>
      <c r="CYQ6" s="157"/>
      <c r="CYR6" s="157"/>
      <c r="CYS6" s="157"/>
      <c r="CYT6" s="157"/>
      <c r="CYU6" s="157"/>
      <c r="CYV6" s="157"/>
      <c r="CYW6" s="157"/>
      <c r="CYX6" s="157"/>
      <c r="CYY6" s="157"/>
      <c r="CYZ6" s="157"/>
      <c r="CZA6" s="157"/>
      <c r="CZB6" s="157"/>
      <c r="CZC6" s="157"/>
      <c r="CZD6" s="157"/>
      <c r="CZE6" s="157"/>
      <c r="CZF6" s="157"/>
      <c r="CZG6" s="157"/>
      <c r="CZH6" s="157"/>
      <c r="CZI6" s="157"/>
      <c r="CZJ6" s="157"/>
      <c r="CZK6" s="157"/>
      <c r="CZL6" s="157"/>
      <c r="CZM6" s="157"/>
      <c r="CZN6" s="157"/>
      <c r="CZO6" s="157"/>
      <c r="CZP6" s="157"/>
      <c r="CZQ6" s="157"/>
      <c r="CZR6" s="157"/>
      <c r="CZS6" s="157"/>
      <c r="CZT6" s="157"/>
      <c r="CZU6" s="157"/>
      <c r="CZV6" s="157"/>
      <c r="CZW6" s="157"/>
      <c r="CZX6" s="157"/>
      <c r="CZY6" s="157"/>
      <c r="CZZ6" s="157"/>
      <c r="DAA6" s="157"/>
      <c r="DAB6" s="157"/>
      <c r="DAC6" s="157"/>
      <c r="DAD6" s="157"/>
      <c r="DAE6" s="157"/>
      <c r="DAF6" s="157"/>
      <c r="DAG6" s="157"/>
      <c r="DAH6" s="157"/>
      <c r="DAI6" s="157"/>
      <c r="DAJ6" s="157"/>
      <c r="DAK6" s="157"/>
      <c r="DAL6" s="157"/>
      <c r="DAM6" s="157"/>
      <c r="DAN6" s="157"/>
      <c r="DAO6" s="157"/>
      <c r="DAP6" s="157"/>
      <c r="DAQ6" s="157"/>
      <c r="DAR6" s="157"/>
      <c r="DAS6" s="157"/>
      <c r="DAT6" s="157"/>
      <c r="DAU6" s="157"/>
      <c r="DAV6" s="157"/>
      <c r="DAW6" s="157"/>
      <c r="DAX6" s="157"/>
      <c r="DAY6" s="157"/>
      <c r="DAZ6" s="157"/>
      <c r="DBA6" s="157"/>
      <c r="DBB6" s="157"/>
      <c r="DBC6" s="157"/>
      <c r="DBD6" s="157"/>
      <c r="DBE6" s="157"/>
      <c r="DBF6" s="157"/>
      <c r="DBG6" s="157"/>
      <c r="DBH6" s="157"/>
      <c r="DBI6" s="157"/>
      <c r="DBJ6" s="157"/>
      <c r="DBK6" s="157"/>
      <c r="DBL6" s="157"/>
      <c r="DBM6" s="157"/>
      <c r="DBN6" s="157"/>
      <c r="DBO6" s="157"/>
      <c r="DBP6" s="157"/>
      <c r="DBQ6" s="157"/>
      <c r="DBR6" s="157"/>
      <c r="DBS6" s="157"/>
      <c r="DBT6" s="157"/>
      <c r="DBU6" s="157"/>
      <c r="DBV6" s="157"/>
      <c r="DBW6" s="157"/>
      <c r="DBX6" s="157"/>
      <c r="DBY6" s="157"/>
      <c r="DBZ6" s="157"/>
      <c r="DCA6" s="157"/>
      <c r="DCB6" s="157"/>
      <c r="DCC6" s="157"/>
      <c r="DCD6" s="157"/>
      <c r="DCE6" s="157"/>
      <c r="DCF6" s="157"/>
      <c r="DCG6" s="157"/>
      <c r="DCH6" s="157"/>
      <c r="DCI6" s="157"/>
      <c r="DCJ6" s="157"/>
      <c r="DCK6" s="157"/>
      <c r="DCL6" s="157"/>
      <c r="DCM6" s="157"/>
      <c r="DCN6" s="157"/>
      <c r="DCO6" s="157"/>
      <c r="DCP6" s="157"/>
      <c r="DCQ6" s="157"/>
      <c r="DCR6" s="157"/>
      <c r="DCS6" s="157"/>
      <c r="DCT6" s="157"/>
      <c r="DCU6" s="157"/>
      <c r="DCV6" s="157"/>
      <c r="DCW6" s="157"/>
      <c r="DCX6" s="157"/>
      <c r="DCY6" s="157"/>
      <c r="DCZ6" s="157"/>
      <c r="DDA6" s="157"/>
      <c r="DDB6" s="157"/>
      <c r="DDC6" s="157"/>
      <c r="DDD6" s="157"/>
      <c r="DDE6" s="157"/>
      <c r="DDF6" s="157"/>
      <c r="DDG6" s="157"/>
      <c r="DDH6" s="157"/>
      <c r="DDI6" s="157"/>
      <c r="DDJ6" s="157"/>
      <c r="DDK6" s="157"/>
      <c r="DDL6" s="157"/>
      <c r="DDM6" s="157"/>
      <c r="DDN6" s="157"/>
      <c r="DDO6" s="157"/>
      <c r="DDP6" s="157"/>
      <c r="DDQ6" s="157"/>
      <c r="DDR6" s="157"/>
      <c r="DDS6" s="157"/>
      <c r="DDT6" s="157"/>
      <c r="DDU6" s="157"/>
      <c r="DDV6" s="157"/>
      <c r="DDW6" s="157"/>
      <c r="DDX6" s="157"/>
      <c r="DDY6" s="157"/>
      <c r="DDZ6" s="157"/>
      <c r="DEA6" s="157"/>
      <c r="DEB6" s="157"/>
      <c r="DEC6" s="157"/>
      <c r="DED6" s="157"/>
      <c r="DEE6" s="157"/>
      <c r="DEF6" s="157"/>
      <c r="DEG6" s="157"/>
      <c r="DEH6" s="157"/>
      <c r="DEI6" s="157"/>
      <c r="DEJ6" s="157"/>
      <c r="DEK6" s="157"/>
      <c r="DEL6" s="157"/>
      <c r="DEM6" s="157"/>
      <c r="DEN6" s="157"/>
      <c r="DEO6" s="157"/>
      <c r="DEP6" s="157"/>
      <c r="DEQ6" s="157"/>
      <c r="DER6" s="157"/>
      <c r="DES6" s="157"/>
      <c r="DET6" s="157"/>
      <c r="DEU6" s="157"/>
      <c r="DEV6" s="157"/>
      <c r="DEW6" s="157"/>
      <c r="DEX6" s="157"/>
      <c r="DEY6" s="157"/>
      <c r="DEZ6" s="157"/>
      <c r="DFA6" s="157"/>
      <c r="DFB6" s="157"/>
      <c r="DFC6" s="157"/>
      <c r="DFD6" s="157"/>
      <c r="DFE6" s="157"/>
      <c r="DFF6" s="157"/>
      <c r="DFG6" s="157"/>
      <c r="DFH6" s="157"/>
      <c r="DFI6" s="157"/>
      <c r="DFJ6" s="157"/>
      <c r="DFK6" s="157"/>
      <c r="DFL6" s="157"/>
      <c r="DFM6" s="157"/>
      <c r="DFN6" s="157"/>
      <c r="DFO6" s="157"/>
      <c r="DFP6" s="157"/>
      <c r="DFQ6" s="157"/>
      <c r="DFR6" s="157"/>
      <c r="DFS6" s="157"/>
      <c r="DFT6" s="157"/>
      <c r="DFU6" s="157"/>
      <c r="DFV6" s="157"/>
      <c r="DFW6" s="157"/>
      <c r="DFX6" s="157"/>
      <c r="DFY6" s="157"/>
      <c r="DFZ6" s="157"/>
      <c r="DGA6" s="157"/>
      <c r="DGB6" s="157"/>
      <c r="DGC6" s="157"/>
      <c r="DGD6" s="157"/>
      <c r="DGE6" s="157"/>
      <c r="DGF6" s="157"/>
      <c r="DGG6" s="157"/>
      <c r="DGH6" s="157"/>
      <c r="DGI6" s="157"/>
      <c r="DGJ6" s="157"/>
      <c r="DGK6" s="157"/>
      <c r="DGL6" s="157"/>
      <c r="DGM6" s="157"/>
      <c r="DGN6" s="157"/>
      <c r="DGO6" s="157"/>
      <c r="DGP6" s="157"/>
      <c r="DGQ6" s="157"/>
      <c r="DGR6" s="157"/>
      <c r="DGS6" s="157"/>
      <c r="DGT6" s="157"/>
      <c r="DGU6" s="157"/>
      <c r="DGV6" s="157"/>
      <c r="DGW6" s="157"/>
      <c r="DGX6" s="157"/>
      <c r="DGY6" s="157"/>
      <c r="DGZ6" s="157"/>
      <c r="DHA6" s="157"/>
      <c r="DHB6" s="157"/>
      <c r="DHC6" s="157"/>
      <c r="DHD6" s="157"/>
      <c r="DHE6" s="157"/>
      <c r="DHF6" s="157"/>
      <c r="DHG6" s="157"/>
      <c r="DHH6" s="157"/>
      <c r="DHI6" s="157"/>
      <c r="DHJ6" s="157"/>
      <c r="DHK6" s="157"/>
      <c r="DHL6" s="157"/>
      <c r="DHM6" s="157"/>
      <c r="DHN6" s="157"/>
      <c r="DHO6" s="157"/>
      <c r="DHP6" s="157"/>
      <c r="DHQ6" s="157"/>
      <c r="DHR6" s="157"/>
      <c r="DHS6" s="157"/>
      <c r="DHT6" s="157"/>
      <c r="DHU6" s="157"/>
      <c r="DHV6" s="157"/>
      <c r="DHW6" s="157"/>
      <c r="DHX6" s="157"/>
      <c r="DHY6" s="157"/>
      <c r="DHZ6" s="157"/>
      <c r="DIA6" s="157"/>
      <c r="DIB6" s="157"/>
      <c r="DIC6" s="157"/>
      <c r="DID6" s="157"/>
      <c r="DIE6" s="157"/>
      <c r="DIF6" s="157"/>
      <c r="DIG6" s="157"/>
      <c r="DIH6" s="157"/>
      <c r="DII6" s="157"/>
      <c r="DIJ6" s="157"/>
      <c r="DIK6" s="157"/>
      <c r="DIL6" s="157"/>
      <c r="DIM6" s="157"/>
      <c r="DIN6" s="157"/>
      <c r="DIO6" s="157"/>
      <c r="DIP6" s="157"/>
      <c r="DIQ6" s="157"/>
      <c r="DIR6" s="157"/>
      <c r="DIS6" s="157"/>
      <c r="DIT6" s="157"/>
      <c r="DIU6" s="157"/>
      <c r="DIV6" s="157"/>
      <c r="DIW6" s="157"/>
      <c r="DIX6" s="157"/>
      <c r="DIY6" s="157"/>
      <c r="DIZ6" s="157"/>
      <c r="DJA6" s="157"/>
      <c r="DJB6" s="157"/>
      <c r="DJC6" s="157"/>
      <c r="DJD6" s="157"/>
      <c r="DJE6" s="157"/>
      <c r="DJF6" s="157"/>
      <c r="DJG6" s="157"/>
      <c r="DJH6" s="157"/>
      <c r="DJI6" s="157"/>
      <c r="DJJ6" s="157"/>
      <c r="DJK6" s="157"/>
      <c r="DJL6" s="157"/>
      <c r="DJM6" s="157"/>
      <c r="DJN6" s="157"/>
      <c r="DJO6" s="157"/>
      <c r="DJP6" s="157"/>
      <c r="DJQ6" s="157"/>
      <c r="DJR6" s="157"/>
      <c r="DJS6" s="157"/>
      <c r="DJT6" s="157"/>
      <c r="DJU6" s="157"/>
      <c r="DJV6" s="157"/>
      <c r="DJW6" s="157"/>
      <c r="DJX6" s="157"/>
      <c r="DJY6" s="157"/>
      <c r="DJZ6" s="157"/>
      <c r="DKA6" s="157"/>
      <c r="DKB6" s="157"/>
      <c r="DKC6" s="157"/>
      <c r="DKD6" s="157"/>
      <c r="DKE6" s="157"/>
      <c r="DKF6" s="157"/>
      <c r="DKG6" s="157"/>
      <c r="DKH6" s="157"/>
      <c r="DKI6" s="157"/>
      <c r="DKJ6" s="157"/>
      <c r="DKK6" s="157"/>
      <c r="DKL6" s="157"/>
      <c r="DKM6" s="157"/>
      <c r="DKN6" s="157"/>
      <c r="DKO6" s="157"/>
      <c r="DKP6" s="157"/>
      <c r="DKQ6" s="157"/>
      <c r="DKR6" s="157"/>
      <c r="DKS6" s="157"/>
      <c r="DKT6" s="157"/>
      <c r="DKU6" s="157"/>
      <c r="DKV6" s="157"/>
      <c r="DKW6" s="157"/>
      <c r="DKX6" s="157"/>
      <c r="DKY6" s="157"/>
      <c r="DKZ6" s="157"/>
      <c r="DLA6" s="157"/>
      <c r="DLB6" s="157"/>
      <c r="DLC6" s="157"/>
      <c r="DLD6" s="157"/>
      <c r="DLE6" s="157"/>
      <c r="DLF6" s="157"/>
      <c r="DLG6" s="157"/>
      <c r="DLH6" s="157"/>
      <c r="DLI6" s="157"/>
      <c r="DLJ6" s="157"/>
      <c r="DLK6" s="157"/>
      <c r="DLL6" s="157"/>
      <c r="DLM6" s="157"/>
      <c r="DLN6" s="157"/>
      <c r="DLO6" s="157"/>
      <c r="DLP6" s="157"/>
      <c r="DLQ6" s="157"/>
      <c r="DLR6" s="157"/>
      <c r="DLS6" s="157"/>
      <c r="DLT6" s="157"/>
      <c r="DLU6" s="157"/>
      <c r="DLV6" s="157"/>
      <c r="DLW6" s="157"/>
      <c r="DLX6" s="157"/>
      <c r="DLY6" s="157"/>
      <c r="DLZ6" s="157"/>
      <c r="DMA6" s="157"/>
      <c r="DMB6" s="157"/>
      <c r="DMC6" s="157"/>
      <c r="DMD6" s="157"/>
      <c r="DME6" s="157"/>
      <c r="DMF6" s="157"/>
      <c r="DMG6" s="157"/>
      <c r="DMH6" s="157"/>
      <c r="DMI6" s="157"/>
      <c r="DMJ6" s="157"/>
      <c r="DMK6" s="157"/>
      <c r="DML6" s="157"/>
      <c r="DMM6" s="157"/>
      <c r="DMN6" s="157"/>
      <c r="DMO6" s="157"/>
      <c r="DMP6" s="157"/>
      <c r="DMQ6" s="157"/>
      <c r="DMR6" s="157"/>
      <c r="DMS6" s="157"/>
      <c r="DMT6" s="157"/>
      <c r="DMU6" s="157"/>
      <c r="DMV6" s="157"/>
      <c r="DMW6" s="157"/>
      <c r="DMX6" s="157"/>
      <c r="DMY6" s="157"/>
      <c r="DMZ6" s="157"/>
      <c r="DNA6" s="157"/>
      <c r="DNB6" s="157"/>
      <c r="DNC6" s="157"/>
      <c r="DND6" s="157"/>
      <c r="DNE6" s="157"/>
      <c r="DNF6" s="157"/>
      <c r="DNG6" s="157"/>
      <c r="DNH6" s="157"/>
      <c r="DNI6" s="157"/>
      <c r="DNJ6" s="157"/>
      <c r="DNK6" s="157"/>
      <c r="DNL6" s="157"/>
      <c r="DNM6" s="157"/>
      <c r="DNN6" s="157"/>
      <c r="DNO6" s="157"/>
      <c r="DNP6" s="157"/>
      <c r="DNQ6" s="157"/>
      <c r="DNR6" s="157"/>
      <c r="DNS6" s="157"/>
      <c r="DNT6" s="157"/>
      <c r="DNU6" s="157"/>
      <c r="DNV6" s="157"/>
      <c r="DNW6" s="157"/>
      <c r="DNX6" s="157"/>
      <c r="DNY6" s="157"/>
      <c r="DNZ6" s="157"/>
      <c r="DOA6" s="157"/>
      <c r="DOB6" s="157"/>
      <c r="DOC6" s="157"/>
      <c r="DOD6" s="157"/>
      <c r="DOE6" s="157"/>
      <c r="DOF6" s="157"/>
      <c r="DOG6" s="157"/>
      <c r="DOH6" s="157"/>
      <c r="DOI6" s="157"/>
      <c r="DOJ6" s="157"/>
      <c r="DOK6" s="157"/>
      <c r="DOL6" s="157"/>
      <c r="DOM6" s="157"/>
      <c r="DON6" s="157"/>
      <c r="DOO6" s="157"/>
      <c r="DOP6" s="157"/>
      <c r="DOQ6" s="157"/>
      <c r="DOR6" s="157"/>
      <c r="DOS6" s="157"/>
      <c r="DOT6" s="157"/>
      <c r="DOU6" s="157"/>
      <c r="DOV6" s="157"/>
      <c r="DOW6" s="157"/>
      <c r="DOX6" s="157"/>
      <c r="DOY6" s="157"/>
      <c r="DOZ6" s="157"/>
      <c r="DPA6" s="157"/>
      <c r="DPB6" s="157"/>
      <c r="DPC6" s="157"/>
      <c r="DPD6" s="157"/>
      <c r="DPE6" s="157"/>
      <c r="DPF6" s="157"/>
      <c r="DPG6" s="157"/>
      <c r="DPH6" s="157"/>
      <c r="DPI6" s="157"/>
      <c r="DPJ6" s="157"/>
      <c r="DPK6" s="157"/>
      <c r="DPL6" s="157"/>
      <c r="DPM6" s="157"/>
      <c r="DPN6" s="157"/>
      <c r="DPO6" s="157"/>
      <c r="DPP6" s="157"/>
      <c r="DPQ6" s="157"/>
      <c r="DPR6" s="157"/>
      <c r="DPS6" s="157"/>
      <c r="DPT6" s="157"/>
      <c r="DPU6" s="157"/>
      <c r="DPV6" s="157"/>
      <c r="DPW6" s="157"/>
      <c r="DPX6" s="157"/>
      <c r="DPY6" s="157"/>
      <c r="DPZ6" s="157"/>
      <c r="DQA6" s="157"/>
      <c r="DQB6" s="157"/>
      <c r="DQC6" s="157"/>
      <c r="DQD6" s="157"/>
      <c r="DQE6" s="157"/>
      <c r="DQF6" s="157"/>
      <c r="DQG6" s="157"/>
      <c r="DQH6" s="157"/>
      <c r="DQI6" s="157"/>
      <c r="DQJ6" s="157"/>
      <c r="DQK6" s="157"/>
      <c r="DQL6" s="157"/>
      <c r="DQM6" s="157"/>
      <c r="DQN6" s="157"/>
      <c r="DQO6" s="157"/>
      <c r="DQP6" s="157"/>
      <c r="DQQ6" s="157"/>
      <c r="DQR6" s="157"/>
      <c r="DQS6" s="157"/>
      <c r="DQT6" s="157"/>
      <c r="DQU6" s="157"/>
      <c r="DQV6" s="157"/>
      <c r="DQW6" s="157"/>
      <c r="DQX6" s="157"/>
      <c r="DQY6" s="157"/>
      <c r="DQZ6" s="157"/>
      <c r="DRA6" s="157"/>
      <c r="DRB6" s="157"/>
      <c r="DRC6" s="157"/>
      <c r="DRD6" s="157"/>
      <c r="DRE6" s="157"/>
      <c r="DRF6" s="157"/>
      <c r="DRG6" s="157"/>
      <c r="DRH6" s="157"/>
      <c r="DRI6" s="157"/>
      <c r="DRJ6" s="157"/>
      <c r="DRK6" s="157"/>
      <c r="DRL6" s="157"/>
      <c r="DRM6" s="157"/>
      <c r="DRN6" s="157"/>
      <c r="DRO6" s="157"/>
      <c r="DRP6" s="157"/>
      <c r="DRQ6" s="157"/>
      <c r="DRR6" s="157"/>
      <c r="DRS6" s="157"/>
      <c r="DRT6" s="157"/>
      <c r="DRU6" s="157"/>
      <c r="DRV6" s="157"/>
      <c r="DRW6" s="157"/>
      <c r="DRX6" s="157"/>
      <c r="DRY6" s="157"/>
      <c r="DRZ6" s="157"/>
      <c r="DSA6" s="157"/>
      <c r="DSB6" s="157"/>
      <c r="DSC6" s="157"/>
      <c r="DSD6" s="157"/>
      <c r="DSE6" s="157"/>
      <c r="DSF6" s="157"/>
      <c r="DSG6" s="157"/>
      <c r="DSH6" s="157"/>
      <c r="DSI6" s="157"/>
      <c r="DSJ6" s="157"/>
      <c r="DSK6" s="157"/>
      <c r="DSL6" s="157"/>
      <c r="DSM6" s="157"/>
      <c r="DSN6" s="157"/>
      <c r="DSO6" s="157"/>
      <c r="DSP6" s="157"/>
      <c r="DSQ6" s="157"/>
      <c r="DSR6" s="157"/>
      <c r="DSS6" s="157"/>
      <c r="DST6" s="157"/>
      <c r="DSU6" s="157"/>
      <c r="DSV6" s="157"/>
      <c r="DSW6" s="157"/>
      <c r="DSX6" s="157"/>
      <c r="DSY6" s="157"/>
      <c r="DSZ6" s="157"/>
      <c r="DTA6" s="157"/>
      <c r="DTB6" s="157"/>
      <c r="DTC6" s="157"/>
      <c r="DTD6" s="157"/>
      <c r="DTE6" s="157"/>
      <c r="DTF6" s="157"/>
      <c r="DTG6" s="157"/>
      <c r="DTH6" s="157"/>
      <c r="DTI6" s="157"/>
      <c r="DTJ6" s="157"/>
      <c r="DTK6" s="157"/>
      <c r="DTL6" s="157"/>
      <c r="DTM6" s="157"/>
      <c r="DTN6" s="157"/>
      <c r="DTO6" s="157"/>
      <c r="DTP6" s="157"/>
      <c r="DTQ6" s="157"/>
      <c r="DTR6" s="157"/>
      <c r="DTS6" s="157"/>
      <c r="DTT6" s="157"/>
      <c r="DTU6" s="157"/>
      <c r="DTV6" s="157"/>
      <c r="DTW6" s="157"/>
      <c r="DTX6" s="157"/>
      <c r="DTY6" s="157"/>
      <c r="DTZ6" s="157"/>
      <c r="DUA6" s="157"/>
      <c r="DUB6" s="157"/>
      <c r="DUC6" s="157"/>
      <c r="DUD6" s="157"/>
      <c r="DUE6" s="157"/>
      <c r="DUF6" s="157"/>
      <c r="DUG6" s="157"/>
      <c r="DUH6" s="157"/>
      <c r="DUI6" s="157"/>
      <c r="DUJ6" s="157"/>
      <c r="DUK6" s="157"/>
      <c r="DUL6" s="157"/>
      <c r="DUM6" s="157"/>
      <c r="DUN6" s="157"/>
      <c r="DUO6" s="157"/>
      <c r="DUP6" s="157"/>
      <c r="DUQ6" s="157"/>
      <c r="DUR6" s="157"/>
      <c r="DUS6" s="157"/>
      <c r="DUT6" s="157"/>
      <c r="DUU6" s="157"/>
      <c r="DUV6" s="157"/>
      <c r="DUW6" s="157"/>
      <c r="DUX6" s="157"/>
      <c r="DUY6" s="157"/>
      <c r="DUZ6" s="157"/>
      <c r="DVA6" s="157"/>
      <c r="DVB6" s="157"/>
      <c r="DVC6" s="157"/>
      <c r="DVD6" s="157"/>
      <c r="DVE6" s="157"/>
      <c r="DVF6" s="157"/>
      <c r="DVG6" s="157"/>
      <c r="DVH6" s="157"/>
      <c r="DVI6" s="157"/>
      <c r="DVJ6" s="157"/>
      <c r="DVK6" s="157"/>
      <c r="DVL6" s="157"/>
      <c r="DVM6" s="157"/>
      <c r="DVN6" s="157"/>
      <c r="DVO6" s="157"/>
      <c r="DVP6" s="157"/>
      <c r="DVQ6" s="157"/>
      <c r="DVR6" s="157"/>
      <c r="DVS6" s="157"/>
      <c r="DVT6" s="157"/>
      <c r="DVU6" s="157"/>
      <c r="DVV6" s="157"/>
      <c r="DVW6" s="157"/>
      <c r="DVX6" s="157"/>
      <c r="DVY6" s="157"/>
      <c r="DVZ6" s="157"/>
      <c r="DWA6" s="157"/>
      <c r="DWB6" s="157"/>
      <c r="DWC6" s="157"/>
      <c r="DWD6" s="157"/>
      <c r="DWE6" s="157"/>
      <c r="DWF6" s="157"/>
      <c r="DWG6" s="157"/>
      <c r="DWH6" s="157"/>
      <c r="DWI6" s="157"/>
      <c r="DWJ6" s="157"/>
      <c r="DWK6" s="157"/>
      <c r="DWL6" s="157"/>
      <c r="DWM6" s="157"/>
      <c r="DWN6" s="157"/>
      <c r="DWO6" s="157"/>
      <c r="DWP6" s="157"/>
      <c r="DWQ6" s="157"/>
      <c r="DWR6" s="157"/>
      <c r="DWS6" s="157"/>
      <c r="DWT6" s="157"/>
      <c r="DWU6" s="157"/>
      <c r="DWV6" s="157"/>
      <c r="DWW6" s="157"/>
      <c r="DWX6" s="157"/>
      <c r="DWY6" s="157"/>
      <c r="DWZ6" s="157"/>
      <c r="DXA6" s="157"/>
      <c r="DXB6" s="157"/>
      <c r="DXC6" s="157"/>
      <c r="DXD6" s="157"/>
      <c r="DXE6" s="157"/>
      <c r="DXF6" s="157"/>
      <c r="DXG6" s="157"/>
      <c r="DXH6" s="157"/>
      <c r="DXI6" s="157"/>
      <c r="DXJ6" s="157"/>
      <c r="DXK6" s="157"/>
      <c r="DXL6" s="157"/>
      <c r="DXM6" s="157"/>
      <c r="DXN6" s="157"/>
      <c r="DXO6" s="157"/>
      <c r="DXP6" s="157"/>
      <c r="DXQ6" s="157"/>
      <c r="DXR6" s="157"/>
      <c r="DXS6" s="157"/>
      <c r="DXT6" s="157"/>
      <c r="DXU6" s="157"/>
      <c r="DXV6" s="157"/>
      <c r="DXW6" s="157"/>
      <c r="DXX6" s="157"/>
      <c r="DXY6" s="157"/>
      <c r="DXZ6" s="157"/>
      <c r="DYA6" s="157"/>
      <c r="DYB6" s="157"/>
      <c r="DYC6" s="157"/>
      <c r="DYD6" s="157"/>
      <c r="DYE6" s="157"/>
      <c r="DYF6" s="157"/>
      <c r="DYG6" s="157"/>
      <c r="DYH6" s="157"/>
      <c r="DYI6" s="157"/>
      <c r="DYJ6" s="157"/>
      <c r="DYK6" s="157"/>
      <c r="DYL6" s="157"/>
      <c r="DYM6" s="157"/>
      <c r="DYN6" s="157"/>
      <c r="DYO6" s="157"/>
      <c r="DYP6" s="157"/>
      <c r="DYQ6" s="157"/>
      <c r="DYR6" s="157"/>
      <c r="DYS6" s="157"/>
      <c r="DYT6" s="157"/>
      <c r="DYU6" s="157"/>
      <c r="DYV6" s="157"/>
      <c r="DYW6" s="157"/>
      <c r="DYX6" s="157"/>
      <c r="DYY6" s="157"/>
      <c r="DYZ6" s="157"/>
      <c r="DZA6" s="157"/>
      <c r="DZB6" s="157"/>
      <c r="DZC6" s="157"/>
      <c r="DZD6" s="157"/>
      <c r="DZE6" s="157"/>
      <c r="DZF6" s="157"/>
      <c r="DZG6" s="157"/>
      <c r="DZH6" s="157"/>
      <c r="DZI6" s="157"/>
      <c r="DZJ6" s="157"/>
      <c r="DZK6" s="157"/>
      <c r="DZL6" s="157"/>
      <c r="DZM6" s="157"/>
      <c r="DZN6" s="157"/>
      <c r="DZO6" s="157"/>
      <c r="DZP6" s="157"/>
      <c r="DZQ6" s="157"/>
      <c r="DZR6" s="157"/>
      <c r="DZS6" s="157"/>
      <c r="DZT6" s="157"/>
      <c r="DZU6" s="157"/>
      <c r="DZV6" s="157"/>
      <c r="DZW6" s="157"/>
      <c r="DZX6" s="157"/>
      <c r="DZY6" s="157"/>
      <c r="DZZ6" s="157"/>
      <c r="EAA6" s="157"/>
      <c r="EAB6" s="157"/>
      <c r="EAC6" s="157"/>
      <c r="EAD6" s="157"/>
      <c r="EAE6" s="157"/>
      <c r="EAF6" s="157"/>
      <c r="EAG6" s="157"/>
      <c r="EAH6" s="157"/>
      <c r="EAI6" s="157"/>
      <c r="EAJ6" s="157"/>
      <c r="EAK6" s="157"/>
      <c r="EAL6" s="157"/>
      <c r="EAM6" s="157"/>
      <c r="EAN6" s="157"/>
      <c r="EAO6" s="157"/>
      <c r="EAP6" s="157"/>
      <c r="EAQ6" s="157"/>
      <c r="EAR6" s="157"/>
      <c r="EAS6" s="157"/>
      <c r="EAT6" s="157"/>
      <c r="EAU6" s="157"/>
      <c r="EAV6" s="157"/>
      <c r="EAW6" s="157"/>
      <c r="EAX6" s="157"/>
      <c r="EAY6" s="157"/>
      <c r="EAZ6" s="157"/>
      <c r="EBA6" s="157"/>
      <c r="EBB6" s="157"/>
      <c r="EBC6" s="157"/>
      <c r="EBD6" s="157"/>
      <c r="EBE6" s="157"/>
      <c r="EBF6" s="157"/>
      <c r="EBG6" s="157"/>
      <c r="EBH6" s="157"/>
      <c r="EBI6" s="157"/>
      <c r="EBJ6" s="157"/>
      <c r="EBK6" s="157"/>
      <c r="EBL6" s="157"/>
      <c r="EBM6" s="157"/>
      <c r="EBN6" s="157"/>
      <c r="EBO6" s="157"/>
      <c r="EBP6" s="157"/>
      <c r="EBQ6" s="157"/>
      <c r="EBR6" s="157"/>
      <c r="EBS6" s="157"/>
      <c r="EBT6" s="157"/>
      <c r="EBU6" s="157"/>
      <c r="EBV6" s="157"/>
      <c r="EBW6" s="157"/>
      <c r="EBX6" s="157"/>
      <c r="EBY6" s="157"/>
      <c r="EBZ6" s="157"/>
      <c r="ECA6" s="157"/>
      <c r="ECB6" s="157"/>
      <c r="ECC6" s="157"/>
      <c r="ECD6" s="157"/>
      <c r="ECE6" s="157"/>
      <c r="ECF6" s="157"/>
      <c r="ECG6" s="157"/>
      <c r="ECH6" s="157"/>
      <c r="ECI6" s="157"/>
      <c r="ECJ6" s="157"/>
      <c r="ECK6" s="157"/>
      <c r="ECL6" s="157"/>
      <c r="ECM6" s="157"/>
      <c r="ECN6" s="157"/>
      <c r="ECO6" s="157"/>
      <c r="ECP6" s="157"/>
      <c r="ECQ6" s="157"/>
      <c r="ECR6" s="157"/>
      <c r="ECS6" s="157"/>
      <c r="ECT6" s="157"/>
      <c r="ECU6" s="157"/>
      <c r="ECV6" s="157"/>
      <c r="ECW6" s="157"/>
      <c r="ECX6" s="157"/>
      <c r="ECY6" s="157"/>
      <c r="ECZ6" s="157"/>
      <c r="EDA6" s="157"/>
      <c r="EDB6" s="157"/>
      <c r="EDC6" s="157"/>
      <c r="EDD6" s="157"/>
      <c r="EDE6" s="157"/>
      <c r="EDF6" s="157"/>
      <c r="EDG6" s="157"/>
      <c r="EDH6" s="157"/>
      <c r="EDI6" s="157"/>
      <c r="EDJ6" s="157"/>
      <c r="EDK6" s="157"/>
      <c r="EDL6" s="157"/>
      <c r="EDM6" s="157"/>
      <c r="EDN6" s="157"/>
      <c r="EDO6" s="157"/>
      <c r="EDP6" s="157"/>
      <c r="EDQ6" s="157"/>
      <c r="EDR6" s="157"/>
      <c r="EDS6" s="157"/>
      <c r="EDT6" s="157"/>
      <c r="EDU6" s="157"/>
      <c r="EDV6" s="157"/>
      <c r="EDW6" s="157"/>
      <c r="EDX6" s="157"/>
      <c r="EDY6" s="157"/>
      <c r="EDZ6" s="157"/>
      <c r="EEA6" s="157"/>
      <c r="EEB6" s="157"/>
      <c r="EEC6" s="157"/>
      <c r="EED6" s="157"/>
      <c r="EEE6" s="157"/>
      <c r="EEF6" s="157"/>
      <c r="EEG6" s="157"/>
      <c r="EEH6" s="157"/>
      <c r="EEI6" s="157"/>
      <c r="EEJ6" s="157"/>
      <c r="EEK6" s="157"/>
      <c r="EEL6" s="157"/>
      <c r="EEM6" s="157"/>
      <c r="EEN6" s="157"/>
      <c r="EEO6" s="157"/>
      <c r="EEP6" s="157"/>
      <c r="EEQ6" s="157"/>
      <c r="EER6" s="157"/>
      <c r="EES6" s="157"/>
      <c r="EET6" s="157"/>
      <c r="EEU6" s="157"/>
      <c r="EEV6" s="157"/>
      <c r="EEW6" s="157"/>
      <c r="EEX6" s="157"/>
      <c r="EEY6" s="157"/>
      <c r="EEZ6" s="157"/>
      <c r="EFA6" s="157"/>
      <c r="EFB6" s="157"/>
      <c r="EFC6" s="157"/>
      <c r="EFD6" s="157"/>
      <c r="EFE6" s="157"/>
      <c r="EFF6" s="157"/>
      <c r="EFG6" s="157"/>
      <c r="EFH6" s="157"/>
      <c r="EFI6" s="157"/>
      <c r="EFJ6" s="157"/>
      <c r="EFK6" s="157"/>
      <c r="EFL6" s="157"/>
      <c r="EFM6" s="157"/>
      <c r="EFN6" s="157"/>
      <c r="EFO6" s="157"/>
      <c r="EFP6" s="157"/>
      <c r="EFQ6" s="157"/>
      <c r="EFR6" s="157"/>
      <c r="EFS6" s="157"/>
      <c r="EFT6" s="157"/>
      <c r="EFU6" s="157"/>
      <c r="EFV6" s="157"/>
      <c r="EFW6" s="157"/>
      <c r="EFX6" s="157"/>
      <c r="EFY6" s="157"/>
      <c r="EFZ6" s="157"/>
      <c r="EGA6" s="157"/>
      <c r="EGB6" s="157"/>
      <c r="EGC6" s="157"/>
      <c r="EGD6" s="157"/>
      <c r="EGE6" s="157"/>
      <c r="EGF6" s="157"/>
      <c r="EGG6" s="157"/>
      <c r="EGH6" s="157"/>
      <c r="EGI6" s="157"/>
      <c r="EGJ6" s="157"/>
      <c r="EGK6" s="157"/>
      <c r="EGL6" s="157"/>
      <c r="EGM6" s="157"/>
      <c r="EGN6" s="157"/>
      <c r="EGO6" s="157"/>
      <c r="EGP6" s="157"/>
      <c r="EGQ6" s="157"/>
      <c r="EGR6" s="157"/>
      <c r="EGS6" s="157"/>
      <c r="EGT6" s="157"/>
      <c r="EGU6" s="157"/>
      <c r="EGV6" s="157"/>
      <c r="EGW6" s="157"/>
      <c r="EGX6" s="157"/>
      <c r="EGY6" s="157"/>
      <c r="EGZ6" s="157"/>
      <c r="EHA6" s="157"/>
      <c r="EHB6" s="157"/>
      <c r="EHC6" s="157"/>
      <c r="EHD6" s="157"/>
      <c r="EHE6" s="157"/>
      <c r="EHF6" s="157"/>
      <c r="EHG6" s="157"/>
      <c r="EHH6" s="157"/>
      <c r="EHI6" s="157"/>
      <c r="EHJ6" s="157"/>
      <c r="EHK6" s="157"/>
      <c r="EHL6" s="157"/>
      <c r="EHM6" s="157"/>
      <c r="EHN6" s="157"/>
      <c r="EHO6" s="157"/>
      <c r="EHP6" s="157"/>
      <c r="EHQ6" s="157"/>
      <c r="EHR6" s="157"/>
      <c r="EHS6" s="157"/>
      <c r="EHT6" s="157"/>
      <c r="EHU6" s="157"/>
      <c r="EHV6" s="157"/>
      <c r="EHW6" s="157"/>
      <c r="EHX6" s="157"/>
      <c r="EHY6" s="157"/>
      <c r="EHZ6" s="157"/>
      <c r="EIA6" s="157"/>
      <c r="EIB6" s="157"/>
      <c r="EIC6" s="157"/>
      <c r="EID6" s="157"/>
      <c r="EIE6" s="157"/>
      <c r="EIF6" s="157"/>
      <c r="EIG6" s="157"/>
      <c r="EIH6" s="157"/>
      <c r="EII6" s="157"/>
      <c r="EIJ6" s="157"/>
      <c r="EIK6" s="157"/>
      <c r="EIL6" s="157"/>
      <c r="EIM6" s="157"/>
      <c r="EIN6" s="157"/>
      <c r="EIO6" s="157"/>
      <c r="EIP6" s="157"/>
      <c r="EIQ6" s="157"/>
      <c r="EIR6" s="157"/>
      <c r="EIS6" s="157"/>
      <c r="EIT6" s="157"/>
      <c r="EIU6" s="157"/>
      <c r="EIV6" s="157"/>
      <c r="EIW6" s="157"/>
      <c r="EIX6" s="157"/>
      <c r="EIY6" s="157"/>
      <c r="EIZ6" s="157"/>
      <c r="EJA6" s="157"/>
      <c r="EJB6" s="157"/>
      <c r="EJC6" s="157"/>
      <c r="EJD6" s="157"/>
      <c r="EJE6" s="157"/>
      <c r="EJF6" s="157"/>
      <c r="EJG6" s="157"/>
      <c r="EJH6" s="157"/>
      <c r="EJI6" s="157"/>
      <c r="EJJ6" s="157"/>
      <c r="EJK6" s="157"/>
      <c r="EJL6" s="157"/>
      <c r="EJM6" s="157"/>
      <c r="EJN6" s="157"/>
      <c r="EJO6" s="157"/>
      <c r="EJP6" s="157"/>
      <c r="EJQ6" s="157"/>
      <c r="EJR6" s="157"/>
      <c r="EJS6" s="157"/>
      <c r="EJT6" s="157"/>
      <c r="EJU6" s="157"/>
      <c r="EJV6" s="157"/>
      <c r="EJW6" s="157"/>
      <c r="EJX6" s="157"/>
      <c r="EJY6" s="157"/>
      <c r="EJZ6" s="157"/>
      <c r="EKA6" s="157"/>
      <c r="EKB6" s="157"/>
      <c r="EKC6" s="157"/>
      <c r="EKD6" s="157"/>
      <c r="EKE6" s="157"/>
      <c r="EKF6" s="157"/>
      <c r="EKG6" s="157"/>
      <c r="EKH6" s="157"/>
      <c r="EKI6" s="157"/>
      <c r="EKJ6" s="157"/>
      <c r="EKK6" s="157"/>
      <c r="EKL6" s="157"/>
      <c r="EKM6" s="157"/>
      <c r="EKN6" s="157"/>
      <c r="EKO6" s="157"/>
      <c r="EKP6" s="157"/>
      <c r="EKQ6" s="157"/>
      <c r="EKR6" s="157"/>
      <c r="EKS6" s="157"/>
      <c r="EKT6" s="157"/>
      <c r="EKU6" s="157"/>
      <c r="EKV6" s="157"/>
      <c r="EKW6" s="157"/>
      <c r="EKX6" s="157"/>
      <c r="EKY6" s="157"/>
      <c r="EKZ6" s="157"/>
      <c r="ELA6" s="157"/>
      <c r="ELB6" s="157"/>
      <c r="ELC6" s="157"/>
      <c r="ELD6" s="157"/>
      <c r="ELE6" s="157"/>
      <c r="ELF6" s="157"/>
      <c r="ELG6" s="157"/>
      <c r="ELH6" s="157"/>
      <c r="ELI6" s="157"/>
      <c r="ELJ6" s="157"/>
      <c r="ELK6" s="157"/>
      <c r="ELL6" s="157"/>
      <c r="ELM6" s="157"/>
      <c r="ELN6" s="157"/>
      <c r="ELO6" s="157"/>
      <c r="ELP6" s="157"/>
      <c r="ELQ6" s="157"/>
      <c r="ELR6" s="157"/>
      <c r="ELS6" s="157"/>
      <c r="ELT6" s="157"/>
      <c r="ELU6" s="157"/>
      <c r="ELV6" s="157"/>
      <c r="ELW6" s="157"/>
      <c r="ELX6" s="157"/>
      <c r="ELY6" s="157"/>
      <c r="ELZ6" s="157"/>
      <c r="EMA6" s="157"/>
      <c r="EMB6" s="157"/>
      <c r="EMC6" s="157"/>
      <c r="EMD6" s="157"/>
      <c r="EME6" s="157"/>
      <c r="EMF6" s="157"/>
      <c r="EMG6" s="157"/>
      <c r="EMH6" s="157"/>
      <c r="EMI6" s="157"/>
      <c r="EMJ6" s="157"/>
      <c r="EMK6" s="157"/>
      <c r="EML6" s="157"/>
      <c r="EMM6" s="157"/>
      <c r="EMN6" s="157"/>
      <c r="EMO6" s="157"/>
      <c r="EMP6" s="157"/>
      <c r="EMQ6" s="157"/>
      <c r="EMR6" s="157"/>
      <c r="EMS6" s="157"/>
      <c r="EMT6" s="157"/>
      <c r="EMU6" s="157"/>
      <c r="EMV6" s="157"/>
      <c r="EMW6" s="157"/>
      <c r="EMX6" s="157"/>
      <c r="EMY6" s="157"/>
      <c r="EMZ6" s="157"/>
      <c r="ENA6" s="157"/>
      <c r="ENB6" s="157"/>
      <c r="ENC6" s="157"/>
      <c r="END6" s="157"/>
      <c r="ENE6" s="157"/>
      <c r="ENF6" s="157"/>
      <c r="ENG6" s="157"/>
      <c r="ENH6" s="157"/>
      <c r="ENI6" s="157"/>
      <c r="ENJ6" s="157"/>
      <c r="ENK6" s="157"/>
      <c r="ENL6" s="157"/>
      <c r="ENM6" s="157"/>
      <c r="ENN6" s="157"/>
      <c r="ENO6" s="157"/>
      <c r="ENP6" s="157"/>
      <c r="ENQ6" s="157"/>
      <c r="ENR6" s="157"/>
      <c r="ENS6" s="157"/>
      <c r="ENT6" s="157"/>
      <c r="ENU6" s="157"/>
      <c r="ENV6" s="157"/>
      <c r="ENW6" s="157"/>
      <c r="ENX6" s="157"/>
      <c r="ENY6" s="157"/>
      <c r="ENZ6" s="157"/>
      <c r="EOA6" s="157"/>
      <c r="EOB6" s="157"/>
      <c r="EOC6" s="157"/>
      <c r="EOD6" s="157"/>
      <c r="EOE6" s="157"/>
      <c r="EOF6" s="157"/>
      <c r="EOG6" s="157"/>
      <c r="EOH6" s="157"/>
      <c r="EOI6" s="157"/>
      <c r="EOJ6" s="157"/>
      <c r="EOK6" s="157"/>
      <c r="EOL6" s="157"/>
      <c r="EOM6" s="157"/>
      <c r="EON6" s="157"/>
      <c r="EOO6" s="157"/>
      <c r="EOP6" s="157"/>
      <c r="EOQ6" s="157"/>
      <c r="EOR6" s="157"/>
      <c r="EOS6" s="157"/>
      <c r="EOT6" s="157"/>
      <c r="EOU6" s="157"/>
      <c r="EOV6" s="157"/>
      <c r="EOW6" s="157"/>
      <c r="EOX6" s="157"/>
      <c r="EOY6" s="157"/>
      <c r="EOZ6" s="157"/>
      <c r="EPA6" s="157"/>
      <c r="EPB6" s="157"/>
      <c r="EPC6" s="157"/>
      <c r="EPD6" s="157"/>
      <c r="EPE6" s="157"/>
      <c r="EPF6" s="157"/>
      <c r="EPG6" s="157"/>
      <c r="EPH6" s="157"/>
      <c r="EPI6" s="157"/>
      <c r="EPJ6" s="157"/>
      <c r="EPK6" s="157"/>
      <c r="EPL6" s="157"/>
      <c r="EPM6" s="157"/>
      <c r="EPN6" s="157"/>
      <c r="EPO6" s="157"/>
      <c r="EPP6" s="157"/>
      <c r="EPQ6" s="157"/>
      <c r="EPR6" s="157"/>
      <c r="EPS6" s="157"/>
      <c r="EPT6" s="157"/>
      <c r="EPU6" s="157"/>
      <c r="EPV6" s="157"/>
      <c r="EPW6" s="157"/>
      <c r="EPX6" s="157"/>
      <c r="EPY6" s="157"/>
      <c r="EPZ6" s="157"/>
      <c r="EQA6" s="157"/>
      <c r="EQB6" s="157"/>
      <c r="EQC6" s="157"/>
      <c r="EQD6" s="157"/>
      <c r="EQE6" s="157"/>
      <c r="EQF6" s="157"/>
      <c r="EQG6" s="157"/>
      <c r="EQH6" s="157"/>
      <c r="EQI6" s="157"/>
      <c r="EQJ6" s="157"/>
      <c r="EQK6" s="157"/>
      <c r="EQL6" s="157"/>
      <c r="EQM6" s="157"/>
      <c r="EQN6" s="157"/>
      <c r="EQO6" s="157"/>
      <c r="EQP6" s="157"/>
      <c r="EQQ6" s="157"/>
      <c r="EQR6" s="157"/>
      <c r="EQS6" s="157"/>
      <c r="EQT6" s="157"/>
      <c r="EQU6" s="157"/>
      <c r="EQV6" s="157"/>
      <c r="EQW6" s="157"/>
      <c r="EQX6" s="157"/>
      <c r="EQY6" s="157"/>
      <c r="EQZ6" s="157"/>
      <c r="ERA6" s="157"/>
      <c r="ERB6" s="157"/>
      <c r="ERC6" s="157"/>
      <c r="ERD6" s="157"/>
      <c r="ERE6" s="157"/>
      <c r="ERF6" s="157"/>
      <c r="ERG6" s="157"/>
      <c r="ERH6" s="157"/>
      <c r="ERI6" s="157"/>
      <c r="ERJ6" s="157"/>
      <c r="ERK6" s="157"/>
      <c r="ERL6" s="157"/>
      <c r="ERM6" s="157"/>
      <c r="ERN6" s="157"/>
      <c r="ERO6" s="157"/>
      <c r="ERP6" s="157"/>
      <c r="ERQ6" s="157"/>
      <c r="ERR6" s="157"/>
      <c r="ERS6" s="157"/>
      <c r="ERT6" s="157"/>
      <c r="ERU6" s="157"/>
      <c r="ERV6" s="157"/>
      <c r="ERW6" s="157"/>
      <c r="ERX6" s="157"/>
      <c r="ERY6" s="157"/>
      <c r="ERZ6" s="157"/>
      <c r="ESA6" s="157"/>
      <c r="ESB6" s="157"/>
      <c r="ESC6" s="157"/>
      <c r="ESD6" s="157"/>
      <c r="ESE6" s="157"/>
      <c r="ESF6" s="157"/>
      <c r="ESG6" s="157"/>
      <c r="ESH6" s="157"/>
      <c r="ESI6" s="157"/>
      <c r="ESJ6" s="157"/>
      <c r="ESK6" s="157"/>
      <c r="ESL6" s="157"/>
      <c r="ESM6" s="157"/>
      <c r="ESN6" s="157"/>
      <c r="ESO6" s="157"/>
      <c r="ESP6" s="157"/>
      <c r="ESQ6" s="157"/>
      <c r="ESR6" s="157"/>
      <c r="ESS6" s="157"/>
      <c r="EST6" s="157"/>
      <c r="ESU6" s="157"/>
      <c r="ESV6" s="157"/>
      <c r="ESW6" s="157"/>
      <c r="ESX6" s="157"/>
      <c r="ESY6" s="157"/>
      <c r="ESZ6" s="157"/>
      <c r="ETA6" s="157"/>
      <c r="ETB6" s="157"/>
      <c r="ETC6" s="157"/>
      <c r="ETD6" s="157"/>
      <c r="ETE6" s="157"/>
      <c r="ETF6" s="157"/>
      <c r="ETG6" s="157"/>
      <c r="ETH6" s="157"/>
      <c r="ETI6" s="157"/>
      <c r="ETJ6" s="157"/>
      <c r="ETK6" s="157"/>
      <c r="ETL6" s="157"/>
      <c r="ETM6" s="157"/>
      <c r="ETN6" s="157"/>
      <c r="ETO6" s="157"/>
      <c r="ETP6" s="157"/>
      <c r="ETQ6" s="157"/>
      <c r="ETR6" s="157"/>
      <c r="ETS6" s="157"/>
      <c r="ETT6" s="157"/>
      <c r="ETU6" s="157"/>
      <c r="ETV6" s="157"/>
      <c r="ETW6" s="157"/>
      <c r="ETX6" s="157"/>
      <c r="ETY6" s="157"/>
      <c r="ETZ6" s="157"/>
      <c r="EUA6" s="157"/>
      <c r="EUB6" s="157"/>
      <c r="EUC6" s="157"/>
      <c r="EUD6" s="157"/>
      <c r="EUE6" s="157"/>
      <c r="EUF6" s="157"/>
      <c r="EUG6" s="157"/>
      <c r="EUH6" s="157"/>
      <c r="EUI6" s="157"/>
      <c r="EUJ6" s="157"/>
      <c r="EUK6" s="157"/>
      <c r="EUL6" s="157"/>
      <c r="EUM6" s="157"/>
      <c r="EUN6" s="157"/>
      <c r="EUO6" s="157"/>
      <c r="EUP6" s="157"/>
      <c r="EUQ6" s="157"/>
      <c r="EUR6" s="157"/>
      <c r="EUS6" s="157"/>
      <c r="EUT6" s="157"/>
      <c r="EUU6" s="157"/>
      <c r="EUV6" s="157"/>
      <c r="EUW6" s="157"/>
      <c r="EUX6" s="157"/>
      <c r="EUY6" s="157"/>
      <c r="EUZ6" s="157"/>
      <c r="EVA6" s="157"/>
      <c r="EVB6" s="157"/>
      <c r="EVC6" s="157"/>
      <c r="EVD6" s="157"/>
      <c r="EVE6" s="157"/>
      <c r="EVF6" s="157"/>
      <c r="EVG6" s="157"/>
      <c r="EVH6" s="157"/>
      <c r="EVI6" s="157"/>
      <c r="EVJ6" s="157"/>
      <c r="EVK6" s="157"/>
      <c r="EVL6" s="157"/>
      <c r="EVM6" s="157"/>
      <c r="EVN6" s="157"/>
      <c r="EVO6" s="157"/>
      <c r="EVP6" s="157"/>
      <c r="EVQ6" s="157"/>
      <c r="EVR6" s="157"/>
      <c r="EVS6" s="157"/>
      <c r="EVT6" s="157"/>
      <c r="EVU6" s="157"/>
      <c r="EVV6" s="157"/>
      <c r="EVW6" s="157"/>
      <c r="EVX6" s="157"/>
      <c r="EVY6" s="157"/>
      <c r="EVZ6" s="157"/>
      <c r="EWA6" s="157"/>
      <c r="EWB6" s="157"/>
      <c r="EWC6" s="157"/>
      <c r="EWD6" s="157"/>
      <c r="EWE6" s="157"/>
      <c r="EWF6" s="157"/>
      <c r="EWG6" s="157"/>
      <c r="EWH6" s="157"/>
      <c r="EWI6" s="157"/>
      <c r="EWJ6" s="157"/>
      <c r="EWK6" s="157"/>
      <c r="EWL6" s="157"/>
      <c r="EWM6" s="157"/>
      <c r="EWN6" s="157"/>
      <c r="EWO6" s="157"/>
      <c r="EWP6" s="157"/>
      <c r="EWQ6" s="157"/>
      <c r="EWR6" s="157"/>
      <c r="EWS6" s="157"/>
      <c r="EWT6" s="157"/>
      <c r="EWU6" s="157"/>
      <c r="EWV6" s="157"/>
      <c r="EWW6" s="157"/>
      <c r="EWX6" s="157"/>
      <c r="EWY6" s="157"/>
      <c r="EWZ6" s="157"/>
      <c r="EXA6" s="157"/>
      <c r="EXB6" s="157"/>
      <c r="EXC6" s="157"/>
      <c r="EXD6" s="157"/>
      <c r="EXE6" s="157"/>
      <c r="EXF6" s="157"/>
      <c r="EXG6" s="157"/>
      <c r="EXH6" s="157"/>
      <c r="EXI6" s="157"/>
      <c r="EXJ6" s="157"/>
      <c r="EXK6" s="157"/>
      <c r="EXL6" s="157"/>
      <c r="EXM6" s="157"/>
      <c r="EXN6" s="157"/>
      <c r="EXO6" s="157"/>
      <c r="EXP6" s="157"/>
      <c r="EXQ6" s="157"/>
      <c r="EXR6" s="157"/>
      <c r="EXS6" s="157"/>
      <c r="EXT6" s="157"/>
      <c r="EXU6" s="157"/>
      <c r="EXV6" s="157"/>
      <c r="EXW6" s="157"/>
      <c r="EXX6" s="157"/>
      <c r="EXY6" s="157"/>
      <c r="EXZ6" s="157"/>
      <c r="EYA6" s="157"/>
      <c r="EYB6" s="157"/>
      <c r="EYC6" s="157"/>
      <c r="EYD6" s="157"/>
      <c r="EYE6" s="157"/>
      <c r="EYF6" s="157"/>
      <c r="EYG6" s="157"/>
      <c r="EYH6" s="157"/>
      <c r="EYI6" s="157"/>
      <c r="EYJ6" s="157"/>
      <c r="EYK6" s="157"/>
      <c r="EYL6" s="157"/>
      <c r="EYM6" s="157"/>
      <c r="EYN6" s="157"/>
      <c r="EYO6" s="157"/>
      <c r="EYP6" s="157"/>
      <c r="EYQ6" s="157"/>
      <c r="EYR6" s="157"/>
      <c r="EYS6" s="157"/>
      <c r="EYT6" s="157"/>
      <c r="EYU6" s="157"/>
      <c r="EYV6" s="157"/>
      <c r="EYW6" s="157"/>
      <c r="EYX6" s="157"/>
      <c r="EYY6" s="157"/>
      <c r="EYZ6" s="157"/>
      <c r="EZA6" s="157"/>
      <c r="EZB6" s="157"/>
      <c r="EZC6" s="157"/>
      <c r="EZD6" s="157"/>
      <c r="EZE6" s="157"/>
      <c r="EZF6" s="157"/>
      <c r="EZG6" s="157"/>
      <c r="EZH6" s="157"/>
      <c r="EZI6" s="157"/>
      <c r="EZJ6" s="157"/>
      <c r="EZK6" s="157"/>
      <c r="EZL6" s="157"/>
      <c r="EZM6" s="157"/>
      <c r="EZN6" s="157"/>
      <c r="EZO6" s="157"/>
      <c r="EZP6" s="157"/>
      <c r="EZQ6" s="157"/>
      <c r="EZR6" s="157"/>
      <c r="EZS6" s="157"/>
      <c r="EZT6" s="157"/>
      <c r="EZU6" s="157"/>
      <c r="EZV6" s="157"/>
      <c r="EZW6" s="157"/>
      <c r="EZX6" s="157"/>
      <c r="EZY6" s="157"/>
      <c r="EZZ6" s="157"/>
      <c r="FAA6" s="157"/>
      <c r="FAB6" s="157"/>
      <c r="FAC6" s="157"/>
      <c r="FAD6" s="157"/>
      <c r="FAE6" s="157"/>
      <c r="FAF6" s="157"/>
      <c r="FAG6" s="157"/>
      <c r="FAH6" s="157"/>
      <c r="FAI6" s="157"/>
      <c r="FAJ6" s="157"/>
      <c r="FAK6" s="157"/>
      <c r="FAL6" s="157"/>
      <c r="FAM6" s="157"/>
      <c r="FAN6" s="157"/>
      <c r="FAO6" s="157"/>
      <c r="FAP6" s="157"/>
      <c r="FAQ6" s="157"/>
      <c r="FAR6" s="157"/>
      <c r="FAS6" s="157"/>
      <c r="FAT6" s="157"/>
      <c r="FAU6" s="157"/>
      <c r="FAV6" s="157"/>
      <c r="FAW6" s="157"/>
      <c r="FAX6" s="157"/>
      <c r="FAY6" s="157"/>
      <c r="FAZ6" s="157"/>
      <c r="FBA6" s="157"/>
      <c r="FBB6" s="157"/>
      <c r="FBC6" s="157"/>
      <c r="FBD6" s="157"/>
      <c r="FBE6" s="157"/>
      <c r="FBF6" s="157"/>
      <c r="FBG6" s="157"/>
      <c r="FBH6" s="157"/>
      <c r="FBI6" s="157"/>
      <c r="FBJ6" s="157"/>
      <c r="FBK6" s="157"/>
      <c r="FBL6" s="157"/>
      <c r="FBM6" s="157"/>
      <c r="FBN6" s="157"/>
      <c r="FBO6" s="157"/>
      <c r="FBP6" s="157"/>
      <c r="FBQ6" s="157"/>
      <c r="FBR6" s="157"/>
      <c r="FBS6" s="157"/>
      <c r="FBT6" s="157"/>
      <c r="FBU6" s="157"/>
      <c r="FBV6" s="157"/>
      <c r="FBW6" s="157"/>
      <c r="FBX6" s="157"/>
      <c r="FBY6" s="157"/>
      <c r="FBZ6" s="157"/>
      <c r="FCA6" s="157"/>
      <c r="FCB6" s="157"/>
      <c r="FCC6" s="157"/>
      <c r="FCD6" s="157"/>
      <c r="FCE6" s="157"/>
      <c r="FCF6" s="157"/>
      <c r="FCG6" s="157"/>
      <c r="FCH6" s="157"/>
      <c r="FCI6" s="157"/>
      <c r="FCJ6" s="157"/>
      <c r="FCK6" s="157"/>
      <c r="FCL6" s="157"/>
      <c r="FCM6" s="157"/>
      <c r="FCN6" s="157"/>
      <c r="FCO6" s="157"/>
      <c r="FCP6" s="157"/>
      <c r="FCQ6" s="157"/>
      <c r="FCR6" s="157"/>
      <c r="FCS6" s="157"/>
      <c r="FCT6" s="157"/>
      <c r="FCU6" s="157"/>
      <c r="FCV6" s="157"/>
      <c r="FCW6" s="157"/>
      <c r="FCX6" s="157"/>
      <c r="FCY6" s="157"/>
      <c r="FCZ6" s="157"/>
      <c r="FDA6" s="157"/>
      <c r="FDB6" s="157"/>
      <c r="FDC6" s="157"/>
      <c r="FDD6" s="157"/>
      <c r="FDE6" s="157"/>
      <c r="FDF6" s="157"/>
      <c r="FDG6" s="157"/>
      <c r="FDH6" s="157"/>
      <c r="FDI6" s="157"/>
      <c r="FDJ6" s="157"/>
      <c r="FDK6" s="157"/>
      <c r="FDL6" s="157"/>
      <c r="FDM6" s="157"/>
      <c r="FDN6" s="157"/>
      <c r="FDO6" s="157"/>
      <c r="FDP6" s="157"/>
      <c r="FDQ6" s="157"/>
      <c r="FDR6" s="157"/>
      <c r="FDS6" s="157"/>
      <c r="FDT6" s="157"/>
      <c r="FDU6" s="157"/>
      <c r="FDV6" s="157"/>
      <c r="FDW6" s="157"/>
      <c r="FDX6" s="157"/>
      <c r="FDY6" s="157"/>
      <c r="FDZ6" s="157"/>
      <c r="FEA6" s="157"/>
      <c r="FEB6" s="157"/>
      <c r="FEC6" s="157"/>
      <c r="FED6" s="157"/>
      <c r="FEE6" s="157"/>
      <c r="FEF6" s="157"/>
      <c r="FEG6" s="157"/>
      <c r="FEH6" s="157"/>
      <c r="FEI6" s="157"/>
      <c r="FEJ6" s="157"/>
      <c r="FEK6" s="157"/>
      <c r="FEL6" s="157"/>
      <c r="FEM6" s="157"/>
      <c r="FEN6" s="157"/>
      <c r="FEO6" s="157"/>
      <c r="FEP6" s="157"/>
      <c r="FEQ6" s="157"/>
      <c r="FER6" s="157"/>
      <c r="FES6" s="157"/>
      <c r="FET6" s="157"/>
      <c r="FEU6" s="157"/>
      <c r="FEV6" s="157"/>
      <c r="FEW6" s="157"/>
      <c r="FEX6" s="157"/>
      <c r="FEY6" s="157"/>
      <c r="FEZ6" s="157"/>
      <c r="FFA6" s="157"/>
      <c r="FFB6" s="157"/>
      <c r="FFC6" s="157"/>
      <c r="FFD6" s="157"/>
      <c r="FFE6" s="157"/>
      <c r="FFF6" s="157"/>
      <c r="FFG6" s="157"/>
      <c r="FFH6" s="157"/>
      <c r="FFI6" s="157"/>
      <c r="FFJ6" s="157"/>
      <c r="FFK6" s="157"/>
      <c r="FFL6" s="157"/>
      <c r="FFM6" s="157"/>
      <c r="FFN6" s="157"/>
      <c r="FFO6" s="157"/>
      <c r="FFP6" s="157"/>
      <c r="FFQ6" s="157"/>
      <c r="FFR6" s="157"/>
      <c r="FFS6" s="157"/>
      <c r="FFT6" s="157"/>
      <c r="FFU6" s="157"/>
      <c r="FFV6" s="157"/>
      <c r="FFW6" s="157"/>
      <c r="FFX6" s="157"/>
      <c r="FFY6" s="157"/>
      <c r="FFZ6" s="157"/>
      <c r="FGA6" s="157"/>
      <c r="FGB6" s="157"/>
      <c r="FGC6" s="157"/>
      <c r="FGD6" s="157"/>
      <c r="FGE6" s="157"/>
      <c r="FGF6" s="157"/>
      <c r="FGG6" s="157"/>
      <c r="FGH6" s="157"/>
      <c r="FGI6" s="157"/>
      <c r="FGJ6" s="157"/>
      <c r="FGK6" s="157"/>
      <c r="FGL6" s="157"/>
      <c r="FGM6" s="157"/>
      <c r="FGN6" s="157"/>
      <c r="FGO6" s="157"/>
      <c r="FGP6" s="157"/>
      <c r="FGQ6" s="157"/>
      <c r="FGR6" s="157"/>
      <c r="FGS6" s="157"/>
      <c r="FGT6" s="157"/>
      <c r="FGU6" s="157"/>
      <c r="FGV6" s="157"/>
      <c r="FGW6" s="157"/>
      <c r="FGX6" s="157"/>
      <c r="FGY6" s="157"/>
      <c r="FGZ6" s="157"/>
      <c r="FHA6" s="157"/>
      <c r="FHB6" s="157"/>
      <c r="FHC6" s="157"/>
      <c r="FHD6" s="157"/>
      <c r="FHE6" s="157"/>
      <c r="FHF6" s="157"/>
      <c r="FHG6" s="157"/>
      <c r="FHH6" s="157"/>
      <c r="FHI6" s="157"/>
      <c r="FHJ6" s="157"/>
      <c r="FHK6" s="157"/>
      <c r="FHL6" s="157"/>
      <c r="FHM6" s="157"/>
      <c r="FHN6" s="157"/>
      <c r="FHO6" s="157"/>
      <c r="FHP6" s="157"/>
      <c r="FHQ6" s="157"/>
      <c r="FHR6" s="157"/>
      <c r="FHS6" s="157"/>
      <c r="FHT6" s="157"/>
      <c r="FHU6" s="157"/>
      <c r="FHV6" s="157"/>
      <c r="FHW6" s="157"/>
      <c r="FHX6" s="157"/>
      <c r="FHY6" s="157"/>
      <c r="FHZ6" s="157"/>
      <c r="FIA6" s="157"/>
      <c r="FIB6" s="157"/>
      <c r="FIC6" s="157"/>
      <c r="FID6" s="157"/>
      <c r="FIE6" s="157"/>
      <c r="FIF6" s="157"/>
      <c r="FIG6" s="157"/>
      <c r="FIH6" s="157"/>
      <c r="FII6" s="157"/>
      <c r="FIJ6" s="157"/>
      <c r="FIK6" s="157"/>
      <c r="FIL6" s="157"/>
      <c r="FIM6" s="157"/>
      <c r="FIN6" s="157"/>
      <c r="FIO6" s="157"/>
      <c r="FIP6" s="157"/>
      <c r="FIQ6" s="157"/>
      <c r="FIR6" s="157"/>
      <c r="FIS6" s="157"/>
      <c r="FIT6" s="157"/>
      <c r="FIU6" s="157"/>
      <c r="FIV6" s="157"/>
      <c r="FIW6" s="157"/>
      <c r="FIX6" s="157"/>
      <c r="FIY6" s="157"/>
      <c r="FIZ6" s="157"/>
      <c r="FJA6" s="157"/>
      <c r="FJB6" s="157"/>
      <c r="FJC6" s="157"/>
      <c r="FJD6" s="157"/>
      <c r="FJE6" s="157"/>
      <c r="FJF6" s="157"/>
      <c r="FJG6" s="157"/>
      <c r="FJH6" s="157"/>
      <c r="FJI6" s="157"/>
      <c r="FJJ6" s="157"/>
      <c r="FJK6" s="157"/>
      <c r="FJL6" s="157"/>
      <c r="FJM6" s="157"/>
      <c r="FJN6" s="157"/>
      <c r="FJO6" s="157"/>
      <c r="FJP6" s="157"/>
      <c r="FJQ6" s="157"/>
      <c r="FJR6" s="157"/>
      <c r="FJS6" s="157"/>
      <c r="FJT6" s="157"/>
      <c r="FJU6" s="157"/>
      <c r="FJV6" s="157"/>
      <c r="FJW6" s="157"/>
      <c r="FJX6" s="157"/>
      <c r="FJY6" s="157"/>
      <c r="FJZ6" s="157"/>
      <c r="FKA6" s="157"/>
      <c r="FKB6" s="157"/>
      <c r="FKC6" s="157"/>
      <c r="FKD6" s="157"/>
      <c r="FKE6" s="157"/>
      <c r="FKF6" s="157"/>
      <c r="FKG6" s="157"/>
      <c r="FKH6" s="157"/>
      <c r="FKI6" s="157"/>
      <c r="FKJ6" s="157"/>
      <c r="FKK6" s="157"/>
      <c r="FKL6" s="157"/>
      <c r="FKM6" s="157"/>
      <c r="FKN6" s="157"/>
      <c r="FKO6" s="157"/>
      <c r="FKP6" s="157"/>
      <c r="FKQ6" s="157"/>
      <c r="FKR6" s="157"/>
      <c r="FKS6" s="157"/>
      <c r="FKT6" s="157"/>
      <c r="FKU6" s="157"/>
      <c r="FKV6" s="157"/>
      <c r="FKW6" s="157"/>
      <c r="FKX6" s="157"/>
      <c r="FKY6" s="157"/>
      <c r="FKZ6" s="157"/>
      <c r="FLA6" s="157"/>
      <c r="FLB6" s="157"/>
      <c r="FLC6" s="157"/>
      <c r="FLD6" s="157"/>
      <c r="FLE6" s="157"/>
      <c r="FLF6" s="157"/>
      <c r="FLG6" s="157"/>
      <c r="FLH6" s="157"/>
      <c r="FLI6" s="157"/>
      <c r="FLJ6" s="157"/>
      <c r="FLK6" s="157"/>
      <c r="FLL6" s="157"/>
      <c r="FLM6" s="157"/>
      <c r="FLN6" s="157"/>
      <c r="FLO6" s="157"/>
      <c r="FLP6" s="157"/>
      <c r="FLQ6" s="157"/>
      <c r="FLR6" s="157"/>
      <c r="FLS6" s="157"/>
      <c r="FLT6" s="157"/>
      <c r="FLU6" s="157"/>
      <c r="FLV6" s="157"/>
      <c r="FLW6" s="157"/>
      <c r="FLX6" s="157"/>
      <c r="FLY6" s="157"/>
      <c r="FLZ6" s="157"/>
      <c r="FMA6" s="157"/>
      <c r="FMB6" s="157"/>
      <c r="FMC6" s="157"/>
      <c r="FMD6" s="157"/>
      <c r="FME6" s="157"/>
      <c r="FMF6" s="157"/>
      <c r="FMG6" s="157"/>
      <c r="FMH6" s="157"/>
      <c r="FMI6" s="157"/>
      <c r="FMJ6" s="157"/>
      <c r="FMK6" s="157"/>
      <c r="FML6" s="157"/>
      <c r="FMM6" s="157"/>
      <c r="FMN6" s="157"/>
      <c r="FMO6" s="157"/>
      <c r="FMP6" s="157"/>
      <c r="FMQ6" s="157"/>
      <c r="FMR6" s="157"/>
      <c r="FMS6" s="157"/>
      <c r="FMT6" s="157"/>
      <c r="FMU6" s="157"/>
      <c r="FMV6" s="157"/>
      <c r="FMW6" s="157"/>
      <c r="FMX6" s="157"/>
      <c r="FMY6" s="157"/>
      <c r="FMZ6" s="157"/>
      <c r="FNA6" s="157"/>
      <c r="FNB6" s="157"/>
      <c r="FNC6" s="157"/>
      <c r="FND6" s="157"/>
      <c r="FNE6" s="157"/>
      <c r="FNF6" s="157"/>
      <c r="FNG6" s="157"/>
      <c r="FNH6" s="157"/>
      <c r="FNI6" s="157"/>
      <c r="FNJ6" s="157"/>
      <c r="FNK6" s="157"/>
      <c r="FNL6" s="157"/>
      <c r="FNM6" s="157"/>
      <c r="FNN6" s="157"/>
      <c r="FNO6" s="157"/>
      <c r="FNP6" s="157"/>
      <c r="FNQ6" s="157"/>
      <c r="FNR6" s="157"/>
      <c r="FNS6" s="157"/>
      <c r="FNT6" s="157"/>
      <c r="FNU6" s="157"/>
      <c r="FNV6" s="157"/>
      <c r="FNW6" s="157"/>
      <c r="FNX6" s="157"/>
      <c r="FNY6" s="157"/>
      <c r="FNZ6" s="157"/>
      <c r="FOA6" s="157"/>
      <c r="FOB6" s="157"/>
      <c r="FOC6" s="157"/>
      <c r="FOD6" s="157"/>
      <c r="FOE6" s="157"/>
      <c r="FOF6" s="157"/>
      <c r="FOG6" s="157"/>
      <c r="FOH6" s="157"/>
      <c r="FOI6" s="157"/>
      <c r="FOJ6" s="157"/>
      <c r="FOK6" s="157"/>
      <c r="FOL6" s="157"/>
      <c r="FOM6" s="157"/>
      <c r="FON6" s="157"/>
      <c r="FOO6" s="157"/>
      <c r="FOP6" s="157"/>
      <c r="FOQ6" s="157"/>
      <c r="FOR6" s="157"/>
      <c r="FOS6" s="157"/>
      <c r="FOT6" s="157"/>
      <c r="FOU6" s="157"/>
      <c r="FOV6" s="157"/>
      <c r="FOW6" s="157"/>
      <c r="FOX6" s="157"/>
      <c r="FOY6" s="157"/>
      <c r="FOZ6" s="157"/>
      <c r="FPA6" s="157"/>
      <c r="FPB6" s="157"/>
      <c r="FPC6" s="157"/>
      <c r="FPD6" s="157"/>
      <c r="FPE6" s="157"/>
      <c r="FPF6" s="157"/>
      <c r="FPG6" s="157"/>
      <c r="FPH6" s="157"/>
      <c r="FPI6" s="157"/>
      <c r="FPJ6" s="157"/>
      <c r="FPK6" s="157"/>
      <c r="FPL6" s="157"/>
      <c r="FPM6" s="157"/>
      <c r="FPN6" s="157"/>
      <c r="FPO6" s="157"/>
      <c r="FPP6" s="157"/>
      <c r="FPQ6" s="157"/>
      <c r="FPR6" s="157"/>
      <c r="FPS6" s="157"/>
      <c r="FPT6" s="157"/>
      <c r="FPU6" s="157"/>
      <c r="FPV6" s="157"/>
      <c r="FPW6" s="157"/>
      <c r="FPX6" s="157"/>
      <c r="FPY6" s="157"/>
      <c r="FPZ6" s="157"/>
      <c r="FQA6" s="157"/>
      <c r="FQB6" s="157"/>
      <c r="FQC6" s="157"/>
      <c r="FQD6" s="157"/>
      <c r="FQE6" s="157"/>
      <c r="FQF6" s="157"/>
      <c r="FQG6" s="157"/>
      <c r="FQH6" s="157"/>
      <c r="FQI6" s="157"/>
      <c r="FQJ6" s="157"/>
      <c r="FQK6" s="157"/>
      <c r="FQL6" s="157"/>
      <c r="FQM6" s="157"/>
      <c r="FQN6" s="157"/>
      <c r="FQO6" s="157"/>
      <c r="FQP6" s="157"/>
      <c r="FQQ6" s="157"/>
      <c r="FQR6" s="157"/>
      <c r="FQS6" s="157"/>
      <c r="FQT6" s="157"/>
      <c r="FQU6" s="157"/>
      <c r="FQV6" s="157"/>
      <c r="FQW6" s="157"/>
      <c r="FQX6" s="157"/>
      <c r="FQY6" s="157"/>
      <c r="FQZ6" s="157"/>
      <c r="FRA6" s="157"/>
      <c r="FRB6" s="157"/>
      <c r="FRC6" s="157"/>
      <c r="FRD6" s="157"/>
      <c r="FRE6" s="157"/>
      <c r="FRF6" s="157"/>
      <c r="FRG6" s="157"/>
      <c r="FRH6" s="157"/>
      <c r="FRI6" s="157"/>
      <c r="FRJ6" s="157"/>
      <c r="FRK6" s="157"/>
      <c r="FRL6" s="157"/>
      <c r="FRM6" s="157"/>
      <c r="FRN6" s="157"/>
      <c r="FRO6" s="157"/>
      <c r="FRP6" s="157"/>
      <c r="FRQ6" s="157"/>
      <c r="FRR6" s="157"/>
      <c r="FRS6" s="157"/>
      <c r="FRT6" s="157"/>
      <c r="FRU6" s="157"/>
      <c r="FRV6" s="157"/>
      <c r="FRW6" s="157"/>
      <c r="FRX6" s="157"/>
      <c r="FRY6" s="157"/>
      <c r="FRZ6" s="157"/>
      <c r="FSA6" s="157"/>
      <c r="FSB6" s="157"/>
      <c r="FSC6" s="157"/>
      <c r="FSD6" s="157"/>
      <c r="FSE6" s="157"/>
      <c r="FSF6" s="157"/>
      <c r="FSG6" s="157"/>
      <c r="FSH6" s="157"/>
      <c r="FSI6" s="157"/>
      <c r="FSJ6" s="157"/>
      <c r="FSK6" s="157"/>
      <c r="FSL6" s="157"/>
      <c r="FSM6" s="157"/>
      <c r="FSN6" s="157"/>
      <c r="FSO6" s="157"/>
      <c r="FSP6" s="157"/>
      <c r="FSQ6" s="157"/>
      <c r="FSR6" s="157"/>
      <c r="FSS6" s="157"/>
      <c r="FST6" s="157"/>
      <c r="FSU6" s="157"/>
      <c r="FSV6" s="157"/>
      <c r="FSW6" s="157"/>
      <c r="FSX6" s="157"/>
      <c r="FSY6" s="157"/>
      <c r="FSZ6" s="157"/>
      <c r="FTA6" s="157"/>
      <c r="FTB6" s="157"/>
      <c r="FTC6" s="157"/>
      <c r="FTD6" s="157"/>
      <c r="FTE6" s="157"/>
      <c r="FTF6" s="157"/>
      <c r="FTG6" s="157"/>
      <c r="FTH6" s="157"/>
      <c r="FTI6" s="157"/>
      <c r="FTJ6" s="157"/>
      <c r="FTK6" s="157"/>
      <c r="FTL6" s="157"/>
      <c r="FTM6" s="157"/>
      <c r="FTN6" s="157"/>
      <c r="FTO6" s="157"/>
      <c r="FTP6" s="157"/>
      <c r="FTQ6" s="157"/>
      <c r="FTR6" s="157"/>
      <c r="FTS6" s="157"/>
      <c r="FTT6" s="157"/>
      <c r="FTU6" s="157"/>
      <c r="FTV6" s="157"/>
      <c r="FTW6" s="157"/>
      <c r="FTX6" s="157"/>
      <c r="FTY6" s="157"/>
      <c r="FTZ6" s="157"/>
      <c r="FUA6" s="157"/>
      <c r="FUB6" s="157"/>
      <c r="FUC6" s="157"/>
      <c r="FUD6" s="157"/>
      <c r="FUE6" s="157"/>
      <c r="FUF6" s="157"/>
      <c r="FUG6" s="157"/>
      <c r="FUH6" s="157"/>
      <c r="FUI6" s="157"/>
      <c r="FUJ6" s="157"/>
      <c r="FUK6" s="157"/>
      <c r="FUL6" s="157"/>
      <c r="FUM6" s="157"/>
      <c r="FUN6" s="157"/>
      <c r="FUO6" s="157"/>
      <c r="FUP6" s="157"/>
      <c r="FUQ6" s="157"/>
      <c r="FUR6" s="157"/>
      <c r="FUS6" s="157"/>
      <c r="FUT6" s="157"/>
      <c r="FUU6" s="157"/>
      <c r="FUV6" s="157"/>
      <c r="FUW6" s="157"/>
      <c r="FUX6" s="157"/>
      <c r="FUY6" s="157"/>
      <c r="FUZ6" s="157"/>
      <c r="FVA6" s="157"/>
      <c r="FVB6" s="157"/>
      <c r="FVC6" s="157"/>
      <c r="FVD6" s="157"/>
      <c r="FVE6" s="157"/>
      <c r="FVF6" s="157"/>
      <c r="FVG6" s="157"/>
      <c r="FVH6" s="157"/>
      <c r="FVI6" s="157"/>
      <c r="FVJ6" s="157"/>
      <c r="FVK6" s="157"/>
      <c r="FVL6" s="157"/>
      <c r="FVM6" s="157"/>
      <c r="FVN6" s="157"/>
      <c r="FVO6" s="157"/>
      <c r="FVP6" s="157"/>
      <c r="FVQ6" s="157"/>
      <c r="FVR6" s="157"/>
      <c r="FVS6" s="157"/>
      <c r="FVT6" s="157"/>
      <c r="FVU6" s="157"/>
      <c r="FVV6" s="157"/>
      <c r="FVW6" s="157"/>
      <c r="FVX6" s="157"/>
      <c r="FVY6" s="157"/>
      <c r="FVZ6" s="157"/>
      <c r="FWA6" s="157"/>
      <c r="FWB6" s="157"/>
      <c r="FWC6" s="157"/>
      <c r="FWD6" s="157"/>
      <c r="FWE6" s="157"/>
      <c r="FWF6" s="157"/>
      <c r="FWG6" s="157"/>
      <c r="FWH6" s="157"/>
      <c r="FWI6" s="157"/>
      <c r="FWJ6" s="157"/>
      <c r="FWK6" s="157"/>
      <c r="FWL6" s="157"/>
      <c r="FWM6" s="157"/>
      <c r="FWN6" s="157"/>
      <c r="FWO6" s="157"/>
      <c r="FWP6" s="157"/>
      <c r="FWQ6" s="157"/>
      <c r="FWR6" s="157"/>
      <c r="FWS6" s="157"/>
      <c r="FWT6" s="157"/>
      <c r="FWU6" s="157"/>
      <c r="FWV6" s="157"/>
      <c r="FWW6" s="157"/>
      <c r="FWX6" s="157"/>
      <c r="FWY6" s="157"/>
      <c r="FWZ6" s="157"/>
      <c r="FXA6" s="157"/>
      <c r="FXB6" s="157"/>
      <c r="FXC6" s="157"/>
      <c r="FXD6" s="157"/>
      <c r="FXE6" s="157"/>
      <c r="FXF6" s="157"/>
      <c r="FXG6" s="157"/>
      <c r="FXH6" s="157"/>
      <c r="FXI6" s="157"/>
      <c r="FXJ6" s="157"/>
      <c r="FXK6" s="157"/>
      <c r="FXL6" s="157"/>
      <c r="FXM6" s="157"/>
      <c r="FXN6" s="157"/>
      <c r="FXO6" s="157"/>
      <c r="FXP6" s="157"/>
      <c r="FXQ6" s="157"/>
      <c r="FXR6" s="157"/>
      <c r="FXS6" s="157"/>
      <c r="FXT6" s="157"/>
      <c r="FXU6" s="157"/>
      <c r="FXV6" s="157"/>
      <c r="FXW6" s="157"/>
      <c r="FXX6" s="157"/>
      <c r="FXY6" s="157"/>
      <c r="FXZ6" s="157"/>
      <c r="FYA6" s="157"/>
      <c r="FYB6" s="157"/>
      <c r="FYC6" s="157"/>
      <c r="FYD6" s="157"/>
      <c r="FYE6" s="157"/>
      <c r="FYF6" s="157"/>
      <c r="FYG6" s="157"/>
      <c r="FYH6" s="157"/>
      <c r="FYI6" s="157"/>
      <c r="FYJ6" s="157"/>
      <c r="FYK6" s="157"/>
      <c r="FYL6" s="157"/>
      <c r="FYM6" s="157"/>
      <c r="FYN6" s="157"/>
      <c r="FYO6" s="157"/>
      <c r="FYP6" s="157"/>
      <c r="FYQ6" s="157"/>
      <c r="FYR6" s="157"/>
      <c r="FYS6" s="157"/>
      <c r="FYT6" s="157"/>
      <c r="FYU6" s="157"/>
      <c r="FYV6" s="157"/>
      <c r="FYW6" s="157"/>
      <c r="FYX6" s="157"/>
      <c r="FYY6" s="157"/>
      <c r="FYZ6" s="157"/>
      <c r="FZA6" s="157"/>
      <c r="FZB6" s="157"/>
      <c r="FZC6" s="157"/>
      <c r="FZD6" s="157"/>
      <c r="FZE6" s="157"/>
      <c r="FZF6" s="157"/>
      <c r="FZG6" s="157"/>
      <c r="FZH6" s="157"/>
      <c r="FZI6" s="157"/>
      <c r="FZJ6" s="157"/>
      <c r="FZK6" s="157"/>
      <c r="FZL6" s="157"/>
      <c r="FZM6" s="157"/>
      <c r="FZN6" s="157"/>
      <c r="FZO6" s="157"/>
      <c r="FZP6" s="157"/>
      <c r="FZQ6" s="157"/>
      <c r="FZR6" s="157"/>
      <c r="FZS6" s="157"/>
      <c r="FZT6" s="157"/>
      <c r="FZU6" s="157"/>
      <c r="FZV6" s="157"/>
      <c r="FZW6" s="157"/>
      <c r="FZX6" s="157"/>
      <c r="FZY6" s="157"/>
      <c r="FZZ6" s="157"/>
      <c r="GAA6" s="157"/>
      <c r="GAB6" s="157"/>
      <c r="GAC6" s="157"/>
      <c r="GAD6" s="157"/>
      <c r="GAE6" s="157"/>
      <c r="GAF6" s="157"/>
      <c r="GAG6" s="157"/>
      <c r="GAH6" s="157"/>
      <c r="GAI6" s="157"/>
      <c r="GAJ6" s="157"/>
      <c r="GAK6" s="157"/>
      <c r="GAL6" s="157"/>
      <c r="GAM6" s="157"/>
      <c r="GAN6" s="157"/>
      <c r="GAO6" s="157"/>
      <c r="GAP6" s="157"/>
      <c r="GAQ6" s="157"/>
      <c r="GAR6" s="157"/>
      <c r="GAS6" s="157"/>
      <c r="GAT6" s="157"/>
      <c r="GAU6" s="157"/>
      <c r="GAV6" s="157"/>
      <c r="GAW6" s="157"/>
      <c r="GAX6" s="157"/>
      <c r="GAY6" s="157"/>
      <c r="GAZ6" s="157"/>
      <c r="GBA6" s="157"/>
      <c r="GBB6" s="157"/>
      <c r="GBC6" s="157"/>
      <c r="GBD6" s="157"/>
      <c r="GBE6" s="157"/>
      <c r="GBF6" s="157"/>
      <c r="GBG6" s="157"/>
      <c r="GBH6" s="157"/>
      <c r="GBI6" s="157"/>
      <c r="GBJ6" s="157"/>
      <c r="GBK6" s="157"/>
      <c r="GBL6" s="157"/>
      <c r="GBM6" s="157"/>
      <c r="GBN6" s="157"/>
      <c r="GBO6" s="157"/>
      <c r="GBP6" s="157"/>
      <c r="GBQ6" s="157"/>
      <c r="GBR6" s="157"/>
      <c r="GBS6" s="157"/>
      <c r="GBT6" s="157"/>
      <c r="GBU6" s="157"/>
      <c r="GBV6" s="157"/>
      <c r="GBW6" s="157"/>
      <c r="GBX6" s="157"/>
      <c r="GBY6" s="157"/>
      <c r="GBZ6" s="157"/>
      <c r="GCA6" s="157"/>
      <c r="GCB6" s="157"/>
      <c r="GCC6" s="157"/>
      <c r="GCD6" s="157"/>
      <c r="GCE6" s="157"/>
      <c r="GCF6" s="157"/>
      <c r="GCG6" s="157"/>
      <c r="GCH6" s="157"/>
      <c r="GCI6" s="157"/>
      <c r="GCJ6" s="157"/>
      <c r="GCK6" s="157"/>
      <c r="GCL6" s="157"/>
      <c r="GCM6" s="157"/>
      <c r="GCN6" s="157"/>
      <c r="GCO6" s="157"/>
      <c r="GCP6" s="157"/>
      <c r="GCQ6" s="157"/>
      <c r="GCR6" s="157"/>
      <c r="GCS6" s="157"/>
      <c r="GCT6" s="157"/>
      <c r="GCU6" s="157"/>
      <c r="GCV6" s="157"/>
      <c r="GCW6" s="157"/>
      <c r="GCX6" s="157"/>
      <c r="GCY6" s="157"/>
      <c r="GCZ6" s="157"/>
      <c r="GDA6" s="157"/>
      <c r="GDB6" s="157"/>
      <c r="GDC6" s="157"/>
      <c r="GDD6" s="157"/>
      <c r="GDE6" s="157"/>
      <c r="GDF6" s="157"/>
      <c r="GDG6" s="157"/>
      <c r="GDH6" s="157"/>
      <c r="GDI6" s="157"/>
      <c r="GDJ6" s="157"/>
      <c r="GDK6" s="157"/>
      <c r="GDL6" s="157"/>
      <c r="GDM6" s="157"/>
      <c r="GDN6" s="157"/>
      <c r="GDO6" s="157"/>
      <c r="GDP6" s="157"/>
      <c r="GDQ6" s="157"/>
      <c r="GDR6" s="157"/>
      <c r="GDS6" s="157"/>
      <c r="GDT6" s="157"/>
      <c r="GDU6" s="157"/>
      <c r="GDV6" s="157"/>
      <c r="GDW6" s="157"/>
      <c r="GDX6" s="157"/>
      <c r="GDY6" s="157"/>
      <c r="GDZ6" s="157"/>
      <c r="GEA6" s="157"/>
      <c r="GEB6" s="157"/>
      <c r="GEC6" s="157"/>
      <c r="GED6" s="157"/>
      <c r="GEE6" s="157"/>
      <c r="GEF6" s="157"/>
      <c r="GEG6" s="157"/>
      <c r="GEH6" s="157"/>
      <c r="GEI6" s="157"/>
      <c r="GEJ6" s="157"/>
      <c r="GEK6" s="157"/>
      <c r="GEL6" s="157"/>
      <c r="GEM6" s="157"/>
      <c r="GEN6" s="157"/>
      <c r="GEO6" s="157"/>
      <c r="GEP6" s="157"/>
      <c r="GEQ6" s="157"/>
      <c r="GER6" s="157"/>
      <c r="GES6" s="157"/>
      <c r="GET6" s="157"/>
      <c r="GEU6" s="157"/>
      <c r="GEV6" s="157"/>
      <c r="GEW6" s="157"/>
      <c r="GEX6" s="157"/>
      <c r="GEY6" s="157"/>
      <c r="GEZ6" s="157"/>
      <c r="GFA6" s="157"/>
      <c r="GFB6" s="157"/>
      <c r="GFC6" s="157"/>
      <c r="GFD6" s="157"/>
      <c r="GFE6" s="157"/>
      <c r="GFF6" s="157"/>
      <c r="GFG6" s="157"/>
      <c r="GFH6" s="157"/>
      <c r="GFI6" s="157"/>
      <c r="GFJ6" s="157"/>
      <c r="GFK6" s="157"/>
      <c r="GFL6" s="157"/>
      <c r="GFM6" s="157"/>
      <c r="GFN6" s="157"/>
      <c r="GFO6" s="157"/>
      <c r="GFP6" s="157"/>
      <c r="GFQ6" s="157"/>
      <c r="GFR6" s="157"/>
      <c r="GFS6" s="157"/>
      <c r="GFT6" s="157"/>
      <c r="GFU6" s="157"/>
      <c r="GFV6" s="157"/>
      <c r="GFW6" s="157"/>
      <c r="GFX6" s="157"/>
      <c r="GFY6" s="157"/>
      <c r="GFZ6" s="157"/>
      <c r="GGA6" s="157"/>
      <c r="GGB6" s="157"/>
      <c r="GGC6" s="157"/>
      <c r="GGD6" s="157"/>
      <c r="GGE6" s="157"/>
      <c r="GGF6" s="157"/>
      <c r="GGG6" s="157"/>
      <c r="GGH6" s="157"/>
      <c r="GGI6" s="157"/>
      <c r="GGJ6" s="157"/>
      <c r="GGK6" s="157"/>
      <c r="GGL6" s="157"/>
      <c r="GGM6" s="157"/>
      <c r="GGN6" s="157"/>
      <c r="GGO6" s="157"/>
      <c r="GGP6" s="157"/>
      <c r="GGQ6" s="157"/>
      <c r="GGR6" s="157"/>
      <c r="GGS6" s="157"/>
      <c r="GGT6" s="157"/>
      <c r="GGU6" s="157"/>
      <c r="GGV6" s="157"/>
      <c r="GGW6" s="157"/>
      <c r="GGX6" s="157"/>
      <c r="GGY6" s="157"/>
      <c r="GGZ6" s="157"/>
      <c r="GHA6" s="157"/>
      <c r="GHB6" s="157"/>
      <c r="GHC6" s="157"/>
      <c r="GHD6" s="157"/>
      <c r="GHE6" s="157"/>
      <c r="GHF6" s="157"/>
      <c r="GHG6" s="157"/>
      <c r="GHH6" s="157"/>
      <c r="GHI6" s="157"/>
      <c r="GHJ6" s="157"/>
      <c r="GHK6" s="157"/>
      <c r="GHL6" s="157"/>
      <c r="GHM6" s="157"/>
      <c r="GHN6" s="157"/>
      <c r="GHO6" s="157"/>
      <c r="GHP6" s="157"/>
      <c r="GHQ6" s="157"/>
      <c r="GHR6" s="157"/>
      <c r="GHS6" s="157"/>
      <c r="GHT6" s="157"/>
      <c r="GHU6" s="157"/>
      <c r="GHV6" s="157"/>
      <c r="GHW6" s="157"/>
      <c r="GHX6" s="157"/>
      <c r="GHY6" s="157"/>
      <c r="GHZ6" s="157"/>
      <c r="GIA6" s="157"/>
      <c r="GIB6" s="157"/>
      <c r="GIC6" s="157"/>
      <c r="GID6" s="157"/>
      <c r="GIE6" s="157"/>
      <c r="GIF6" s="157"/>
      <c r="GIG6" s="157"/>
      <c r="GIH6" s="157"/>
      <c r="GII6" s="157"/>
      <c r="GIJ6" s="157"/>
      <c r="GIK6" s="157"/>
      <c r="GIL6" s="157"/>
      <c r="GIM6" s="157"/>
      <c r="GIN6" s="157"/>
      <c r="GIO6" s="157"/>
      <c r="GIP6" s="157"/>
      <c r="GIQ6" s="157"/>
      <c r="GIR6" s="157"/>
      <c r="GIS6" s="157"/>
      <c r="GIT6" s="157"/>
      <c r="GIU6" s="157"/>
      <c r="GIV6" s="157"/>
      <c r="GIW6" s="157"/>
      <c r="GIX6" s="157"/>
      <c r="GIY6" s="157"/>
      <c r="GIZ6" s="157"/>
      <c r="GJA6" s="157"/>
      <c r="GJB6" s="157"/>
      <c r="GJC6" s="157"/>
      <c r="GJD6" s="157"/>
      <c r="GJE6" s="157"/>
      <c r="GJF6" s="157"/>
      <c r="GJG6" s="157"/>
      <c r="GJH6" s="157"/>
      <c r="GJI6" s="157"/>
      <c r="GJJ6" s="157"/>
      <c r="GJK6" s="157"/>
      <c r="GJL6" s="157"/>
      <c r="GJM6" s="157"/>
      <c r="GJN6" s="157"/>
      <c r="GJO6" s="157"/>
      <c r="GJP6" s="157"/>
      <c r="GJQ6" s="157"/>
      <c r="GJR6" s="157"/>
      <c r="GJS6" s="157"/>
      <c r="GJT6" s="157"/>
      <c r="GJU6" s="157"/>
      <c r="GJV6" s="157"/>
      <c r="GJW6" s="157"/>
      <c r="GJX6" s="157"/>
      <c r="GJY6" s="157"/>
      <c r="GJZ6" s="157"/>
      <c r="GKA6" s="157"/>
      <c r="GKB6" s="157"/>
      <c r="GKC6" s="157"/>
      <c r="GKD6" s="157"/>
      <c r="GKE6" s="157"/>
      <c r="GKF6" s="157"/>
      <c r="GKG6" s="157"/>
      <c r="GKH6" s="157"/>
      <c r="GKI6" s="157"/>
      <c r="GKJ6" s="157"/>
      <c r="GKK6" s="157"/>
      <c r="GKL6" s="157"/>
      <c r="GKM6" s="157"/>
      <c r="GKN6" s="157"/>
      <c r="GKO6" s="157"/>
      <c r="GKP6" s="157"/>
      <c r="GKQ6" s="157"/>
      <c r="GKR6" s="157"/>
      <c r="GKS6" s="157"/>
      <c r="GKT6" s="157"/>
      <c r="GKU6" s="157"/>
      <c r="GKV6" s="157"/>
      <c r="GKW6" s="157"/>
      <c r="GKX6" s="157"/>
      <c r="GKY6" s="157"/>
      <c r="GKZ6" s="157"/>
      <c r="GLA6" s="157"/>
      <c r="GLB6" s="157"/>
      <c r="GLC6" s="157"/>
      <c r="GLD6" s="157"/>
      <c r="GLE6" s="157"/>
      <c r="GLF6" s="157"/>
      <c r="GLG6" s="157"/>
      <c r="GLH6" s="157"/>
      <c r="GLI6" s="157"/>
      <c r="GLJ6" s="157"/>
      <c r="GLK6" s="157"/>
      <c r="GLL6" s="157"/>
      <c r="GLM6" s="157"/>
      <c r="GLN6" s="157"/>
      <c r="GLO6" s="157"/>
      <c r="GLP6" s="157"/>
      <c r="GLQ6" s="157"/>
      <c r="GLR6" s="157"/>
      <c r="GLS6" s="157"/>
      <c r="GLT6" s="157"/>
      <c r="GLU6" s="157"/>
      <c r="GLV6" s="157"/>
      <c r="GLW6" s="157"/>
      <c r="GLX6" s="157"/>
      <c r="GLY6" s="157"/>
      <c r="GLZ6" s="157"/>
      <c r="GMA6" s="157"/>
      <c r="GMB6" s="157"/>
      <c r="GMC6" s="157"/>
      <c r="GMD6" s="157"/>
      <c r="GME6" s="157"/>
      <c r="GMF6" s="157"/>
      <c r="GMG6" s="157"/>
      <c r="GMH6" s="157"/>
      <c r="GMI6" s="157"/>
      <c r="GMJ6" s="157"/>
      <c r="GMK6" s="157"/>
      <c r="GML6" s="157"/>
      <c r="GMM6" s="157"/>
      <c r="GMN6" s="157"/>
      <c r="GMO6" s="157"/>
      <c r="GMP6" s="157"/>
      <c r="GMQ6" s="157"/>
      <c r="GMR6" s="157"/>
      <c r="GMS6" s="157"/>
      <c r="GMT6" s="157"/>
      <c r="GMU6" s="157"/>
      <c r="GMV6" s="157"/>
      <c r="GMW6" s="157"/>
      <c r="GMX6" s="157"/>
      <c r="GMY6" s="157"/>
      <c r="GMZ6" s="157"/>
      <c r="GNA6" s="157"/>
      <c r="GNB6" s="157"/>
      <c r="GNC6" s="157"/>
      <c r="GND6" s="157"/>
      <c r="GNE6" s="157"/>
      <c r="GNF6" s="157"/>
      <c r="GNG6" s="157"/>
      <c r="GNH6" s="157"/>
      <c r="GNI6" s="157"/>
      <c r="GNJ6" s="157"/>
      <c r="GNK6" s="157"/>
      <c r="GNL6" s="157"/>
      <c r="GNM6" s="157"/>
      <c r="GNN6" s="157"/>
      <c r="GNO6" s="157"/>
      <c r="GNP6" s="157"/>
      <c r="GNQ6" s="157"/>
      <c r="GNR6" s="157"/>
      <c r="GNS6" s="157"/>
      <c r="GNT6" s="157"/>
      <c r="GNU6" s="157"/>
      <c r="GNV6" s="157"/>
      <c r="GNW6" s="157"/>
      <c r="GNX6" s="157"/>
      <c r="GNY6" s="157"/>
      <c r="GNZ6" s="157"/>
      <c r="GOA6" s="157"/>
      <c r="GOB6" s="157"/>
      <c r="GOC6" s="157"/>
      <c r="GOD6" s="157"/>
      <c r="GOE6" s="157"/>
      <c r="GOF6" s="157"/>
      <c r="GOG6" s="157"/>
      <c r="GOH6" s="157"/>
      <c r="GOI6" s="157"/>
      <c r="GOJ6" s="157"/>
      <c r="GOK6" s="157"/>
      <c r="GOL6" s="157"/>
      <c r="GOM6" s="157"/>
      <c r="GON6" s="157"/>
      <c r="GOO6" s="157"/>
      <c r="GOP6" s="157"/>
      <c r="GOQ6" s="157"/>
      <c r="GOR6" s="157"/>
      <c r="GOS6" s="157"/>
      <c r="GOT6" s="157"/>
      <c r="GOU6" s="157"/>
      <c r="GOV6" s="157"/>
      <c r="GOW6" s="157"/>
      <c r="GOX6" s="157"/>
      <c r="GOY6" s="157"/>
      <c r="GOZ6" s="157"/>
      <c r="GPA6" s="157"/>
      <c r="GPB6" s="157"/>
      <c r="GPC6" s="157"/>
      <c r="GPD6" s="157"/>
      <c r="GPE6" s="157"/>
      <c r="GPF6" s="157"/>
      <c r="GPG6" s="157"/>
      <c r="GPH6" s="157"/>
      <c r="GPI6" s="157"/>
      <c r="GPJ6" s="157"/>
      <c r="GPK6" s="157"/>
      <c r="GPL6" s="157"/>
      <c r="GPM6" s="157"/>
      <c r="GPN6" s="157"/>
      <c r="GPO6" s="157"/>
      <c r="GPP6" s="157"/>
      <c r="GPQ6" s="157"/>
      <c r="GPR6" s="157"/>
      <c r="GPS6" s="157"/>
      <c r="GPT6" s="157"/>
      <c r="GPU6" s="157"/>
      <c r="GPV6" s="157"/>
      <c r="GPW6" s="157"/>
      <c r="GPX6" s="157"/>
      <c r="GPY6" s="157"/>
      <c r="GPZ6" s="157"/>
      <c r="GQA6" s="157"/>
      <c r="GQB6" s="157"/>
      <c r="GQC6" s="157"/>
      <c r="GQD6" s="157"/>
      <c r="GQE6" s="157"/>
      <c r="GQF6" s="157"/>
      <c r="GQG6" s="157"/>
      <c r="GQH6" s="157"/>
      <c r="GQI6" s="157"/>
      <c r="GQJ6" s="157"/>
      <c r="GQK6" s="157"/>
      <c r="GQL6" s="157"/>
      <c r="GQM6" s="157"/>
      <c r="GQN6" s="157"/>
      <c r="GQO6" s="157"/>
      <c r="GQP6" s="157"/>
      <c r="GQQ6" s="157"/>
      <c r="GQR6" s="157"/>
      <c r="GQS6" s="157"/>
      <c r="GQT6" s="157"/>
      <c r="GQU6" s="157"/>
      <c r="GQV6" s="157"/>
      <c r="GQW6" s="157"/>
      <c r="GQX6" s="157"/>
      <c r="GQY6" s="157"/>
      <c r="GQZ6" s="157"/>
      <c r="GRA6" s="157"/>
      <c r="GRB6" s="157"/>
      <c r="GRC6" s="157"/>
      <c r="GRD6" s="157"/>
      <c r="GRE6" s="157"/>
      <c r="GRF6" s="157"/>
      <c r="GRG6" s="157"/>
      <c r="GRH6" s="157"/>
      <c r="GRI6" s="157"/>
      <c r="GRJ6" s="157"/>
      <c r="GRK6" s="157"/>
      <c r="GRL6" s="157"/>
      <c r="GRM6" s="157"/>
      <c r="GRN6" s="157"/>
      <c r="GRO6" s="157"/>
      <c r="GRP6" s="157"/>
      <c r="GRQ6" s="157"/>
      <c r="GRR6" s="157"/>
      <c r="GRS6" s="157"/>
      <c r="GRT6" s="157"/>
      <c r="GRU6" s="157"/>
      <c r="GRV6" s="157"/>
      <c r="GRW6" s="157"/>
      <c r="GRX6" s="157"/>
      <c r="GRY6" s="157"/>
      <c r="GRZ6" s="157"/>
      <c r="GSA6" s="157"/>
      <c r="GSB6" s="157"/>
      <c r="GSC6" s="157"/>
      <c r="GSD6" s="157"/>
      <c r="GSE6" s="157"/>
      <c r="GSF6" s="157"/>
      <c r="GSG6" s="157"/>
      <c r="GSH6" s="157"/>
      <c r="GSI6" s="157"/>
      <c r="GSJ6" s="157"/>
      <c r="GSK6" s="157"/>
      <c r="GSL6" s="157"/>
      <c r="GSM6" s="157"/>
      <c r="GSN6" s="157"/>
      <c r="GSO6" s="157"/>
      <c r="GSP6" s="157"/>
      <c r="GSQ6" s="157"/>
      <c r="GSR6" s="157"/>
      <c r="GSS6" s="157"/>
      <c r="GST6" s="157"/>
      <c r="GSU6" s="157"/>
      <c r="GSV6" s="157"/>
      <c r="GSW6" s="157"/>
      <c r="GSX6" s="157"/>
      <c r="GSY6" s="157"/>
      <c r="GSZ6" s="157"/>
      <c r="GTA6" s="157"/>
      <c r="GTB6" s="157"/>
      <c r="GTC6" s="157"/>
      <c r="GTD6" s="157"/>
      <c r="GTE6" s="157"/>
      <c r="GTF6" s="157"/>
      <c r="GTG6" s="157"/>
      <c r="GTH6" s="157"/>
      <c r="GTI6" s="157"/>
      <c r="GTJ6" s="157"/>
      <c r="GTK6" s="157"/>
      <c r="GTL6" s="157"/>
      <c r="GTM6" s="157"/>
      <c r="GTN6" s="157"/>
      <c r="GTO6" s="157"/>
      <c r="GTP6" s="157"/>
      <c r="GTQ6" s="157"/>
      <c r="GTR6" s="157"/>
      <c r="GTS6" s="157"/>
      <c r="GTT6" s="157"/>
      <c r="GTU6" s="157"/>
      <c r="GTV6" s="157"/>
      <c r="GTW6" s="157"/>
      <c r="GTX6" s="157"/>
      <c r="GTY6" s="157"/>
      <c r="GTZ6" s="157"/>
      <c r="GUA6" s="157"/>
      <c r="GUB6" s="157"/>
      <c r="GUC6" s="157"/>
      <c r="GUD6" s="157"/>
      <c r="GUE6" s="157"/>
      <c r="GUF6" s="157"/>
      <c r="GUG6" s="157"/>
      <c r="GUH6" s="157"/>
      <c r="GUI6" s="157"/>
      <c r="GUJ6" s="157"/>
      <c r="GUK6" s="157"/>
      <c r="GUL6" s="157"/>
      <c r="GUM6" s="157"/>
      <c r="GUN6" s="157"/>
      <c r="GUO6" s="157"/>
      <c r="GUP6" s="157"/>
      <c r="GUQ6" s="157"/>
      <c r="GUR6" s="157"/>
      <c r="GUS6" s="157"/>
      <c r="GUT6" s="157"/>
      <c r="GUU6" s="157"/>
      <c r="GUV6" s="157"/>
      <c r="GUW6" s="157"/>
      <c r="GUX6" s="157"/>
      <c r="GUY6" s="157"/>
      <c r="GUZ6" s="157"/>
      <c r="GVA6" s="157"/>
      <c r="GVB6" s="157"/>
      <c r="GVC6" s="157"/>
      <c r="GVD6" s="157"/>
      <c r="GVE6" s="157"/>
      <c r="GVF6" s="157"/>
      <c r="GVG6" s="157"/>
      <c r="GVH6" s="157"/>
      <c r="GVI6" s="157"/>
      <c r="GVJ6" s="157"/>
      <c r="GVK6" s="157"/>
      <c r="GVL6" s="157"/>
      <c r="GVM6" s="157"/>
      <c r="GVN6" s="157"/>
      <c r="GVO6" s="157"/>
      <c r="GVP6" s="157"/>
      <c r="GVQ6" s="157"/>
      <c r="GVR6" s="157"/>
      <c r="GVS6" s="157"/>
      <c r="GVT6" s="157"/>
      <c r="GVU6" s="157"/>
      <c r="GVV6" s="157"/>
      <c r="GVW6" s="157"/>
      <c r="GVX6" s="157"/>
      <c r="GVY6" s="157"/>
      <c r="GVZ6" s="157"/>
      <c r="GWA6" s="157"/>
      <c r="GWB6" s="157"/>
      <c r="GWC6" s="157"/>
      <c r="GWD6" s="157"/>
      <c r="GWE6" s="157"/>
      <c r="GWF6" s="157"/>
      <c r="GWG6" s="157"/>
      <c r="GWH6" s="157"/>
      <c r="GWI6" s="157"/>
      <c r="GWJ6" s="157"/>
      <c r="GWK6" s="157"/>
      <c r="GWL6" s="157"/>
      <c r="GWM6" s="157"/>
      <c r="GWN6" s="157"/>
      <c r="GWO6" s="157"/>
      <c r="GWP6" s="157"/>
      <c r="GWQ6" s="157"/>
      <c r="GWR6" s="157"/>
      <c r="GWS6" s="157"/>
      <c r="GWT6" s="157"/>
      <c r="GWU6" s="157"/>
      <c r="GWV6" s="157"/>
      <c r="GWW6" s="157"/>
      <c r="GWX6" s="157"/>
      <c r="GWY6" s="157"/>
      <c r="GWZ6" s="157"/>
      <c r="GXA6" s="157"/>
      <c r="GXB6" s="157"/>
      <c r="GXC6" s="157"/>
      <c r="GXD6" s="157"/>
      <c r="GXE6" s="157"/>
      <c r="GXF6" s="157"/>
      <c r="GXG6" s="157"/>
      <c r="GXH6" s="157"/>
      <c r="GXI6" s="157"/>
      <c r="GXJ6" s="157"/>
      <c r="GXK6" s="157"/>
      <c r="GXL6" s="157"/>
      <c r="GXM6" s="157"/>
      <c r="GXN6" s="157"/>
      <c r="GXO6" s="157"/>
      <c r="GXP6" s="157"/>
      <c r="GXQ6" s="157"/>
      <c r="GXR6" s="157"/>
      <c r="GXS6" s="157"/>
      <c r="GXT6" s="157"/>
      <c r="GXU6" s="157"/>
      <c r="GXV6" s="157"/>
      <c r="GXW6" s="157"/>
      <c r="GXX6" s="157"/>
      <c r="GXY6" s="157"/>
      <c r="GXZ6" s="157"/>
      <c r="GYA6" s="157"/>
      <c r="GYB6" s="157"/>
      <c r="GYC6" s="157"/>
      <c r="GYD6" s="157"/>
      <c r="GYE6" s="157"/>
      <c r="GYF6" s="157"/>
      <c r="GYG6" s="157"/>
      <c r="GYH6" s="157"/>
      <c r="GYI6" s="157"/>
      <c r="GYJ6" s="157"/>
      <c r="GYK6" s="157"/>
      <c r="GYL6" s="157"/>
      <c r="GYM6" s="157"/>
      <c r="GYN6" s="157"/>
      <c r="GYO6" s="157"/>
      <c r="GYP6" s="157"/>
      <c r="GYQ6" s="157"/>
      <c r="GYR6" s="157"/>
      <c r="GYS6" s="157"/>
      <c r="GYT6" s="157"/>
      <c r="GYU6" s="157"/>
      <c r="GYV6" s="157"/>
      <c r="GYW6" s="157"/>
      <c r="GYX6" s="157"/>
      <c r="GYY6" s="157"/>
      <c r="GYZ6" s="157"/>
      <c r="GZA6" s="157"/>
      <c r="GZB6" s="157"/>
      <c r="GZC6" s="157"/>
      <c r="GZD6" s="157"/>
      <c r="GZE6" s="157"/>
      <c r="GZF6" s="157"/>
      <c r="GZG6" s="157"/>
      <c r="GZH6" s="157"/>
      <c r="GZI6" s="157"/>
      <c r="GZJ6" s="157"/>
      <c r="GZK6" s="157"/>
      <c r="GZL6" s="157"/>
      <c r="GZM6" s="157"/>
      <c r="GZN6" s="157"/>
      <c r="GZO6" s="157"/>
      <c r="GZP6" s="157"/>
      <c r="GZQ6" s="157"/>
      <c r="GZR6" s="157"/>
      <c r="GZS6" s="157"/>
      <c r="GZT6" s="157"/>
      <c r="GZU6" s="157"/>
      <c r="GZV6" s="157"/>
      <c r="GZW6" s="157"/>
      <c r="GZX6" s="157"/>
      <c r="GZY6" s="157"/>
      <c r="GZZ6" s="157"/>
      <c r="HAA6" s="157"/>
      <c r="HAB6" s="157"/>
      <c r="HAC6" s="157"/>
      <c r="HAD6" s="157"/>
      <c r="HAE6" s="157"/>
      <c r="HAF6" s="157"/>
      <c r="HAG6" s="157"/>
      <c r="HAH6" s="157"/>
      <c r="HAI6" s="157"/>
      <c r="HAJ6" s="157"/>
      <c r="HAK6" s="157"/>
      <c r="HAL6" s="157"/>
      <c r="HAM6" s="157"/>
      <c r="HAN6" s="157"/>
      <c r="HAO6" s="157"/>
      <c r="HAP6" s="157"/>
      <c r="HAQ6" s="157"/>
      <c r="HAR6" s="157"/>
      <c r="HAS6" s="157"/>
      <c r="HAT6" s="157"/>
      <c r="HAU6" s="157"/>
      <c r="HAV6" s="157"/>
      <c r="HAW6" s="157"/>
      <c r="HAX6" s="157"/>
      <c r="HAY6" s="157"/>
      <c r="HAZ6" s="157"/>
      <c r="HBA6" s="157"/>
      <c r="HBB6" s="157"/>
      <c r="HBC6" s="157"/>
      <c r="HBD6" s="157"/>
      <c r="HBE6" s="157"/>
      <c r="HBF6" s="157"/>
      <c r="HBG6" s="157"/>
      <c r="HBH6" s="157"/>
      <c r="HBI6" s="157"/>
      <c r="HBJ6" s="157"/>
      <c r="HBK6" s="157"/>
      <c r="HBL6" s="157"/>
      <c r="HBM6" s="157"/>
      <c r="HBN6" s="157"/>
      <c r="HBO6" s="157"/>
      <c r="HBP6" s="157"/>
      <c r="HBQ6" s="157"/>
      <c r="HBR6" s="157"/>
      <c r="HBS6" s="157"/>
      <c r="HBT6" s="157"/>
      <c r="HBU6" s="157"/>
      <c r="HBV6" s="157"/>
      <c r="HBW6" s="157"/>
      <c r="HBX6" s="157"/>
      <c r="HBY6" s="157"/>
      <c r="HBZ6" s="157"/>
      <c r="HCA6" s="157"/>
      <c r="HCB6" s="157"/>
      <c r="HCC6" s="157"/>
      <c r="HCD6" s="157"/>
      <c r="HCE6" s="157"/>
      <c r="HCF6" s="157"/>
      <c r="HCG6" s="157"/>
      <c r="HCH6" s="157"/>
      <c r="HCI6" s="157"/>
      <c r="HCJ6" s="157"/>
      <c r="HCK6" s="157"/>
      <c r="HCL6" s="157"/>
      <c r="HCM6" s="157"/>
      <c r="HCN6" s="157"/>
      <c r="HCO6" s="157"/>
      <c r="HCP6" s="157"/>
      <c r="HCQ6" s="157"/>
      <c r="HCR6" s="157"/>
      <c r="HCS6" s="157"/>
      <c r="HCT6" s="157"/>
      <c r="HCU6" s="157"/>
      <c r="HCV6" s="157"/>
      <c r="HCW6" s="157"/>
      <c r="HCX6" s="157"/>
      <c r="HCY6" s="157"/>
      <c r="HCZ6" s="157"/>
      <c r="HDA6" s="157"/>
      <c r="HDB6" s="157"/>
      <c r="HDC6" s="157"/>
      <c r="HDD6" s="157"/>
      <c r="HDE6" s="157"/>
      <c r="HDF6" s="157"/>
      <c r="HDG6" s="157"/>
      <c r="HDH6" s="157"/>
      <c r="HDI6" s="157"/>
      <c r="HDJ6" s="157"/>
      <c r="HDK6" s="157"/>
      <c r="HDL6" s="157"/>
      <c r="HDM6" s="157"/>
      <c r="HDN6" s="157"/>
      <c r="HDO6" s="157"/>
      <c r="HDP6" s="157"/>
      <c r="HDQ6" s="157"/>
      <c r="HDR6" s="157"/>
      <c r="HDS6" s="157"/>
      <c r="HDT6" s="157"/>
      <c r="HDU6" s="157"/>
      <c r="HDV6" s="157"/>
      <c r="HDW6" s="157"/>
      <c r="HDX6" s="157"/>
      <c r="HDY6" s="157"/>
      <c r="HDZ6" s="157"/>
      <c r="HEA6" s="157"/>
      <c r="HEB6" s="157"/>
      <c r="HEC6" s="157"/>
      <c r="HED6" s="157"/>
      <c r="HEE6" s="157"/>
      <c r="HEF6" s="157"/>
      <c r="HEG6" s="157"/>
      <c r="HEH6" s="157"/>
      <c r="HEI6" s="157"/>
      <c r="HEJ6" s="157"/>
      <c r="HEK6" s="157"/>
      <c r="HEL6" s="157"/>
      <c r="HEM6" s="157"/>
      <c r="HEN6" s="157"/>
      <c r="HEO6" s="157"/>
      <c r="HEP6" s="157"/>
      <c r="HEQ6" s="157"/>
      <c r="HER6" s="157"/>
      <c r="HES6" s="157"/>
      <c r="HET6" s="157"/>
      <c r="HEU6" s="157"/>
      <c r="HEV6" s="157"/>
      <c r="HEW6" s="157"/>
      <c r="HEX6" s="157"/>
      <c r="HEY6" s="157"/>
      <c r="HEZ6" s="157"/>
      <c r="HFA6" s="157"/>
      <c r="HFB6" s="157"/>
      <c r="HFC6" s="157"/>
      <c r="HFD6" s="157"/>
      <c r="HFE6" s="157"/>
      <c r="HFF6" s="157"/>
      <c r="HFG6" s="157"/>
      <c r="HFH6" s="157"/>
      <c r="HFI6" s="157"/>
      <c r="HFJ6" s="157"/>
      <c r="HFK6" s="157"/>
      <c r="HFL6" s="157"/>
      <c r="HFM6" s="157"/>
      <c r="HFN6" s="157"/>
      <c r="HFO6" s="157"/>
      <c r="HFP6" s="157"/>
      <c r="HFQ6" s="157"/>
      <c r="HFR6" s="157"/>
      <c r="HFS6" s="157"/>
      <c r="HFT6" s="157"/>
      <c r="HFU6" s="157"/>
      <c r="HFV6" s="157"/>
      <c r="HFW6" s="157"/>
      <c r="HFX6" s="157"/>
      <c r="HFY6" s="157"/>
      <c r="HFZ6" s="157"/>
      <c r="HGA6" s="157"/>
      <c r="HGB6" s="157"/>
      <c r="HGC6" s="157"/>
      <c r="HGD6" s="157"/>
      <c r="HGE6" s="157"/>
      <c r="HGF6" s="157"/>
      <c r="HGG6" s="157"/>
      <c r="HGH6" s="157"/>
      <c r="HGI6" s="157"/>
      <c r="HGJ6" s="157"/>
      <c r="HGK6" s="157"/>
      <c r="HGL6" s="157"/>
      <c r="HGM6" s="157"/>
      <c r="HGN6" s="157"/>
      <c r="HGO6" s="157"/>
      <c r="HGP6" s="157"/>
      <c r="HGQ6" s="157"/>
      <c r="HGR6" s="157"/>
      <c r="HGS6" s="157"/>
      <c r="HGT6" s="157"/>
      <c r="HGU6" s="157"/>
      <c r="HGV6" s="157"/>
      <c r="HGW6" s="157"/>
      <c r="HGX6" s="157"/>
      <c r="HGY6" s="157"/>
      <c r="HGZ6" s="157"/>
      <c r="HHA6" s="157"/>
      <c r="HHB6" s="157"/>
      <c r="HHC6" s="157"/>
      <c r="HHD6" s="157"/>
      <c r="HHE6" s="157"/>
      <c r="HHF6" s="157"/>
      <c r="HHG6" s="157"/>
      <c r="HHH6" s="157"/>
      <c r="HHI6" s="157"/>
      <c r="HHJ6" s="157"/>
      <c r="HHK6" s="157"/>
      <c r="HHL6" s="157"/>
      <c r="HHM6" s="157"/>
      <c r="HHN6" s="157"/>
      <c r="HHO6" s="157"/>
      <c r="HHP6" s="157"/>
      <c r="HHQ6" s="157"/>
      <c r="HHR6" s="157"/>
      <c r="HHS6" s="157"/>
      <c r="HHT6" s="157"/>
      <c r="HHU6" s="157"/>
      <c r="HHV6" s="157"/>
      <c r="HHW6" s="157"/>
      <c r="HHX6" s="157"/>
      <c r="HHY6" s="157"/>
      <c r="HHZ6" s="157"/>
      <c r="HIA6" s="157"/>
      <c r="HIB6" s="157"/>
      <c r="HIC6" s="157"/>
      <c r="HID6" s="157"/>
      <c r="HIE6" s="157"/>
      <c r="HIF6" s="157"/>
      <c r="HIG6" s="157"/>
      <c r="HIH6" s="157"/>
      <c r="HII6" s="157"/>
      <c r="HIJ6" s="157"/>
      <c r="HIK6" s="157"/>
      <c r="HIL6" s="157"/>
      <c r="HIM6" s="157"/>
      <c r="HIN6" s="157"/>
      <c r="HIO6" s="157"/>
      <c r="HIP6" s="157"/>
      <c r="HIQ6" s="157"/>
      <c r="HIR6" s="157"/>
      <c r="HIS6" s="157"/>
      <c r="HIT6" s="157"/>
      <c r="HIU6" s="157"/>
      <c r="HIV6" s="157"/>
      <c r="HIW6" s="157"/>
      <c r="HIX6" s="157"/>
      <c r="HIY6" s="157"/>
      <c r="HIZ6" s="157"/>
      <c r="HJA6" s="157"/>
      <c r="HJB6" s="157"/>
      <c r="HJC6" s="157"/>
      <c r="HJD6" s="157"/>
      <c r="HJE6" s="157"/>
      <c r="HJF6" s="157"/>
      <c r="HJG6" s="157"/>
      <c r="HJH6" s="157"/>
      <c r="HJI6" s="157"/>
      <c r="HJJ6" s="157"/>
      <c r="HJK6" s="157"/>
      <c r="HJL6" s="157"/>
      <c r="HJM6" s="157"/>
      <c r="HJN6" s="157"/>
      <c r="HJO6" s="157"/>
      <c r="HJP6" s="157"/>
      <c r="HJQ6" s="157"/>
      <c r="HJR6" s="157"/>
      <c r="HJS6" s="157"/>
      <c r="HJT6" s="157"/>
      <c r="HJU6" s="157"/>
      <c r="HJV6" s="157"/>
      <c r="HJW6" s="157"/>
      <c r="HJX6" s="157"/>
      <c r="HJY6" s="157"/>
      <c r="HJZ6" s="157"/>
      <c r="HKA6" s="157"/>
      <c r="HKB6" s="157"/>
      <c r="HKC6" s="157"/>
      <c r="HKD6" s="157"/>
      <c r="HKE6" s="157"/>
      <c r="HKF6" s="157"/>
      <c r="HKG6" s="157"/>
      <c r="HKH6" s="157"/>
      <c r="HKI6" s="157"/>
      <c r="HKJ6" s="157"/>
      <c r="HKK6" s="157"/>
      <c r="HKL6" s="157"/>
      <c r="HKM6" s="157"/>
      <c r="HKN6" s="157"/>
      <c r="HKO6" s="157"/>
      <c r="HKP6" s="157"/>
      <c r="HKQ6" s="157"/>
      <c r="HKR6" s="157"/>
      <c r="HKS6" s="157"/>
      <c r="HKT6" s="157"/>
      <c r="HKU6" s="157"/>
      <c r="HKV6" s="157"/>
      <c r="HKW6" s="157"/>
      <c r="HKX6" s="157"/>
      <c r="HKY6" s="157"/>
      <c r="HKZ6" s="157"/>
      <c r="HLA6" s="157"/>
      <c r="HLB6" s="157"/>
      <c r="HLC6" s="157"/>
      <c r="HLD6" s="157"/>
      <c r="HLE6" s="157"/>
      <c r="HLF6" s="157"/>
      <c r="HLG6" s="157"/>
      <c r="HLH6" s="157"/>
      <c r="HLI6" s="157"/>
      <c r="HLJ6" s="157"/>
      <c r="HLK6" s="157"/>
      <c r="HLL6" s="157"/>
      <c r="HLM6" s="157"/>
      <c r="HLN6" s="157"/>
      <c r="HLO6" s="157"/>
      <c r="HLP6" s="157"/>
      <c r="HLQ6" s="157"/>
      <c r="HLR6" s="157"/>
      <c r="HLS6" s="157"/>
      <c r="HLT6" s="157"/>
      <c r="HLU6" s="157"/>
      <c r="HLV6" s="157"/>
      <c r="HLW6" s="157"/>
      <c r="HLX6" s="157"/>
      <c r="HLY6" s="157"/>
      <c r="HLZ6" s="157"/>
      <c r="HMA6" s="157"/>
      <c r="HMB6" s="157"/>
      <c r="HMC6" s="157"/>
      <c r="HMD6" s="157"/>
      <c r="HME6" s="157"/>
      <c r="HMF6" s="157"/>
      <c r="HMG6" s="157"/>
      <c r="HMH6" s="157"/>
      <c r="HMI6" s="157"/>
      <c r="HMJ6" s="157"/>
      <c r="HMK6" s="157"/>
      <c r="HML6" s="157"/>
      <c r="HMM6" s="157"/>
      <c r="HMN6" s="157"/>
      <c r="HMO6" s="157"/>
      <c r="HMP6" s="157"/>
      <c r="HMQ6" s="157"/>
      <c r="HMR6" s="157"/>
      <c r="HMS6" s="157"/>
      <c r="HMT6" s="157"/>
      <c r="HMU6" s="157"/>
      <c r="HMV6" s="157"/>
      <c r="HMW6" s="157"/>
      <c r="HMX6" s="157"/>
      <c r="HMY6" s="157"/>
      <c r="HMZ6" s="157"/>
      <c r="HNA6" s="157"/>
      <c r="HNB6" s="157"/>
      <c r="HNC6" s="157"/>
      <c r="HND6" s="157"/>
      <c r="HNE6" s="157"/>
      <c r="HNF6" s="157"/>
      <c r="HNG6" s="157"/>
      <c r="HNH6" s="157"/>
      <c r="HNI6" s="157"/>
      <c r="HNJ6" s="157"/>
      <c r="HNK6" s="157"/>
      <c r="HNL6" s="157"/>
      <c r="HNM6" s="157"/>
      <c r="HNN6" s="157"/>
      <c r="HNO6" s="157"/>
      <c r="HNP6" s="157"/>
      <c r="HNQ6" s="157"/>
      <c r="HNR6" s="157"/>
      <c r="HNS6" s="157"/>
      <c r="HNT6" s="157"/>
      <c r="HNU6" s="157"/>
      <c r="HNV6" s="157"/>
      <c r="HNW6" s="157"/>
      <c r="HNX6" s="157"/>
      <c r="HNY6" s="157"/>
      <c r="HNZ6" s="157"/>
      <c r="HOA6" s="157"/>
      <c r="HOB6" s="157"/>
      <c r="HOC6" s="157"/>
      <c r="HOD6" s="157"/>
      <c r="HOE6" s="157"/>
      <c r="HOF6" s="157"/>
      <c r="HOG6" s="157"/>
      <c r="HOH6" s="157"/>
      <c r="HOI6" s="157"/>
      <c r="HOJ6" s="157"/>
      <c r="HOK6" s="157"/>
      <c r="HOL6" s="157"/>
      <c r="HOM6" s="157"/>
      <c r="HON6" s="157"/>
      <c r="HOO6" s="157"/>
      <c r="HOP6" s="157"/>
      <c r="HOQ6" s="157"/>
      <c r="HOR6" s="157"/>
      <c r="HOS6" s="157"/>
      <c r="HOT6" s="157"/>
      <c r="HOU6" s="157"/>
      <c r="HOV6" s="157"/>
      <c r="HOW6" s="157"/>
      <c r="HOX6" s="157"/>
      <c r="HOY6" s="157"/>
      <c r="HOZ6" s="157"/>
      <c r="HPA6" s="157"/>
      <c r="HPB6" s="157"/>
      <c r="HPC6" s="157"/>
      <c r="HPD6" s="157"/>
      <c r="HPE6" s="157"/>
      <c r="HPF6" s="157"/>
      <c r="HPG6" s="157"/>
      <c r="HPH6" s="157"/>
      <c r="HPI6" s="157"/>
      <c r="HPJ6" s="157"/>
      <c r="HPK6" s="157"/>
      <c r="HPL6" s="157"/>
      <c r="HPM6" s="157"/>
      <c r="HPN6" s="157"/>
      <c r="HPO6" s="157"/>
      <c r="HPP6" s="157"/>
      <c r="HPQ6" s="157"/>
      <c r="HPR6" s="157"/>
      <c r="HPS6" s="157"/>
      <c r="HPT6" s="157"/>
      <c r="HPU6" s="157"/>
      <c r="HPV6" s="157"/>
      <c r="HPW6" s="157"/>
      <c r="HPX6" s="157"/>
      <c r="HPY6" s="157"/>
      <c r="HPZ6" s="157"/>
      <c r="HQA6" s="157"/>
      <c r="HQB6" s="157"/>
      <c r="HQC6" s="157"/>
      <c r="HQD6" s="157"/>
      <c r="HQE6" s="157"/>
      <c r="HQF6" s="157"/>
      <c r="HQG6" s="157"/>
      <c r="HQH6" s="157"/>
      <c r="HQI6" s="157"/>
      <c r="HQJ6" s="157"/>
      <c r="HQK6" s="157"/>
      <c r="HQL6" s="157"/>
      <c r="HQM6" s="157"/>
      <c r="HQN6" s="157"/>
      <c r="HQO6" s="157"/>
      <c r="HQP6" s="157"/>
      <c r="HQQ6" s="157"/>
      <c r="HQR6" s="157"/>
      <c r="HQS6" s="157"/>
      <c r="HQT6" s="157"/>
      <c r="HQU6" s="157"/>
      <c r="HQV6" s="157"/>
      <c r="HQW6" s="157"/>
      <c r="HQX6" s="157"/>
      <c r="HQY6" s="157"/>
      <c r="HQZ6" s="157"/>
      <c r="HRA6" s="157"/>
      <c r="HRB6" s="157"/>
      <c r="HRC6" s="157"/>
      <c r="HRD6" s="157"/>
      <c r="HRE6" s="157"/>
      <c r="HRF6" s="157"/>
      <c r="HRG6" s="157"/>
      <c r="HRH6" s="157"/>
      <c r="HRI6" s="157"/>
      <c r="HRJ6" s="157"/>
      <c r="HRK6" s="157"/>
      <c r="HRL6" s="157"/>
      <c r="HRM6" s="157"/>
      <c r="HRN6" s="157"/>
      <c r="HRO6" s="157"/>
      <c r="HRP6" s="157"/>
      <c r="HRQ6" s="157"/>
      <c r="HRR6" s="157"/>
      <c r="HRS6" s="157"/>
      <c r="HRT6" s="157"/>
      <c r="HRU6" s="157"/>
      <c r="HRV6" s="157"/>
      <c r="HRW6" s="157"/>
      <c r="HRX6" s="157"/>
      <c r="HRY6" s="157"/>
      <c r="HRZ6" s="157"/>
      <c r="HSA6" s="157"/>
      <c r="HSB6" s="157"/>
      <c r="HSC6" s="157"/>
      <c r="HSD6" s="157"/>
      <c r="HSE6" s="157"/>
      <c r="HSF6" s="157"/>
      <c r="HSG6" s="157"/>
      <c r="HSH6" s="157"/>
      <c r="HSI6" s="157"/>
      <c r="HSJ6" s="157"/>
      <c r="HSK6" s="157"/>
      <c r="HSL6" s="157"/>
      <c r="HSM6" s="157"/>
      <c r="HSN6" s="157"/>
      <c r="HSO6" s="157"/>
      <c r="HSP6" s="157"/>
      <c r="HSQ6" s="157"/>
      <c r="HSR6" s="157"/>
      <c r="HSS6" s="157"/>
      <c r="HST6" s="157"/>
      <c r="HSU6" s="157"/>
      <c r="HSV6" s="157"/>
      <c r="HSW6" s="157"/>
      <c r="HSX6" s="157"/>
      <c r="HSY6" s="157"/>
      <c r="HSZ6" s="157"/>
      <c r="HTA6" s="157"/>
      <c r="HTB6" s="157"/>
      <c r="HTC6" s="157"/>
      <c r="HTD6" s="157"/>
      <c r="HTE6" s="157"/>
      <c r="HTF6" s="157"/>
      <c r="HTG6" s="157"/>
      <c r="HTH6" s="157"/>
      <c r="HTI6" s="157"/>
      <c r="HTJ6" s="157"/>
      <c r="HTK6" s="157"/>
      <c r="HTL6" s="157"/>
      <c r="HTM6" s="157"/>
      <c r="HTN6" s="157"/>
      <c r="HTO6" s="157"/>
      <c r="HTP6" s="157"/>
      <c r="HTQ6" s="157"/>
      <c r="HTR6" s="157"/>
      <c r="HTS6" s="157"/>
      <c r="HTT6" s="157"/>
      <c r="HTU6" s="157"/>
      <c r="HTV6" s="157"/>
      <c r="HTW6" s="157"/>
      <c r="HTX6" s="157"/>
      <c r="HTY6" s="157"/>
      <c r="HTZ6" s="157"/>
      <c r="HUA6" s="157"/>
      <c r="HUB6" s="157"/>
      <c r="HUC6" s="157"/>
      <c r="HUD6" s="157"/>
      <c r="HUE6" s="157"/>
      <c r="HUF6" s="157"/>
      <c r="HUG6" s="157"/>
      <c r="HUH6" s="157"/>
      <c r="HUI6" s="157"/>
      <c r="HUJ6" s="157"/>
      <c r="HUK6" s="157"/>
      <c r="HUL6" s="157"/>
      <c r="HUM6" s="157"/>
      <c r="HUN6" s="157"/>
      <c r="HUO6" s="157"/>
      <c r="HUP6" s="157"/>
      <c r="HUQ6" s="157"/>
      <c r="HUR6" s="157"/>
      <c r="HUS6" s="157"/>
      <c r="HUT6" s="157"/>
      <c r="HUU6" s="157"/>
      <c r="HUV6" s="157"/>
      <c r="HUW6" s="157"/>
      <c r="HUX6" s="157"/>
      <c r="HUY6" s="157"/>
      <c r="HUZ6" s="157"/>
      <c r="HVA6" s="157"/>
      <c r="HVB6" s="157"/>
      <c r="HVC6" s="157"/>
      <c r="HVD6" s="157"/>
      <c r="HVE6" s="157"/>
      <c r="HVF6" s="157"/>
      <c r="HVG6" s="157"/>
      <c r="HVH6" s="157"/>
      <c r="HVI6" s="157"/>
      <c r="HVJ6" s="157"/>
      <c r="HVK6" s="157"/>
      <c r="HVL6" s="157"/>
      <c r="HVM6" s="157"/>
      <c r="HVN6" s="157"/>
      <c r="HVO6" s="157"/>
      <c r="HVP6" s="157"/>
      <c r="HVQ6" s="157"/>
      <c r="HVR6" s="157"/>
      <c r="HVS6" s="157"/>
      <c r="HVT6" s="157"/>
      <c r="HVU6" s="157"/>
      <c r="HVV6" s="157"/>
      <c r="HVW6" s="157"/>
      <c r="HVX6" s="157"/>
      <c r="HVY6" s="157"/>
      <c r="HVZ6" s="157"/>
      <c r="HWA6" s="157"/>
      <c r="HWB6" s="157"/>
      <c r="HWC6" s="157"/>
      <c r="HWD6" s="157"/>
      <c r="HWE6" s="157"/>
      <c r="HWF6" s="157"/>
      <c r="HWG6" s="157"/>
      <c r="HWH6" s="157"/>
      <c r="HWI6" s="157"/>
      <c r="HWJ6" s="157"/>
      <c r="HWK6" s="157"/>
      <c r="HWL6" s="157"/>
      <c r="HWM6" s="157"/>
      <c r="HWN6" s="157"/>
      <c r="HWO6" s="157"/>
      <c r="HWP6" s="157"/>
      <c r="HWQ6" s="157"/>
      <c r="HWR6" s="157"/>
      <c r="HWS6" s="157"/>
      <c r="HWT6" s="157"/>
      <c r="HWU6" s="157"/>
      <c r="HWV6" s="157"/>
      <c r="HWW6" s="157"/>
      <c r="HWX6" s="157"/>
      <c r="HWY6" s="157"/>
      <c r="HWZ6" s="157"/>
      <c r="HXA6" s="157"/>
      <c r="HXB6" s="157"/>
      <c r="HXC6" s="157"/>
      <c r="HXD6" s="157"/>
      <c r="HXE6" s="157"/>
      <c r="HXF6" s="157"/>
      <c r="HXG6" s="157"/>
      <c r="HXH6" s="157"/>
      <c r="HXI6" s="157"/>
      <c r="HXJ6" s="157"/>
      <c r="HXK6" s="157"/>
      <c r="HXL6" s="157"/>
      <c r="HXM6" s="157"/>
      <c r="HXN6" s="157"/>
      <c r="HXO6" s="157"/>
      <c r="HXP6" s="157"/>
      <c r="HXQ6" s="157"/>
      <c r="HXR6" s="157"/>
      <c r="HXS6" s="157"/>
      <c r="HXT6" s="157"/>
      <c r="HXU6" s="157"/>
      <c r="HXV6" s="157"/>
      <c r="HXW6" s="157"/>
      <c r="HXX6" s="157"/>
      <c r="HXY6" s="157"/>
      <c r="HXZ6" s="157"/>
      <c r="HYA6" s="157"/>
      <c r="HYB6" s="157"/>
      <c r="HYC6" s="157"/>
      <c r="HYD6" s="157"/>
      <c r="HYE6" s="157"/>
      <c r="HYF6" s="157"/>
      <c r="HYG6" s="157"/>
      <c r="HYH6" s="157"/>
      <c r="HYI6" s="157"/>
      <c r="HYJ6" s="157"/>
      <c r="HYK6" s="157"/>
      <c r="HYL6" s="157"/>
      <c r="HYM6" s="157"/>
      <c r="HYN6" s="157"/>
      <c r="HYO6" s="157"/>
      <c r="HYP6" s="157"/>
      <c r="HYQ6" s="157"/>
      <c r="HYR6" s="157"/>
      <c r="HYS6" s="157"/>
      <c r="HYT6" s="157"/>
      <c r="HYU6" s="157"/>
      <c r="HYV6" s="157"/>
      <c r="HYW6" s="157"/>
      <c r="HYX6" s="157"/>
      <c r="HYY6" s="157"/>
      <c r="HYZ6" s="157"/>
      <c r="HZA6" s="157"/>
      <c r="HZB6" s="157"/>
      <c r="HZC6" s="157"/>
      <c r="HZD6" s="157"/>
      <c r="HZE6" s="157"/>
      <c r="HZF6" s="157"/>
      <c r="HZG6" s="157"/>
      <c r="HZH6" s="157"/>
      <c r="HZI6" s="157"/>
      <c r="HZJ6" s="157"/>
      <c r="HZK6" s="157"/>
      <c r="HZL6" s="157"/>
      <c r="HZM6" s="157"/>
      <c r="HZN6" s="157"/>
      <c r="HZO6" s="157"/>
      <c r="HZP6" s="157"/>
      <c r="HZQ6" s="157"/>
      <c r="HZR6" s="157"/>
      <c r="HZS6" s="157"/>
      <c r="HZT6" s="157"/>
      <c r="HZU6" s="157"/>
      <c r="HZV6" s="157"/>
      <c r="HZW6" s="157"/>
      <c r="HZX6" s="157"/>
      <c r="HZY6" s="157"/>
      <c r="HZZ6" s="157"/>
      <c r="IAA6" s="157"/>
      <c r="IAB6" s="157"/>
      <c r="IAC6" s="157"/>
      <c r="IAD6" s="157"/>
      <c r="IAE6" s="157"/>
      <c r="IAF6" s="157"/>
      <c r="IAG6" s="157"/>
      <c r="IAH6" s="157"/>
      <c r="IAI6" s="157"/>
      <c r="IAJ6" s="157"/>
      <c r="IAK6" s="157"/>
      <c r="IAL6" s="157"/>
      <c r="IAM6" s="157"/>
      <c r="IAN6" s="157"/>
      <c r="IAO6" s="157"/>
      <c r="IAP6" s="157"/>
      <c r="IAQ6" s="157"/>
      <c r="IAR6" s="157"/>
      <c r="IAS6" s="157"/>
      <c r="IAT6" s="157"/>
      <c r="IAU6" s="157"/>
      <c r="IAV6" s="157"/>
      <c r="IAW6" s="157"/>
      <c r="IAX6" s="157"/>
      <c r="IAY6" s="157"/>
      <c r="IAZ6" s="157"/>
      <c r="IBA6" s="157"/>
      <c r="IBB6" s="157"/>
      <c r="IBC6" s="157"/>
      <c r="IBD6" s="157"/>
      <c r="IBE6" s="157"/>
      <c r="IBF6" s="157"/>
      <c r="IBG6" s="157"/>
      <c r="IBH6" s="157"/>
      <c r="IBI6" s="157"/>
      <c r="IBJ6" s="157"/>
      <c r="IBK6" s="157"/>
      <c r="IBL6" s="157"/>
      <c r="IBM6" s="157"/>
      <c r="IBN6" s="157"/>
      <c r="IBO6" s="157"/>
      <c r="IBP6" s="157"/>
      <c r="IBQ6" s="157"/>
      <c r="IBR6" s="157"/>
      <c r="IBS6" s="157"/>
      <c r="IBT6" s="157"/>
      <c r="IBU6" s="157"/>
      <c r="IBV6" s="157"/>
      <c r="IBW6" s="157"/>
      <c r="IBX6" s="157"/>
      <c r="IBY6" s="157"/>
      <c r="IBZ6" s="157"/>
      <c r="ICA6" s="157"/>
      <c r="ICB6" s="157"/>
      <c r="ICC6" s="157"/>
      <c r="ICD6" s="157"/>
      <c r="ICE6" s="157"/>
      <c r="ICF6" s="157"/>
      <c r="ICG6" s="157"/>
      <c r="ICH6" s="157"/>
      <c r="ICI6" s="157"/>
      <c r="ICJ6" s="157"/>
      <c r="ICK6" s="157"/>
      <c r="ICL6" s="157"/>
      <c r="ICM6" s="157"/>
      <c r="ICN6" s="157"/>
      <c r="ICO6" s="157"/>
      <c r="ICP6" s="157"/>
      <c r="ICQ6" s="157"/>
      <c r="ICR6" s="157"/>
      <c r="ICS6" s="157"/>
      <c r="ICT6" s="157"/>
      <c r="ICU6" s="157"/>
      <c r="ICV6" s="157"/>
      <c r="ICW6" s="157"/>
      <c r="ICX6" s="157"/>
      <c r="ICY6" s="157"/>
      <c r="ICZ6" s="157"/>
      <c r="IDA6" s="157"/>
      <c r="IDB6" s="157"/>
      <c r="IDC6" s="157"/>
      <c r="IDD6" s="157"/>
      <c r="IDE6" s="157"/>
      <c r="IDF6" s="157"/>
      <c r="IDG6" s="157"/>
      <c r="IDH6" s="157"/>
      <c r="IDI6" s="157"/>
      <c r="IDJ6" s="157"/>
      <c r="IDK6" s="157"/>
      <c r="IDL6" s="157"/>
      <c r="IDM6" s="157"/>
      <c r="IDN6" s="157"/>
      <c r="IDO6" s="157"/>
      <c r="IDP6" s="157"/>
      <c r="IDQ6" s="157"/>
      <c r="IDR6" s="157"/>
      <c r="IDS6" s="157"/>
      <c r="IDT6" s="157"/>
      <c r="IDU6" s="157"/>
      <c r="IDV6" s="157"/>
      <c r="IDW6" s="157"/>
      <c r="IDX6" s="157"/>
      <c r="IDY6" s="157"/>
      <c r="IDZ6" s="157"/>
      <c r="IEA6" s="157"/>
      <c r="IEB6" s="157"/>
      <c r="IEC6" s="157"/>
      <c r="IED6" s="157"/>
      <c r="IEE6" s="157"/>
      <c r="IEF6" s="157"/>
      <c r="IEG6" s="157"/>
      <c r="IEH6" s="157"/>
      <c r="IEI6" s="157"/>
      <c r="IEJ6" s="157"/>
      <c r="IEK6" s="157"/>
      <c r="IEL6" s="157"/>
      <c r="IEM6" s="157"/>
      <c r="IEN6" s="157"/>
      <c r="IEO6" s="157"/>
      <c r="IEP6" s="157"/>
      <c r="IEQ6" s="157"/>
      <c r="IER6" s="157"/>
      <c r="IES6" s="157"/>
      <c r="IET6" s="157"/>
      <c r="IEU6" s="157"/>
      <c r="IEV6" s="157"/>
      <c r="IEW6" s="157"/>
      <c r="IEX6" s="157"/>
      <c r="IEY6" s="157"/>
      <c r="IEZ6" s="157"/>
      <c r="IFA6" s="157"/>
      <c r="IFB6" s="157"/>
      <c r="IFC6" s="157"/>
      <c r="IFD6" s="157"/>
      <c r="IFE6" s="157"/>
      <c r="IFF6" s="157"/>
      <c r="IFG6" s="157"/>
      <c r="IFH6" s="157"/>
      <c r="IFI6" s="157"/>
      <c r="IFJ6" s="157"/>
      <c r="IFK6" s="157"/>
      <c r="IFL6" s="157"/>
      <c r="IFM6" s="157"/>
      <c r="IFN6" s="157"/>
      <c r="IFO6" s="157"/>
      <c r="IFP6" s="157"/>
      <c r="IFQ6" s="157"/>
      <c r="IFR6" s="157"/>
      <c r="IFS6" s="157"/>
      <c r="IFT6" s="157"/>
      <c r="IFU6" s="157"/>
      <c r="IFV6" s="157"/>
      <c r="IFW6" s="157"/>
      <c r="IFX6" s="157"/>
      <c r="IFY6" s="157"/>
      <c r="IFZ6" s="157"/>
      <c r="IGA6" s="157"/>
      <c r="IGB6" s="157"/>
      <c r="IGC6" s="157"/>
      <c r="IGD6" s="157"/>
      <c r="IGE6" s="157"/>
      <c r="IGF6" s="157"/>
      <c r="IGG6" s="157"/>
      <c r="IGH6" s="157"/>
      <c r="IGI6" s="157"/>
      <c r="IGJ6" s="157"/>
      <c r="IGK6" s="157"/>
      <c r="IGL6" s="157"/>
      <c r="IGM6" s="157"/>
      <c r="IGN6" s="157"/>
      <c r="IGO6" s="157"/>
      <c r="IGP6" s="157"/>
      <c r="IGQ6" s="157"/>
      <c r="IGR6" s="157"/>
      <c r="IGS6" s="157"/>
      <c r="IGT6" s="157"/>
      <c r="IGU6" s="157"/>
      <c r="IGV6" s="157"/>
      <c r="IGW6" s="157"/>
      <c r="IGX6" s="157"/>
      <c r="IGY6" s="157"/>
      <c r="IGZ6" s="157"/>
      <c r="IHA6" s="157"/>
      <c r="IHB6" s="157"/>
      <c r="IHC6" s="157"/>
      <c r="IHD6" s="157"/>
      <c r="IHE6" s="157"/>
      <c r="IHF6" s="157"/>
      <c r="IHG6" s="157"/>
      <c r="IHH6" s="157"/>
      <c r="IHI6" s="157"/>
      <c r="IHJ6" s="157"/>
      <c r="IHK6" s="157"/>
      <c r="IHL6" s="157"/>
      <c r="IHM6" s="157"/>
      <c r="IHN6" s="157"/>
      <c r="IHO6" s="157"/>
      <c r="IHP6" s="157"/>
      <c r="IHQ6" s="157"/>
      <c r="IHR6" s="157"/>
      <c r="IHS6" s="157"/>
      <c r="IHT6" s="157"/>
      <c r="IHU6" s="157"/>
      <c r="IHV6" s="157"/>
      <c r="IHW6" s="157"/>
      <c r="IHX6" s="157"/>
      <c r="IHY6" s="157"/>
      <c r="IHZ6" s="157"/>
      <c r="IIA6" s="157"/>
      <c r="IIB6" s="157"/>
      <c r="IIC6" s="157"/>
      <c r="IID6" s="157"/>
      <c r="IIE6" s="157"/>
      <c r="IIF6" s="157"/>
      <c r="IIG6" s="157"/>
      <c r="IIH6" s="157"/>
      <c r="III6" s="157"/>
      <c r="IIJ6" s="157"/>
      <c r="IIK6" s="157"/>
      <c r="IIL6" s="157"/>
      <c r="IIM6" s="157"/>
      <c r="IIN6" s="157"/>
      <c r="IIO6" s="157"/>
      <c r="IIP6" s="157"/>
      <c r="IIQ6" s="157"/>
      <c r="IIR6" s="157"/>
      <c r="IIS6" s="157"/>
      <c r="IIT6" s="157"/>
      <c r="IIU6" s="157"/>
      <c r="IIV6" s="157"/>
      <c r="IIW6" s="157"/>
      <c r="IIX6" s="157"/>
      <c r="IIY6" s="157"/>
      <c r="IIZ6" s="157"/>
      <c r="IJA6" s="157"/>
      <c r="IJB6" s="157"/>
      <c r="IJC6" s="157"/>
      <c r="IJD6" s="157"/>
      <c r="IJE6" s="157"/>
      <c r="IJF6" s="157"/>
      <c r="IJG6" s="157"/>
      <c r="IJH6" s="157"/>
      <c r="IJI6" s="157"/>
      <c r="IJJ6" s="157"/>
      <c r="IJK6" s="157"/>
      <c r="IJL6" s="157"/>
      <c r="IJM6" s="157"/>
      <c r="IJN6" s="157"/>
      <c r="IJO6" s="157"/>
      <c r="IJP6" s="157"/>
      <c r="IJQ6" s="157"/>
      <c r="IJR6" s="157"/>
      <c r="IJS6" s="157"/>
      <c r="IJT6" s="157"/>
      <c r="IJU6" s="157"/>
      <c r="IJV6" s="157"/>
      <c r="IJW6" s="157"/>
      <c r="IJX6" s="157"/>
      <c r="IJY6" s="157"/>
      <c r="IJZ6" s="157"/>
      <c r="IKA6" s="157"/>
      <c r="IKB6" s="157"/>
      <c r="IKC6" s="157"/>
      <c r="IKD6" s="157"/>
      <c r="IKE6" s="157"/>
      <c r="IKF6" s="157"/>
      <c r="IKG6" s="157"/>
      <c r="IKH6" s="157"/>
      <c r="IKI6" s="157"/>
      <c r="IKJ6" s="157"/>
      <c r="IKK6" s="157"/>
      <c r="IKL6" s="157"/>
      <c r="IKM6" s="157"/>
      <c r="IKN6" s="157"/>
      <c r="IKO6" s="157"/>
      <c r="IKP6" s="157"/>
      <c r="IKQ6" s="157"/>
      <c r="IKR6" s="157"/>
      <c r="IKS6" s="157"/>
      <c r="IKT6" s="157"/>
      <c r="IKU6" s="157"/>
      <c r="IKV6" s="157"/>
      <c r="IKW6" s="157"/>
      <c r="IKX6" s="157"/>
      <c r="IKY6" s="157"/>
      <c r="IKZ6" s="157"/>
      <c r="ILA6" s="157"/>
      <c r="ILB6" s="157"/>
      <c r="ILC6" s="157"/>
      <c r="ILD6" s="157"/>
      <c r="ILE6" s="157"/>
      <c r="ILF6" s="157"/>
      <c r="ILG6" s="157"/>
      <c r="ILH6" s="157"/>
      <c r="ILI6" s="157"/>
      <c r="ILJ6" s="157"/>
      <c r="ILK6" s="157"/>
      <c r="ILL6" s="157"/>
      <c r="ILM6" s="157"/>
      <c r="ILN6" s="157"/>
      <c r="ILO6" s="157"/>
      <c r="ILP6" s="157"/>
      <c r="ILQ6" s="157"/>
      <c r="ILR6" s="157"/>
      <c r="ILS6" s="157"/>
      <c r="ILT6" s="157"/>
      <c r="ILU6" s="157"/>
      <c r="ILV6" s="157"/>
      <c r="ILW6" s="157"/>
      <c r="ILX6" s="157"/>
      <c r="ILY6" s="157"/>
      <c r="ILZ6" s="157"/>
      <c r="IMA6" s="157"/>
      <c r="IMB6" s="157"/>
      <c r="IMC6" s="157"/>
      <c r="IMD6" s="157"/>
      <c r="IME6" s="157"/>
      <c r="IMF6" s="157"/>
      <c r="IMG6" s="157"/>
      <c r="IMH6" s="157"/>
      <c r="IMI6" s="157"/>
      <c r="IMJ6" s="157"/>
      <c r="IMK6" s="157"/>
      <c r="IML6" s="157"/>
      <c r="IMM6" s="157"/>
      <c r="IMN6" s="157"/>
      <c r="IMO6" s="157"/>
      <c r="IMP6" s="157"/>
      <c r="IMQ6" s="157"/>
      <c r="IMR6" s="157"/>
      <c r="IMS6" s="157"/>
      <c r="IMT6" s="157"/>
      <c r="IMU6" s="157"/>
      <c r="IMV6" s="157"/>
      <c r="IMW6" s="157"/>
      <c r="IMX6" s="157"/>
      <c r="IMY6" s="157"/>
      <c r="IMZ6" s="157"/>
      <c r="INA6" s="157"/>
      <c r="INB6" s="157"/>
      <c r="INC6" s="157"/>
      <c r="IND6" s="157"/>
      <c r="INE6" s="157"/>
      <c r="INF6" s="157"/>
      <c r="ING6" s="157"/>
      <c r="INH6" s="157"/>
      <c r="INI6" s="157"/>
      <c r="INJ6" s="157"/>
      <c r="INK6" s="157"/>
      <c r="INL6" s="157"/>
      <c r="INM6" s="157"/>
      <c r="INN6" s="157"/>
      <c r="INO6" s="157"/>
      <c r="INP6" s="157"/>
      <c r="INQ6" s="157"/>
      <c r="INR6" s="157"/>
      <c r="INS6" s="157"/>
      <c r="INT6" s="157"/>
      <c r="INU6" s="157"/>
      <c r="INV6" s="157"/>
      <c r="INW6" s="157"/>
      <c r="INX6" s="157"/>
      <c r="INY6" s="157"/>
      <c r="INZ6" s="157"/>
      <c r="IOA6" s="157"/>
      <c r="IOB6" s="157"/>
      <c r="IOC6" s="157"/>
      <c r="IOD6" s="157"/>
      <c r="IOE6" s="157"/>
      <c r="IOF6" s="157"/>
      <c r="IOG6" s="157"/>
      <c r="IOH6" s="157"/>
      <c r="IOI6" s="157"/>
      <c r="IOJ6" s="157"/>
      <c r="IOK6" s="157"/>
      <c r="IOL6" s="157"/>
      <c r="IOM6" s="157"/>
      <c r="ION6" s="157"/>
      <c r="IOO6" s="157"/>
      <c r="IOP6" s="157"/>
      <c r="IOQ6" s="157"/>
      <c r="IOR6" s="157"/>
      <c r="IOS6" s="157"/>
      <c r="IOT6" s="157"/>
      <c r="IOU6" s="157"/>
      <c r="IOV6" s="157"/>
      <c r="IOW6" s="157"/>
      <c r="IOX6" s="157"/>
      <c r="IOY6" s="157"/>
      <c r="IOZ6" s="157"/>
      <c r="IPA6" s="157"/>
      <c r="IPB6" s="157"/>
      <c r="IPC6" s="157"/>
      <c r="IPD6" s="157"/>
      <c r="IPE6" s="157"/>
      <c r="IPF6" s="157"/>
      <c r="IPG6" s="157"/>
      <c r="IPH6" s="157"/>
      <c r="IPI6" s="157"/>
      <c r="IPJ6" s="157"/>
      <c r="IPK6" s="157"/>
      <c r="IPL6" s="157"/>
      <c r="IPM6" s="157"/>
      <c r="IPN6" s="157"/>
      <c r="IPO6" s="157"/>
      <c r="IPP6" s="157"/>
      <c r="IPQ6" s="157"/>
      <c r="IPR6" s="157"/>
      <c r="IPS6" s="157"/>
      <c r="IPT6" s="157"/>
      <c r="IPU6" s="157"/>
      <c r="IPV6" s="157"/>
      <c r="IPW6" s="157"/>
      <c r="IPX6" s="157"/>
      <c r="IPY6" s="157"/>
      <c r="IPZ6" s="157"/>
      <c r="IQA6" s="157"/>
      <c r="IQB6" s="157"/>
      <c r="IQC6" s="157"/>
      <c r="IQD6" s="157"/>
      <c r="IQE6" s="157"/>
      <c r="IQF6" s="157"/>
      <c r="IQG6" s="157"/>
      <c r="IQH6" s="157"/>
      <c r="IQI6" s="157"/>
      <c r="IQJ6" s="157"/>
      <c r="IQK6" s="157"/>
      <c r="IQL6" s="157"/>
      <c r="IQM6" s="157"/>
      <c r="IQN6" s="157"/>
      <c r="IQO6" s="157"/>
      <c r="IQP6" s="157"/>
      <c r="IQQ6" s="157"/>
      <c r="IQR6" s="157"/>
      <c r="IQS6" s="157"/>
      <c r="IQT6" s="157"/>
      <c r="IQU6" s="157"/>
      <c r="IQV6" s="157"/>
      <c r="IQW6" s="157"/>
      <c r="IQX6" s="157"/>
      <c r="IQY6" s="157"/>
      <c r="IQZ6" s="157"/>
      <c r="IRA6" s="157"/>
      <c r="IRB6" s="157"/>
      <c r="IRC6" s="157"/>
      <c r="IRD6" s="157"/>
      <c r="IRE6" s="157"/>
      <c r="IRF6" s="157"/>
      <c r="IRG6" s="157"/>
      <c r="IRH6" s="157"/>
      <c r="IRI6" s="157"/>
      <c r="IRJ6" s="157"/>
      <c r="IRK6" s="157"/>
      <c r="IRL6" s="157"/>
      <c r="IRM6" s="157"/>
      <c r="IRN6" s="157"/>
      <c r="IRO6" s="157"/>
      <c r="IRP6" s="157"/>
      <c r="IRQ6" s="157"/>
      <c r="IRR6" s="157"/>
      <c r="IRS6" s="157"/>
      <c r="IRT6" s="157"/>
      <c r="IRU6" s="157"/>
      <c r="IRV6" s="157"/>
      <c r="IRW6" s="157"/>
      <c r="IRX6" s="157"/>
      <c r="IRY6" s="157"/>
      <c r="IRZ6" s="157"/>
      <c r="ISA6" s="157"/>
      <c r="ISB6" s="157"/>
      <c r="ISC6" s="157"/>
      <c r="ISD6" s="157"/>
      <c r="ISE6" s="157"/>
      <c r="ISF6" s="157"/>
      <c r="ISG6" s="157"/>
      <c r="ISH6" s="157"/>
      <c r="ISI6" s="157"/>
      <c r="ISJ6" s="157"/>
      <c r="ISK6" s="157"/>
      <c r="ISL6" s="157"/>
      <c r="ISM6" s="157"/>
      <c r="ISN6" s="157"/>
      <c r="ISO6" s="157"/>
      <c r="ISP6" s="157"/>
      <c r="ISQ6" s="157"/>
      <c r="ISR6" s="157"/>
      <c r="ISS6" s="157"/>
      <c r="IST6" s="157"/>
      <c r="ISU6" s="157"/>
      <c r="ISV6" s="157"/>
      <c r="ISW6" s="157"/>
      <c r="ISX6" s="157"/>
      <c r="ISY6" s="157"/>
      <c r="ISZ6" s="157"/>
      <c r="ITA6" s="157"/>
      <c r="ITB6" s="157"/>
      <c r="ITC6" s="157"/>
      <c r="ITD6" s="157"/>
      <c r="ITE6" s="157"/>
      <c r="ITF6" s="157"/>
      <c r="ITG6" s="157"/>
      <c r="ITH6" s="157"/>
      <c r="ITI6" s="157"/>
      <c r="ITJ6" s="157"/>
      <c r="ITK6" s="157"/>
      <c r="ITL6" s="157"/>
      <c r="ITM6" s="157"/>
      <c r="ITN6" s="157"/>
      <c r="ITO6" s="157"/>
      <c r="ITP6" s="157"/>
      <c r="ITQ6" s="157"/>
      <c r="ITR6" s="157"/>
      <c r="ITS6" s="157"/>
      <c r="ITT6" s="157"/>
      <c r="ITU6" s="157"/>
      <c r="ITV6" s="157"/>
      <c r="ITW6" s="157"/>
      <c r="ITX6" s="157"/>
      <c r="ITY6" s="157"/>
      <c r="ITZ6" s="157"/>
      <c r="IUA6" s="157"/>
      <c r="IUB6" s="157"/>
      <c r="IUC6" s="157"/>
      <c r="IUD6" s="157"/>
      <c r="IUE6" s="157"/>
      <c r="IUF6" s="157"/>
      <c r="IUG6" s="157"/>
      <c r="IUH6" s="157"/>
      <c r="IUI6" s="157"/>
      <c r="IUJ6" s="157"/>
      <c r="IUK6" s="157"/>
      <c r="IUL6" s="157"/>
      <c r="IUM6" s="157"/>
      <c r="IUN6" s="157"/>
      <c r="IUO6" s="157"/>
      <c r="IUP6" s="157"/>
      <c r="IUQ6" s="157"/>
      <c r="IUR6" s="157"/>
      <c r="IUS6" s="157"/>
      <c r="IUT6" s="157"/>
      <c r="IUU6" s="157"/>
      <c r="IUV6" s="157"/>
      <c r="IUW6" s="157"/>
      <c r="IUX6" s="157"/>
      <c r="IUY6" s="157"/>
      <c r="IUZ6" s="157"/>
      <c r="IVA6" s="157"/>
      <c r="IVB6" s="157"/>
      <c r="IVC6" s="157"/>
      <c r="IVD6" s="157"/>
      <c r="IVE6" s="157"/>
      <c r="IVF6" s="157"/>
      <c r="IVG6" s="157"/>
      <c r="IVH6" s="157"/>
      <c r="IVI6" s="157"/>
      <c r="IVJ6" s="157"/>
      <c r="IVK6" s="157"/>
      <c r="IVL6" s="157"/>
      <c r="IVM6" s="157"/>
      <c r="IVN6" s="157"/>
      <c r="IVO6" s="157"/>
      <c r="IVP6" s="157"/>
      <c r="IVQ6" s="157"/>
      <c r="IVR6" s="157"/>
      <c r="IVS6" s="157"/>
      <c r="IVT6" s="157"/>
      <c r="IVU6" s="157"/>
      <c r="IVV6" s="157"/>
      <c r="IVW6" s="157"/>
      <c r="IVX6" s="157"/>
      <c r="IVY6" s="157"/>
      <c r="IVZ6" s="157"/>
      <c r="IWA6" s="157"/>
      <c r="IWB6" s="157"/>
      <c r="IWC6" s="157"/>
      <c r="IWD6" s="157"/>
      <c r="IWE6" s="157"/>
      <c r="IWF6" s="157"/>
      <c r="IWG6" s="157"/>
      <c r="IWH6" s="157"/>
      <c r="IWI6" s="157"/>
      <c r="IWJ6" s="157"/>
      <c r="IWK6" s="157"/>
      <c r="IWL6" s="157"/>
      <c r="IWM6" s="157"/>
      <c r="IWN6" s="157"/>
      <c r="IWO6" s="157"/>
      <c r="IWP6" s="157"/>
      <c r="IWQ6" s="157"/>
      <c r="IWR6" s="157"/>
      <c r="IWS6" s="157"/>
      <c r="IWT6" s="157"/>
      <c r="IWU6" s="157"/>
      <c r="IWV6" s="157"/>
      <c r="IWW6" s="157"/>
      <c r="IWX6" s="157"/>
      <c r="IWY6" s="157"/>
      <c r="IWZ6" s="157"/>
      <c r="IXA6" s="157"/>
      <c r="IXB6" s="157"/>
      <c r="IXC6" s="157"/>
      <c r="IXD6" s="157"/>
      <c r="IXE6" s="157"/>
      <c r="IXF6" s="157"/>
      <c r="IXG6" s="157"/>
      <c r="IXH6" s="157"/>
      <c r="IXI6" s="157"/>
      <c r="IXJ6" s="157"/>
      <c r="IXK6" s="157"/>
      <c r="IXL6" s="157"/>
      <c r="IXM6" s="157"/>
      <c r="IXN6" s="157"/>
      <c r="IXO6" s="157"/>
      <c r="IXP6" s="157"/>
      <c r="IXQ6" s="157"/>
      <c r="IXR6" s="157"/>
      <c r="IXS6" s="157"/>
      <c r="IXT6" s="157"/>
      <c r="IXU6" s="157"/>
      <c r="IXV6" s="157"/>
      <c r="IXW6" s="157"/>
      <c r="IXX6" s="157"/>
      <c r="IXY6" s="157"/>
      <c r="IXZ6" s="157"/>
      <c r="IYA6" s="157"/>
      <c r="IYB6" s="157"/>
      <c r="IYC6" s="157"/>
      <c r="IYD6" s="157"/>
      <c r="IYE6" s="157"/>
      <c r="IYF6" s="157"/>
      <c r="IYG6" s="157"/>
      <c r="IYH6" s="157"/>
      <c r="IYI6" s="157"/>
      <c r="IYJ6" s="157"/>
      <c r="IYK6" s="157"/>
      <c r="IYL6" s="157"/>
      <c r="IYM6" s="157"/>
      <c r="IYN6" s="157"/>
      <c r="IYO6" s="157"/>
      <c r="IYP6" s="157"/>
      <c r="IYQ6" s="157"/>
      <c r="IYR6" s="157"/>
      <c r="IYS6" s="157"/>
      <c r="IYT6" s="157"/>
      <c r="IYU6" s="157"/>
      <c r="IYV6" s="157"/>
      <c r="IYW6" s="157"/>
      <c r="IYX6" s="157"/>
      <c r="IYY6" s="157"/>
      <c r="IYZ6" s="157"/>
      <c r="IZA6" s="157"/>
      <c r="IZB6" s="157"/>
      <c r="IZC6" s="157"/>
      <c r="IZD6" s="157"/>
      <c r="IZE6" s="157"/>
      <c r="IZF6" s="157"/>
      <c r="IZG6" s="157"/>
      <c r="IZH6" s="157"/>
      <c r="IZI6" s="157"/>
      <c r="IZJ6" s="157"/>
      <c r="IZK6" s="157"/>
      <c r="IZL6" s="157"/>
      <c r="IZM6" s="157"/>
      <c r="IZN6" s="157"/>
      <c r="IZO6" s="157"/>
      <c r="IZP6" s="157"/>
      <c r="IZQ6" s="157"/>
      <c r="IZR6" s="157"/>
      <c r="IZS6" s="157"/>
      <c r="IZT6" s="157"/>
      <c r="IZU6" s="157"/>
      <c r="IZV6" s="157"/>
      <c r="IZW6" s="157"/>
      <c r="IZX6" s="157"/>
      <c r="IZY6" s="157"/>
      <c r="IZZ6" s="157"/>
      <c r="JAA6" s="157"/>
      <c r="JAB6" s="157"/>
      <c r="JAC6" s="157"/>
      <c r="JAD6" s="157"/>
      <c r="JAE6" s="157"/>
      <c r="JAF6" s="157"/>
      <c r="JAG6" s="157"/>
      <c r="JAH6" s="157"/>
      <c r="JAI6" s="157"/>
      <c r="JAJ6" s="157"/>
      <c r="JAK6" s="157"/>
      <c r="JAL6" s="157"/>
      <c r="JAM6" s="157"/>
      <c r="JAN6" s="157"/>
      <c r="JAO6" s="157"/>
      <c r="JAP6" s="157"/>
      <c r="JAQ6" s="157"/>
      <c r="JAR6" s="157"/>
      <c r="JAS6" s="157"/>
      <c r="JAT6" s="157"/>
      <c r="JAU6" s="157"/>
      <c r="JAV6" s="157"/>
      <c r="JAW6" s="157"/>
      <c r="JAX6" s="157"/>
      <c r="JAY6" s="157"/>
      <c r="JAZ6" s="157"/>
      <c r="JBA6" s="157"/>
      <c r="JBB6" s="157"/>
      <c r="JBC6" s="157"/>
      <c r="JBD6" s="157"/>
      <c r="JBE6" s="157"/>
      <c r="JBF6" s="157"/>
      <c r="JBG6" s="157"/>
      <c r="JBH6" s="157"/>
      <c r="JBI6" s="157"/>
      <c r="JBJ6" s="157"/>
      <c r="JBK6" s="157"/>
      <c r="JBL6" s="157"/>
      <c r="JBM6" s="157"/>
      <c r="JBN6" s="157"/>
      <c r="JBO6" s="157"/>
      <c r="JBP6" s="157"/>
      <c r="JBQ6" s="157"/>
      <c r="JBR6" s="157"/>
      <c r="JBS6" s="157"/>
      <c r="JBT6" s="157"/>
      <c r="JBU6" s="157"/>
      <c r="JBV6" s="157"/>
      <c r="JBW6" s="157"/>
      <c r="JBX6" s="157"/>
      <c r="JBY6" s="157"/>
      <c r="JBZ6" s="157"/>
      <c r="JCA6" s="157"/>
      <c r="JCB6" s="157"/>
      <c r="JCC6" s="157"/>
      <c r="JCD6" s="157"/>
      <c r="JCE6" s="157"/>
      <c r="JCF6" s="157"/>
      <c r="JCG6" s="157"/>
      <c r="JCH6" s="157"/>
      <c r="JCI6" s="157"/>
      <c r="JCJ6" s="157"/>
      <c r="JCK6" s="157"/>
      <c r="JCL6" s="157"/>
      <c r="JCM6" s="157"/>
      <c r="JCN6" s="157"/>
      <c r="JCO6" s="157"/>
      <c r="JCP6" s="157"/>
      <c r="JCQ6" s="157"/>
      <c r="JCR6" s="157"/>
      <c r="JCS6" s="157"/>
      <c r="JCT6" s="157"/>
      <c r="JCU6" s="157"/>
      <c r="JCV6" s="157"/>
      <c r="JCW6" s="157"/>
      <c r="JCX6" s="157"/>
      <c r="JCY6" s="157"/>
      <c r="JCZ6" s="157"/>
      <c r="JDA6" s="157"/>
      <c r="JDB6" s="157"/>
      <c r="JDC6" s="157"/>
      <c r="JDD6" s="157"/>
      <c r="JDE6" s="157"/>
      <c r="JDF6" s="157"/>
      <c r="JDG6" s="157"/>
      <c r="JDH6" s="157"/>
      <c r="JDI6" s="157"/>
      <c r="JDJ6" s="157"/>
      <c r="JDK6" s="157"/>
      <c r="JDL6" s="157"/>
      <c r="JDM6" s="157"/>
      <c r="JDN6" s="157"/>
      <c r="JDO6" s="157"/>
      <c r="JDP6" s="157"/>
      <c r="JDQ6" s="157"/>
      <c r="JDR6" s="157"/>
      <c r="JDS6" s="157"/>
      <c r="JDT6" s="157"/>
      <c r="JDU6" s="157"/>
      <c r="JDV6" s="157"/>
      <c r="JDW6" s="157"/>
      <c r="JDX6" s="157"/>
      <c r="JDY6" s="157"/>
      <c r="JDZ6" s="157"/>
      <c r="JEA6" s="157"/>
      <c r="JEB6" s="157"/>
      <c r="JEC6" s="157"/>
      <c r="JED6" s="157"/>
      <c r="JEE6" s="157"/>
      <c r="JEF6" s="157"/>
      <c r="JEG6" s="157"/>
      <c r="JEH6" s="157"/>
      <c r="JEI6" s="157"/>
      <c r="JEJ6" s="157"/>
      <c r="JEK6" s="157"/>
      <c r="JEL6" s="157"/>
      <c r="JEM6" s="157"/>
      <c r="JEN6" s="157"/>
      <c r="JEO6" s="157"/>
      <c r="JEP6" s="157"/>
      <c r="JEQ6" s="157"/>
      <c r="JER6" s="157"/>
      <c r="JES6" s="157"/>
      <c r="JET6" s="157"/>
      <c r="JEU6" s="157"/>
      <c r="JEV6" s="157"/>
      <c r="JEW6" s="157"/>
      <c r="JEX6" s="157"/>
      <c r="JEY6" s="157"/>
      <c r="JEZ6" s="157"/>
      <c r="JFA6" s="157"/>
      <c r="JFB6" s="157"/>
      <c r="JFC6" s="157"/>
      <c r="JFD6" s="157"/>
      <c r="JFE6" s="157"/>
      <c r="JFF6" s="157"/>
      <c r="JFG6" s="157"/>
      <c r="JFH6" s="157"/>
      <c r="JFI6" s="157"/>
      <c r="JFJ6" s="157"/>
      <c r="JFK6" s="157"/>
      <c r="JFL6" s="157"/>
      <c r="JFM6" s="157"/>
      <c r="JFN6" s="157"/>
      <c r="JFO6" s="157"/>
      <c r="JFP6" s="157"/>
      <c r="JFQ6" s="157"/>
      <c r="JFR6" s="157"/>
      <c r="JFS6" s="157"/>
      <c r="JFT6" s="157"/>
      <c r="JFU6" s="157"/>
      <c r="JFV6" s="157"/>
      <c r="JFW6" s="157"/>
      <c r="JFX6" s="157"/>
      <c r="JFY6" s="157"/>
      <c r="JFZ6" s="157"/>
      <c r="JGA6" s="157"/>
      <c r="JGB6" s="157"/>
      <c r="JGC6" s="157"/>
      <c r="JGD6" s="157"/>
      <c r="JGE6" s="157"/>
      <c r="JGF6" s="157"/>
      <c r="JGG6" s="157"/>
      <c r="JGH6" s="157"/>
      <c r="JGI6" s="157"/>
      <c r="JGJ6" s="157"/>
      <c r="JGK6" s="157"/>
      <c r="JGL6" s="157"/>
      <c r="JGM6" s="157"/>
      <c r="JGN6" s="157"/>
      <c r="JGO6" s="157"/>
      <c r="JGP6" s="157"/>
      <c r="JGQ6" s="157"/>
      <c r="JGR6" s="157"/>
      <c r="JGS6" s="157"/>
      <c r="JGT6" s="157"/>
      <c r="JGU6" s="157"/>
      <c r="JGV6" s="157"/>
      <c r="JGW6" s="157"/>
      <c r="JGX6" s="157"/>
      <c r="JGY6" s="157"/>
      <c r="JGZ6" s="157"/>
      <c r="JHA6" s="157"/>
      <c r="JHB6" s="157"/>
      <c r="JHC6" s="157"/>
      <c r="JHD6" s="157"/>
      <c r="JHE6" s="157"/>
      <c r="JHF6" s="157"/>
      <c r="JHG6" s="157"/>
      <c r="JHH6" s="157"/>
      <c r="JHI6" s="157"/>
      <c r="JHJ6" s="157"/>
      <c r="JHK6" s="157"/>
      <c r="JHL6" s="157"/>
      <c r="JHM6" s="157"/>
      <c r="JHN6" s="157"/>
      <c r="JHO6" s="157"/>
      <c r="JHP6" s="157"/>
      <c r="JHQ6" s="157"/>
      <c r="JHR6" s="157"/>
      <c r="JHS6" s="157"/>
      <c r="JHT6" s="157"/>
      <c r="JHU6" s="157"/>
      <c r="JHV6" s="157"/>
      <c r="JHW6" s="157"/>
      <c r="JHX6" s="157"/>
      <c r="JHY6" s="157"/>
      <c r="JHZ6" s="157"/>
      <c r="JIA6" s="157"/>
      <c r="JIB6" s="157"/>
      <c r="JIC6" s="157"/>
      <c r="JID6" s="157"/>
      <c r="JIE6" s="157"/>
      <c r="JIF6" s="157"/>
      <c r="JIG6" s="157"/>
      <c r="JIH6" s="157"/>
      <c r="JII6" s="157"/>
      <c r="JIJ6" s="157"/>
      <c r="JIK6" s="157"/>
      <c r="JIL6" s="157"/>
      <c r="JIM6" s="157"/>
      <c r="JIN6" s="157"/>
      <c r="JIO6" s="157"/>
      <c r="JIP6" s="157"/>
      <c r="JIQ6" s="157"/>
      <c r="JIR6" s="157"/>
      <c r="JIS6" s="157"/>
      <c r="JIT6" s="157"/>
      <c r="JIU6" s="157"/>
      <c r="JIV6" s="157"/>
      <c r="JIW6" s="157"/>
      <c r="JIX6" s="157"/>
      <c r="JIY6" s="157"/>
      <c r="JIZ6" s="157"/>
      <c r="JJA6" s="157"/>
      <c r="JJB6" s="157"/>
      <c r="JJC6" s="157"/>
      <c r="JJD6" s="157"/>
      <c r="JJE6" s="157"/>
      <c r="JJF6" s="157"/>
      <c r="JJG6" s="157"/>
      <c r="JJH6" s="157"/>
      <c r="JJI6" s="157"/>
      <c r="JJJ6" s="157"/>
      <c r="JJK6" s="157"/>
      <c r="JJL6" s="157"/>
      <c r="JJM6" s="157"/>
      <c r="JJN6" s="157"/>
      <c r="JJO6" s="157"/>
      <c r="JJP6" s="157"/>
      <c r="JJQ6" s="157"/>
      <c r="JJR6" s="157"/>
      <c r="JJS6" s="157"/>
      <c r="JJT6" s="157"/>
      <c r="JJU6" s="157"/>
      <c r="JJV6" s="157"/>
      <c r="JJW6" s="157"/>
      <c r="JJX6" s="157"/>
      <c r="JJY6" s="157"/>
      <c r="JJZ6" s="157"/>
      <c r="JKA6" s="157"/>
      <c r="JKB6" s="157"/>
      <c r="JKC6" s="157"/>
      <c r="JKD6" s="157"/>
      <c r="JKE6" s="157"/>
      <c r="JKF6" s="157"/>
      <c r="JKG6" s="157"/>
      <c r="JKH6" s="157"/>
      <c r="JKI6" s="157"/>
      <c r="JKJ6" s="157"/>
      <c r="JKK6" s="157"/>
      <c r="JKL6" s="157"/>
      <c r="JKM6" s="157"/>
      <c r="JKN6" s="157"/>
      <c r="JKO6" s="157"/>
      <c r="JKP6" s="157"/>
      <c r="JKQ6" s="157"/>
      <c r="JKR6" s="157"/>
      <c r="JKS6" s="157"/>
      <c r="JKT6" s="157"/>
      <c r="JKU6" s="157"/>
      <c r="JKV6" s="157"/>
      <c r="JKW6" s="157"/>
      <c r="JKX6" s="157"/>
      <c r="JKY6" s="157"/>
      <c r="JKZ6" s="157"/>
      <c r="JLA6" s="157"/>
      <c r="JLB6" s="157"/>
      <c r="JLC6" s="157"/>
      <c r="JLD6" s="157"/>
      <c r="JLE6" s="157"/>
      <c r="JLF6" s="157"/>
      <c r="JLG6" s="157"/>
      <c r="JLH6" s="157"/>
      <c r="JLI6" s="157"/>
      <c r="JLJ6" s="157"/>
      <c r="JLK6" s="157"/>
      <c r="JLL6" s="157"/>
      <c r="JLM6" s="157"/>
      <c r="JLN6" s="157"/>
      <c r="JLO6" s="157"/>
      <c r="JLP6" s="157"/>
      <c r="JLQ6" s="157"/>
      <c r="JLR6" s="157"/>
      <c r="JLS6" s="157"/>
      <c r="JLT6" s="157"/>
      <c r="JLU6" s="157"/>
      <c r="JLV6" s="157"/>
      <c r="JLW6" s="157"/>
      <c r="JLX6" s="157"/>
      <c r="JLY6" s="157"/>
      <c r="JLZ6" s="157"/>
      <c r="JMA6" s="157"/>
      <c r="JMB6" s="157"/>
      <c r="JMC6" s="157"/>
      <c r="JMD6" s="157"/>
      <c r="JME6" s="157"/>
      <c r="JMF6" s="157"/>
      <c r="JMG6" s="157"/>
      <c r="JMH6" s="157"/>
      <c r="JMI6" s="157"/>
      <c r="JMJ6" s="157"/>
      <c r="JMK6" s="157"/>
      <c r="JML6" s="157"/>
      <c r="JMM6" s="157"/>
      <c r="JMN6" s="157"/>
      <c r="JMO6" s="157"/>
      <c r="JMP6" s="157"/>
      <c r="JMQ6" s="157"/>
      <c r="JMR6" s="157"/>
      <c r="JMS6" s="157"/>
      <c r="JMT6" s="157"/>
      <c r="JMU6" s="157"/>
      <c r="JMV6" s="157"/>
      <c r="JMW6" s="157"/>
      <c r="JMX6" s="157"/>
      <c r="JMY6" s="157"/>
      <c r="JMZ6" s="157"/>
      <c r="JNA6" s="157"/>
      <c r="JNB6" s="157"/>
      <c r="JNC6" s="157"/>
      <c r="JND6" s="157"/>
      <c r="JNE6" s="157"/>
      <c r="JNF6" s="157"/>
      <c r="JNG6" s="157"/>
      <c r="JNH6" s="157"/>
      <c r="JNI6" s="157"/>
      <c r="JNJ6" s="157"/>
      <c r="JNK6" s="157"/>
      <c r="JNL6" s="157"/>
      <c r="JNM6" s="157"/>
      <c r="JNN6" s="157"/>
      <c r="JNO6" s="157"/>
      <c r="JNP6" s="157"/>
      <c r="JNQ6" s="157"/>
      <c r="JNR6" s="157"/>
      <c r="JNS6" s="157"/>
      <c r="JNT6" s="157"/>
      <c r="JNU6" s="157"/>
      <c r="JNV6" s="157"/>
      <c r="JNW6" s="157"/>
      <c r="JNX6" s="157"/>
      <c r="JNY6" s="157"/>
      <c r="JNZ6" s="157"/>
      <c r="JOA6" s="157"/>
      <c r="JOB6" s="157"/>
      <c r="JOC6" s="157"/>
      <c r="JOD6" s="157"/>
      <c r="JOE6" s="157"/>
      <c r="JOF6" s="157"/>
      <c r="JOG6" s="157"/>
      <c r="JOH6" s="157"/>
      <c r="JOI6" s="157"/>
      <c r="JOJ6" s="157"/>
      <c r="JOK6" s="157"/>
      <c r="JOL6" s="157"/>
      <c r="JOM6" s="157"/>
      <c r="JON6" s="157"/>
      <c r="JOO6" s="157"/>
      <c r="JOP6" s="157"/>
      <c r="JOQ6" s="157"/>
      <c r="JOR6" s="157"/>
      <c r="JOS6" s="157"/>
      <c r="JOT6" s="157"/>
      <c r="JOU6" s="157"/>
      <c r="JOV6" s="157"/>
      <c r="JOW6" s="157"/>
      <c r="JOX6" s="157"/>
      <c r="JOY6" s="157"/>
      <c r="JOZ6" s="157"/>
      <c r="JPA6" s="157"/>
      <c r="JPB6" s="157"/>
      <c r="JPC6" s="157"/>
      <c r="JPD6" s="157"/>
      <c r="JPE6" s="157"/>
      <c r="JPF6" s="157"/>
      <c r="JPG6" s="157"/>
      <c r="JPH6" s="157"/>
      <c r="JPI6" s="157"/>
      <c r="JPJ6" s="157"/>
      <c r="JPK6" s="157"/>
      <c r="JPL6" s="157"/>
      <c r="JPM6" s="157"/>
      <c r="JPN6" s="157"/>
      <c r="JPO6" s="157"/>
      <c r="JPP6" s="157"/>
      <c r="JPQ6" s="157"/>
      <c r="JPR6" s="157"/>
      <c r="JPS6" s="157"/>
      <c r="JPT6" s="157"/>
      <c r="JPU6" s="157"/>
      <c r="JPV6" s="157"/>
      <c r="JPW6" s="157"/>
      <c r="JPX6" s="157"/>
      <c r="JPY6" s="157"/>
      <c r="JPZ6" s="157"/>
      <c r="JQA6" s="157"/>
      <c r="JQB6" s="157"/>
      <c r="JQC6" s="157"/>
      <c r="JQD6" s="157"/>
      <c r="JQE6" s="157"/>
      <c r="JQF6" s="157"/>
      <c r="JQG6" s="157"/>
      <c r="JQH6" s="157"/>
      <c r="JQI6" s="157"/>
      <c r="JQJ6" s="157"/>
      <c r="JQK6" s="157"/>
      <c r="JQL6" s="157"/>
      <c r="JQM6" s="157"/>
      <c r="JQN6" s="157"/>
      <c r="JQO6" s="157"/>
      <c r="JQP6" s="157"/>
      <c r="JQQ6" s="157"/>
      <c r="JQR6" s="157"/>
      <c r="JQS6" s="157"/>
      <c r="JQT6" s="157"/>
      <c r="JQU6" s="157"/>
      <c r="JQV6" s="157"/>
      <c r="JQW6" s="157"/>
      <c r="JQX6" s="157"/>
      <c r="JQY6" s="157"/>
      <c r="JQZ6" s="157"/>
      <c r="JRA6" s="157"/>
      <c r="JRB6" s="157"/>
      <c r="JRC6" s="157"/>
      <c r="JRD6" s="157"/>
      <c r="JRE6" s="157"/>
      <c r="JRF6" s="157"/>
      <c r="JRG6" s="157"/>
      <c r="JRH6" s="157"/>
      <c r="JRI6" s="157"/>
      <c r="JRJ6" s="157"/>
      <c r="JRK6" s="157"/>
      <c r="JRL6" s="157"/>
      <c r="JRM6" s="157"/>
      <c r="JRN6" s="157"/>
      <c r="JRO6" s="157"/>
      <c r="JRP6" s="157"/>
      <c r="JRQ6" s="157"/>
      <c r="JRR6" s="157"/>
      <c r="JRS6" s="157"/>
      <c r="JRT6" s="157"/>
      <c r="JRU6" s="157"/>
      <c r="JRV6" s="157"/>
      <c r="JRW6" s="157"/>
      <c r="JRX6" s="157"/>
      <c r="JRY6" s="157"/>
      <c r="JRZ6" s="157"/>
      <c r="JSA6" s="157"/>
      <c r="JSB6" s="157"/>
      <c r="JSC6" s="157"/>
      <c r="JSD6" s="157"/>
      <c r="JSE6" s="157"/>
      <c r="JSF6" s="157"/>
      <c r="JSG6" s="157"/>
      <c r="JSH6" s="157"/>
      <c r="JSI6" s="157"/>
      <c r="JSJ6" s="157"/>
      <c r="JSK6" s="157"/>
      <c r="JSL6" s="157"/>
      <c r="JSM6" s="157"/>
      <c r="JSN6" s="157"/>
      <c r="JSO6" s="157"/>
      <c r="JSP6" s="157"/>
      <c r="JSQ6" s="157"/>
      <c r="JSR6" s="157"/>
      <c r="JSS6" s="157"/>
      <c r="JST6" s="157"/>
      <c r="JSU6" s="157"/>
      <c r="JSV6" s="157"/>
      <c r="JSW6" s="157"/>
      <c r="JSX6" s="157"/>
      <c r="JSY6" s="157"/>
      <c r="JSZ6" s="157"/>
      <c r="JTA6" s="157"/>
      <c r="JTB6" s="157"/>
      <c r="JTC6" s="157"/>
      <c r="JTD6" s="157"/>
      <c r="JTE6" s="157"/>
      <c r="JTF6" s="157"/>
      <c r="JTG6" s="157"/>
      <c r="JTH6" s="157"/>
      <c r="JTI6" s="157"/>
      <c r="JTJ6" s="157"/>
      <c r="JTK6" s="157"/>
      <c r="JTL6" s="157"/>
      <c r="JTM6" s="157"/>
      <c r="JTN6" s="157"/>
      <c r="JTO6" s="157"/>
      <c r="JTP6" s="157"/>
      <c r="JTQ6" s="157"/>
      <c r="JTR6" s="157"/>
      <c r="JTS6" s="157"/>
      <c r="JTT6" s="157"/>
      <c r="JTU6" s="157"/>
      <c r="JTV6" s="157"/>
      <c r="JTW6" s="157"/>
      <c r="JTX6" s="157"/>
      <c r="JTY6" s="157"/>
      <c r="JTZ6" s="157"/>
      <c r="JUA6" s="157"/>
      <c r="JUB6" s="157"/>
      <c r="JUC6" s="157"/>
      <c r="JUD6" s="157"/>
      <c r="JUE6" s="157"/>
      <c r="JUF6" s="157"/>
      <c r="JUG6" s="157"/>
      <c r="JUH6" s="157"/>
      <c r="JUI6" s="157"/>
      <c r="JUJ6" s="157"/>
      <c r="JUK6" s="157"/>
      <c r="JUL6" s="157"/>
      <c r="JUM6" s="157"/>
      <c r="JUN6" s="157"/>
      <c r="JUO6" s="157"/>
      <c r="JUP6" s="157"/>
      <c r="JUQ6" s="157"/>
      <c r="JUR6" s="157"/>
      <c r="JUS6" s="157"/>
      <c r="JUT6" s="157"/>
      <c r="JUU6" s="157"/>
      <c r="JUV6" s="157"/>
      <c r="JUW6" s="157"/>
      <c r="JUX6" s="157"/>
      <c r="JUY6" s="157"/>
      <c r="JUZ6" s="157"/>
      <c r="JVA6" s="157"/>
      <c r="JVB6" s="157"/>
      <c r="JVC6" s="157"/>
      <c r="JVD6" s="157"/>
      <c r="JVE6" s="157"/>
      <c r="JVF6" s="157"/>
      <c r="JVG6" s="157"/>
      <c r="JVH6" s="157"/>
      <c r="JVI6" s="157"/>
      <c r="JVJ6" s="157"/>
      <c r="JVK6" s="157"/>
      <c r="JVL6" s="157"/>
      <c r="JVM6" s="157"/>
      <c r="JVN6" s="157"/>
      <c r="JVO6" s="157"/>
      <c r="JVP6" s="157"/>
      <c r="JVQ6" s="157"/>
      <c r="JVR6" s="157"/>
      <c r="JVS6" s="157"/>
      <c r="JVT6" s="157"/>
      <c r="JVU6" s="157"/>
      <c r="JVV6" s="157"/>
      <c r="JVW6" s="157"/>
      <c r="JVX6" s="157"/>
      <c r="JVY6" s="157"/>
      <c r="JVZ6" s="157"/>
      <c r="JWA6" s="157"/>
      <c r="JWB6" s="157"/>
      <c r="JWC6" s="157"/>
      <c r="JWD6" s="157"/>
      <c r="JWE6" s="157"/>
      <c r="JWF6" s="157"/>
      <c r="JWG6" s="157"/>
      <c r="JWH6" s="157"/>
      <c r="JWI6" s="157"/>
      <c r="JWJ6" s="157"/>
      <c r="JWK6" s="157"/>
      <c r="JWL6" s="157"/>
      <c r="JWM6" s="157"/>
      <c r="JWN6" s="157"/>
      <c r="JWO6" s="157"/>
      <c r="JWP6" s="157"/>
      <c r="JWQ6" s="157"/>
      <c r="JWR6" s="157"/>
      <c r="JWS6" s="157"/>
      <c r="JWT6" s="157"/>
      <c r="JWU6" s="157"/>
      <c r="JWV6" s="157"/>
      <c r="JWW6" s="157"/>
      <c r="JWX6" s="157"/>
      <c r="JWY6" s="157"/>
      <c r="JWZ6" s="157"/>
      <c r="JXA6" s="157"/>
      <c r="JXB6" s="157"/>
      <c r="JXC6" s="157"/>
      <c r="JXD6" s="157"/>
      <c r="JXE6" s="157"/>
      <c r="JXF6" s="157"/>
      <c r="JXG6" s="157"/>
      <c r="JXH6" s="157"/>
      <c r="JXI6" s="157"/>
      <c r="JXJ6" s="157"/>
      <c r="JXK6" s="157"/>
      <c r="JXL6" s="157"/>
      <c r="JXM6" s="157"/>
      <c r="JXN6" s="157"/>
      <c r="JXO6" s="157"/>
      <c r="JXP6" s="157"/>
      <c r="JXQ6" s="157"/>
      <c r="JXR6" s="157"/>
      <c r="JXS6" s="157"/>
      <c r="JXT6" s="157"/>
      <c r="JXU6" s="157"/>
      <c r="JXV6" s="157"/>
      <c r="JXW6" s="157"/>
      <c r="JXX6" s="157"/>
      <c r="JXY6" s="157"/>
      <c r="JXZ6" s="157"/>
      <c r="JYA6" s="157"/>
      <c r="JYB6" s="157"/>
      <c r="JYC6" s="157"/>
      <c r="JYD6" s="157"/>
      <c r="JYE6" s="157"/>
      <c r="JYF6" s="157"/>
      <c r="JYG6" s="157"/>
      <c r="JYH6" s="157"/>
      <c r="JYI6" s="157"/>
      <c r="JYJ6" s="157"/>
      <c r="JYK6" s="157"/>
      <c r="JYL6" s="157"/>
      <c r="JYM6" s="157"/>
      <c r="JYN6" s="157"/>
      <c r="JYO6" s="157"/>
      <c r="JYP6" s="157"/>
      <c r="JYQ6" s="157"/>
      <c r="JYR6" s="157"/>
      <c r="JYS6" s="157"/>
      <c r="JYT6" s="157"/>
      <c r="JYU6" s="157"/>
      <c r="JYV6" s="157"/>
      <c r="JYW6" s="157"/>
      <c r="JYX6" s="157"/>
      <c r="JYY6" s="157"/>
      <c r="JYZ6" s="157"/>
      <c r="JZA6" s="157"/>
      <c r="JZB6" s="157"/>
      <c r="JZC6" s="157"/>
      <c r="JZD6" s="157"/>
      <c r="JZE6" s="157"/>
      <c r="JZF6" s="157"/>
      <c r="JZG6" s="157"/>
      <c r="JZH6" s="157"/>
      <c r="JZI6" s="157"/>
      <c r="JZJ6" s="157"/>
      <c r="JZK6" s="157"/>
      <c r="JZL6" s="157"/>
      <c r="JZM6" s="157"/>
      <c r="JZN6" s="157"/>
      <c r="JZO6" s="157"/>
      <c r="JZP6" s="157"/>
      <c r="JZQ6" s="157"/>
      <c r="JZR6" s="157"/>
      <c r="JZS6" s="157"/>
      <c r="JZT6" s="157"/>
      <c r="JZU6" s="157"/>
      <c r="JZV6" s="157"/>
      <c r="JZW6" s="157"/>
      <c r="JZX6" s="157"/>
      <c r="JZY6" s="157"/>
      <c r="JZZ6" s="157"/>
      <c r="KAA6" s="157"/>
      <c r="KAB6" s="157"/>
      <c r="KAC6" s="157"/>
      <c r="KAD6" s="157"/>
      <c r="KAE6" s="157"/>
      <c r="KAF6" s="157"/>
      <c r="KAG6" s="157"/>
      <c r="KAH6" s="157"/>
      <c r="KAI6" s="157"/>
      <c r="KAJ6" s="157"/>
      <c r="KAK6" s="157"/>
      <c r="KAL6" s="157"/>
      <c r="KAM6" s="157"/>
      <c r="KAN6" s="157"/>
      <c r="KAO6" s="157"/>
      <c r="KAP6" s="157"/>
      <c r="KAQ6" s="157"/>
      <c r="KAR6" s="157"/>
      <c r="KAS6" s="157"/>
      <c r="KAT6" s="157"/>
      <c r="KAU6" s="157"/>
      <c r="KAV6" s="157"/>
      <c r="KAW6" s="157"/>
      <c r="KAX6" s="157"/>
      <c r="KAY6" s="157"/>
      <c r="KAZ6" s="157"/>
      <c r="KBA6" s="157"/>
      <c r="KBB6" s="157"/>
      <c r="KBC6" s="157"/>
      <c r="KBD6" s="157"/>
      <c r="KBE6" s="157"/>
      <c r="KBF6" s="157"/>
      <c r="KBG6" s="157"/>
      <c r="KBH6" s="157"/>
      <c r="KBI6" s="157"/>
      <c r="KBJ6" s="157"/>
      <c r="KBK6" s="157"/>
      <c r="KBL6" s="157"/>
      <c r="KBM6" s="157"/>
      <c r="KBN6" s="157"/>
      <c r="KBO6" s="157"/>
      <c r="KBP6" s="157"/>
      <c r="KBQ6" s="157"/>
      <c r="KBR6" s="157"/>
      <c r="KBS6" s="157"/>
      <c r="KBT6" s="157"/>
      <c r="KBU6" s="157"/>
      <c r="KBV6" s="157"/>
      <c r="KBW6" s="157"/>
      <c r="KBX6" s="157"/>
      <c r="KBY6" s="157"/>
      <c r="KBZ6" s="157"/>
      <c r="KCA6" s="157"/>
      <c r="KCB6" s="157"/>
      <c r="KCC6" s="157"/>
      <c r="KCD6" s="157"/>
      <c r="KCE6" s="157"/>
      <c r="KCF6" s="157"/>
      <c r="KCG6" s="157"/>
      <c r="KCH6" s="157"/>
      <c r="KCI6" s="157"/>
      <c r="KCJ6" s="157"/>
      <c r="KCK6" s="157"/>
      <c r="KCL6" s="157"/>
      <c r="KCM6" s="157"/>
      <c r="KCN6" s="157"/>
      <c r="KCO6" s="157"/>
      <c r="KCP6" s="157"/>
      <c r="KCQ6" s="157"/>
      <c r="KCR6" s="157"/>
      <c r="KCS6" s="157"/>
      <c r="KCT6" s="157"/>
      <c r="KCU6" s="157"/>
      <c r="KCV6" s="157"/>
      <c r="KCW6" s="157"/>
      <c r="KCX6" s="157"/>
      <c r="KCY6" s="157"/>
      <c r="KCZ6" s="157"/>
      <c r="KDA6" s="157"/>
      <c r="KDB6" s="157"/>
      <c r="KDC6" s="157"/>
      <c r="KDD6" s="157"/>
      <c r="KDE6" s="157"/>
      <c r="KDF6" s="157"/>
      <c r="KDG6" s="157"/>
      <c r="KDH6" s="157"/>
      <c r="KDI6" s="157"/>
      <c r="KDJ6" s="157"/>
      <c r="KDK6" s="157"/>
      <c r="KDL6" s="157"/>
      <c r="KDM6" s="157"/>
      <c r="KDN6" s="157"/>
      <c r="KDO6" s="157"/>
      <c r="KDP6" s="157"/>
      <c r="KDQ6" s="157"/>
      <c r="KDR6" s="157"/>
      <c r="KDS6" s="157"/>
      <c r="KDT6" s="157"/>
      <c r="KDU6" s="157"/>
      <c r="KDV6" s="157"/>
      <c r="KDW6" s="157"/>
      <c r="KDX6" s="157"/>
      <c r="KDY6" s="157"/>
      <c r="KDZ6" s="157"/>
      <c r="KEA6" s="157"/>
      <c r="KEB6" s="157"/>
      <c r="KEC6" s="157"/>
      <c r="KED6" s="157"/>
      <c r="KEE6" s="157"/>
      <c r="KEF6" s="157"/>
      <c r="KEG6" s="157"/>
      <c r="KEH6" s="157"/>
      <c r="KEI6" s="157"/>
      <c r="KEJ6" s="157"/>
      <c r="KEK6" s="157"/>
      <c r="KEL6" s="157"/>
      <c r="KEM6" s="157"/>
      <c r="KEN6" s="157"/>
      <c r="KEO6" s="157"/>
      <c r="KEP6" s="157"/>
      <c r="KEQ6" s="157"/>
      <c r="KER6" s="157"/>
      <c r="KES6" s="157"/>
      <c r="KET6" s="157"/>
      <c r="KEU6" s="157"/>
      <c r="KEV6" s="157"/>
      <c r="KEW6" s="157"/>
      <c r="KEX6" s="157"/>
      <c r="KEY6" s="157"/>
      <c r="KEZ6" s="157"/>
      <c r="KFA6" s="157"/>
      <c r="KFB6" s="157"/>
      <c r="KFC6" s="157"/>
      <c r="KFD6" s="157"/>
      <c r="KFE6" s="157"/>
      <c r="KFF6" s="157"/>
      <c r="KFG6" s="157"/>
      <c r="KFH6" s="157"/>
      <c r="KFI6" s="157"/>
      <c r="KFJ6" s="157"/>
      <c r="KFK6" s="157"/>
      <c r="KFL6" s="157"/>
      <c r="KFM6" s="157"/>
      <c r="KFN6" s="157"/>
      <c r="KFO6" s="157"/>
      <c r="KFP6" s="157"/>
      <c r="KFQ6" s="157"/>
      <c r="KFR6" s="157"/>
      <c r="KFS6" s="157"/>
      <c r="KFT6" s="157"/>
      <c r="KFU6" s="157"/>
      <c r="KFV6" s="157"/>
      <c r="KFW6" s="157"/>
      <c r="KFX6" s="157"/>
      <c r="KFY6" s="157"/>
      <c r="KFZ6" s="157"/>
      <c r="KGA6" s="157"/>
      <c r="KGB6" s="157"/>
      <c r="KGC6" s="157"/>
      <c r="KGD6" s="157"/>
      <c r="KGE6" s="157"/>
      <c r="KGF6" s="157"/>
      <c r="KGG6" s="157"/>
      <c r="KGH6" s="157"/>
      <c r="KGI6" s="157"/>
      <c r="KGJ6" s="157"/>
      <c r="KGK6" s="157"/>
      <c r="KGL6" s="157"/>
      <c r="KGM6" s="157"/>
      <c r="KGN6" s="157"/>
      <c r="KGO6" s="157"/>
      <c r="KGP6" s="157"/>
      <c r="KGQ6" s="157"/>
      <c r="KGR6" s="157"/>
      <c r="KGS6" s="157"/>
      <c r="KGT6" s="157"/>
      <c r="KGU6" s="157"/>
      <c r="KGV6" s="157"/>
      <c r="KGW6" s="157"/>
      <c r="KGX6" s="157"/>
      <c r="KGY6" s="157"/>
      <c r="KGZ6" s="157"/>
      <c r="KHA6" s="157"/>
      <c r="KHB6" s="157"/>
      <c r="KHC6" s="157"/>
      <c r="KHD6" s="157"/>
      <c r="KHE6" s="157"/>
      <c r="KHF6" s="157"/>
      <c r="KHG6" s="157"/>
      <c r="KHH6" s="157"/>
      <c r="KHI6" s="157"/>
      <c r="KHJ6" s="157"/>
      <c r="KHK6" s="157"/>
      <c r="KHL6" s="157"/>
      <c r="KHM6" s="157"/>
      <c r="KHN6" s="157"/>
      <c r="KHO6" s="157"/>
      <c r="KHP6" s="157"/>
      <c r="KHQ6" s="157"/>
      <c r="KHR6" s="157"/>
      <c r="KHS6" s="157"/>
      <c r="KHT6" s="157"/>
      <c r="KHU6" s="157"/>
      <c r="KHV6" s="157"/>
      <c r="KHW6" s="157"/>
      <c r="KHX6" s="157"/>
      <c r="KHY6" s="157"/>
      <c r="KHZ6" s="157"/>
      <c r="KIA6" s="157"/>
      <c r="KIB6" s="157"/>
      <c r="KIC6" s="157"/>
      <c r="KID6" s="157"/>
      <c r="KIE6" s="157"/>
      <c r="KIF6" s="157"/>
      <c r="KIG6" s="157"/>
      <c r="KIH6" s="157"/>
      <c r="KII6" s="157"/>
      <c r="KIJ6" s="157"/>
      <c r="KIK6" s="157"/>
      <c r="KIL6" s="157"/>
      <c r="KIM6" s="157"/>
      <c r="KIN6" s="157"/>
      <c r="KIO6" s="157"/>
      <c r="KIP6" s="157"/>
      <c r="KIQ6" s="157"/>
      <c r="KIR6" s="157"/>
      <c r="KIS6" s="157"/>
      <c r="KIT6" s="157"/>
      <c r="KIU6" s="157"/>
      <c r="KIV6" s="157"/>
      <c r="KIW6" s="157"/>
      <c r="KIX6" s="157"/>
      <c r="KIY6" s="157"/>
      <c r="KIZ6" s="157"/>
      <c r="KJA6" s="157"/>
      <c r="KJB6" s="157"/>
      <c r="KJC6" s="157"/>
      <c r="KJD6" s="157"/>
      <c r="KJE6" s="157"/>
      <c r="KJF6" s="157"/>
      <c r="KJG6" s="157"/>
      <c r="KJH6" s="157"/>
      <c r="KJI6" s="157"/>
      <c r="KJJ6" s="157"/>
      <c r="KJK6" s="157"/>
      <c r="KJL6" s="157"/>
      <c r="KJM6" s="157"/>
      <c r="KJN6" s="157"/>
      <c r="KJO6" s="157"/>
      <c r="KJP6" s="157"/>
      <c r="KJQ6" s="157"/>
      <c r="KJR6" s="157"/>
      <c r="KJS6" s="157"/>
      <c r="KJT6" s="157"/>
      <c r="KJU6" s="157"/>
      <c r="KJV6" s="157"/>
      <c r="KJW6" s="157"/>
      <c r="KJX6" s="157"/>
      <c r="KJY6" s="157"/>
      <c r="KJZ6" s="157"/>
      <c r="KKA6" s="157"/>
      <c r="KKB6" s="157"/>
      <c r="KKC6" s="157"/>
      <c r="KKD6" s="157"/>
      <c r="KKE6" s="157"/>
      <c r="KKF6" s="157"/>
      <c r="KKG6" s="157"/>
      <c r="KKH6" s="157"/>
      <c r="KKI6" s="157"/>
      <c r="KKJ6" s="157"/>
      <c r="KKK6" s="157"/>
      <c r="KKL6" s="157"/>
      <c r="KKM6" s="157"/>
      <c r="KKN6" s="157"/>
      <c r="KKO6" s="157"/>
      <c r="KKP6" s="157"/>
      <c r="KKQ6" s="157"/>
      <c r="KKR6" s="157"/>
      <c r="KKS6" s="157"/>
      <c r="KKT6" s="157"/>
      <c r="KKU6" s="157"/>
      <c r="KKV6" s="157"/>
      <c r="KKW6" s="157"/>
      <c r="KKX6" s="157"/>
      <c r="KKY6" s="157"/>
      <c r="KKZ6" s="157"/>
      <c r="KLA6" s="157"/>
      <c r="KLB6" s="157"/>
      <c r="KLC6" s="157"/>
      <c r="KLD6" s="157"/>
      <c r="KLE6" s="157"/>
      <c r="KLF6" s="157"/>
      <c r="KLG6" s="157"/>
      <c r="KLH6" s="157"/>
      <c r="KLI6" s="157"/>
      <c r="KLJ6" s="157"/>
      <c r="KLK6" s="157"/>
      <c r="KLL6" s="157"/>
      <c r="KLM6" s="157"/>
      <c r="KLN6" s="157"/>
      <c r="KLO6" s="157"/>
      <c r="KLP6" s="157"/>
      <c r="KLQ6" s="157"/>
      <c r="KLR6" s="157"/>
      <c r="KLS6" s="157"/>
      <c r="KLT6" s="157"/>
      <c r="KLU6" s="157"/>
      <c r="KLV6" s="157"/>
      <c r="KLW6" s="157"/>
      <c r="KLX6" s="157"/>
      <c r="KLY6" s="157"/>
      <c r="KLZ6" s="157"/>
      <c r="KMA6" s="157"/>
      <c r="KMB6" s="157"/>
      <c r="KMC6" s="157"/>
      <c r="KMD6" s="157"/>
      <c r="KME6" s="157"/>
      <c r="KMF6" s="157"/>
      <c r="KMG6" s="157"/>
      <c r="KMH6" s="157"/>
      <c r="KMI6" s="157"/>
      <c r="KMJ6" s="157"/>
      <c r="KMK6" s="157"/>
      <c r="KML6" s="157"/>
      <c r="KMM6" s="157"/>
      <c r="KMN6" s="157"/>
      <c r="KMO6" s="157"/>
      <c r="KMP6" s="157"/>
      <c r="KMQ6" s="157"/>
      <c r="KMR6" s="157"/>
      <c r="KMS6" s="157"/>
      <c r="KMT6" s="157"/>
      <c r="KMU6" s="157"/>
      <c r="KMV6" s="157"/>
      <c r="KMW6" s="157"/>
      <c r="KMX6" s="157"/>
      <c r="KMY6" s="157"/>
      <c r="KMZ6" s="157"/>
      <c r="KNA6" s="157"/>
      <c r="KNB6" s="157"/>
      <c r="KNC6" s="157"/>
      <c r="KND6" s="157"/>
      <c r="KNE6" s="157"/>
      <c r="KNF6" s="157"/>
      <c r="KNG6" s="157"/>
      <c r="KNH6" s="157"/>
      <c r="KNI6" s="157"/>
      <c r="KNJ6" s="157"/>
      <c r="KNK6" s="157"/>
      <c r="KNL6" s="157"/>
      <c r="KNM6" s="157"/>
      <c r="KNN6" s="157"/>
      <c r="KNO6" s="157"/>
      <c r="KNP6" s="157"/>
      <c r="KNQ6" s="157"/>
      <c r="KNR6" s="157"/>
      <c r="KNS6" s="157"/>
      <c r="KNT6" s="157"/>
      <c r="KNU6" s="157"/>
      <c r="KNV6" s="157"/>
      <c r="KNW6" s="157"/>
      <c r="KNX6" s="157"/>
      <c r="KNY6" s="157"/>
      <c r="KNZ6" s="157"/>
      <c r="KOA6" s="157"/>
      <c r="KOB6" s="157"/>
      <c r="KOC6" s="157"/>
      <c r="KOD6" s="157"/>
      <c r="KOE6" s="157"/>
      <c r="KOF6" s="157"/>
      <c r="KOG6" s="157"/>
      <c r="KOH6" s="157"/>
      <c r="KOI6" s="157"/>
      <c r="KOJ6" s="157"/>
      <c r="KOK6" s="157"/>
      <c r="KOL6" s="157"/>
      <c r="KOM6" s="157"/>
      <c r="KON6" s="157"/>
      <c r="KOO6" s="157"/>
      <c r="KOP6" s="157"/>
      <c r="KOQ6" s="157"/>
      <c r="KOR6" s="157"/>
      <c r="KOS6" s="157"/>
      <c r="KOT6" s="157"/>
      <c r="KOU6" s="157"/>
      <c r="KOV6" s="157"/>
      <c r="KOW6" s="157"/>
      <c r="KOX6" s="157"/>
      <c r="KOY6" s="157"/>
      <c r="KOZ6" s="157"/>
      <c r="KPA6" s="157"/>
      <c r="KPB6" s="157"/>
      <c r="KPC6" s="157"/>
      <c r="KPD6" s="157"/>
      <c r="KPE6" s="157"/>
      <c r="KPF6" s="157"/>
      <c r="KPG6" s="157"/>
      <c r="KPH6" s="157"/>
      <c r="KPI6" s="157"/>
      <c r="KPJ6" s="157"/>
      <c r="KPK6" s="157"/>
      <c r="KPL6" s="157"/>
      <c r="KPM6" s="157"/>
      <c r="KPN6" s="157"/>
      <c r="KPO6" s="157"/>
      <c r="KPP6" s="157"/>
      <c r="KPQ6" s="157"/>
      <c r="KPR6" s="157"/>
      <c r="KPS6" s="157"/>
      <c r="KPT6" s="157"/>
      <c r="KPU6" s="157"/>
      <c r="KPV6" s="157"/>
      <c r="KPW6" s="157"/>
      <c r="KPX6" s="157"/>
      <c r="KPY6" s="157"/>
      <c r="KPZ6" s="157"/>
      <c r="KQA6" s="157"/>
      <c r="KQB6" s="157"/>
      <c r="KQC6" s="157"/>
      <c r="KQD6" s="157"/>
      <c r="KQE6" s="157"/>
      <c r="KQF6" s="157"/>
      <c r="KQG6" s="157"/>
      <c r="KQH6" s="157"/>
      <c r="KQI6" s="157"/>
      <c r="KQJ6" s="157"/>
      <c r="KQK6" s="157"/>
      <c r="KQL6" s="157"/>
      <c r="KQM6" s="157"/>
      <c r="KQN6" s="157"/>
      <c r="KQO6" s="157"/>
      <c r="KQP6" s="157"/>
      <c r="KQQ6" s="157"/>
      <c r="KQR6" s="157"/>
      <c r="KQS6" s="157"/>
      <c r="KQT6" s="157"/>
      <c r="KQU6" s="157"/>
      <c r="KQV6" s="157"/>
      <c r="KQW6" s="157"/>
      <c r="KQX6" s="157"/>
      <c r="KQY6" s="157"/>
      <c r="KQZ6" s="157"/>
      <c r="KRA6" s="157"/>
      <c r="KRB6" s="157"/>
      <c r="KRC6" s="157"/>
      <c r="KRD6" s="157"/>
      <c r="KRE6" s="157"/>
      <c r="KRF6" s="157"/>
      <c r="KRG6" s="157"/>
      <c r="KRH6" s="157"/>
      <c r="KRI6" s="157"/>
      <c r="KRJ6" s="157"/>
      <c r="KRK6" s="157"/>
      <c r="KRL6" s="157"/>
      <c r="KRM6" s="157"/>
      <c r="KRN6" s="157"/>
      <c r="KRO6" s="157"/>
      <c r="KRP6" s="157"/>
      <c r="KRQ6" s="157"/>
      <c r="KRR6" s="157"/>
      <c r="KRS6" s="157"/>
      <c r="KRT6" s="157"/>
      <c r="KRU6" s="157"/>
      <c r="KRV6" s="157"/>
      <c r="KRW6" s="157"/>
      <c r="KRX6" s="157"/>
      <c r="KRY6" s="157"/>
      <c r="KRZ6" s="157"/>
      <c r="KSA6" s="157"/>
      <c r="KSB6" s="157"/>
      <c r="KSC6" s="157"/>
      <c r="KSD6" s="157"/>
      <c r="KSE6" s="157"/>
      <c r="KSF6" s="157"/>
      <c r="KSG6" s="157"/>
      <c r="KSH6" s="157"/>
      <c r="KSI6" s="157"/>
      <c r="KSJ6" s="157"/>
      <c r="KSK6" s="157"/>
      <c r="KSL6" s="157"/>
      <c r="KSM6" s="157"/>
      <c r="KSN6" s="157"/>
      <c r="KSO6" s="157"/>
      <c r="KSP6" s="157"/>
      <c r="KSQ6" s="157"/>
      <c r="KSR6" s="157"/>
      <c r="KSS6" s="157"/>
      <c r="KST6" s="157"/>
      <c r="KSU6" s="157"/>
      <c r="KSV6" s="157"/>
      <c r="KSW6" s="157"/>
      <c r="KSX6" s="157"/>
      <c r="KSY6" s="157"/>
      <c r="KSZ6" s="157"/>
      <c r="KTA6" s="157"/>
      <c r="KTB6" s="157"/>
      <c r="KTC6" s="157"/>
      <c r="KTD6" s="157"/>
      <c r="KTE6" s="157"/>
      <c r="KTF6" s="157"/>
      <c r="KTG6" s="157"/>
      <c r="KTH6" s="157"/>
      <c r="KTI6" s="157"/>
      <c r="KTJ6" s="157"/>
      <c r="KTK6" s="157"/>
      <c r="KTL6" s="157"/>
      <c r="KTM6" s="157"/>
      <c r="KTN6" s="157"/>
      <c r="KTO6" s="157"/>
      <c r="KTP6" s="157"/>
      <c r="KTQ6" s="157"/>
      <c r="KTR6" s="157"/>
      <c r="KTS6" s="157"/>
      <c r="KTT6" s="157"/>
      <c r="KTU6" s="157"/>
      <c r="KTV6" s="157"/>
      <c r="KTW6" s="157"/>
      <c r="KTX6" s="157"/>
      <c r="KTY6" s="157"/>
      <c r="KTZ6" s="157"/>
      <c r="KUA6" s="157"/>
      <c r="KUB6" s="157"/>
      <c r="KUC6" s="157"/>
      <c r="KUD6" s="157"/>
      <c r="KUE6" s="157"/>
      <c r="KUF6" s="157"/>
      <c r="KUG6" s="157"/>
      <c r="KUH6" s="157"/>
      <c r="KUI6" s="157"/>
      <c r="KUJ6" s="157"/>
      <c r="KUK6" s="157"/>
      <c r="KUL6" s="157"/>
      <c r="KUM6" s="157"/>
      <c r="KUN6" s="157"/>
      <c r="KUO6" s="157"/>
      <c r="KUP6" s="157"/>
      <c r="KUQ6" s="157"/>
      <c r="KUR6" s="157"/>
      <c r="KUS6" s="157"/>
      <c r="KUT6" s="157"/>
      <c r="KUU6" s="157"/>
      <c r="KUV6" s="157"/>
      <c r="KUW6" s="157"/>
      <c r="KUX6" s="157"/>
      <c r="KUY6" s="157"/>
      <c r="KUZ6" s="157"/>
      <c r="KVA6" s="157"/>
      <c r="KVB6" s="157"/>
      <c r="KVC6" s="157"/>
      <c r="KVD6" s="157"/>
      <c r="KVE6" s="157"/>
      <c r="KVF6" s="157"/>
      <c r="KVG6" s="157"/>
      <c r="KVH6" s="157"/>
      <c r="KVI6" s="157"/>
      <c r="KVJ6" s="157"/>
      <c r="KVK6" s="157"/>
      <c r="KVL6" s="157"/>
      <c r="KVM6" s="157"/>
      <c r="KVN6" s="157"/>
      <c r="KVO6" s="157"/>
      <c r="KVP6" s="157"/>
      <c r="KVQ6" s="157"/>
      <c r="KVR6" s="157"/>
      <c r="KVS6" s="157"/>
      <c r="KVT6" s="157"/>
      <c r="KVU6" s="157"/>
      <c r="KVV6" s="157"/>
      <c r="KVW6" s="157"/>
      <c r="KVX6" s="157"/>
      <c r="KVY6" s="157"/>
      <c r="KVZ6" s="157"/>
      <c r="KWA6" s="157"/>
      <c r="KWB6" s="157"/>
      <c r="KWC6" s="157"/>
      <c r="KWD6" s="157"/>
      <c r="KWE6" s="157"/>
      <c r="KWF6" s="157"/>
      <c r="KWG6" s="157"/>
      <c r="KWH6" s="157"/>
      <c r="KWI6" s="157"/>
      <c r="KWJ6" s="157"/>
      <c r="KWK6" s="157"/>
      <c r="KWL6" s="157"/>
      <c r="KWM6" s="157"/>
      <c r="KWN6" s="157"/>
      <c r="KWO6" s="157"/>
      <c r="KWP6" s="157"/>
      <c r="KWQ6" s="157"/>
      <c r="KWR6" s="157"/>
      <c r="KWS6" s="157"/>
      <c r="KWT6" s="157"/>
      <c r="KWU6" s="157"/>
      <c r="KWV6" s="157"/>
      <c r="KWW6" s="157"/>
      <c r="KWX6" s="157"/>
      <c r="KWY6" s="157"/>
      <c r="KWZ6" s="157"/>
      <c r="KXA6" s="157"/>
      <c r="KXB6" s="157"/>
      <c r="KXC6" s="157"/>
      <c r="KXD6" s="157"/>
      <c r="KXE6" s="157"/>
      <c r="KXF6" s="157"/>
      <c r="KXG6" s="157"/>
      <c r="KXH6" s="157"/>
      <c r="KXI6" s="157"/>
      <c r="KXJ6" s="157"/>
      <c r="KXK6" s="157"/>
      <c r="KXL6" s="157"/>
      <c r="KXM6" s="157"/>
      <c r="KXN6" s="157"/>
      <c r="KXO6" s="157"/>
      <c r="KXP6" s="157"/>
      <c r="KXQ6" s="157"/>
      <c r="KXR6" s="157"/>
      <c r="KXS6" s="157"/>
      <c r="KXT6" s="157"/>
      <c r="KXU6" s="157"/>
      <c r="KXV6" s="157"/>
      <c r="KXW6" s="157"/>
      <c r="KXX6" s="157"/>
      <c r="KXY6" s="157"/>
      <c r="KXZ6" s="157"/>
      <c r="KYA6" s="157"/>
      <c r="KYB6" s="157"/>
      <c r="KYC6" s="157"/>
      <c r="KYD6" s="157"/>
      <c r="KYE6" s="157"/>
      <c r="KYF6" s="157"/>
      <c r="KYG6" s="157"/>
      <c r="KYH6" s="157"/>
      <c r="KYI6" s="157"/>
      <c r="KYJ6" s="157"/>
      <c r="KYK6" s="157"/>
      <c r="KYL6" s="157"/>
      <c r="KYM6" s="157"/>
      <c r="KYN6" s="157"/>
      <c r="KYO6" s="157"/>
      <c r="KYP6" s="157"/>
      <c r="KYQ6" s="157"/>
      <c r="KYR6" s="157"/>
      <c r="KYS6" s="157"/>
      <c r="KYT6" s="157"/>
      <c r="KYU6" s="157"/>
      <c r="KYV6" s="157"/>
      <c r="KYW6" s="157"/>
      <c r="KYX6" s="157"/>
      <c r="KYY6" s="157"/>
      <c r="KYZ6" s="157"/>
      <c r="KZA6" s="157"/>
      <c r="KZB6" s="157"/>
      <c r="KZC6" s="157"/>
      <c r="KZD6" s="157"/>
      <c r="KZE6" s="157"/>
      <c r="KZF6" s="157"/>
      <c r="KZG6" s="157"/>
      <c r="KZH6" s="157"/>
      <c r="KZI6" s="157"/>
      <c r="KZJ6" s="157"/>
      <c r="KZK6" s="157"/>
      <c r="KZL6" s="157"/>
      <c r="KZM6" s="157"/>
      <c r="KZN6" s="157"/>
      <c r="KZO6" s="157"/>
      <c r="KZP6" s="157"/>
      <c r="KZQ6" s="157"/>
      <c r="KZR6" s="157"/>
      <c r="KZS6" s="157"/>
      <c r="KZT6" s="157"/>
      <c r="KZU6" s="157"/>
      <c r="KZV6" s="157"/>
      <c r="KZW6" s="157"/>
      <c r="KZX6" s="157"/>
      <c r="KZY6" s="157"/>
      <c r="KZZ6" s="157"/>
      <c r="LAA6" s="157"/>
      <c r="LAB6" s="157"/>
      <c r="LAC6" s="157"/>
      <c r="LAD6" s="157"/>
      <c r="LAE6" s="157"/>
      <c r="LAF6" s="157"/>
      <c r="LAG6" s="157"/>
      <c r="LAH6" s="157"/>
      <c r="LAI6" s="157"/>
      <c r="LAJ6" s="157"/>
      <c r="LAK6" s="157"/>
      <c r="LAL6" s="157"/>
      <c r="LAM6" s="157"/>
      <c r="LAN6" s="157"/>
      <c r="LAO6" s="157"/>
      <c r="LAP6" s="157"/>
      <c r="LAQ6" s="157"/>
      <c r="LAR6" s="157"/>
      <c r="LAS6" s="157"/>
      <c r="LAT6" s="157"/>
      <c r="LAU6" s="157"/>
      <c r="LAV6" s="157"/>
      <c r="LAW6" s="157"/>
      <c r="LAX6" s="157"/>
      <c r="LAY6" s="157"/>
      <c r="LAZ6" s="157"/>
      <c r="LBA6" s="157"/>
      <c r="LBB6" s="157"/>
      <c r="LBC6" s="157"/>
      <c r="LBD6" s="157"/>
      <c r="LBE6" s="157"/>
      <c r="LBF6" s="157"/>
      <c r="LBG6" s="157"/>
      <c r="LBH6" s="157"/>
      <c r="LBI6" s="157"/>
      <c r="LBJ6" s="157"/>
      <c r="LBK6" s="157"/>
      <c r="LBL6" s="157"/>
      <c r="LBM6" s="157"/>
      <c r="LBN6" s="157"/>
      <c r="LBO6" s="157"/>
      <c r="LBP6" s="157"/>
      <c r="LBQ6" s="157"/>
      <c r="LBR6" s="157"/>
      <c r="LBS6" s="157"/>
      <c r="LBT6" s="157"/>
      <c r="LBU6" s="157"/>
      <c r="LBV6" s="157"/>
      <c r="LBW6" s="157"/>
      <c r="LBX6" s="157"/>
      <c r="LBY6" s="157"/>
      <c r="LBZ6" s="157"/>
      <c r="LCA6" s="157"/>
      <c r="LCB6" s="157"/>
      <c r="LCC6" s="157"/>
      <c r="LCD6" s="157"/>
      <c r="LCE6" s="157"/>
      <c r="LCF6" s="157"/>
      <c r="LCG6" s="157"/>
      <c r="LCH6" s="157"/>
      <c r="LCI6" s="157"/>
      <c r="LCJ6" s="157"/>
      <c r="LCK6" s="157"/>
      <c r="LCL6" s="157"/>
      <c r="LCM6" s="157"/>
      <c r="LCN6" s="157"/>
      <c r="LCO6" s="157"/>
      <c r="LCP6" s="157"/>
      <c r="LCQ6" s="157"/>
      <c r="LCR6" s="157"/>
      <c r="LCS6" s="157"/>
      <c r="LCT6" s="157"/>
      <c r="LCU6" s="157"/>
      <c r="LCV6" s="157"/>
      <c r="LCW6" s="157"/>
      <c r="LCX6" s="157"/>
      <c r="LCY6" s="157"/>
      <c r="LCZ6" s="157"/>
      <c r="LDA6" s="157"/>
      <c r="LDB6" s="157"/>
      <c r="LDC6" s="157"/>
      <c r="LDD6" s="157"/>
      <c r="LDE6" s="157"/>
      <c r="LDF6" s="157"/>
      <c r="LDG6" s="157"/>
      <c r="LDH6" s="157"/>
      <c r="LDI6" s="157"/>
      <c r="LDJ6" s="157"/>
      <c r="LDK6" s="157"/>
      <c r="LDL6" s="157"/>
      <c r="LDM6" s="157"/>
      <c r="LDN6" s="157"/>
      <c r="LDO6" s="157"/>
      <c r="LDP6" s="157"/>
      <c r="LDQ6" s="157"/>
      <c r="LDR6" s="157"/>
      <c r="LDS6" s="157"/>
      <c r="LDT6" s="157"/>
      <c r="LDU6" s="157"/>
      <c r="LDV6" s="157"/>
      <c r="LDW6" s="157"/>
      <c r="LDX6" s="157"/>
      <c r="LDY6" s="157"/>
      <c r="LDZ6" s="157"/>
      <c r="LEA6" s="157"/>
      <c r="LEB6" s="157"/>
      <c r="LEC6" s="157"/>
      <c r="LED6" s="157"/>
      <c r="LEE6" s="157"/>
      <c r="LEF6" s="157"/>
      <c r="LEG6" s="157"/>
      <c r="LEH6" s="157"/>
      <c r="LEI6" s="157"/>
      <c r="LEJ6" s="157"/>
      <c r="LEK6" s="157"/>
      <c r="LEL6" s="157"/>
      <c r="LEM6" s="157"/>
      <c r="LEN6" s="157"/>
      <c r="LEO6" s="157"/>
      <c r="LEP6" s="157"/>
      <c r="LEQ6" s="157"/>
      <c r="LER6" s="157"/>
      <c r="LES6" s="157"/>
      <c r="LET6" s="157"/>
      <c r="LEU6" s="157"/>
      <c r="LEV6" s="157"/>
      <c r="LEW6" s="157"/>
      <c r="LEX6" s="157"/>
      <c r="LEY6" s="157"/>
      <c r="LEZ6" s="157"/>
      <c r="LFA6" s="157"/>
      <c r="LFB6" s="157"/>
      <c r="LFC6" s="157"/>
      <c r="LFD6" s="157"/>
      <c r="LFE6" s="157"/>
      <c r="LFF6" s="157"/>
      <c r="LFG6" s="157"/>
      <c r="LFH6" s="157"/>
      <c r="LFI6" s="157"/>
      <c r="LFJ6" s="157"/>
      <c r="LFK6" s="157"/>
      <c r="LFL6" s="157"/>
      <c r="LFM6" s="157"/>
      <c r="LFN6" s="157"/>
      <c r="LFO6" s="157"/>
      <c r="LFP6" s="157"/>
      <c r="LFQ6" s="157"/>
      <c r="LFR6" s="157"/>
      <c r="LFS6" s="157"/>
      <c r="LFT6" s="157"/>
      <c r="LFU6" s="157"/>
      <c r="LFV6" s="157"/>
      <c r="LFW6" s="157"/>
      <c r="LFX6" s="157"/>
      <c r="LFY6" s="157"/>
      <c r="LFZ6" s="157"/>
      <c r="LGA6" s="157"/>
      <c r="LGB6" s="157"/>
      <c r="LGC6" s="157"/>
      <c r="LGD6" s="157"/>
      <c r="LGE6" s="157"/>
      <c r="LGF6" s="157"/>
      <c r="LGG6" s="157"/>
      <c r="LGH6" s="157"/>
      <c r="LGI6" s="157"/>
      <c r="LGJ6" s="157"/>
      <c r="LGK6" s="157"/>
      <c r="LGL6" s="157"/>
      <c r="LGM6" s="157"/>
      <c r="LGN6" s="157"/>
      <c r="LGO6" s="157"/>
      <c r="LGP6" s="157"/>
      <c r="LGQ6" s="157"/>
      <c r="LGR6" s="157"/>
      <c r="LGS6" s="157"/>
      <c r="LGT6" s="157"/>
      <c r="LGU6" s="157"/>
      <c r="LGV6" s="157"/>
      <c r="LGW6" s="157"/>
      <c r="LGX6" s="157"/>
      <c r="LGY6" s="157"/>
      <c r="LGZ6" s="157"/>
      <c r="LHA6" s="157"/>
      <c r="LHB6" s="157"/>
      <c r="LHC6" s="157"/>
      <c r="LHD6" s="157"/>
      <c r="LHE6" s="157"/>
      <c r="LHF6" s="157"/>
      <c r="LHG6" s="157"/>
      <c r="LHH6" s="157"/>
      <c r="LHI6" s="157"/>
      <c r="LHJ6" s="157"/>
      <c r="LHK6" s="157"/>
      <c r="LHL6" s="157"/>
      <c r="LHM6" s="157"/>
      <c r="LHN6" s="157"/>
      <c r="LHO6" s="157"/>
      <c r="LHP6" s="157"/>
      <c r="LHQ6" s="157"/>
      <c r="LHR6" s="157"/>
      <c r="LHS6" s="157"/>
      <c r="LHT6" s="157"/>
      <c r="LHU6" s="157"/>
      <c r="LHV6" s="157"/>
      <c r="LHW6" s="157"/>
      <c r="LHX6" s="157"/>
      <c r="LHY6" s="157"/>
      <c r="LHZ6" s="157"/>
      <c r="LIA6" s="157"/>
      <c r="LIB6" s="157"/>
      <c r="LIC6" s="157"/>
      <c r="LID6" s="157"/>
      <c r="LIE6" s="157"/>
      <c r="LIF6" s="157"/>
      <c r="LIG6" s="157"/>
      <c r="LIH6" s="157"/>
      <c r="LII6" s="157"/>
      <c r="LIJ6" s="157"/>
      <c r="LIK6" s="157"/>
      <c r="LIL6" s="157"/>
      <c r="LIM6" s="157"/>
      <c r="LIN6" s="157"/>
      <c r="LIO6" s="157"/>
      <c r="LIP6" s="157"/>
      <c r="LIQ6" s="157"/>
      <c r="LIR6" s="157"/>
      <c r="LIS6" s="157"/>
      <c r="LIT6" s="157"/>
      <c r="LIU6" s="157"/>
      <c r="LIV6" s="157"/>
      <c r="LIW6" s="157"/>
      <c r="LIX6" s="157"/>
      <c r="LIY6" s="157"/>
      <c r="LIZ6" s="157"/>
      <c r="LJA6" s="157"/>
      <c r="LJB6" s="157"/>
      <c r="LJC6" s="157"/>
      <c r="LJD6" s="157"/>
      <c r="LJE6" s="157"/>
      <c r="LJF6" s="157"/>
      <c r="LJG6" s="157"/>
      <c r="LJH6" s="157"/>
      <c r="LJI6" s="157"/>
      <c r="LJJ6" s="157"/>
      <c r="LJK6" s="157"/>
      <c r="LJL6" s="157"/>
      <c r="LJM6" s="157"/>
      <c r="LJN6" s="157"/>
      <c r="LJO6" s="157"/>
      <c r="LJP6" s="157"/>
      <c r="LJQ6" s="157"/>
      <c r="LJR6" s="157"/>
      <c r="LJS6" s="157"/>
      <c r="LJT6" s="157"/>
      <c r="LJU6" s="157"/>
      <c r="LJV6" s="157"/>
      <c r="LJW6" s="157"/>
      <c r="LJX6" s="157"/>
      <c r="LJY6" s="157"/>
      <c r="LJZ6" s="157"/>
      <c r="LKA6" s="157"/>
      <c r="LKB6" s="157"/>
      <c r="LKC6" s="157"/>
      <c r="LKD6" s="157"/>
      <c r="LKE6" s="157"/>
      <c r="LKF6" s="157"/>
      <c r="LKG6" s="157"/>
      <c r="LKH6" s="157"/>
      <c r="LKI6" s="157"/>
      <c r="LKJ6" s="157"/>
      <c r="LKK6" s="157"/>
      <c r="LKL6" s="157"/>
      <c r="LKM6" s="157"/>
      <c r="LKN6" s="157"/>
      <c r="LKO6" s="157"/>
      <c r="LKP6" s="157"/>
      <c r="LKQ6" s="157"/>
      <c r="LKR6" s="157"/>
      <c r="LKS6" s="157"/>
      <c r="LKT6" s="157"/>
      <c r="LKU6" s="157"/>
      <c r="LKV6" s="157"/>
      <c r="LKW6" s="157"/>
      <c r="LKX6" s="157"/>
      <c r="LKY6" s="157"/>
      <c r="LKZ6" s="157"/>
      <c r="LLA6" s="157"/>
      <c r="LLB6" s="157"/>
      <c r="LLC6" s="157"/>
      <c r="LLD6" s="157"/>
      <c r="LLE6" s="157"/>
      <c r="LLF6" s="157"/>
      <c r="LLG6" s="157"/>
      <c r="LLH6" s="157"/>
      <c r="LLI6" s="157"/>
      <c r="LLJ6" s="157"/>
      <c r="LLK6" s="157"/>
      <c r="LLL6" s="157"/>
      <c r="LLM6" s="157"/>
      <c r="LLN6" s="157"/>
      <c r="LLO6" s="157"/>
      <c r="LLP6" s="157"/>
      <c r="LLQ6" s="157"/>
      <c r="LLR6" s="157"/>
      <c r="LLS6" s="157"/>
      <c r="LLT6" s="157"/>
      <c r="LLU6" s="157"/>
      <c r="LLV6" s="157"/>
      <c r="LLW6" s="157"/>
      <c r="LLX6" s="157"/>
      <c r="LLY6" s="157"/>
      <c r="LLZ6" s="157"/>
      <c r="LMA6" s="157"/>
      <c r="LMB6" s="157"/>
      <c r="LMC6" s="157"/>
      <c r="LMD6" s="157"/>
      <c r="LME6" s="157"/>
      <c r="LMF6" s="157"/>
      <c r="LMG6" s="157"/>
      <c r="LMH6" s="157"/>
      <c r="LMI6" s="157"/>
      <c r="LMJ6" s="157"/>
      <c r="LMK6" s="157"/>
      <c r="LML6" s="157"/>
      <c r="LMM6" s="157"/>
      <c r="LMN6" s="157"/>
      <c r="LMO6" s="157"/>
      <c r="LMP6" s="157"/>
      <c r="LMQ6" s="157"/>
      <c r="LMR6" s="157"/>
      <c r="LMS6" s="157"/>
      <c r="LMT6" s="157"/>
      <c r="LMU6" s="157"/>
      <c r="LMV6" s="157"/>
      <c r="LMW6" s="157"/>
      <c r="LMX6" s="157"/>
      <c r="LMY6" s="157"/>
      <c r="LMZ6" s="157"/>
      <c r="LNA6" s="157"/>
      <c r="LNB6" s="157"/>
      <c r="LNC6" s="157"/>
      <c r="LND6" s="157"/>
      <c r="LNE6" s="157"/>
      <c r="LNF6" s="157"/>
      <c r="LNG6" s="157"/>
      <c r="LNH6" s="157"/>
      <c r="LNI6" s="157"/>
      <c r="LNJ6" s="157"/>
      <c r="LNK6" s="157"/>
      <c r="LNL6" s="157"/>
      <c r="LNM6" s="157"/>
      <c r="LNN6" s="157"/>
      <c r="LNO6" s="157"/>
      <c r="LNP6" s="157"/>
      <c r="LNQ6" s="157"/>
      <c r="LNR6" s="157"/>
      <c r="LNS6" s="157"/>
      <c r="LNT6" s="157"/>
      <c r="LNU6" s="157"/>
      <c r="LNV6" s="157"/>
      <c r="LNW6" s="157"/>
      <c r="LNX6" s="157"/>
      <c r="LNY6" s="157"/>
      <c r="LNZ6" s="157"/>
      <c r="LOA6" s="157"/>
      <c r="LOB6" s="157"/>
      <c r="LOC6" s="157"/>
      <c r="LOD6" s="157"/>
      <c r="LOE6" s="157"/>
      <c r="LOF6" s="157"/>
      <c r="LOG6" s="157"/>
      <c r="LOH6" s="157"/>
      <c r="LOI6" s="157"/>
      <c r="LOJ6" s="157"/>
      <c r="LOK6" s="157"/>
      <c r="LOL6" s="157"/>
      <c r="LOM6" s="157"/>
      <c r="LON6" s="157"/>
      <c r="LOO6" s="157"/>
      <c r="LOP6" s="157"/>
      <c r="LOQ6" s="157"/>
      <c r="LOR6" s="157"/>
      <c r="LOS6" s="157"/>
      <c r="LOT6" s="157"/>
      <c r="LOU6" s="157"/>
      <c r="LOV6" s="157"/>
      <c r="LOW6" s="157"/>
      <c r="LOX6" s="157"/>
      <c r="LOY6" s="157"/>
      <c r="LOZ6" s="157"/>
      <c r="LPA6" s="157"/>
      <c r="LPB6" s="157"/>
      <c r="LPC6" s="157"/>
      <c r="LPD6" s="157"/>
      <c r="LPE6" s="157"/>
      <c r="LPF6" s="157"/>
      <c r="LPG6" s="157"/>
      <c r="LPH6" s="157"/>
      <c r="LPI6" s="157"/>
      <c r="LPJ6" s="157"/>
      <c r="LPK6" s="157"/>
      <c r="LPL6" s="157"/>
      <c r="LPM6" s="157"/>
      <c r="LPN6" s="157"/>
      <c r="LPO6" s="157"/>
      <c r="LPP6" s="157"/>
      <c r="LPQ6" s="157"/>
      <c r="LPR6" s="157"/>
      <c r="LPS6" s="157"/>
      <c r="LPT6" s="157"/>
      <c r="LPU6" s="157"/>
      <c r="LPV6" s="157"/>
      <c r="LPW6" s="157"/>
      <c r="LPX6" s="157"/>
      <c r="LPY6" s="157"/>
      <c r="LPZ6" s="157"/>
      <c r="LQA6" s="157"/>
      <c r="LQB6" s="157"/>
      <c r="LQC6" s="157"/>
      <c r="LQD6" s="157"/>
      <c r="LQE6" s="157"/>
      <c r="LQF6" s="157"/>
      <c r="LQG6" s="157"/>
      <c r="LQH6" s="157"/>
      <c r="LQI6" s="157"/>
      <c r="LQJ6" s="157"/>
      <c r="LQK6" s="157"/>
      <c r="LQL6" s="157"/>
      <c r="LQM6" s="157"/>
      <c r="LQN6" s="157"/>
      <c r="LQO6" s="157"/>
      <c r="LQP6" s="157"/>
      <c r="LQQ6" s="157"/>
      <c r="LQR6" s="157"/>
      <c r="LQS6" s="157"/>
      <c r="LQT6" s="157"/>
      <c r="LQU6" s="157"/>
      <c r="LQV6" s="157"/>
      <c r="LQW6" s="157"/>
      <c r="LQX6" s="157"/>
      <c r="LQY6" s="157"/>
      <c r="LQZ6" s="157"/>
      <c r="LRA6" s="157"/>
      <c r="LRB6" s="157"/>
      <c r="LRC6" s="157"/>
      <c r="LRD6" s="157"/>
      <c r="LRE6" s="157"/>
      <c r="LRF6" s="157"/>
      <c r="LRG6" s="157"/>
      <c r="LRH6" s="157"/>
      <c r="LRI6" s="157"/>
      <c r="LRJ6" s="157"/>
      <c r="LRK6" s="157"/>
      <c r="LRL6" s="157"/>
      <c r="LRM6" s="157"/>
      <c r="LRN6" s="157"/>
      <c r="LRO6" s="157"/>
      <c r="LRP6" s="157"/>
      <c r="LRQ6" s="157"/>
      <c r="LRR6" s="157"/>
      <c r="LRS6" s="157"/>
      <c r="LRT6" s="157"/>
      <c r="LRU6" s="157"/>
      <c r="LRV6" s="157"/>
      <c r="LRW6" s="157"/>
      <c r="LRX6" s="157"/>
      <c r="LRY6" s="157"/>
      <c r="LRZ6" s="157"/>
      <c r="LSA6" s="157"/>
      <c r="LSB6" s="157"/>
      <c r="LSC6" s="157"/>
      <c r="LSD6" s="157"/>
      <c r="LSE6" s="157"/>
      <c r="LSF6" s="157"/>
      <c r="LSG6" s="157"/>
      <c r="LSH6" s="157"/>
      <c r="LSI6" s="157"/>
      <c r="LSJ6" s="157"/>
      <c r="LSK6" s="157"/>
      <c r="LSL6" s="157"/>
      <c r="LSM6" s="157"/>
      <c r="LSN6" s="157"/>
      <c r="LSO6" s="157"/>
      <c r="LSP6" s="157"/>
      <c r="LSQ6" s="157"/>
      <c r="LSR6" s="157"/>
      <c r="LSS6" s="157"/>
      <c r="LST6" s="157"/>
      <c r="LSU6" s="157"/>
      <c r="LSV6" s="157"/>
      <c r="LSW6" s="157"/>
      <c r="LSX6" s="157"/>
      <c r="LSY6" s="157"/>
      <c r="LSZ6" s="157"/>
      <c r="LTA6" s="157"/>
      <c r="LTB6" s="157"/>
      <c r="LTC6" s="157"/>
      <c r="LTD6" s="157"/>
      <c r="LTE6" s="157"/>
      <c r="LTF6" s="157"/>
      <c r="LTG6" s="157"/>
      <c r="LTH6" s="157"/>
      <c r="LTI6" s="157"/>
      <c r="LTJ6" s="157"/>
      <c r="LTK6" s="157"/>
      <c r="LTL6" s="157"/>
      <c r="LTM6" s="157"/>
      <c r="LTN6" s="157"/>
      <c r="LTO6" s="157"/>
      <c r="LTP6" s="157"/>
      <c r="LTQ6" s="157"/>
      <c r="LTR6" s="157"/>
      <c r="LTS6" s="157"/>
      <c r="LTT6" s="157"/>
      <c r="LTU6" s="157"/>
      <c r="LTV6" s="157"/>
      <c r="LTW6" s="157"/>
      <c r="LTX6" s="157"/>
      <c r="LTY6" s="157"/>
      <c r="LTZ6" s="157"/>
      <c r="LUA6" s="157"/>
      <c r="LUB6" s="157"/>
      <c r="LUC6" s="157"/>
      <c r="LUD6" s="157"/>
      <c r="LUE6" s="157"/>
      <c r="LUF6" s="157"/>
      <c r="LUG6" s="157"/>
      <c r="LUH6" s="157"/>
      <c r="LUI6" s="157"/>
      <c r="LUJ6" s="157"/>
      <c r="LUK6" s="157"/>
      <c r="LUL6" s="157"/>
      <c r="LUM6" s="157"/>
      <c r="LUN6" s="157"/>
      <c r="LUO6" s="157"/>
      <c r="LUP6" s="157"/>
      <c r="LUQ6" s="157"/>
      <c r="LUR6" s="157"/>
      <c r="LUS6" s="157"/>
      <c r="LUT6" s="157"/>
      <c r="LUU6" s="157"/>
      <c r="LUV6" s="157"/>
      <c r="LUW6" s="157"/>
      <c r="LUX6" s="157"/>
      <c r="LUY6" s="157"/>
      <c r="LUZ6" s="157"/>
      <c r="LVA6" s="157"/>
      <c r="LVB6" s="157"/>
      <c r="LVC6" s="157"/>
      <c r="LVD6" s="157"/>
      <c r="LVE6" s="157"/>
      <c r="LVF6" s="157"/>
      <c r="LVG6" s="157"/>
      <c r="LVH6" s="157"/>
      <c r="LVI6" s="157"/>
      <c r="LVJ6" s="157"/>
      <c r="LVK6" s="157"/>
      <c r="LVL6" s="157"/>
      <c r="LVM6" s="157"/>
      <c r="LVN6" s="157"/>
      <c r="LVO6" s="157"/>
      <c r="LVP6" s="157"/>
      <c r="LVQ6" s="157"/>
      <c r="LVR6" s="157"/>
      <c r="LVS6" s="157"/>
      <c r="LVT6" s="157"/>
      <c r="LVU6" s="157"/>
      <c r="LVV6" s="157"/>
      <c r="LVW6" s="157"/>
      <c r="LVX6" s="157"/>
      <c r="LVY6" s="157"/>
      <c r="LVZ6" s="157"/>
      <c r="LWA6" s="157"/>
      <c r="LWB6" s="157"/>
      <c r="LWC6" s="157"/>
      <c r="LWD6" s="157"/>
      <c r="LWE6" s="157"/>
      <c r="LWF6" s="157"/>
      <c r="LWG6" s="157"/>
      <c r="LWH6" s="157"/>
      <c r="LWI6" s="157"/>
      <c r="LWJ6" s="157"/>
      <c r="LWK6" s="157"/>
      <c r="LWL6" s="157"/>
      <c r="LWM6" s="157"/>
      <c r="LWN6" s="157"/>
      <c r="LWO6" s="157"/>
      <c r="LWP6" s="157"/>
      <c r="LWQ6" s="157"/>
      <c r="LWR6" s="157"/>
      <c r="LWS6" s="157"/>
      <c r="LWT6" s="157"/>
      <c r="LWU6" s="157"/>
      <c r="LWV6" s="157"/>
      <c r="LWW6" s="157"/>
      <c r="LWX6" s="157"/>
      <c r="LWY6" s="157"/>
      <c r="LWZ6" s="157"/>
      <c r="LXA6" s="157"/>
      <c r="LXB6" s="157"/>
      <c r="LXC6" s="157"/>
      <c r="LXD6" s="157"/>
      <c r="LXE6" s="157"/>
      <c r="LXF6" s="157"/>
      <c r="LXG6" s="157"/>
      <c r="LXH6" s="157"/>
      <c r="LXI6" s="157"/>
      <c r="LXJ6" s="157"/>
      <c r="LXK6" s="157"/>
      <c r="LXL6" s="157"/>
      <c r="LXM6" s="157"/>
      <c r="LXN6" s="157"/>
      <c r="LXO6" s="157"/>
      <c r="LXP6" s="157"/>
      <c r="LXQ6" s="157"/>
      <c r="LXR6" s="157"/>
      <c r="LXS6" s="157"/>
      <c r="LXT6" s="157"/>
      <c r="LXU6" s="157"/>
      <c r="LXV6" s="157"/>
      <c r="LXW6" s="157"/>
      <c r="LXX6" s="157"/>
      <c r="LXY6" s="157"/>
      <c r="LXZ6" s="157"/>
      <c r="LYA6" s="157"/>
      <c r="LYB6" s="157"/>
      <c r="LYC6" s="157"/>
      <c r="LYD6" s="157"/>
      <c r="LYE6" s="157"/>
      <c r="LYF6" s="157"/>
      <c r="LYG6" s="157"/>
      <c r="LYH6" s="157"/>
      <c r="LYI6" s="157"/>
      <c r="LYJ6" s="157"/>
      <c r="LYK6" s="157"/>
      <c r="LYL6" s="157"/>
      <c r="LYM6" s="157"/>
      <c r="LYN6" s="157"/>
      <c r="LYO6" s="157"/>
      <c r="LYP6" s="157"/>
      <c r="LYQ6" s="157"/>
      <c r="LYR6" s="157"/>
      <c r="LYS6" s="157"/>
      <c r="LYT6" s="157"/>
      <c r="LYU6" s="157"/>
      <c r="LYV6" s="157"/>
      <c r="LYW6" s="157"/>
      <c r="LYX6" s="157"/>
      <c r="LYY6" s="157"/>
      <c r="LYZ6" s="157"/>
      <c r="LZA6" s="157"/>
      <c r="LZB6" s="157"/>
      <c r="LZC6" s="157"/>
      <c r="LZD6" s="157"/>
      <c r="LZE6" s="157"/>
      <c r="LZF6" s="157"/>
      <c r="LZG6" s="157"/>
      <c r="LZH6" s="157"/>
      <c r="LZI6" s="157"/>
      <c r="LZJ6" s="157"/>
      <c r="LZK6" s="157"/>
      <c r="LZL6" s="157"/>
      <c r="LZM6" s="157"/>
      <c r="LZN6" s="157"/>
      <c r="LZO6" s="157"/>
      <c r="LZP6" s="157"/>
      <c r="LZQ6" s="157"/>
      <c r="LZR6" s="157"/>
      <c r="LZS6" s="157"/>
      <c r="LZT6" s="157"/>
      <c r="LZU6" s="157"/>
      <c r="LZV6" s="157"/>
      <c r="LZW6" s="157"/>
      <c r="LZX6" s="157"/>
      <c r="LZY6" s="157"/>
      <c r="LZZ6" s="157"/>
      <c r="MAA6" s="157"/>
      <c r="MAB6" s="157"/>
      <c r="MAC6" s="157"/>
      <c r="MAD6" s="157"/>
      <c r="MAE6" s="157"/>
      <c r="MAF6" s="157"/>
      <c r="MAG6" s="157"/>
      <c r="MAH6" s="157"/>
      <c r="MAI6" s="157"/>
      <c r="MAJ6" s="157"/>
      <c r="MAK6" s="157"/>
      <c r="MAL6" s="157"/>
      <c r="MAM6" s="157"/>
      <c r="MAN6" s="157"/>
      <c r="MAO6" s="157"/>
      <c r="MAP6" s="157"/>
      <c r="MAQ6" s="157"/>
      <c r="MAR6" s="157"/>
      <c r="MAS6" s="157"/>
      <c r="MAT6" s="157"/>
      <c r="MAU6" s="157"/>
      <c r="MAV6" s="157"/>
      <c r="MAW6" s="157"/>
      <c r="MAX6" s="157"/>
      <c r="MAY6" s="157"/>
      <c r="MAZ6" s="157"/>
      <c r="MBA6" s="157"/>
      <c r="MBB6" s="157"/>
      <c r="MBC6" s="157"/>
      <c r="MBD6" s="157"/>
      <c r="MBE6" s="157"/>
      <c r="MBF6" s="157"/>
      <c r="MBG6" s="157"/>
      <c r="MBH6" s="157"/>
      <c r="MBI6" s="157"/>
      <c r="MBJ6" s="157"/>
      <c r="MBK6" s="157"/>
      <c r="MBL6" s="157"/>
      <c r="MBM6" s="157"/>
      <c r="MBN6" s="157"/>
      <c r="MBO6" s="157"/>
      <c r="MBP6" s="157"/>
      <c r="MBQ6" s="157"/>
      <c r="MBR6" s="157"/>
      <c r="MBS6" s="157"/>
      <c r="MBT6" s="157"/>
      <c r="MBU6" s="157"/>
      <c r="MBV6" s="157"/>
      <c r="MBW6" s="157"/>
      <c r="MBX6" s="157"/>
      <c r="MBY6" s="157"/>
      <c r="MBZ6" s="157"/>
      <c r="MCA6" s="157"/>
      <c r="MCB6" s="157"/>
      <c r="MCC6" s="157"/>
      <c r="MCD6" s="157"/>
      <c r="MCE6" s="157"/>
      <c r="MCF6" s="157"/>
      <c r="MCG6" s="157"/>
      <c r="MCH6" s="157"/>
      <c r="MCI6" s="157"/>
      <c r="MCJ6" s="157"/>
      <c r="MCK6" s="157"/>
      <c r="MCL6" s="157"/>
      <c r="MCM6" s="157"/>
      <c r="MCN6" s="157"/>
      <c r="MCO6" s="157"/>
      <c r="MCP6" s="157"/>
      <c r="MCQ6" s="157"/>
      <c r="MCR6" s="157"/>
      <c r="MCS6" s="157"/>
      <c r="MCT6" s="157"/>
      <c r="MCU6" s="157"/>
      <c r="MCV6" s="157"/>
      <c r="MCW6" s="157"/>
      <c r="MCX6" s="157"/>
      <c r="MCY6" s="157"/>
      <c r="MCZ6" s="157"/>
      <c r="MDA6" s="157"/>
      <c r="MDB6" s="157"/>
      <c r="MDC6" s="157"/>
      <c r="MDD6" s="157"/>
      <c r="MDE6" s="157"/>
      <c r="MDF6" s="157"/>
      <c r="MDG6" s="157"/>
      <c r="MDH6" s="157"/>
      <c r="MDI6" s="157"/>
      <c r="MDJ6" s="157"/>
      <c r="MDK6" s="157"/>
      <c r="MDL6" s="157"/>
      <c r="MDM6" s="157"/>
      <c r="MDN6" s="157"/>
      <c r="MDO6" s="157"/>
      <c r="MDP6" s="157"/>
      <c r="MDQ6" s="157"/>
      <c r="MDR6" s="157"/>
      <c r="MDS6" s="157"/>
      <c r="MDT6" s="157"/>
      <c r="MDU6" s="157"/>
      <c r="MDV6" s="157"/>
      <c r="MDW6" s="157"/>
      <c r="MDX6" s="157"/>
      <c r="MDY6" s="157"/>
      <c r="MDZ6" s="157"/>
      <c r="MEA6" s="157"/>
      <c r="MEB6" s="157"/>
      <c r="MEC6" s="157"/>
      <c r="MED6" s="157"/>
      <c r="MEE6" s="157"/>
      <c r="MEF6" s="157"/>
      <c r="MEG6" s="157"/>
      <c r="MEH6" s="157"/>
      <c r="MEI6" s="157"/>
      <c r="MEJ6" s="157"/>
      <c r="MEK6" s="157"/>
      <c r="MEL6" s="157"/>
      <c r="MEM6" s="157"/>
      <c r="MEN6" s="157"/>
      <c r="MEO6" s="157"/>
      <c r="MEP6" s="157"/>
      <c r="MEQ6" s="157"/>
      <c r="MER6" s="157"/>
      <c r="MES6" s="157"/>
      <c r="MET6" s="157"/>
      <c r="MEU6" s="157"/>
      <c r="MEV6" s="157"/>
      <c r="MEW6" s="157"/>
      <c r="MEX6" s="157"/>
      <c r="MEY6" s="157"/>
      <c r="MEZ6" s="157"/>
      <c r="MFA6" s="157"/>
      <c r="MFB6" s="157"/>
      <c r="MFC6" s="157"/>
      <c r="MFD6" s="157"/>
      <c r="MFE6" s="157"/>
      <c r="MFF6" s="157"/>
      <c r="MFG6" s="157"/>
      <c r="MFH6" s="157"/>
      <c r="MFI6" s="157"/>
      <c r="MFJ6" s="157"/>
      <c r="MFK6" s="157"/>
      <c r="MFL6" s="157"/>
      <c r="MFM6" s="157"/>
      <c r="MFN6" s="157"/>
      <c r="MFO6" s="157"/>
      <c r="MFP6" s="157"/>
      <c r="MFQ6" s="157"/>
      <c r="MFR6" s="157"/>
      <c r="MFS6" s="157"/>
      <c r="MFT6" s="157"/>
      <c r="MFU6" s="157"/>
      <c r="MFV6" s="157"/>
      <c r="MFW6" s="157"/>
      <c r="MFX6" s="157"/>
      <c r="MFY6" s="157"/>
      <c r="MFZ6" s="157"/>
      <c r="MGA6" s="157"/>
      <c r="MGB6" s="157"/>
      <c r="MGC6" s="157"/>
      <c r="MGD6" s="157"/>
      <c r="MGE6" s="157"/>
      <c r="MGF6" s="157"/>
      <c r="MGG6" s="157"/>
      <c r="MGH6" s="157"/>
      <c r="MGI6" s="157"/>
      <c r="MGJ6" s="157"/>
      <c r="MGK6" s="157"/>
      <c r="MGL6" s="157"/>
      <c r="MGM6" s="157"/>
      <c r="MGN6" s="157"/>
      <c r="MGO6" s="157"/>
      <c r="MGP6" s="157"/>
      <c r="MGQ6" s="157"/>
      <c r="MGR6" s="157"/>
      <c r="MGS6" s="157"/>
      <c r="MGT6" s="157"/>
      <c r="MGU6" s="157"/>
      <c r="MGV6" s="157"/>
      <c r="MGW6" s="157"/>
      <c r="MGX6" s="157"/>
      <c r="MGY6" s="157"/>
      <c r="MGZ6" s="157"/>
      <c r="MHA6" s="157"/>
      <c r="MHB6" s="157"/>
      <c r="MHC6" s="157"/>
      <c r="MHD6" s="157"/>
      <c r="MHE6" s="157"/>
      <c r="MHF6" s="157"/>
      <c r="MHG6" s="157"/>
      <c r="MHH6" s="157"/>
      <c r="MHI6" s="157"/>
      <c r="MHJ6" s="157"/>
      <c r="MHK6" s="157"/>
      <c r="MHL6" s="157"/>
      <c r="MHM6" s="157"/>
      <c r="MHN6" s="157"/>
      <c r="MHO6" s="157"/>
      <c r="MHP6" s="157"/>
      <c r="MHQ6" s="157"/>
      <c r="MHR6" s="157"/>
      <c r="MHS6" s="157"/>
      <c r="MHT6" s="157"/>
      <c r="MHU6" s="157"/>
      <c r="MHV6" s="157"/>
      <c r="MHW6" s="157"/>
      <c r="MHX6" s="157"/>
      <c r="MHY6" s="157"/>
      <c r="MHZ6" s="157"/>
      <c r="MIA6" s="157"/>
      <c r="MIB6" s="157"/>
      <c r="MIC6" s="157"/>
      <c r="MID6" s="157"/>
      <c r="MIE6" s="157"/>
      <c r="MIF6" s="157"/>
      <c r="MIG6" s="157"/>
      <c r="MIH6" s="157"/>
      <c r="MII6" s="157"/>
      <c r="MIJ6" s="157"/>
      <c r="MIK6" s="157"/>
      <c r="MIL6" s="157"/>
      <c r="MIM6" s="157"/>
      <c r="MIN6" s="157"/>
      <c r="MIO6" s="157"/>
      <c r="MIP6" s="157"/>
      <c r="MIQ6" s="157"/>
      <c r="MIR6" s="157"/>
      <c r="MIS6" s="157"/>
      <c r="MIT6" s="157"/>
      <c r="MIU6" s="157"/>
      <c r="MIV6" s="157"/>
      <c r="MIW6" s="157"/>
      <c r="MIX6" s="157"/>
      <c r="MIY6" s="157"/>
      <c r="MIZ6" s="157"/>
      <c r="MJA6" s="157"/>
      <c r="MJB6" s="157"/>
      <c r="MJC6" s="157"/>
      <c r="MJD6" s="157"/>
      <c r="MJE6" s="157"/>
      <c r="MJF6" s="157"/>
      <c r="MJG6" s="157"/>
      <c r="MJH6" s="157"/>
      <c r="MJI6" s="157"/>
      <c r="MJJ6" s="157"/>
      <c r="MJK6" s="157"/>
      <c r="MJL6" s="157"/>
      <c r="MJM6" s="157"/>
      <c r="MJN6" s="157"/>
      <c r="MJO6" s="157"/>
      <c r="MJP6" s="157"/>
      <c r="MJQ6" s="157"/>
      <c r="MJR6" s="157"/>
      <c r="MJS6" s="157"/>
      <c r="MJT6" s="157"/>
      <c r="MJU6" s="157"/>
      <c r="MJV6" s="157"/>
      <c r="MJW6" s="157"/>
      <c r="MJX6" s="157"/>
      <c r="MJY6" s="157"/>
      <c r="MJZ6" s="157"/>
      <c r="MKA6" s="157"/>
      <c r="MKB6" s="157"/>
      <c r="MKC6" s="157"/>
      <c r="MKD6" s="157"/>
      <c r="MKE6" s="157"/>
      <c r="MKF6" s="157"/>
      <c r="MKG6" s="157"/>
      <c r="MKH6" s="157"/>
      <c r="MKI6" s="157"/>
      <c r="MKJ6" s="157"/>
      <c r="MKK6" s="157"/>
      <c r="MKL6" s="157"/>
      <c r="MKM6" s="157"/>
      <c r="MKN6" s="157"/>
      <c r="MKO6" s="157"/>
      <c r="MKP6" s="157"/>
      <c r="MKQ6" s="157"/>
      <c r="MKR6" s="157"/>
      <c r="MKS6" s="157"/>
      <c r="MKT6" s="157"/>
      <c r="MKU6" s="157"/>
      <c r="MKV6" s="157"/>
      <c r="MKW6" s="157"/>
      <c r="MKX6" s="157"/>
      <c r="MKY6" s="157"/>
      <c r="MKZ6" s="157"/>
      <c r="MLA6" s="157"/>
      <c r="MLB6" s="157"/>
      <c r="MLC6" s="157"/>
      <c r="MLD6" s="157"/>
      <c r="MLE6" s="157"/>
      <c r="MLF6" s="157"/>
      <c r="MLG6" s="157"/>
      <c r="MLH6" s="157"/>
      <c r="MLI6" s="157"/>
      <c r="MLJ6" s="157"/>
      <c r="MLK6" s="157"/>
      <c r="MLL6" s="157"/>
      <c r="MLM6" s="157"/>
      <c r="MLN6" s="157"/>
      <c r="MLO6" s="157"/>
      <c r="MLP6" s="157"/>
      <c r="MLQ6" s="157"/>
      <c r="MLR6" s="157"/>
      <c r="MLS6" s="157"/>
      <c r="MLT6" s="157"/>
      <c r="MLU6" s="157"/>
      <c r="MLV6" s="157"/>
      <c r="MLW6" s="157"/>
      <c r="MLX6" s="157"/>
      <c r="MLY6" s="157"/>
      <c r="MLZ6" s="157"/>
      <c r="MMA6" s="157"/>
      <c r="MMB6" s="157"/>
      <c r="MMC6" s="157"/>
      <c r="MMD6" s="157"/>
      <c r="MME6" s="157"/>
      <c r="MMF6" s="157"/>
      <c r="MMG6" s="157"/>
      <c r="MMH6" s="157"/>
      <c r="MMI6" s="157"/>
      <c r="MMJ6" s="157"/>
      <c r="MMK6" s="157"/>
      <c r="MML6" s="157"/>
      <c r="MMM6" s="157"/>
      <c r="MMN6" s="157"/>
      <c r="MMO6" s="157"/>
      <c r="MMP6" s="157"/>
      <c r="MMQ6" s="157"/>
      <c r="MMR6" s="157"/>
      <c r="MMS6" s="157"/>
      <c r="MMT6" s="157"/>
      <c r="MMU6" s="157"/>
      <c r="MMV6" s="157"/>
      <c r="MMW6" s="157"/>
      <c r="MMX6" s="157"/>
      <c r="MMY6" s="157"/>
      <c r="MMZ6" s="157"/>
      <c r="MNA6" s="157"/>
      <c r="MNB6" s="157"/>
      <c r="MNC6" s="157"/>
      <c r="MND6" s="157"/>
      <c r="MNE6" s="157"/>
      <c r="MNF6" s="157"/>
      <c r="MNG6" s="157"/>
      <c r="MNH6" s="157"/>
      <c r="MNI6" s="157"/>
      <c r="MNJ6" s="157"/>
      <c r="MNK6" s="157"/>
      <c r="MNL6" s="157"/>
      <c r="MNM6" s="157"/>
      <c r="MNN6" s="157"/>
      <c r="MNO6" s="157"/>
      <c r="MNP6" s="157"/>
      <c r="MNQ6" s="157"/>
      <c r="MNR6" s="157"/>
      <c r="MNS6" s="157"/>
      <c r="MNT6" s="157"/>
      <c r="MNU6" s="157"/>
      <c r="MNV6" s="157"/>
      <c r="MNW6" s="157"/>
      <c r="MNX6" s="157"/>
      <c r="MNY6" s="157"/>
      <c r="MNZ6" s="157"/>
      <c r="MOA6" s="157"/>
      <c r="MOB6" s="157"/>
      <c r="MOC6" s="157"/>
      <c r="MOD6" s="157"/>
      <c r="MOE6" s="157"/>
      <c r="MOF6" s="157"/>
      <c r="MOG6" s="157"/>
      <c r="MOH6" s="157"/>
      <c r="MOI6" s="157"/>
      <c r="MOJ6" s="157"/>
      <c r="MOK6" s="157"/>
      <c r="MOL6" s="157"/>
      <c r="MOM6" s="157"/>
      <c r="MON6" s="157"/>
      <c r="MOO6" s="157"/>
      <c r="MOP6" s="157"/>
      <c r="MOQ6" s="157"/>
      <c r="MOR6" s="157"/>
      <c r="MOS6" s="157"/>
      <c r="MOT6" s="157"/>
      <c r="MOU6" s="157"/>
      <c r="MOV6" s="157"/>
      <c r="MOW6" s="157"/>
      <c r="MOX6" s="157"/>
      <c r="MOY6" s="157"/>
      <c r="MOZ6" s="157"/>
      <c r="MPA6" s="157"/>
      <c r="MPB6" s="157"/>
      <c r="MPC6" s="157"/>
      <c r="MPD6" s="157"/>
      <c r="MPE6" s="157"/>
      <c r="MPF6" s="157"/>
      <c r="MPG6" s="157"/>
      <c r="MPH6" s="157"/>
      <c r="MPI6" s="157"/>
      <c r="MPJ6" s="157"/>
      <c r="MPK6" s="157"/>
      <c r="MPL6" s="157"/>
      <c r="MPM6" s="157"/>
      <c r="MPN6" s="157"/>
      <c r="MPO6" s="157"/>
      <c r="MPP6" s="157"/>
      <c r="MPQ6" s="157"/>
      <c r="MPR6" s="157"/>
      <c r="MPS6" s="157"/>
      <c r="MPT6" s="157"/>
      <c r="MPU6" s="157"/>
      <c r="MPV6" s="157"/>
      <c r="MPW6" s="157"/>
      <c r="MPX6" s="157"/>
      <c r="MPY6" s="157"/>
      <c r="MPZ6" s="157"/>
      <c r="MQA6" s="157"/>
      <c r="MQB6" s="157"/>
      <c r="MQC6" s="157"/>
      <c r="MQD6" s="157"/>
      <c r="MQE6" s="157"/>
      <c r="MQF6" s="157"/>
      <c r="MQG6" s="157"/>
      <c r="MQH6" s="157"/>
      <c r="MQI6" s="157"/>
      <c r="MQJ6" s="157"/>
      <c r="MQK6" s="157"/>
      <c r="MQL6" s="157"/>
      <c r="MQM6" s="157"/>
      <c r="MQN6" s="157"/>
      <c r="MQO6" s="157"/>
      <c r="MQP6" s="157"/>
      <c r="MQQ6" s="157"/>
      <c r="MQR6" s="157"/>
      <c r="MQS6" s="157"/>
      <c r="MQT6" s="157"/>
      <c r="MQU6" s="157"/>
      <c r="MQV6" s="157"/>
      <c r="MQW6" s="157"/>
      <c r="MQX6" s="157"/>
      <c r="MQY6" s="157"/>
      <c r="MQZ6" s="157"/>
      <c r="MRA6" s="157"/>
      <c r="MRB6" s="157"/>
      <c r="MRC6" s="157"/>
      <c r="MRD6" s="157"/>
      <c r="MRE6" s="157"/>
      <c r="MRF6" s="157"/>
      <c r="MRG6" s="157"/>
      <c r="MRH6" s="157"/>
      <c r="MRI6" s="157"/>
      <c r="MRJ6" s="157"/>
      <c r="MRK6" s="157"/>
      <c r="MRL6" s="157"/>
      <c r="MRM6" s="157"/>
      <c r="MRN6" s="157"/>
      <c r="MRO6" s="157"/>
      <c r="MRP6" s="157"/>
      <c r="MRQ6" s="157"/>
      <c r="MRR6" s="157"/>
      <c r="MRS6" s="157"/>
      <c r="MRT6" s="157"/>
      <c r="MRU6" s="157"/>
      <c r="MRV6" s="157"/>
      <c r="MRW6" s="157"/>
      <c r="MRX6" s="157"/>
      <c r="MRY6" s="157"/>
      <c r="MRZ6" s="157"/>
      <c r="MSA6" s="157"/>
      <c r="MSB6" s="157"/>
      <c r="MSC6" s="157"/>
      <c r="MSD6" s="157"/>
      <c r="MSE6" s="157"/>
      <c r="MSF6" s="157"/>
      <c r="MSG6" s="157"/>
      <c r="MSH6" s="157"/>
      <c r="MSI6" s="157"/>
      <c r="MSJ6" s="157"/>
      <c r="MSK6" s="157"/>
      <c r="MSL6" s="157"/>
      <c r="MSM6" s="157"/>
      <c r="MSN6" s="157"/>
      <c r="MSO6" s="157"/>
      <c r="MSP6" s="157"/>
      <c r="MSQ6" s="157"/>
      <c r="MSR6" s="157"/>
      <c r="MSS6" s="157"/>
      <c r="MST6" s="157"/>
      <c r="MSU6" s="157"/>
      <c r="MSV6" s="157"/>
      <c r="MSW6" s="157"/>
      <c r="MSX6" s="157"/>
      <c r="MSY6" s="157"/>
      <c r="MSZ6" s="157"/>
      <c r="MTA6" s="157"/>
      <c r="MTB6" s="157"/>
      <c r="MTC6" s="157"/>
      <c r="MTD6" s="157"/>
      <c r="MTE6" s="157"/>
      <c r="MTF6" s="157"/>
      <c r="MTG6" s="157"/>
      <c r="MTH6" s="157"/>
      <c r="MTI6" s="157"/>
      <c r="MTJ6" s="157"/>
      <c r="MTK6" s="157"/>
      <c r="MTL6" s="157"/>
      <c r="MTM6" s="157"/>
      <c r="MTN6" s="157"/>
      <c r="MTO6" s="157"/>
      <c r="MTP6" s="157"/>
      <c r="MTQ6" s="157"/>
      <c r="MTR6" s="157"/>
      <c r="MTS6" s="157"/>
      <c r="MTT6" s="157"/>
      <c r="MTU6" s="157"/>
      <c r="MTV6" s="157"/>
      <c r="MTW6" s="157"/>
      <c r="MTX6" s="157"/>
      <c r="MTY6" s="157"/>
      <c r="MTZ6" s="157"/>
      <c r="MUA6" s="157"/>
      <c r="MUB6" s="157"/>
      <c r="MUC6" s="157"/>
      <c r="MUD6" s="157"/>
      <c r="MUE6" s="157"/>
      <c r="MUF6" s="157"/>
      <c r="MUG6" s="157"/>
      <c r="MUH6" s="157"/>
      <c r="MUI6" s="157"/>
      <c r="MUJ6" s="157"/>
      <c r="MUK6" s="157"/>
      <c r="MUL6" s="157"/>
      <c r="MUM6" s="157"/>
      <c r="MUN6" s="157"/>
      <c r="MUO6" s="157"/>
      <c r="MUP6" s="157"/>
      <c r="MUQ6" s="157"/>
      <c r="MUR6" s="157"/>
      <c r="MUS6" s="157"/>
      <c r="MUT6" s="157"/>
      <c r="MUU6" s="157"/>
      <c r="MUV6" s="157"/>
      <c r="MUW6" s="157"/>
      <c r="MUX6" s="157"/>
      <c r="MUY6" s="157"/>
      <c r="MUZ6" s="157"/>
      <c r="MVA6" s="157"/>
      <c r="MVB6" s="157"/>
      <c r="MVC6" s="157"/>
      <c r="MVD6" s="157"/>
      <c r="MVE6" s="157"/>
      <c r="MVF6" s="157"/>
      <c r="MVG6" s="157"/>
      <c r="MVH6" s="157"/>
      <c r="MVI6" s="157"/>
      <c r="MVJ6" s="157"/>
      <c r="MVK6" s="157"/>
      <c r="MVL6" s="157"/>
      <c r="MVM6" s="157"/>
      <c r="MVN6" s="157"/>
      <c r="MVO6" s="157"/>
      <c r="MVP6" s="157"/>
      <c r="MVQ6" s="157"/>
      <c r="MVR6" s="157"/>
      <c r="MVS6" s="157"/>
      <c r="MVT6" s="157"/>
      <c r="MVU6" s="157"/>
      <c r="MVV6" s="157"/>
      <c r="MVW6" s="157"/>
      <c r="MVX6" s="157"/>
      <c r="MVY6" s="157"/>
      <c r="MVZ6" s="157"/>
      <c r="MWA6" s="157"/>
      <c r="MWB6" s="157"/>
      <c r="MWC6" s="157"/>
      <c r="MWD6" s="157"/>
      <c r="MWE6" s="157"/>
      <c r="MWF6" s="157"/>
      <c r="MWG6" s="157"/>
      <c r="MWH6" s="157"/>
      <c r="MWI6" s="157"/>
      <c r="MWJ6" s="157"/>
      <c r="MWK6" s="157"/>
      <c r="MWL6" s="157"/>
      <c r="MWM6" s="157"/>
      <c r="MWN6" s="157"/>
      <c r="MWO6" s="157"/>
      <c r="MWP6" s="157"/>
      <c r="MWQ6" s="157"/>
      <c r="MWR6" s="157"/>
      <c r="MWS6" s="157"/>
      <c r="MWT6" s="157"/>
      <c r="MWU6" s="157"/>
      <c r="MWV6" s="157"/>
      <c r="MWW6" s="157"/>
      <c r="MWX6" s="157"/>
      <c r="MWY6" s="157"/>
      <c r="MWZ6" s="157"/>
      <c r="MXA6" s="157"/>
      <c r="MXB6" s="157"/>
      <c r="MXC6" s="157"/>
      <c r="MXD6" s="157"/>
      <c r="MXE6" s="157"/>
      <c r="MXF6" s="157"/>
      <c r="MXG6" s="157"/>
      <c r="MXH6" s="157"/>
      <c r="MXI6" s="157"/>
      <c r="MXJ6" s="157"/>
      <c r="MXK6" s="157"/>
      <c r="MXL6" s="157"/>
      <c r="MXM6" s="157"/>
      <c r="MXN6" s="157"/>
      <c r="MXO6" s="157"/>
      <c r="MXP6" s="157"/>
      <c r="MXQ6" s="157"/>
      <c r="MXR6" s="157"/>
      <c r="MXS6" s="157"/>
      <c r="MXT6" s="157"/>
      <c r="MXU6" s="157"/>
      <c r="MXV6" s="157"/>
      <c r="MXW6" s="157"/>
      <c r="MXX6" s="157"/>
      <c r="MXY6" s="157"/>
      <c r="MXZ6" s="157"/>
      <c r="MYA6" s="157"/>
      <c r="MYB6" s="157"/>
      <c r="MYC6" s="157"/>
      <c r="MYD6" s="157"/>
      <c r="MYE6" s="157"/>
      <c r="MYF6" s="157"/>
      <c r="MYG6" s="157"/>
      <c r="MYH6" s="157"/>
      <c r="MYI6" s="157"/>
      <c r="MYJ6" s="157"/>
      <c r="MYK6" s="157"/>
      <c r="MYL6" s="157"/>
      <c r="MYM6" s="157"/>
      <c r="MYN6" s="157"/>
      <c r="MYO6" s="157"/>
      <c r="MYP6" s="157"/>
      <c r="MYQ6" s="157"/>
      <c r="MYR6" s="157"/>
      <c r="MYS6" s="157"/>
      <c r="MYT6" s="157"/>
      <c r="MYU6" s="157"/>
      <c r="MYV6" s="157"/>
      <c r="MYW6" s="157"/>
      <c r="MYX6" s="157"/>
      <c r="MYY6" s="157"/>
      <c r="MYZ6" s="157"/>
      <c r="MZA6" s="157"/>
      <c r="MZB6" s="157"/>
      <c r="MZC6" s="157"/>
      <c r="MZD6" s="157"/>
      <c r="MZE6" s="157"/>
      <c r="MZF6" s="157"/>
      <c r="MZG6" s="157"/>
      <c r="MZH6" s="157"/>
      <c r="MZI6" s="157"/>
      <c r="MZJ6" s="157"/>
      <c r="MZK6" s="157"/>
      <c r="MZL6" s="157"/>
      <c r="MZM6" s="157"/>
      <c r="MZN6" s="157"/>
      <c r="MZO6" s="157"/>
      <c r="MZP6" s="157"/>
      <c r="MZQ6" s="157"/>
      <c r="MZR6" s="157"/>
      <c r="MZS6" s="157"/>
      <c r="MZT6" s="157"/>
      <c r="MZU6" s="157"/>
      <c r="MZV6" s="157"/>
      <c r="MZW6" s="157"/>
      <c r="MZX6" s="157"/>
      <c r="MZY6" s="157"/>
      <c r="MZZ6" s="157"/>
      <c r="NAA6" s="157"/>
      <c r="NAB6" s="157"/>
      <c r="NAC6" s="157"/>
      <c r="NAD6" s="157"/>
      <c r="NAE6" s="157"/>
      <c r="NAF6" s="157"/>
      <c r="NAG6" s="157"/>
      <c r="NAH6" s="157"/>
      <c r="NAI6" s="157"/>
      <c r="NAJ6" s="157"/>
      <c r="NAK6" s="157"/>
      <c r="NAL6" s="157"/>
      <c r="NAM6" s="157"/>
      <c r="NAN6" s="157"/>
      <c r="NAO6" s="157"/>
      <c r="NAP6" s="157"/>
      <c r="NAQ6" s="157"/>
      <c r="NAR6" s="157"/>
      <c r="NAS6" s="157"/>
      <c r="NAT6" s="157"/>
      <c r="NAU6" s="157"/>
      <c r="NAV6" s="157"/>
      <c r="NAW6" s="157"/>
      <c r="NAX6" s="157"/>
      <c r="NAY6" s="157"/>
      <c r="NAZ6" s="157"/>
      <c r="NBA6" s="157"/>
      <c r="NBB6" s="157"/>
      <c r="NBC6" s="157"/>
      <c r="NBD6" s="157"/>
      <c r="NBE6" s="157"/>
      <c r="NBF6" s="157"/>
      <c r="NBG6" s="157"/>
      <c r="NBH6" s="157"/>
      <c r="NBI6" s="157"/>
      <c r="NBJ6" s="157"/>
      <c r="NBK6" s="157"/>
      <c r="NBL6" s="157"/>
      <c r="NBM6" s="157"/>
      <c r="NBN6" s="157"/>
      <c r="NBO6" s="157"/>
      <c r="NBP6" s="157"/>
      <c r="NBQ6" s="157"/>
      <c r="NBR6" s="157"/>
      <c r="NBS6" s="157"/>
      <c r="NBT6" s="157"/>
      <c r="NBU6" s="157"/>
      <c r="NBV6" s="157"/>
      <c r="NBW6" s="157"/>
      <c r="NBX6" s="157"/>
      <c r="NBY6" s="157"/>
      <c r="NBZ6" s="157"/>
      <c r="NCA6" s="157"/>
      <c r="NCB6" s="157"/>
      <c r="NCC6" s="157"/>
      <c r="NCD6" s="157"/>
      <c r="NCE6" s="157"/>
      <c r="NCF6" s="157"/>
      <c r="NCG6" s="157"/>
      <c r="NCH6" s="157"/>
      <c r="NCI6" s="157"/>
      <c r="NCJ6" s="157"/>
      <c r="NCK6" s="157"/>
      <c r="NCL6" s="157"/>
      <c r="NCM6" s="157"/>
      <c r="NCN6" s="157"/>
      <c r="NCO6" s="157"/>
      <c r="NCP6" s="157"/>
      <c r="NCQ6" s="157"/>
      <c r="NCR6" s="157"/>
      <c r="NCS6" s="157"/>
      <c r="NCT6" s="157"/>
      <c r="NCU6" s="157"/>
      <c r="NCV6" s="157"/>
      <c r="NCW6" s="157"/>
      <c r="NCX6" s="157"/>
      <c r="NCY6" s="157"/>
      <c r="NCZ6" s="157"/>
      <c r="NDA6" s="157"/>
      <c r="NDB6" s="157"/>
      <c r="NDC6" s="157"/>
      <c r="NDD6" s="157"/>
      <c r="NDE6" s="157"/>
      <c r="NDF6" s="157"/>
      <c r="NDG6" s="157"/>
      <c r="NDH6" s="157"/>
      <c r="NDI6" s="157"/>
      <c r="NDJ6" s="157"/>
      <c r="NDK6" s="157"/>
      <c r="NDL6" s="157"/>
      <c r="NDM6" s="157"/>
      <c r="NDN6" s="157"/>
      <c r="NDO6" s="157"/>
      <c r="NDP6" s="157"/>
      <c r="NDQ6" s="157"/>
      <c r="NDR6" s="157"/>
      <c r="NDS6" s="157"/>
      <c r="NDT6" s="157"/>
      <c r="NDU6" s="157"/>
      <c r="NDV6" s="157"/>
      <c r="NDW6" s="157"/>
      <c r="NDX6" s="157"/>
      <c r="NDY6" s="157"/>
      <c r="NDZ6" s="157"/>
      <c r="NEA6" s="157"/>
      <c r="NEB6" s="157"/>
      <c r="NEC6" s="157"/>
      <c r="NED6" s="157"/>
      <c r="NEE6" s="157"/>
      <c r="NEF6" s="157"/>
      <c r="NEG6" s="157"/>
      <c r="NEH6" s="157"/>
      <c r="NEI6" s="157"/>
      <c r="NEJ6" s="157"/>
      <c r="NEK6" s="157"/>
      <c r="NEL6" s="157"/>
      <c r="NEM6" s="157"/>
      <c r="NEN6" s="157"/>
      <c r="NEO6" s="157"/>
      <c r="NEP6" s="157"/>
      <c r="NEQ6" s="157"/>
      <c r="NER6" s="157"/>
      <c r="NES6" s="157"/>
      <c r="NET6" s="157"/>
      <c r="NEU6" s="157"/>
      <c r="NEV6" s="157"/>
      <c r="NEW6" s="157"/>
      <c r="NEX6" s="157"/>
      <c r="NEY6" s="157"/>
      <c r="NEZ6" s="157"/>
      <c r="NFA6" s="157"/>
      <c r="NFB6" s="157"/>
      <c r="NFC6" s="157"/>
      <c r="NFD6" s="157"/>
      <c r="NFE6" s="157"/>
      <c r="NFF6" s="157"/>
      <c r="NFG6" s="157"/>
      <c r="NFH6" s="157"/>
      <c r="NFI6" s="157"/>
      <c r="NFJ6" s="157"/>
      <c r="NFK6" s="157"/>
      <c r="NFL6" s="157"/>
      <c r="NFM6" s="157"/>
      <c r="NFN6" s="157"/>
      <c r="NFO6" s="157"/>
      <c r="NFP6" s="157"/>
      <c r="NFQ6" s="157"/>
      <c r="NFR6" s="157"/>
      <c r="NFS6" s="157"/>
      <c r="NFT6" s="157"/>
      <c r="NFU6" s="157"/>
      <c r="NFV6" s="157"/>
      <c r="NFW6" s="157"/>
      <c r="NFX6" s="157"/>
      <c r="NFY6" s="157"/>
      <c r="NFZ6" s="157"/>
      <c r="NGA6" s="157"/>
      <c r="NGB6" s="157"/>
      <c r="NGC6" s="157"/>
      <c r="NGD6" s="157"/>
      <c r="NGE6" s="157"/>
      <c r="NGF6" s="157"/>
      <c r="NGG6" s="157"/>
      <c r="NGH6" s="157"/>
      <c r="NGI6" s="157"/>
      <c r="NGJ6" s="157"/>
      <c r="NGK6" s="157"/>
      <c r="NGL6" s="157"/>
      <c r="NGM6" s="157"/>
      <c r="NGN6" s="157"/>
      <c r="NGO6" s="157"/>
      <c r="NGP6" s="157"/>
      <c r="NGQ6" s="157"/>
      <c r="NGR6" s="157"/>
      <c r="NGS6" s="157"/>
      <c r="NGT6" s="157"/>
      <c r="NGU6" s="157"/>
      <c r="NGV6" s="157"/>
      <c r="NGW6" s="157"/>
      <c r="NGX6" s="157"/>
      <c r="NGY6" s="157"/>
      <c r="NGZ6" s="157"/>
      <c r="NHA6" s="157"/>
      <c r="NHB6" s="157"/>
      <c r="NHC6" s="157"/>
      <c r="NHD6" s="157"/>
      <c r="NHE6" s="157"/>
      <c r="NHF6" s="157"/>
      <c r="NHG6" s="157"/>
      <c r="NHH6" s="157"/>
      <c r="NHI6" s="157"/>
      <c r="NHJ6" s="157"/>
      <c r="NHK6" s="157"/>
      <c r="NHL6" s="157"/>
      <c r="NHM6" s="157"/>
      <c r="NHN6" s="157"/>
      <c r="NHO6" s="157"/>
      <c r="NHP6" s="157"/>
      <c r="NHQ6" s="157"/>
      <c r="NHR6" s="157"/>
      <c r="NHS6" s="157"/>
      <c r="NHT6" s="157"/>
      <c r="NHU6" s="157"/>
      <c r="NHV6" s="157"/>
      <c r="NHW6" s="157"/>
      <c r="NHX6" s="157"/>
      <c r="NHY6" s="157"/>
      <c r="NHZ6" s="157"/>
      <c r="NIA6" s="157"/>
      <c r="NIB6" s="157"/>
      <c r="NIC6" s="157"/>
      <c r="NID6" s="157"/>
      <c r="NIE6" s="157"/>
      <c r="NIF6" s="157"/>
      <c r="NIG6" s="157"/>
      <c r="NIH6" s="157"/>
      <c r="NII6" s="157"/>
      <c r="NIJ6" s="157"/>
      <c r="NIK6" s="157"/>
      <c r="NIL6" s="157"/>
      <c r="NIM6" s="157"/>
      <c r="NIN6" s="157"/>
      <c r="NIO6" s="157"/>
      <c r="NIP6" s="157"/>
      <c r="NIQ6" s="157"/>
      <c r="NIR6" s="157"/>
      <c r="NIS6" s="157"/>
      <c r="NIT6" s="157"/>
      <c r="NIU6" s="157"/>
      <c r="NIV6" s="157"/>
      <c r="NIW6" s="157"/>
      <c r="NIX6" s="157"/>
      <c r="NIY6" s="157"/>
      <c r="NIZ6" s="157"/>
      <c r="NJA6" s="157"/>
      <c r="NJB6" s="157"/>
      <c r="NJC6" s="157"/>
      <c r="NJD6" s="157"/>
      <c r="NJE6" s="157"/>
      <c r="NJF6" s="157"/>
      <c r="NJG6" s="157"/>
      <c r="NJH6" s="157"/>
      <c r="NJI6" s="157"/>
      <c r="NJJ6" s="157"/>
      <c r="NJK6" s="157"/>
      <c r="NJL6" s="157"/>
      <c r="NJM6" s="157"/>
      <c r="NJN6" s="157"/>
      <c r="NJO6" s="157"/>
      <c r="NJP6" s="157"/>
      <c r="NJQ6" s="157"/>
      <c r="NJR6" s="157"/>
      <c r="NJS6" s="157"/>
      <c r="NJT6" s="157"/>
      <c r="NJU6" s="157"/>
      <c r="NJV6" s="157"/>
      <c r="NJW6" s="157"/>
      <c r="NJX6" s="157"/>
      <c r="NJY6" s="157"/>
      <c r="NJZ6" s="157"/>
      <c r="NKA6" s="157"/>
      <c r="NKB6" s="157"/>
      <c r="NKC6" s="157"/>
      <c r="NKD6" s="157"/>
      <c r="NKE6" s="157"/>
      <c r="NKF6" s="157"/>
      <c r="NKG6" s="157"/>
      <c r="NKH6" s="157"/>
      <c r="NKI6" s="157"/>
      <c r="NKJ6" s="157"/>
      <c r="NKK6" s="157"/>
      <c r="NKL6" s="157"/>
      <c r="NKM6" s="157"/>
      <c r="NKN6" s="157"/>
      <c r="NKO6" s="157"/>
      <c r="NKP6" s="157"/>
      <c r="NKQ6" s="157"/>
      <c r="NKR6" s="157"/>
      <c r="NKS6" s="157"/>
      <c r="NKT6" s="157"/>
      <c r="NKU6" s="157"/>
      <c r="NKV6" s="157"/>
      <c r="NKW6" s="157"/>
      <c r="NKX6" s="157"/>
      <c r="NKY6" s="157"/>
      <c r="NKZ6" s="157"/>
      <c r="NLA6" s="157"/>
      <c r="NLB6" s="157"/>
      <c r="NLC6" s="157"/>
      <c r="NLD6" s="157"/>
      <c r="NLE6" s="157"/>
      <c r="NLF6" s="157"/>
      <c r="NLG6" s="157"/>
      <c r="NLH6" s="157"/>
      <c r="NLI6" s="157"/>
      <c r="NLJ6" s="157"/>
      <c r="NLK6" s="157"/>
      <c r="NLL6" s="157"/>
      <c r="NLM6" s="157"/>
      <c r="NLN6" s="157"/>
      <c r="NLO6" s="157"/>
      <c r="NLP6" s="157"/>
      <c r="NLQ6" s="157"/>
      <c r="NLR6" s="157"/>
      <c r="NLS6" s="157"/>
      <c r="NLT6" s="157"/>
      <c r="NLU6" s="157"/>
      <c r="NLV6" s="157"/>
      <c r="NLW6" s="157"/>
      <c r="NLX6" s="157"/>
      <c r="NLY6" s="157"/>
      <c r="NLZ6" s="157"/>
      <c r="NMA6" s="157"/>
      <c r="NMB6" s="157"/>
      <c r="NMC6" s="157"/>
      <c r="NMD6" s="157"/>
      <c r="NME6" s="157"/>
      <c r="NMF6" s="157"/>
      <c r="NMG6" s="157"/>
      <c r="NMH6" s="157"/>
      <c r="NMI6" s="157"/>
      <c r="NMJ6" s="157"/>
      <c r="NMK6" s="157"/>
      <c r="NML6" s="157"/>
      <c r="NMM6" s="157"/>
      <c r="NMN6" s="157"/>
      <c r="NMO6" s="157"/>
      <c r="NMP6" s="157"/>
      <c r="NMQ6" s="157"/>
      <c r="NMR6" s="157"/>
      <c r="NMS6" s="157"/>
      <c r="NMT6" s="157"/>
      <c r="NMU6" s="157"/>
      <c r="NMV6" s="157"/>
      <c r="NMW6" s="157"/>
      <c r="NMX6" s="157"/>
      <c r="NMY6" s="157"/>
      <c r="NMZ6" s="157"/>
      <c r="NNA6" s="157"/>
      <c r="NNB6" s="157"/>
      <c r="NNC6" s="157"/>
      <c r="NND6" s="157"/>
      <c r="NNE6" s="157"/>
      <c r="NNF6" s="157"/>
      <c r="NNG6" s="157"/>
      <c r="NNH6" s="157"/>
      <c r="NNI6" s="157"/>
      <c r="NNJ6" s="157"/>
      <c r="NNK6" s="157"/>
      <c r="NNL6" s="157"/>
      <c r="NNM6" s="157"/>
      <c r="NNN6" s="157"/>
      <c r="NNO6" s="157"/>
      <c r="NNP6" s="157"/>
      <c r="NNQ6" s="157"/>
      <c r="NNR6" s="157"/>
      <c r="NNS6" s="157"/>
      <c r="NNT6" s="157"/>
      <c r="NNU6" s="157"/>
      <c r="NNV6" s="157"/>
      <c r="NNW6" s="157"/>
      <c r="NNX6" s="157"/>
      <c r="NNY6" s="157"/>
      <c r="NNZ6" s="157"/>
      <c r="NOA6" s="157"/>
      <c r="NOB6" s="157"/>
      <c r="NOC6" s="157"/>
      <c r="NOD6" s="157"/>
      <c r="NOE6" s="157"/>
      <c r="NOF6" s="157"/>
      <c r="NOG6" s="157"/>
      <c r="NOH6" s="157"/>
      <c r="NOI6" s="157"/>
      <c r="NOJ6" s="157"/>
      <c r="NOK6" s="157"/>
      <c r="NOL6" s="157"/>
      <c r="NOM6" s="157"/>
      <c r="NON6" s="157"/>
      <c r="NOO6" s="157"/>
      <c r="NOP6" s="157"/>
      <c r="NOQ6" s="157"/>
      <c r="NOR6" s="157"/>
      <c r="NOS6" s="157"/>
      <c r="NOT6" s="157"/>
      <c r="NOU6" s="157"/>
      <c r="NOV6" s="157"/>
      <c r="NOW6" s="157"/>
      <c r="NOX6" s="157"/>
      <c r="NOY6" s="157"/>
      <c r="NOZ6" s="157"/>
      <c r="NPA6" s="157"/>
      <c r="NPB6" s="157"/>
      <c r="NPC6" s="157"/>
      <c r="NPD6" s="157"/>
      <c r="NPE6" s="157"/>
      <c r="NPF6" s="157"/>
      <c r="NPG6" s="157"/>
      <c r="NPH6" s="157"/>
      <c r="NPI6" s="157"/>
      <c r="NPJ6" s="157"/>
      <c r="NPK6" s="157"/>
      <c r="NPL6" s="157"/>
      <c r="NPM6" s="157"/>
      <c r="NPN6" s="157"/>
      <c r="NPO6" s="157"/>
      <c r="NPP6" s="157"/>
      <c r="NPQ6" s="157"/>
      <c r="NPR6" s="157"/>
      <c r="NPS6" s="157"/>
      <c r="NPT6" s="157"/>
      <c r="NPU6" s="157"/>
      <c r="NPV6" s="157"/>
      <c r="NPW6" s="157"/>
      <c r="NPX6" s="157"/>
      <c r="NPY6" s="157"/>
      <c r="NPZ6" s="157"/>
      <c r="NQA6" s="157"/>
      <c r="NQB6" s="157"/>
      <c r="NQC6" s="157"/>
      <c r="NQD6" s="157"/>
      <c r="NQE6" s="157"/>
      <c r="NQF6" s="157"/>
      <c r="NQG6" s="157"/>
      <c r="NQH6" s="157"/>
      <c r="NQI6" s="157"/>
      <c r="NQJ6" s="157"/>
      <c r="NQK6" s="157"/>
      <c r="NQL6" s="157"/>
      <c r="NQM6" s="157"/>
      <c r="NQN6" s="157"/>
      <c r="NQO6" s="157"/>
      <c r="NQP6" s="157"/>
      <c r="NQQ6" s="157"/>
      <c r="NQR6" s="157"/>
      <c r="NQS6" s="157"/>
      <c r="NQT6" s="157"/>
      <c r="NQU6" s="157"/>
      <c r="NQV6" s="157"/>
      <c r="NQW6" s="157"/>
      <c r="NQX6" s="157"/>
      <c r="NQY6" s="157"/>
      <c r="NQZ6" s="157"/>
      <c r="NRA6" s="157"/>
      <c r="NRB6" s="157"/>
      <c r="NRC6" s="157"/>
      <c r="NRD6" s="157"/>
      <c r="NRE6" s="157"/>
      <c r="NRF6" s="157"/>
      <c r="NRG6" s="157"/>
      <c r="NRH6" s="157"/>
      <c r="NRI6" s="157"/>
      <c r="NRJ6" s="157"/>
      <c r="NRK6" s="157"/>
      <c r="NRL6" s="157"/>
      <c r="NRM6" s="157"/>
      <c r="NRN6" s="157"/>
      <c r="NRO6" s="157"/>
      <c r="NRP6" s="157"/>
      <c r="NRQ6" s="157"/>
      <c r="NRR6" s="157"/>
      <c r="NRS6" s="157"/>
      <c r="NRT6" s="157"/>
      <c r="NRU6" s="157"/>
      <c r="NRV6" s="157"/>
      <c r="NRW6" s="157"/>
      <c r="NRX6" s="157"/>
      <c r="NRY6" s="157"/>
      <c r="NRZ6" s="157"/>
      <c r="NSA6" s="157"/>
      <c r="NSB6" s="157"/>
      <c r="NSC6" s="157"/>
      <c r="NSD6" s="157"/>
      <c r="NSE6" s="157"/>
      <c r="NSF6" s="157"/>
      <c r="NSG6" s="157"/>
      <c r="NSH6" s="157"/>
      <c r="NSI6" s="157"/>
      <c r="NSJ6" s="157"/>
      <c r="NSK6" s="157"/>
      <c r="NSL6" s="157"/>
      <c r="NSM6" s="157"/>
      <c r="NSN6" s="157"/>
      <c r="NSO6" s="157"/>
      <c r="NSP6" s="157"/>
      <c r="NSQ6" s="157"/>
      <c r="NSR6" s="157"/>
      <c r="NSS6" s="157"/>
      <c r="NST6" s="157"/>
      <c r="NSU6" s="157"/>
      <c r="NSV6" s="157"/>
      <c r="NSW6" s="157"/>
      <c r="NSX6" s="157"/>
      <c r="NSY6" s="157"/>
      <c r="NSZ6" s="157"/>
      <c r="NTA6" s="157"/>
      <c r="NTB6" s="157"/>
      <c r="NTC6" s="157"/>
      <c r="NTD6" s="157"/>
      <c r="NTE6" s="157"/>
      <c r="NTF6" s="157"/>
      <c r="NTG6" s="157"/>
      <c r="NTH6" s="157"/>
      <c r="NTI6" s="157"/>
      <c r="NTJ6" s="157"/>
      <c r="NTK6" s="157"/>
      <c r="NTL6" s="157"/>
      <c r="NTM6" s="157"/>
      <c r="NTN6" s="157"/>
      <c r="NTO6" s="157"/>
      <c r="NTP6" s="157"/>
      <c r="NTQ6" s="157"/>
      <c r="NTR6" s="157"/>
      <c r="NTS6" s="157"/>
      <c r="NTT6" s="157"/>
      <c r="NTU6" s="157"/>
      <c r="NTV6" s="157"/>
      <c r="NTW6" s="157"/>
      <c r="NTX6" s="157"/>
      <c r="NTY6" s="157"/>
      <c r="NTZ6" s="157"/>
      <c r="NUA6" s="157"/>
      <c r="NUB6" s="157"/>
      <c r="NUC6" s="157"/>
      <c r="NUD6" s="157"/>
      <c r="NUE6" s="157"/>
      <c r="NUF6" s="157"/>
      <c r="NUG6" s="157"/>
      <c r="NUH6" s="157"/>
      <c r="NUI6" s="157"/>
      <c r="NUJ6" s="157"/>
      <c r="NUK6" s="157"/>
      <c r="NUL6" s="157"/>
      <c r="NUM6" s="157"/>
      <c r="NUN6" s="157"/>
      <c r="NUO6" s="157"/>
      <c r="NUP6" s="157"/>
      <c r="NUQ6" s="157"/>
      <c r="NUR6" s="157"/>
      <c r="NUS6" s="157"/>
      <c r="NUT6" s="157"/>
      <c r="NUU6" s="157"/>
      <c r="NUV6" s="157"/>
      <c r="NUW6" s="157"/>
      <c r="NUX6" s="157"/>
      <c r="NUY6" s="157"/>
      <c r="NUZ6" s="157"/>
      <c r="NVA6" s="157"/>
      <c r="NVB6" s="157"/>
      <c r="NVC6" s="157"/>
      <c r="NVD6" s="157"/>
      <c r="NVE6" s="157"/>
      <c r="NVF6" s="157"/>
      <c r="NVG6" s="157"/>
      <c r="NVH6" s="157"/>
      <c r="NVI6" s="157"/>
      <c r="NVJ6" s="157"/>
      <c r="NVK6" s="157"/>
      <c r="NVL6" s="157"/>
      <c r="NVM6" s="157"/>
      <c r="NVN6" s="157"/>
      <c r="NVO6" s="157"/>
      <c r="NVP6" s="157"/>
      <c r="NVQ6" s="157"/>
      <c r="NVR6" s="157"/>
      <c r="NVS6" s="157"/>
      <c r="NVT6" s="157"/>
      <c r="NVU6" s="157"/>
      <c r="NVV6" s="157"/>
      <c r="NVW6" s="157"/>
      <c r="NVX6" s="157"/>
      <c r="NVY6" s="157"/>
      <c r="NVZ6" s="157"/>
      <c r="NWA6" s="157"/>
      <c r="NWB6" s="157"/>
      <c r="NWC6" s="157"/>
      <c r="NWD6" s="157"/>
      <c r="NWE6" s="157"/>
      <c r="NWF6" s="157"/>
      <c r="NWG6" s="157"/>
      <c r="NWH6" s="157"/>
      <c r="NWI6" s="157"/>
      <c r="NWJ6" s="157"/>
      <c r="NWK6" s="157"/>
      <c r="NWL6" s="157"/>
      <c r="NWM6" s="157"/>
      <c r="NWN6" s="157"/>
      <c r="NWO6" s="157"/>
      <c r="NWP6" s="157"/>
      <c r="NWQ6" s="157"/>
      <c r="NWR6" s="157"/>
      <c r="NWS6" s="157"/>
      <c r="NWT6" s="157"/>
      <c r="NWU6" s="157"/>
      <c r="NWV6" s="157"/>
      <c r="NWW6" s="157"/>
      <c r="NWX6" s="157"/>
      <c r="NWY6" s="157"/>
      <c r="NWZ6" s="157"/>
      <c r="NXA6" s="157"/>
      <c r="NXB6" s="157"/>
      <c r="NXC6" s="157"/>
      <c r="NXD6" s="157"/>
      <c r="NXE6" s="157"/>
      <c r="NXF6" s="157"/>
      <c r="NXG6" s="157"/>
      <c r="NXH6" s="157"/>
      <c r="NXI6" s="157"/>
      <c r="NXJ6" s="157"/>
      <c r="NXK6" s="157"/>
      <c r="NXL6" s="157"/>
      <c r="NXM6" s="157"/>
      <c r="NXN6" s="157"/>
      <c r="NXO6" s="157"/>
      <c r="NXP6" s="157"/>
      <c r="NXQ6" s="157"/>
      <c r="NXR6" s="157"/>
      <c r="NXS6" s="157"/>
      <c r="NXT6" s="157"/>
      <c r="NXU6" s="157"/>
      <c r="NXV6" s="157"/>
      <c r="NXW6" s="157"/>
      <c r="NXX6" s="157"/>
      <c r="NXY6" s="157"/>
      <c r="NXZ6" s="157"/>
      <c r="NYA6" s="157"/>
      <c r="NYB6" s="157"/>
      <c r="NYC6" s="157"/>
      <c r="NYD6" s="157"/>
      <c r="NYE6" s="157"/>
      <c r="NYF6" s="157"/>
      <c r="NYG6" s="157"/>
      <c r="NYH6" s="157"/>
      <c r="NYI6" s="157"/>
      <c r="NYJ6" s="157"/>
      <c r="NYK6" s="157"/>
      <c r="NYL6" s="157"/>
      <c r="NYM6" s="157"/>
      <c r="NYN6" s="157"/>
      <c r="NYO6" s="157"/>
      <c r="NYP6" s="157"/>
      <c r="NYQ6" s="157"/>
      <c r="NYR6" s="157"/>
      <c r="NYS6" s="157"/>
      <c r="NYT6" s="157"/>
      <c r="NYU6" s="157"/>
      <c r="NYV6" s="157"/>
      <c r="NYW6" s="157"/>
      <c r="NYX6" s="157"/>
      <c r="NYY6" s="157"/>
      <c r="NYZ6" s="157"/>
      <c r="NZA6" s="157"/>
      <c r="NZB6" s="157"/>
      <c r="NZC6" s="157"/>
      <c r="NZD6" s="157"/>
      <c r="NZE6" s="157"/>
      <c r="NZF6" s="157"/>
      <c r="NZG6" s="157"/>
      <c r="NZH6" s="157"/>
      <c r="NZI6" s="157"/>
      <c r="NZJ6" s="157"/>
      <c r="NZK6" s="157"/>
      <c r="NZL6" s="157"/>
      <c r="NZM6" s="157"/>
      <c r="NZN6" s="157"/>
      <c r="NZO6" s="157"/>
      <c r="NZP6" s="157"/>
      <c r="NZQ6" s="157"/>
      <c r="NZR6" s="157"/>
      <c r="NZS6" s="157"/>
      <c r="NZT6" s="157"/>
      <c r="NZU6" s="157"/>
      <c r="NZV6" s="157"/>
      <c r="NZW6" s="157"/>
      <c r="NZX6" s="157"/>
      <c r="NZY6" s="157"/>
      <c r="NZZ6" s="157"/>
      <c r="OAA6" s="157"/>
      <c r="OAB6" s="157"/>
      <c r="OAC6" s="157"/>
      <c r="OAD6" s="157"/>
      <c r="OAE6" s="157"/>
      <c r="OAF6" s="157"/>
      <c r="OAG6" s="157"/>
      <c r="OAH6" s="157"/>
      <c r="OAI6" s="157"/>
      <c r="OAJ6" s="157"/>
      <c r="OAK6" s="157"/>
      <c r="OAL6" s="157"/>
      <c r="OAM6" s="157"/>
      <c r="OAN6" s="157"/>
      <c r="OAO6" s="157"/>
      <c r="OAP6" s="157"/>
      <c r="OAQ6" s="157"/>
      <c r="OAR6" s="157"/>
      <c r="OAS6" s="157"/>
      <c r="OAT6" s="157"/>
      <c r="OAU6" s="157"/>
      <c r="OAV6" s="157"/>
      <c r="OAW6" s="157"/>
      <c r="OAX6" s="157"/>
      <c r="OAY6" s="157"/>
      <c r="OAZ6" s="157"/>
      <c r="OBA6" s="157"/>
      <c r="OBB6" s="157"/>
      <c r="OBC6" s="157"/>
      <c r="OBD6" s="157"/>
      <c r="OBE6" s="157"/>
      <c r="OBF6" s="157"/>
      <c r="OBG6" s="157"/>
      <c r="OBH6" s="157"/>
      <c r="OBI6" s="157"/>
      <c r="OBJ6" s="157"/>
      <c r="OBK6" s="157"/>
      <c r="OBL6" s="157"/>
      <c r="OBM6" s="157"/>
      <c r="OBN6" s="157"/>
      <c r="OBO6" s="157"/>
      <c r="OBP6" s="157"/>
      <c r="OBQ6" s="157"/>
      <c r="OBR6" s="157"/>
      <c r="OBS6" s="157"/>
      <c r="OBT6" s="157"/>
      <c r="OBU6" s="157"/>
      <c r="OBV6" s="157"/>
      <c r="OBW6" s="157"/>
      <c r="OBX6" s="157"/>
      <c r="OBY6" s="157"/>
      <c r="OBZ6" s="157"/>
      <c r="OCA6" s="157"/>
      <c r="OCB6" s="157"/>
      <c r="OCC6" s="157"/>
      <c r="OCD6" s="157"/>
      <c r="OCE6" s="157"/>
      <c r="OCF6" s="157"/>
      <c r="OCG6" s="157"/>
      <c r="OCH6" s="157"/>
      <c r="OCI6" s="157"/>
      <c r="OCJ6" s="157"/>
      <c r="OCK6" s="157"/>
      <c r="OCL6" s="157"/>
      <c r="OCM6" s="157"/>
      <c r="OCN6" s="157"/>
      <c r="OCO6" s="157"/>
      <c r="OCP6" s="157"/>
      <c r="OCQ6" s="157"/>
      <c r="OCR6" s="157"/>
      <c r="OCS6" s="157"/>
      <c r="OCT6" s="157"/>
      <c r="OCU6" s="157"/>
      <c r="OCV6" s="157"/>
      <c r="OCW6" s="157"/>
      <c r="OCX6" s="157"/>
      <c r="OCY6" s="157"/>
      <c r="OCZ6" s="157"/>
      <c r="ODA6" s="157"/>
      <c r="ODB6" s="157"/>
      <c r="ODC6" s="157"/>
      <c r="ODD6" s="157"/>
      <c r="ODE6" s="157"/>
      <c r="ODF6" s="157"/>
      <c r="ODG6" s="157"/>
      <c r="ODH6" s="157"/>
      <c r="ODI6" s="157"/>
      <c r="ODJ6" s="157"/>
      <c r="ODK6" s="157"/>
      <c r="ODL6" s="157"/>
      <c r="ODM6" s="157"/>
      <c r="ODN6" s="157"/>
      <c r="ODO6" s="157"/>
      <c r="ODP6" s="157"/>
      <c r="ODQ6" s="157"/>
      <c r="ODR6" s="157"/>
      <c r="ODS6" s="157"/>
      <c r="ODT6" s="157"/>
      <c r="ODU6" s="157"/>
      <c r="ODV6" s="157"/>
      <c r="ODW6" s="157"/>
      <c r="ODX6" s="157"/>
      <c r="ODY6" s="157"/>
      <c r="ODZ6" s="157"/>
      <c r="OEA6" s="157"/>
      <c r="OEB6" s="157"/>
      <c r="OEC6" s="157"/>
      <c r="OED6" s="157"/>
      <c r="OEE6" s="157"/>
      <c r="OEF6" s="157"/>
      <c r="OEG6" s="157"/>
      <c r="OEH6" s="157"/>
      <c r="OEI6" s="157"/>
      <c r="OEJ6" s="157"/>
      <c r="OEK6" s="157"/>
      <c r="OEL6" s="157"/>
      <c r="OEM6" s="157"/>
      <c r="OEN6" s="157"/>
      <c r="OEO6" s="157"/>
      <c r="OEP6" s="157"/>
      <c r="OEQ6" s="157"/>
      <c r="OER6" s="157"/>
      <c r="OES6" s="157"/>
      <c r="OET6" s="157"/>
      <c r="OEU6" s="157"/>
      <c r="OEV6" s="157"/>
      <c r="OEW6" s="157"/>
      <c r="OEX6" s="157"/>
      <c r="OEY6" s="157"/>
      <c r="OEZ6" s="157"/>
      <c r="OFA6" s="157"/>
      <c r="OFB6" s="157"/>
      <c r="OFC6" s="157"/>
      <c r="OFD6" s="157"/>
      <c r="OFE6" s="157"/>
      <c r="OFF6" s="157"/>
      <c r="OFG6" s="157"/>
      <c r="OFH6" s="157"/>
      <c r="OFI6" s="157"/>
      <c r="OFJ6" s="157"/>
      <c r="OFK6" s="157"/>
      <c r="OFL6" s="157"/>
      <c r="OFM6" s="157"/>
      <c r="OFN6" s="157"/>
      <c r="OFO6" s="157"/>
      <c r="OFP6" s="157"/>
      <c r="OFQ6" s="157"/>
      <c r="OFR6" s="157"/>
      <c r="OFS6" s="157"/>
      <c r="OFT6" s="157"/>
      <c r="OFU6" s="157"/>
      <c r="OFV6" s="157"/>
      <c r="OFW6" s="157"/>
      <c r="OFX6" s="157"/>
      <c r="OFY6" s="157"/>
      <c r="OFZ6" s="157"/>
      <c r="OGA6" s="157"/>
      <c r="OGB6" s="157"/>
      <c r="OGC6" s="157"/>
      <c r="OGD6" s="157"/>
      <c r="OGE6" s="157"/>
      <c r="OGF6" s="157"/>
      <c r="OGG6" s="157"/>
      <c r="OGH6" s="157"/>
      <c r="OGI6" s="157"/>
      <c r="OGJ6" s="157"/>
      <c r="OGK6" s="157"/>
      <c r="OGL6" s="157"/>
      <c r="OGM6" s="157"/>
      <c r="OGN6" s="157"/>
      <c r="OGO6" s="157"/>
      <c r="OGP6" s="157"/>
      <c r="OGQ6" s="157"/>
      <c r="OGR6" s="157"/>
      <c r="OGS6" s="157"/>
      <c r="OGT6" s="157"/>
      <c r="OGU6" s="157"/>
      <c r="OGV6" s="157"/>
      <c r="OGW6" s="157"/>
      <c r="OGX6" s="157"/>
      <c r="OGY6" s="157"/>
      <c r="OGZ6" s="157"/>
      <c r="OHA6" s="157"/>
      <c r="OHB6" s="157"/>
      <c r="OHC6" s="157"/>
      <c r="OHD6" s="157"/>
      <c r="OHE6" s="157"/>
      <c r="OHF6" s="157"/>
      <c r="OHG6" s="157"/>
      <c r="OHH6" s="157"/>
      <c r="OHI6" s="157"/>
      <c r="OHJ6" s="157"/>
      <c r="OHK6" s="157"/>
      <c r="OHL6" s="157"/>
      <c r="OHM6" s="157"/>
      <c r="OHN6" s="157"/>
      <c r="OHO6" s="157"/>
      <c r="OHP6" s="157"/>
      <c r="OHQ6" s="157"/>
      <c r="OHR6" s="157"/>
      <c r="OHS6" s="157"/>
      <c r="OHT6" s="157"/>
      <c r="OHU6" s="157"/>
      <c r="OHV6" s="157"/>
      <c r="OHW6" s="157"/>
      <c r="OHX6" s="157"/>
      <c r="OHY6" s="157"/>
      <c r="OHZ6" s="157"/>
      <c r="OIA6" s="157"/>
      <c r="OIB6" s="157"/>
      <c r="OIC6" s="157"/>
      <c r="OID6" s="157"/>
      <c r="OIE6" s="157"/>
      <c r="OIF6" s="157"/>
      <c r="OIG6" s="157"/>
      <c r="OIH6" s="157"/>
      <c r="OII6" s="157"/>
      <c r="OIJ6" s="157"/>
      <c r="OIK6" s="157"/>
      <c r="OIL6" s="157"/>
      <c r="OIM6" s="157"/>
      <c r="OIN6" s="157"/>
      <c r="OIO6" s="157"/>
      <c r="OIP6" s="157"/>
      <c r="OIQ6" s="157"/>
      <c r="OIR6" s="157"/>
      <c r="OIS6" s="157"/>
      <c r="OIT6" s="157"/>
      <c r="OIU6" s="157"/>
      <c r="OIV6" s="157"/>
      <c r="OIW6" s="157"/>
      <c r="OIX6" s="157"/>
      <c r="OIY6" s="157"/>
      <c r="OIZ6" s="157"/>
      <c r="OJA6" s="157"/>
      <c r="OJB6" s="157"/>
      <c r="OJC6" s="157"/>
      <c r="OJD6" s="157"/>
      <c r="OJE6" s="157"/>
      <c r="OJF6" s="157"/>
      <c r="OJG6" s="157"/>
      <c r="OJH6" s="157"/>
      <c r="OJI6" s="157"/>
      <c r="OJJ6" s="157"/>
      <c r="OJK6" s="157"/>
      <c r="OJL6" s="157"/>
      <c r="OJM6" s="157"/>
      <c r="OJN6" s="157"/>
      <c r="OJO6" s="157"/>
      <c r="OJP6" s="157"/>
      <c r="OJQ6" s="157"/>
      <c r="OJR6" s="157"/>
      <c r="OJS6" s="157"/>
      <c r="OJT6" s="157"/>
      <c r="OJU6" s="157"/>
      <c r="OJV6" s="157"/>
      <c r="OJW6" s="157"/>
      <c r="OJX6" s="157"/>
      <c r="OJY6" s="157"/>
      <c r="OJZ6" s="157"/>
      <c r="OKA6" s="157"/>
      <c r="OKB6" s="157"/>
      <c r="OKC6" s="157"/>
      <c r="OKD6" s="157"/>
      <c r="OKE6" s="157"/>
      <c r="OKF6" s="157"/>
      <c r="OKG6" s="157"/>
      <c r="OKH6" s="157"/>
      <c r="OKI6" s="157"/>
      <c r="OKJ6" s="157"/>
      <c r="OKK6" s="157"/>
      <c r="OKL6" s="157"/>
      <c r="OKM6" s="157"/>
      <c r="OKN6" s="157"/>
      <c r="OKO6" s="157"/>
      <c r="OKP6" s="157"/>
      <c r="OKQ6" s="157"/>
      <c r="OKR6" s="157"/>
      <c r="OKS6" s="157"/>
      <c r="OKT6" s="157"/>
      <c r="OKU6" s="157"/>
      <c r="OKV6" s="157"/>
      <c r="OKW6" s="157"/>
      <c r="OKX6" s="157"/>
      <c r="OKY6" s="157"/>
      <c r="OKZ6" s="157"/>
      <c r="OLA6" s="157"/>
      <c r="OLB6" s="157"/>
      <c r="OLC6" s="157"/>
      <c r="OLD6" s="157"/>
      <c r="OLE6" s="157"/>
      <c r="OLF6" s="157"/>
      <c r="OLG6" s="157"/>
      <c r="OLH6" s="157"/>
      <c r="OLI6" s="157"/>
      <c r="OLJ6" s="157"/>
      <c r="OLK6" s="157"/>
      <c r="OLL6" s="157"/>
      <c r="OLM6" s="157"/>
      <c r="OLN6" s="157"/>
      <c r="OLO6" s="157"/>
      <c r="OLP6" s="157"/>
      <c r="OLQ6" s="157"/>
      <c r="OLR6" s="157"/>
      <c r="OLS6" s="157"/>
      <c r="OLT6" s="157"/>
      <c r="OLU6" s="157"/>
      <c r="OLV6" s="157"/>
      <c r="OLW6" s="157"/>
      <c r="OLX6" s="157"/>
      <c r="OLY6" s="157"/>
      <c r="OLZ6" s="157"/>
      <c r="OMA6" s="157"/>
      <c r="OMB6" s="157"/>
      <c r="OMC6" s="157"/>
      <c r="OMD6" s="157"/>
      <c r="OME6" s="157"/>
      <c r="OMF6" s="157"/>
      <c r="OMG6" s="157"/>
      <c r="OMH6" s="157"/>
      <c r="OMI6" s="157"/>
      <c r="OMJ6" s="157"/>
      <c r="OMK6" s="157"/>
      <c r="OML6" s="157"/>
      <c r="OMM6" s="157"/>
      <c r="OMN6" s="157"/>
      <c r="OMO6" s="157"/>
      <c r="OMP6" s="157"/>
      <c r="OMQ6" s="157"/>
      <c r="OMR6" s="157"/>
      <c r="OMS6" s="157"/>
      <c r="OMT6" s="157"/>
      <c r="OMU6" s="157"/>
      <c r="OMV6" s="157"/>
      <c r="OMW6" s="157"/>
      <c r="OMX6" s="157"/>
      <c r="OMY6" s="157"/>
      <c r="OMZ6" s="157"/>
      <c r="ONA6" s="157"/>
      <c r="ONB6" s="157"/>
      <c r="ONC6" s="157"/>
      <c r="OND6" s="157"/>
      <c r="ONE6" s="157"/>
      <c r="ONF6" s="157"/>
      <c r="ONG6" s="157"/>
      <c r="ONH6" s="157"/>
      <c r="ONI6" s="157"/>
      <c r="ONJ6" s="157"/>
      <c r="ONK6" s="157"/>
      <c r="ONL6" s="157"/>
      <c r="ONM6" s="157"/>
      <c r="ONN6" s="157"/>
      <c r="ONO6" s="157"/>
      <c r="ONP6" s="157"/>
      <c r="ONQ6" s="157"/>
      <c r="ONR6" s="157"/>
      <c r="ONS6" s="157"/>
      <c r="ONT6" s="157"/>
      <c r="ONU6" s="157"/>
      <c r="ONV6" s="157"/>
      <c r="ONW6" s="157"/>
      <c r="ONX6" s="157"/>
      <c r="ONY6" s="157"/>
      <c r="ONZ6" s="157"/>
      <c r="OOA6" s="157"/>
      <c r="OOB6" s="157"/>
      <c r="OOC6" s="157"/>
      <c r="OOD6" s="157"/>
      <c r="OOE6" s="157"/>
      <c r="OOF6" s="157"/>
      <c r="OOG6" s="157"/>
      <c r="OOH6" s="157"/>
      <c r="OOI6" s="157"/>
      <c r="OOJ6" s="157"/>
      <c r="OOK6" s="157"/>
      <c r="OOL6" s="157"/>
      <c r="OOM6" s="157"/>
      <c r="OON6" s="157"/>
      <c r="OOO6" s="157"/>
      <c r="OOP6" s="157"/>
      <c r="OOQ6" s="157"/>
      <c r="OOR6" s="157"/>
      <c r="OOS6" s="157"/>
      <c r="OOT6" s="157"/>
      <c r="OOU6" s="157"/>
      <c r="OOV6" s="157"/>
      <c r="OOW6" s="157"/>
      <c r="OOX6" s="157"/>
      <c r="OOY6" s="157"/>
      <c r="OOZ6" s="157"/>
      <c r="OPA6" s="157"/>
      <c r="OPB6" s="157"/>
      <c r="OPC6" s="157"/>
      <c r="OPD6" s="157"/>
      <c r="OPE6" s="157"/>
      <c r="OPF6" s="157"/>
      <c r="OPG6" s="157"/>
      <c r="OPH6" s="157"/>
      <c r="OPI6" s="157"/>
      <c r="OPJ6" s="157"/>
      <c r="OPK6" s="157"/>
      <c r="OPL6" s="157"/>
      <c r="OPM6" s="157"/>
      <c r="OPN6" s="157"/>
      <c r="OPO6" s="157"/>
      <c r="OPP6" s="157"/>
      <c r="OPQ6" s="157"/>
      <c r="OPR6" s="157"/>
      <c r="OPS6" s="157"/>
      <c r="OPT6" s="157"/>
      <c r="OPU6" s="157"/>
      <c r="OPV6" s="157"/>
      <c r="OPW6" s="157"/>
      <c r="OPX6" s="157"/>
      <c r="OPY6" s="157"/>
      <c r="OPZ6" s="157"/>
      <c r="OQA6" s="157"/>
      <c r="OQB6" s="157"/>
      <c r="OQC6" s="157"/>
      <c r="OQD6" s="157"/>
      <c r="OQE6" s="157"/>
      <c r="OQF6" s="157"/>
      <c r="OQG6" s="157"/>
      <c r="OQH6" s="157"/>
      <c r="OQI6" s="157"/>
      <c r="OQJ6" s="157"/>
      <c r="OQK6" s="157"/>
      <c r="OQL6" s="157"/>
      <c r="OQM6" s="157"/>
      <c r="OQN6" s="157"/>
      <c r="OQO6" s="157"/>
      <c r="OQP6" s="157"/>
      <c r="OQQ6" s="157"/>
      <c r="OQR6" s="157"/>
      <c r="OQS6" s="157"/>
      <c r="OQT6" s="157"/>
      <c r="OQU6" s="157"/>
      <c r="OQV6" s="157"/>
      <c r="OQW6" s="157"/>
      <c r="OQX6" s="157"/>
      <c r="OQY6" s="157"/>
      <c r="OQZ6" s="157"/>
      <c r="ORA6" s="157"/>
      <c r="ORB6" s="157"/>
      <c r="ORC6" s="157"/>
      <c r="ORD6" s="157"/>
      <c r="ORE6" s="157"/>
      <c r="ORF6" s="157"/>
      <c r="ORG6" s="157"/>
      <c r="ORH6" s="157"/>
      <c r="ORI6" s="157"/>
      <c r="ORJ6" s="157"/>
      <c r="ORK6" s="157"/>
      <c r="ORL6" s="157"/>
      <c r="ORM6" s="157"/>
      <c r="ORN6" s="157"/>
      <c r="ORO6" s="157"/>
      <c r="ORP6" s="157"/>
      <c r="ORQ6" s="157"/>
      <c r="ORR6" s="157"/>
      <c r="ORS6" s="157"/>
      <c r="ORT6" s="157"/>
      <c r="ORU6" s="157"/>
      <c r="ORV6" s="157"/>
      <c r="ORW6" s="157"/>
      <c r="ORX6" s="157"/>
      <c r="ORY6" s="157"/>
      <c r="ORZ6" s="157"/>
      <c r="OSA6" s="157"/>
      <c r="OSB6" s="157"/>
      <c r="OSC6" s="157"/>
      <c r="OSD6" s="157"/>
      <c r="OSE6" s="157"/>
      <c r="OSF6" s="157"/>
      <c r="OSG6" s="157"/>
      <c r="OSH6" s="157"/>
      <c r="OSI6" s="157"/>
      <c r="OSJ6" s="157"/>
      <c r="OSK6" s="157"/>
      <c r="OSL6" s="157"/>
      <c r="OSM6" s="157"/>
      <c r="OSN6" s="157"/>
      <c r="OSO6" s="157"/>
      <c r="OSP6" s="157"/>
      <c r="OSQ6" s="157"/>
      <c r="OSR6" s="157"/>
      <c r="OSS6" s="157"/>
      <c r="OST6" s="157"/>
      <c r="OSU6" s="157"/>
      <c r="OSV6" s="157"/>
      <c r="OSW6" s="157"/>
      <c r="OSX6" s="157"/>
      <c r="OSY6" s="157"/>
      <c r="OSZ6" s="157"/>
      <c r="OTA6" s="157"/>
      <c r="OTB6" s="157"/>
      <c r="OTC6" s="157"/>
      <c r="OTD6" s="157"/>
      <c r="OTE6" s="157"/>
      <c r="OTF6" s="157"/>
      <c r="OTG6" s="157"/>
      <c r="OTH6" s="157"/>
      <c r="OTI6" s="157"/>
      <c r="OTJ6" s="157"/>
      <c r="OTK6" s="157"/>
      <c r="OTL6" s="157"/>
      <c r="OTM6" s="157"/>
      <c r="OTN6" s="157"/>
      <c r="OTO6" s="157"/>
      <c r="OTP6" s="157"/>
      <c r="OTQ6" s="157"/>
      <c r="OTR6" s="157"/>
      <c r="OTS6" s="157"/>
      <c r="OTT6" s="157"/>
      <c r="OTU6" s="157"/>
      <c r="OTV6" s="157"/>
      <c r="OTW6" s="157"/>
      <c r="OTX6" s="157"/>
      <c r="OTY6" s="157"/>
      <c r="OTZ6" s="157"/>
      <c r="OUA6" s="157"/>
      <c r="OUB6" s="157"/>
      <c r="OUC6" s="157"/>
      <c r="OUD6" s="157"/>
      <c r="OUE6" s="157"/>
      <c r="OUF6" s="157"/>
      <c r="OUG6" s="157"/>
      <c r="OUH6" s="157"/>
      <c r="OUI6" s="157"/>
      <c r="OUJ6" s="157"/>
      <c r="OUK6" s="157"/>
      <c r="OUL6" s="157"/>
      <c r="OUM6" s="157"/>
      <c r="OUN6" s="157"/>
      <c r="OUO6" s="157"/>
      <c r="OUP6" s="157"/>
      <c r="OUQ6" s="157"/>
      <c r="OUR6" s="157"/>
      <c r="OUS6" s="157"/>
      <c r="OUT6" s="157"/>
      <c r="OUU6" s="157"/>
      <c r="OUV6" s="157"/>
      <c r="OUW6" s="157"/>
      <c r="OUX6" s="157"/>
      <c r="OUY6" s="157"/>
      <c r="OUZ6" s="157"/>
      <c r="OVA6" s="157"/>
      <c r="OVB6" s="157"/>
      <c r="OVC6" s="157"/>
      <c r="OVD6" s="157"/>
      <c r="OVE6" s="157"/>
      <c r="OVF6" s="157"/>
      <c r="OVG6" s="157"/>
      <c r="OVH6" s="157"/>
      <c r="OVI6" s="157"/>
      <c r="OVJ6" s="157"/>
      <c r="OVK6" s="157"/>
      <c r="OVL6" s="157"/>
      <c r="OVM6" s="157"/>
      <c r="OVN6" s="157"/>
      <c r="OVO6" s="157"/>
      <c r="OVP6" s="157"/>
      <c r="OVQ6" s="157"/>
      <c r="OVR6" s="157"/>
      <c r="OVS6" s="157"/>
      <c r="OVT6" s="157"/>
      <c r="OVU6" s="157"/>
      <c r="OVV6" s="157"/>
      <c r="OVW6" s="157"/>
      <c r="OVX6" s="157"/>
      <c r="OVY6" s="157"/>
      <c r="OVZ6" s="157"/>
      <c r="OWA6" s="157"/>
      <c r="OWB6" s="157"/>
      <c r="OWC6" s="157"/>
      <c r="OWD6" s="157"/>
      <c r="OWE6" s="157"/>
      <c r="OWF6" s="157"/>
      <c r="OWG6" s="157"/>
      <c r="OWH6" s="157"/>
      <c r="OWI6" s="157"/>
      <c r="OWJ6" s="157"/>
      <c r="OWK6" s="157"/>
      <c r="OWL6" s="157"/>
      <c r="OWM6" s="157"/>
      <c r="OWN6" s="157"/>
      <c r="OWO6" s="157"/>
      <c r="OWP6" s="157"/>
      <c r="OWQ6" s="157"/>
      <c r="OWR6" s="157"/>
      <c r="OWS6" s="157"/>
      <c r="OWT6" s="157"/>
      <c r="OWU6" s="157"/>
      <c r="OWV6" s="157"/>
      <c r="OWW6" s="157"/>
      <c r="OWX6" s="157"/>
      <c r="OWY6" s="157"/>
      <c r="OWZ6" s="157"/>
      <c r="OXA6" s="157"/>
      <c r="OXB6" s="157"/>
      <c r="OXC6" s="157"/>
      <c r="OXD6" s="157"/>
      <c r="OXE6" s="157"/>
      <c r="OXF6" s="157"/>
      <c r="OXG6" s="157"/>
      <c r="OXH6" s="157"/>
      <c r="OXI6" s="157"/>
      <c r="OXJ6" s="157"/>
      <c r="OXK6" s="157"/>
      <c r="OXL6" s="157"/>
      <c r="OXM6" s="157"/>
      <c r="OXN6" s="157"/>
      <c r="OXO6" s="157"/>
      <c r="OXP6" s="157"/>
      <c r="OXQ6" s="157"/>
      <c r="OXR6" s="157"/>
      <c r="OXS6" s="157"/>
      <c r="OXT6" s="157"/>
      <c r="OXU6" s="157"/>
      <c r="OXV6" s="157"/>
      <c r="OXW6" s="157"/>
      <c r="OXX6" s="157"/>
      <c r="OXY6" s="157"/>
      <c r="OXZ6" s="157"/>
      <c r="OYA6" s="157"/>
      <c r="OYB6" s="157"/>
      <c r="OYC6" s="157"/>
      <c r="OYD6" s="157"/>
      <c r="OYE6" s="157"/>
      <c r="OYF6" s="157"/>
      <c r="OYG6" s="157"/>
      <c r="OYH6" s="157"/>
      <c r="OYI6" s="157"/>
      <c r="OYJ6" s="157"/>
      <c r="OYK6" s="157"/>
      <c r="OYL6" s="157"/>
      <c r="OYM6" s="157"/>
      <c r="OYN6" s="157"/>
      <c r="OYO6" s="157"/>
      <c r="OYP6" s="157"/>
      <c r="OYQ6" s="157"/>
      <c r="OYR6" s="157"/>
      <c r="OYS6" s="157"/>
      <c r="OYT6" s="157"/>
      <c r="OYU6" s="157"/>
      <c r="OYV6" s="157"/>
      <c r="OYW6" s="157"/>
      <c r="OYX6" s="157"/>
      <c r="OYY6" s="157"/>
      <c r="OYZ6" s="157"/>
      <c r="OZA6" s="157"/>
      <c r="OZB6" s="157"/>
      <c r="OZC6" s="157"/>
      <c r="OZD6" s="157"/>
      <c r="OZE6" s="157"/>
      <c r="OZF6" s="157"/>
      <c r="OZG6" s="157"/>
      <c r="OZH6" s="157"/>
      <c r="OZI6" s="157"/>
      <c r="OZJ6" s="157"/>
      <c r="OZK6" s="157"/>
      <c r="OZL6" s="157"/>
      <c r="OZM6" s="157"/>
      <c r="OZN6" s="157"/>
      <c r="OZO6" s="157"/>
      <c r="OZP6" s="157"/>
      <c r="OZQ6" s="157"/>
      <c r="OZR6" s="157"/>
      <c r="OZS6" s="157"/>
      <c r="OZT6" s="157"/>
      <c r="OZU6" s="157"/>
      <c r="OZV6" s="157"/>
      <c r="OZW6" s="157"/>
      <c r="OZX6" s="157"/>
      <c r="OZY6" s="157"/>
      <c r="OZZ6" s="157"/>
      <c r="PAA6" s="157"/>
      <c r="PAB6" s="157"/>
      <c r="PAC6" s="157"/>
      <c r="PAD6" s="157"/>
      <c r="PAE6" s="157"/>
      <c r="PAF6" s="157"/>
      <c r="PAG6" s="157"/>
      <c r="PAH6" s="157"/>
      <c r="PAI6" s="157"/>
      <c r="PAJ6" s="157"/>
      <c r="PAK6" s="157"/>
      <c r="PAL6" s="157"/>
      <c r="PAM6" s="157"/>
      <c r="PAN6" s="157"/>
      <c r="PAO6" s="157"/>
      <c r="PAP6" s="157"/>
      <c r="PAQ6" s="157"/>
      <c r="PAR6" s="157"/>
      <c r="PAS6" s="157"/>
      <c r="PAT6" s="157"/>
      <c r="PAU6" s="157"/>
      <c r="PAV6" s="157"/>
      <c r="PAW6" s="157"/>
      <c r="PAX6" s="157"/>
      <c r="PAY6" s="157"/>
      <c r="PAZ6" s="157"/>
      <c r="PBA6" s="157"/>
      <c r="PBB6" s="157"/>
      <c r="PBC6" s="157"/>
      <c r="PBD6" s="157"/>
      <c r="PBE6" s="157"/>
      <c r="PBF6" s="157"/>
      <c r="PBG6" s="157"/>
      <c r="PBH6" s="157"/>
      <c r="PBI6" s="157"/>
      <c r="PBJ6" s="157"/>
      <c r="PBK6" s="157"/>
      <c r="PBL6" s="157"/>
      <c r="PBM6" s="157"/>
      <c r="PBN6" s="157"/>
      <c r="PBO6" s="157"/>
      <c r="PBP6" s="157"/>
      <c r="PBQ6" s="157"/>
      <c r="PBR6" s="157"/>
      <c r="PBS6" s="157"/>
      <c r="PBT6" s="157"/>
      <c r="PBU6" s="157"/>
      <c r="PBV6" s="157"/>
      <c r="PBW6" s="157"/>
      <c r="PBX6" s="157"/>
      <c r="PBY6" s="157"/>
      <c r="PBZ6" s="157"/>
      <c r="PCA6" s="157"/>
      <c r="PCB6" s="157"/>
      <c r="PCC6" s="157"/>
      <c r="PCD6" s="157"/>
      <c r="PCE6" s="157"/>
      <c r="PCF6" s="157"/>
      <c r="PCG6" s="157"/>
      <c r="PCH6" s="157"/>
      <c r="PCI6" s="157"/>
      <c r="PCJ6" s="157"/>
      <c r="PCK6" s="157"/>
      <c r="PCL6" s="157"/>
      <c r="PCM6" s="157"/>
      <c r="PCN6" s="157"/>
      <c r="PCO6" s="157"/>
      <c r="PCP6" s="157"/>
      <c r="PCQ6" s="157"/>
      <c r="PCR6" s="157"/>
      <c r="PCS6" s="157"/>
      <c r="PCT6" s="157"/>
      <c r="PCU6" s="157"/>
      <c r="PCV6" s="157"/>
      <c r="PCW6" s="157"/>
      <c r="PCX6" s="157"/>
      <c r="PCY6" s="157"/>
      <c r="PCZ6" s="157"/>
      <c r="PDA6" s="157"/>
      <c r="PDB6" s="157"/>
      <c r="PDC6" s="157"/>
      <c r="PDD6" s="157"/>
      <c r="PDE6" s="157"/>
      <c r="PDF6" s="157"/>
      <c r="PDG6" s="157"/>
      <c r="PDH6" s="157"/>
      <c r="PDI6" s="157"/>
      <c r="PDJ6" s="157"/>
      <c r="PDK6" s="157"/>
      <c r="PDL6" s="157"/>
      <c r="PDM6" s="157"/>
      <c r="PDN6" s="157"/>
      <c r="PDO6" s="157"/>
      <c r="PDP6" s="157"/>
      <c r="PDQ6" s="157"/>
      <c r="PDR6" s="157"/>
      <c r="PDS6" s="157"/>
      <c r="PDT6" s="157"/>
      <c r="PDU6" s="157"/>
      <c r="PDV6" s="157"/>
      <c r="PDW6" s="157"/>
      <c r="PDX6" s="157"/>
      <c r="PDY6" s="157"/>
      <c r="PDZ6" s="157"/>
      <c r="PEA6" s="157"/>
      <c r="PEB6" s="157"/>
      <c r="PEC6" s="157"/>
      <c r="PED6" s="157"/>
      <c r="PEE6" s="157"/>
      <c r="PEF6" s="157"/>
      <c r="PEG6" s="157"/>
      <c r="PEH6" s="157"/>
      <c r="PEI6" s="157"/>
      <c r="PEJ6" s="157"/>
      <c r="PEK6" s="157"/>
      <c r="PEL6" s="157"/>
      <c r="PEM6" s="157"/>
      <c r="PEN6" s="157"/>
      <c r="PEO6" s="157"/>
      <c r="PEP6" s="157"/>
      <c r="PEQ6" s="157"/>
      <c r="PER6" s="157"/>
      <c r="PES6" s="157"/>
      <c r="PET6" s="157"/>
      <c r="PEU6" s="157"/>
      <c r="PEV6" s="157"/>
      <c r="PEW6" s="157"/>
      <c r="PEX6" s="157"/>
      <c r="PEY6" s="157"/>
      <c r="PEZ6" s="157"/>
      <c r="PFA6" s="157"/>
      <c r="PFB6" s="157"/>
      <c r="PFC6" s="157"/>
      <c r="PFD6" s="157"/>
      <c r="PFE6" s="157"/>
      <c r="PFF6" s="157"/>
      <c r="PFG6" s="157"/>
      <c r="PFH6" s="157"/>
      <c r="PFI6" s="157"/>
      <c r="PFJ6" s="157"/>
      <c r="PFK6" s="157"/>
      <c r="PFL6" s="157"/>
      <c r="PFM6" s="157"/>
      <c r="PFN6" s="157"/>
      <c r="PFO6" s="157"/>
      <c r="PFP6" s="157"/>
      <c r="PFQ6" s="157"/>
      <c r="PFR6" s="157"/>
      <c r="PFS6" s="157"/>
      <c r="PFT6" s="157"/>
      <c r="PFU6" s="157"/>
      <c r="PFV6" s="157"/>
      <c r="PFW6" s="157"/>
      <c r="PFX6" s="157"/>
      <c r="PFY6" s="157"/>
      <c r="PFZ6" s="157"/>
      <c r="PGA6" s="157"/>
      <c r="PGB6" s="157"/>
      <c r="PGC6" s="157"/>
      <c r="PGD6" s="157"/>
      <c r="PGE6" s="157"/>
      <c r="PGF6" s="157"/>
      <c r="PGG6" s="157"/>
      <c r="PGH6" s="157"/>
      <c r="PGI6" s="157"/>
      <c r="PGJ6" s="157"/>
      <c r="PGK6" s="157"/>
      <c r="PGL6" s="157"/>
      <c r="PGM6" s="157"/>
      <c r="PGN6" s="157"/>
      <c r="PGO6" s="157"/>
      <c r="PGP6" s="157"/>
      <c r="PGQ6" s="157"/>
      <c r="PGR6" s="157"/>
      <c r="PGS6" s="157"/>
      <c r="PGT6" s="157"/>
      <c r="PGU6" s="157"/>
      <c r="PGV6" s="157"/>
      <c r="PGW6" s="157"/>
      <c r="PGX6" s="157"/>
      <c r="PGY6" s="157"/>
      <c r="PGZ6" s="157"/>
      <c r="PHA6" s="157"/>
      <c r="PHB6" s="157"/>
      <c r="PHC6" s="157"/>
      <c r="PHD6" s="157"/>
      <c r="PHE6" s="157"/>
      <c r="PHF6" s="157"/>
      <c r="PHG6" s="157"/>
      <c r="PHH6" s="157"/>
      <c r="PHI6" s="157"/>
      <c r="PHJ6" s="157"/>
      <c r="PHK6" s="157"/>
      <c r="PHL6" s="157"/>
      <c r="PHM6" s="157"/>
      <c r="PHN6" s="157"/>
      <c r="PHO6" s="157"/>
      <c r="PHP6" s="157"/>
      <c r="PHQ6" s="157"/>
      <c r="PHR6" s="157"/>
      <c r="PHS6" s="157"/>
      <c r="PHT6" s="157"/>
      <c r="PHU6" s="157"/>
      <c r="PHV6" s="157"/>
      <c r="PHW6" s="157"/>
      <c r="PHX6" s="157"/>
      <c r="PHY6" s="157"/>
      <c r="PHZ6" s="157"/>
      <c r="PIA6" s="157"/>
      <c r="PIB6" s="157"/>
      <c r="PIC6" s="157"/>
      <c r="PID6" s="157"/>
      <c r="PIE6" s="157"/>
      <c r="PIF6" s="157"/>
      <c r="PIG6" s="157"/>
      <c r="PIH6" s="157"/>
      <c r="PII6" s="157"/>
      <c r="PIJ6" s="157"/>
      <c r="PIK6" s="157"/>
      <c r="PIL6" s="157"/>
      <c r="PIM6" s="157"/>
      <c r="PIN6" s="157"/>
      <c r="PIO6" s="157"/>
      <c r="PIP6" s="157"/>
      <c r="PIQ6" s="157"/>
      <c r="PIR6" s="157"/>
      <c r="PIS6" s="157"/>
      <c r="PIT6" s="157"/>
      <c r="PIU6" s="157"/>
      <c r="PIV6" s="157"/>
      <c r="PIW6" s="157"/>
      <c r="PIX6" s="157"/>
      <c r="PIY6" s="157"/>
      <c r="PIZ6" s="157"/>
      <c r="PJA6" s="157"/>
      <c r="PJB6" s="157"/>
      <c r="PJC6" s="157"/>
      <c r="PJD6" s="157"/>
      <c r="PJE6" s="157"/>
      <c r="PJF6" s="157"/>
      <c r="PJG6" s="157"/>
      <c r="PJH6" s="157"/>
      <c r="PJI6" s="157"/>
      <c r="PJJ6" s="157"/>
      <c r="PJK6" s="157"/>
      <c r="PJL6" s="157"/>
      <c r="PJM6" s="157"/>
      <c r="PJN6" s="157"/>
      <c r="PJO6" s="157"/>
      <c r="PJP6" s="157"/>
      <c r="PJQ6" s="157"/>
      <c r="PJR6" s="157"/>
      <c r="PJS6" s="157"/>
      <c r="PJT6" s="157"/>
      <c r="PJU6" s="157"/>
      <c r="PJV6" s="157"/>
      <c r="PJW6" s="157"/>
      <c r="PJX6" s="157"/>
      <c r="PJY6" s="157"/>
      <c r="PJZ6" s="157"/>
      <c r="PKA6" s="157"/>
      <c r="PKB6" s="157"/>
      <c r="PKC6" s="157"/>
      <c r="PKD6" s="157"/>
      <c r="PKE6" s="157"/>
      <c r="PKF6" s="157"/>
      <c r="PKG6" s="157"/>
      <c r="PKH6" s="157"/>
      <c r="PKI6" s="157"/>
      <c r="PKJ6" s="157"/>
      <c r="PKK6" s="157"/>
      <c r="PKL6" s="157"/>
      <c r="PKM6" s="157"/>
      <c r="PKN6" s="157"/>
      <c r="PKO6" s="157"/>
      <c r="PKP6" s="157"/>
      <c r="PKQ6" s="157"/>
      <c r="PKR6" s="157"/>
      <c r="PKS6" s="157"/>
      <c r="PKT6" s="157"/>
      <c r="PKU6" s="157"/>
      <c r="PKV6" s="157"/>
      <c r="PKW6" s="157"/>
      <c r="PKX6" s="157"/>
      <c r="PKY6" s="157"/>
      <c r="PKZ6" s="157"/>
      <c r="PLA6" s="157"/>
      <c r="PLB6" s="157"/>
      <c r="PLC6" s="157"/>
      <c r="PLD6" s="157"/>
      <c r="PLE6" s="157"/>
      <c r="PLF6" s="157"/>
      <c r="PLG6" s="157"/>
      <c r="PLH6" s="157"/>
      <c r="PLI6" s="157"/>
      <c r="PLJ6" s="157"/>
      <c r="PLK6" s="157"/>
      <c r="PLL6" s="157"/>
      <c r="PLM6" s="157"/>
      <c r="PLN6" s="157"/>
      <c r="PLO6" s="157"/>
      <c r="PLP6" s="157"/>
      <c r="PLQ6" s="157"/>
      <c r="PLR6" s="157"/>
      <c r="PLS6" s="157"/>
      <c r="PLT6" s="157"/>
      <c r="PLU6" s="157"/>
      <c r="PLV6" s="157"/>
      <c r="PLW6" s="157"/>
      <c r="PLX6" s="157"/>
      <c r="PLY6" s="157"/>
      <c r="PLZ6" s="157"/>
      <c r="PMA6" s="157"/>
      <c r="PMB6" s="157"/>
      <c r="PMC6" s="157"/>
      <c r="PMD6" s="157"/>
      <c r="PME6" s="157"/>
      <c r="PMF6" s="157"/>
      <c r="PMG6" s="157"/>
      <c r="PMH6" s="157"/>
      <c r="PMI6" s="157"/>
      <c r="PMJ6" s="157"/>
      <c r="PMK6" s="157"/>
      <c r="PML6" s="157"/>
      <c r="PMM6" s="157"/>
      <c r="PMN6" s="157"/>
      <c r="PMO6" s="157"/>
      <c r="PMP6" s="157"/>
      <c r="PMQ6" s="157"/>
      <c r="PMR6" s="157"/>
      <c r="PMS6" s="157"/>
      <c r="PMT6" s="157"/>
      <c r="PMU6" s="157"/>
      <c r="PMV6" s="157"/>
      <c r="PMW6" s="157"/>
      <c r="PMX6" s="157"/>
      <c r="PMY6" s="157"/>
      <c r="PMZ6" s="157"/>
      <c r="PNA6" s="157"/>
      <c r="PNB6" s="157"/>
      <c r="PNC6" s="157"/>
      <c r="PND6" s="157"/>
      <c r="PNE6" s="157"/>
      <c r="PNF6" s="157"/>
      <c r="PNG6" s="157"/>
      <c r="PNH6" s="157"/>
      <c r="PNI6" s="157"/>
      <c r="PNJ6" s="157"/>
      <c r="PNK6" s="157"/>
      <c r="PNL6" s="157"/>
      <c r="PNM6" s="157"/>
      <c r="PNN6" s="157"/>
      <c r="PNO6" s="157"/>
      <c r="PNP6" s="157"/>
      <c r="PNQ6" s="157"/>
      <c r="PNR6" s="157"/>
      <c r="PNS6" s="157"/>
      <c r="PNT6" s="157"/>
      <c r="PNU6" s="157"/>
      <c r="PNV6" s="157"/>
      <c r="PNW6" s="157"/>
      <c r="PNX6" s="157"/>
      <c r="PNY6" s="157"/>
      <c r="PNZ6" s="157"/>
      <c r="POA6" s="157"/>
      <c r="POB6" s="157"/>
      <c r="POC6" s="157"/>
      <c r="POD6" s="157"/>
      <c r="POE6" s="157"/>
      <c r="POF6" s="157"/>
      <c r="POG6" s="157"/>
      <c r="POH6" s="157"/>
      <c r="POI6" s="157"/>
      <c r="POJ6" s="157"/>
      <c r="POK6" s="157"/>
      <c r="POL6" s="157"/>
      <c r="POM6" s="157"/>
      <c r="PON6" s="157"/>
      <c r="POO6" s="157"/>
      <c r="POP6" s="157"/>
      <c r="POQ6" s="157"/>
      <c r="POR6" s="157"/>
      <c r="POS6" s="157"/>
      <c r="POT6" s="157"/>
      <c r="POU6" s="157"/>
      <c r="POV6" s="157"/>
      <c r="POW6" s="157"/>
      <c r="POX6" s="157"/>
      <c r="POY6" s="157"/>
      <c r="POZ6" s="157"/>
      <c r="PPA6" s="157"/>
      <c r="PPB6" s="157"/>
      <c r="PPC6" s="157"/>
      <c r="PPD6" s="157"/>
      <c r="PPE6" s="157"/>
      <c r="PPF6" s="157"/>
      <c r="PPG6" s="157"/>
      <c r="PPH6" s="157"/>
      <c r="PPI6" s="157"/>
      <c r="PPJ6" s="157"/>
      <c r="PPK6" s="157"/>
      <c r="PPL6" s="157"/>
      <c r="PPM6" s="157"/>
      <c r="PPN6" s="157"/>
      <c r="PPO6" s="157"/>
      <c r="PPP6" s="157"/>
      <c r="PPQ6" s="157"/>
      <c r="PPR6" s="157"/>
      <c r="PPS6" s="157"/>
      <c r="PPT6" s="157"/>
      <c r="PPU6" s="157"/>
      <c r="PPV6" s="157"/>
      <c r="PPW6" s="157"/>
      <c r="PPX6" s="157"/>
      <c r="PPY6" s="157"/>
      <c r="PPZ6" s="157"/>
      <c r="PQA6" s="157"/>
      <c r="PQB6" s="157"/>
      <c r="PQC6" s="157"/>
      <c r="PQD6" s="157"/>
      <c r="PQE6" s="157"/>
      <c r="PQF6" s="157"/>
      <c r="PQG6" s="157"/>
      <c r="PQH6" s="157"/>
      <c r="PQI6" s="157"/>
      <c r="PQJ6" s="157"/>
      <c r="PQK6" s="157"/>
      <c r="PQL6" s="157"/>
      <c r="PQM6" s="157"/>
      <c r="PQN6" s="157"/>
      <c r="PQO6" s="157"/>
      <c r="PQP6" s="157"/>
      <c r="PQQ6" s="157"/>
      <c r="PQR6" s="157"/>
      <c r="PQS6" s="157"/>
      <c r="PQT6" s="157"/>
      <c r="PQU6" s="157"/>
      <c r="PQV6" s="157"/>
      <c r="PQW6" s="157"/>
      <c r="PQX6" s="157"/>
      <c r="PQY6" s="157"/>
      <c r="PQZ6" s="157"/>
      <c r="PRA6" s="157"/>
      <c r="PRB6" s="157"/>
      <c r="PRC6" s="157"/>
      <c r="PRD6" s="157"/>
      <c r="PRE6" s="157"/>
      <c r="PRF6" s="157"/>
      <c r="PRG6" s="157"/>
      <c r="PRH6" s="157"/>
      <c r="PRI6" s="157"/>
      <c r="PRJ6" s="157"/>
      <c r="PRK6" s="157"/>
      <c r="PRL6" s="157"/>
      <c r="PRM6" s="157"/>
      <c r="PRN6" s="157"/>
      <c r="PRO6" s="157"/>
      <c r="PRP6" s="157"/>
      <c r="PRQ6" s="157"/>
      <c r="PRR6" s="157"/>
      <c r="PRS6" s="157"/>
      <c r="PRT6" s="157"/>
      <c r="PRU6" s="157"/>
      <c r="PRV6" s="157"/>
      <c r="PRW6" s="157"/>
      <c r="PRX6" s="157"/>
      <c r="PRY6" s="157"/>
      <c r="PRZ6" s="157"/>
      <c r="PSA6" s="157"/>
      <c r="PSB6" s="157"/>
      <c r="PSC6" s="157"/>
      <c r="PSD6" s="157"/>
      <c r="PSE6" s="157"/>
      <c r="PSF6" s="157"/>
      <c r="PSG6" s="157"/>
      <c r="PSH6" s="157"/>
      <c r="PSI6" s="157"/>
      <c r="PSJ6" s="157"/>
      <c r="PSK6" s="157"/>
      <c r="PSL6" s="157"/>
      <c r="PSM6" s="157"/>
      <c r="PSN6" s="157"/>
      <c r="PSO6" s="157"/>
      <c r="PSP6" s="157"/>
      <c r="PSQ6" s="157"/>
      <c r="PSR6" s="157"/>
      <c r="PSS6" s="157"/>
      <c r="PST6" s="157"/>
      <c r="PSU6" s="157"/>
      <c r="PSV6" s="157"/>
      <c r="PSW6" s="157"/>
      <c r="PSX6" s="157"/>
      <c r="PSY6" s="157"/>
      <c r="PSZ6" s="157"/>
      <c r="PTA6" s="157"/>
      <c r="PTB6" s="157"/>
      <c r="PTC6" s="157"/>
      <c r="PTD6" s="157"/>
      <c r="PTE6" s="157"/>
      <c r="PTF6" s="157"/>
      <c r="PTG6" s="157"/>
      <c r="PTH6" s="157"/>
      <c r="PTI6" s="157"/>
      <c r="PTJ6" s="157"/>
      <c r="PTK6" s="157"/>
      <c r="PTL6" s="157"/>
      <c r="PTM6" s="157"/>
      <c r="PTN6" s="157"/>
      <c r="PTO6" s="157"/>
      <c r="PTP6" s="157"/>
      <c r="PTQ6" s="157"/>
      <c r="PTR6" s="157"/>
      <c r="PTS6" s="157"/>
      <c r="PTT6" s="157"/>
      <c r="PTU6" s="157"/>
      <c r="PTV6" s="157"/>
      <c r="PTW6" s="157"/>
      <c r="PTX6" s="157"/>
      <c r="PTY6" s="157"/>
      <c r="PTZ6" s="157"/>
      <c r="PUA6" s="157"/>
      <c r="PUB6" s="157"/>
      <c r="PUC6" s="157"/>
      <c r="PUD6" s="157"/>
      <c r="PUE6" s="157"/>
      <c r="PUF6" s="157"/>
      <c r="PUG6" s="157"/>
      <c r="PUH6" s="157"/>
      <c r="PUI6" s="157"/>
      <c r="PUJ6" s="157"/>
      <c r="PUK6" s="157"/>
      <c r="PUL6" s="157"/>
      <c r="PUM6" s="157"/>
      <c r="PUN6" s="157"/>
      <c r="PUO6" s="157"/>
      <c r="PUP6" s="157"/>
      <c r="PUQ6" s="157"/>
      <c r="PUR6" s="157"/>
      <c r="PUS6" s="157"/>
      <c r="PUT6" s="157"/>
      <c r="PUU6" s="157"/>
      <c r="PUV6" s="157"/>
      <c r="PUW6" s="157"/>
      <c r="PUX6" s="157"/>
      <c r="PUY6" s="157"/>
      <c r="PUZ6" s="157"/>
      <c r="PVA6" s="157"/>
      <c r="PVB6" s="157"/>
      <c r="PVC6" s="157"/>
      <c r="PVD6" s="157"/>
      <c r="PVE6" s="157"/>
      <c r="PVF6" s="157"/>
      <c r="PVG6" s="157"/>
      <c r="PVH6" s="157"/>
      <c r="PVI6" s="157"/>
      <c r="PVJ6" s="157"/>
      <c r="PVK6" s="157"/>
      <c r="PVL6" s="157"/>
      <c r="PVM6" s="157"/>
      <c r="PVN6" s="157"/>
      <c r="PVO6" s="157"/>
      <c r="PVP6" s="157"/>
      <c r="PVQ6" s="157"/>
      <c r="PVR6" s="157"/>
      <c r="PVS6" s="157"/>
      <c r="PVT6" s="157"/>
      <c r="PVU6" s="157"/>
      <c r="PVV6" s="157"/>
      <c r="PVW6" s="157"/>
      <c r="PVX6" s="157"/>
      <c r="PVY6" s="157"/>
      <c r="PVZ6" s="157"/>
      <c r="PWA6" s="157"/>
      <c r="PWB6" s="157"/>
      <c r="PWC6" s="157"/>
      <c r="PWD6" s="157"/>
      <c r="PWE6" s="157"/>
      <c r="PWF6" s="157"/>
      <c r="PWG6" s="157"/>
      <c r="PWH6" s="157"/>
      <c r="PWI6" s="157"/>
      <c r="PWJ6" s="157"/>
      <c r="PWK6" s="157"/>
      <c r="PWL6" s="157"/>
      <c r="PWM6" s="157"/>
      <c r="PWN6" s="157"/>
      <c r="PWO6" s="157"/>
      <c r="PWP6" s="157"/>
      <c r="PWQ6" s="157"/>
      <c r="PWR6" s="157"/>
      <c r="PWS6" s="157"/>
      <c r="PWT6" s="157"/>
      <c r="PWU6" s="157"/>
      <c r="PWV6" s="157"/>
      <c r="PWW6" s="157"/>
      <c r="PWX6" s="157"/>
      <c r="PWY6" s="157"/>
      <c r="PWZ6" s="157"/>
      <c r="PXA6" s="157"/>
      <c r="PXB6" s="157"/>
      <c r="PXC6" s="157"/>
      <c r="PXD6" s="157"/>
      <c r="PXE6" s="157"/>
      <c r="PXF6" s="157"/>
      <c r="PXG6" s="157"/>
      <c r="PXH6" s="157"/>
      <c r="PXI6" s="157"/>
      <c r="PXJ6" s="157"/>
      <c r="PXK6" s="157"/>
      <c r="PXL6" s="157"/>
      <c r="PXM6" s="157"/>
      <c r="PXN6" s="157"/>
      <c r="PXO6" s="157"/>
      <c r="PXP6" s="157"/>
      <c r="PXQ6" s="157"/>
      <c r="PXR6" s="157"/>
      <c r="PXS6" s="157"/>
      <c r="PXT6" s="157"/>
      <c r="PXU6" s="157"/>
      <c r="PXV6" s="157"/>
      <c r="PXW6" s="157"/>
      <c r="PXX6" s="157"/>
      <c r="PXY6" s="157"/>
      <c r="PXZ6" s="157"/>
      <c r="PYA6" s="157"/>
      <c r="PYB6" s="157"/>
      <c r="PYC6" s="157"/>
      <c r="PYD6" s="157"/>
      <c r="PYE6" s="157"/>
      <c r="PYF6" s="157"/>
      <c r="PYG6" s="157"/>
      <c r="PYH6" s="157"/>
      <c r="PYI6" s="157"/>
      <c r="PYJ6" s="157"/>
      <c r="PYK6" s="157"/>
      <c r="PYL6" s="157"/>
      <c r="PYM6" s="157"/>
      <c r="PYN6" s="157"/>
      <c r="PYO6" s="157"/>
      <c r="PYP6" s="157"/>
      <c r="PYQ6" s="157"/>
      <c r="PYR6" s="157"/>
      <c r="PYS6" s="157"/>
      <c r="PYT6" s="157"/>
      <c r="PYU6" s="157"/>
      <c r="PYV6" s="157"/>
      <c r="PYW6" s="157"/>
      <c r="PYX6" s="157"/>
      <c r="PYY6" s="157"/>
      <c r="PYZ6" s="157"/>
      <c r="PZA6" s="157"/>
      <c r="PZB6" s="157"/>
      <c r="PZC6" s="157"/>
      <c r="PZD6" s="157"/>
      <c r="PZE6" s="157"/>
      <c r="PZF6" s="157"/>
      <c r="PZG6" s="157"/>
      <c r="PZH6" s="157"/>
      <c r="PZI6" s="157"/>
      <c r="PZJ6" s="157"/>
      <c r="PZK6" s="157"/>
      <c r="PZL6" s="157"/>
      <c r="PZM6" s="157"/>
      <c r="PZN6" s="157"/>
      <c r="PZO6" s="157"/>
      <c r="PZP6" s="157"/>
      <c r="PZQ6" s="157"/>
      <c r="PZR6" s="157"/>
      <c r="PZS6" s="157"/>
      <c r="PZT6" s="157"/>
      <c r="PZU6" s="157"/>
      <c r="PZV6" s="157"/>
      <c r="PZW6" s="157"/>
      <c r="PZX6" s="157"/>
      <c r="PZY6" s="157"/>
      <c r="PZZ6" s="157"/>
      <c r="QAA6" s="157"/>
      <c r="QAB6" s="157"/>
      <c r="QAC6" s="157"/>
      <c r="QAD6" s="157"/>
      <c r="QAE6" s="157"/>
      <c r="QAF6" s="157"/>
      <c r="QAG6" s="157"/>
      <c r="QAH6" s="157"/>
      <c r="QAI6" s="157"/>
      <c r="QAJ6" s="157"/>
      <c r="QAK6" s="157"/>
      <c r="QAL6" s="157"/>
      <c r="QAM6" s="157"/>
      <c r="QAN6" s="157"/>
      <c r="QAO6" s="157"/>
      <c r="QAP6" s="157"/>
      <c r="QAQ6" s="157"/>
      <c r="QAR6" s="157"/>
      <c r="QAS6" s="157"/>
      <c r="QAT6" s="157"/>
      <c r="QAU6" s="157"/>
      <c r="QAV6" s="157"/>
      <c r="QAW6" s="157"/>
      <c r="QAX6" s="157"/>
      <c r="QAY6" s="157"/>
      <c r="QAZ6" s="157"/>
      <c r="QBA6" s="157"/>
      <c r="QBB6" s="157"/>
      <c r="QBC6" s="157"/>
      <c r="QBD6" s="157"/>
      <c r="QBE6" s="157"/>
      <c r="QBF6" s="157"/>
      <c r="QBG6" s="157"/>
      <c r="QBH6" s="157"/>
      <c r="QBI6" s="157"/>
      <c r="QBJ6" s="157"/>
      <c r="QBK6" s="157"/>
      <c r="QBL6" s="157"/>
      <c r="QBM6" s="157"/>
      <c r="QBN6" s="157"/>
      <c r="QBO6" s="157"/>
      <c r="QBP6" s="157"/>
      <c r="QBQ6" s="157"/>
      <c r="QBR6" s="157"/>
      <c r="QBS6" s="157"/>
      <c r="QBT6" s="157"/>
      <c r="QBU6" s="157"/>
      <c r="QBV6" s="157"/>
      <c r="QBW6" s="157"/>
      <c r="QBX6" s="157"/>
      <c r="QBY6" s="157"/>
      <c r="QBZ6" s="157"/>
      <c r="QCA6" s="157"/>
      <c r="QCB6" s="157"/>
      <c r="QCC6" s="157"/>
      <c r="QCD6" s="157"/>
      <c r="QCE6" s="157"/>
      <c r="QCF6" s="157"/>
      <c r="QCG6" s="157"/>
      <c r="QCH6" s="157"/>
      <c r="QCI6" s="157"/>
      <c r="QCJ6" s="157"/>
      <c r="QCK6" s="157"/>
      <c r="QCL6" s="157"/>
      <c r="QCM6" s="157"/>
      <c r="QCN6" s="157"/>
      <c r="QCO6" s="157"/>
      <c r="QCP6" s="157"/>
      <c r="QCQ6" s="157"/>
      <c r="QCR6" s="157"/>
      <c r="QCS6" s="157"/>
      <c r="QCT6" s="157"/>
      <c r="QCU6" s="157"/>
      <c r="QCV6" s="157"/>
      <c r="QCW6" s="157"/>
      <c r="QCX6" s="157"/>
      <c r="QCY6" s="157"/>
      <c r="QCZ6" s="157"/>
      <c r="QDA6" s="157"/>
      <c r="QDB6" s="157"/>
      <c r="QDC6" s="157"/>
      <c r="QDD6" s="157"/>
      <c r="QDE6" s="157"/>
      <c r="QDF6" s="157"/>
      <c r="QDG6" s="157"/>
      <c r="QDH6" s="157"/>
      <c r="QDI6" s="157"/>
      <c r="QDJ6" s="157"/>
      <c r="QDK6" s="157"/>
      <c r="QDL6" s="157"/>
      <c r="QDM6" s="157"/>
      <c r="QDN6" s="157"/>
      <c r="QDO6" s="157"/>
      <c r="QDP6" s="157"/>
      <c r="QDQ6" s="157"/>
      <c r="QDR6" s="157"/>
      <c r="QDS6" s="157"/>
      <c r="QDT6" s="157"/>
      <c r="QDU6" s="157"/>
      <c r="QDV6" s="157"/>
      <c r="QDW6" s="157"/>
      <c r="QDX6" s="157"/>
      <c r="QDY6" s="157"/>
      <c r="QDZ6" s="157"/>
      <c r="QEA6" s="157"/>
      <c r="QEB6" s="157"/>
      <c r="QEC6" s="157"/>
      <c r="QED6" s="157"/>
      <c r="QEE6" s="157"/>
      <c r="QEF6" s="157"/>
      <c r="QEG6" s="157"/>
      <c r="QEH6" s="157"/>
      <c r="QEI6" s="157"/>
      <c r="QEJ6" s="157"/>
      <c r="QEK6" s="157"/>
      <c r="QEL6" s="157"/>
      <c r="QEM6" s="157"/>
      <c r="QEN6" s="157"/>
      <c r="QEO6" s="157"/>
      <c r="QEP6" s="157"/>
      <c r="QEQ6" s="157"/>
      <c r="QER6" s="157"/>
      <c r="QES6" s="157"/>
      <c r="QET6" s="157"/>
      <c r="QEU6" s="157"/>
      <c r="QEV6" s="157"/>
      <c r="QEW6" s="157"/>
      <c r="QEX6" s="157"/>
      <c r="QEY6" s="157"/>
      <c r="QEZ6" s="157"/>
      <c r="QFA6" s="157"/>
      <c r="QFB6" s="157"/>
      <c r="QFC6" s="157"/>
      <c r="QFD6" s="157"/>
      <c r="QFE6" s="157"/>
      <c r="QFF6" s="157"/>
      <c r="QFG6" s="157"/>
      <c r="QFH6" s="157"/>
      <c r="QFI6" s="157"/>
      <c r="QFJ6" s="157"/>
      <c r="QFK6" s="157"/>
      <c r="QFL6" s="157"/>
      <c r="QFM6" s="157"/>
      <c r="QFN6" s="157"/>
      <c r="QFO6" s="157"/>
      <c r="QFP6" s="157"/>
      <c r="QFQ6" s="157"/>
      <c r="QFR6" s="157"/>
      <c r="QFS6" s="157"/>
      <c r="QFT6" s="157"/>
      <c r="QFU6" s="157"/>
      <c r="QFV6" s="157"/>
      <c r="QFW6" s="157"/>
      <c r="QFX6" s="157"/>
      <c r="QFY6" s="157"/>
      <c r="QFZ6" s="157"/>
      <c r="QGA6" s="157"/>
      <c r="QGB6" s="157"/>
      <c r="QGC6" s="157"/>
      <c r="QGD6" s="157"/>
      <c r="QGE6" s="157"/>
      <c r="QGF6" s="157"/>
      <c r="QGG6" s="157"/>
      <c r="QGH6" s="157"/>
      <c r="QGI6" s="157"/>
      <c r="QGJ6" s="157"/>
      <c r="QGK6" s="157"/>
      <c r="QGL6" s="157"/>
      <c r="QGM6" s="157"/>
      <c r="QGN6" s="157"/>
      <c r="QGO6" s="157"/>
      <c r="QGP6" s="157"/>
      <c r="QGQ6" s="157"/>
      <c r="QGR6" s="157"/>
      <c r="QGS6" s="157"/>
      <c r="QGT6" s="157"/>
      <c r="QGU6" s="157"/>
      <c r="QGV6" s="157"/>
      <c r="QGW6" s="157"/>
      <c r="QGX6" s="157"/>
      <c r="QGY6" s="157"/>
      <c r="QGZ6" s="157"/>
      <c r="QHA6" s="157"/>
      <c r="QHB6" s="157"/>
      <c r="QHC6" s="157"/>
      <c r="QHD6" s="157"/>
      <c r="QHE6" s="157"/>
      <c r="QHF6" s="157"/>
      <c r="QHG6" s="157"/>
      <c r="QHH6" s="157"/>
      <c r="QHI6" s="157"/>
      <c r="QHJ6" s="157"/>
      <c r="QHK6" s="157"/>
      <c r="QHL6" s="157"/>
      <c r="QHM6" s="157"/>
      <c r="QHN6" s="157"/>
      <c r="QHO6" s="157"/>
      <c r="QHP6" s="157"/>
      <c r="QHQ6" s="157"/>
      <c r="QHR6" s="157"/>
      <c r="QHS6" s="157"/>
      <c r="QHT6" s="157"/>
      <c r="QHU6" s="157"/>
      <c r="QHV6" s="157"/>
      <c r="QHW6" s="157"/>
      <c r="QHX6" s="157"/>
      <c r="QHY6" s="157"/>
      <c r="QHZ6" s="157"/>
      <c r="QIA6" s="157"/>
      <c r="QIB6" s="157"/>
      <c r="QIC6" s="157"/>
      <c r="QID6" s="157"/>
      <c r="QIE6" s="157"/>
      <c r="QIF6" s="157"/>
      <c r="QIG6" s="157"/>
      <c r="QIH6" s="157"/>
      <c r="QII6" s="157"/>
      <c r="QIJ6" s="157"/>
      <c r="QIK6" s="157"/>
      <c r="QIL6" s="157"/>
      <c r="QIM6" s="157"/>
      <c r="QIN6" s="157"/>
      <c r="QIO6" s="157"/>
      <c r="QIP6" s="157"/>
      <c r="QIQ6" s="157"/>
      <c r="QIR6" s="157"/>
      <c r="QIS6" s="157"/>
      <c r="QIT6" s="157"/>
      <c r="QIU6" s="157"/>
      <c r="QIV6" s="157"/>
      <c r="QIW6" s="157"/>
      <c r="QIX6" s="157"/>
      <c r="QIY6" s="157"/>
      <c r="QIZ6" s="157"/>
      <c r="QJA6" s="157"/>
      <c r="QJB6" s="157"/>
      <c r="QJC6" s="157"/>
      <c r="QJD6" s="157"/>
      <c r="QJE6" s="157"/>
      <c r="QJF6" s="157"/>
      <c r="QJG6" s="157"/>
      <c r="QJH6" s="157"/>
      <c r="QJI6" s="157"/>
      <c r="QJJ6" s="157"/>
      <c r="QJK6" s="157"/>
      <c r="QJL6" s="157"/>
      <c r="QJM6" s="157"/>
      <c r="QJN6" s="157"/>
      <c r="QJO6" s="157"/>
      <c r="QJP6" s="157"/>
      <c r="QJQ6" s="157"/>
      <c r="QJR6" s="157"/>
      <c r="QJS6" s="157"/>
      <c r="QJT6" s="157"/>
      <c r="QJU6" s="157"/>
      <c r="QJV6" s="157"/>
      <c r="QJW6" s="157"/>
      <c r="QJX6" s="157"/>
      <c r="QJY6" s="157"/>
      <c r="QJZ6" s="157"/>
      <c r="QKA6" s="157"/>
      <c r="QKB6" s="157"/>
      <c r="QKC6" s="157"/>
      <c r="QKD6" s="157"/>
      <c r="QKE6" s="157"/>
      <c r="QKF6" s="157"/>
      <c r="QKG6" s="157"/>
      <c r="QKH6" s="157"/>
      <c r="QKI6" s="157"/>
      <c r="QKJ6" s="157"/>
      <c r="QKK6" s="157"/>
      <c r="QKL6" s="157"/>
      <c r="QKM6" s="157"/>
      <c r="QKN6" s="157"/>
      <c r="QKO6" s="157"/>
      <c r="QKP6" s="157"/>
      <c r="QKQ6" s="157"/>
      <c r="QKR6" s="157"/>
      <c r="QKS6" s="157"/>
      <c r="QKT6" s="157"/>
      <c r="QKU6" s="157"/>
      <c r="QKV6" s="157"/>
      <c r="QKW6" s="157"/>
      <c r="QKX6" s="157"/>
      <c r="QKY6" s="157"/>
      <c r="QKZ6" s="157"/>
      <c r="QLA6" s="157"/>
      <c r="QLB6" s="157"/>
      <c r="QLC6" s="157"/>
      <c r="QLD6" s="157"/>
      <c r="QLE6" s="157"/>
      <c r="QLF6" s="157"/>
      <c r="QLG6" s="157"/>
      <c r="QLH6" s="157"/>
      <c r="QLI6" s="157"/>
      <c r="QLJ6" s="157"/>
      <c r="QLK6" s="157"/>
      <c r="QLL6" s="157"/>
      <c r="QLM6" s="157"/>
      <c r="QLN6" s="157"/>
      <c r="QLO6" s="157"/>
      <c r="QLP6" s="157"/>
      <c r="QLQ6" s="157"/>
      <c r="QLR6" s="157"/>
      <c r="QLS6" s="157"/>
      <c r="QLT6" s="157"/>
      <c r="QLU6" s="157"/>
      <c r="QLV6" s="157"/>
      <c r="QLW6" s="157"/>
      <c r="QLX6" s="157"/>
      <c r="QLY6" s="157"/>
      <c r="QLZ6" s="157"/>
      <c r="QMA6" s="157"/>
      <c r="QMB6" s="157"/>
      <c r="QMC6" s="157"/>
      <c r="QMD6" s="157"/>
      <c r="QME6" s="157"/>
      <c r="QMF6" s="157"/>
      <c r="QMG6" s="157"/>
      <c r="QMH6" s="157"/>
      <c r="QMI6" s="157"/>
      <c r="QMJ6" s="157"/>
      <c r="QMK6" s="157"/>
      <c r="QML6" s="157"/>
      <c r="QMM6" s="157"/>
      <c r="QMN6" s="157"/>
      <c r="QMO6" s="157"/>
      <c r="QMP6" s="157"/>
      <c r="QMQ6" s="157"/>
      <c r="QMR6" s="157"/>
      <c r="QMS6" s="157"/>
      <c r="QMT6" s="157"/>
      <c r="QMU6" s="157"/>
      <c r="QMV6" s="157"/>
      <c r="QMW6" s="157"/>
      <c r="QMX6" s="157"/>
      <c r="QMY6" s="157"/>
      <c r="QMZ6" s="157"/>
      <c r="QNA6" s="157"/>
      <c r="QNB6" s="157"/>
      <c r="QNC6" s="157"/>
      <c r="QND6" s="157"/>
      <c r="QNE6" s="157"/>
      <c r="QNF6" s="157"/>
      <c r="QNG6" s="157"/>
      <c r="QNH6" s="157"/>
      <c r="QNI6" s="157"/>
      <c r="QNJ6" s="157"/>
      <c r="QNK6" s="157"/>
      <c r="QNL6" s="157"/>
      <c r="QNM6" s="157"/>
      <c r="QNN6" s="157"/>
      <c r="QNO6" s="157"/>
      <c r="QNP6" s="157"/>
      <c r="QNQ6" s="157"/>
      <c r="QNR6" s="157"/>
      <c r="QNS6" s="157"/>
      <c r="QNT6" s="157"/>
      <c r="QNU6" s="157"/>
      <c r="QNV6" s="157"/>
      <c r="QNW6" s="157"/>
      <c r="QNX6" s="157"/>
      <c r="QNY6" s="157"/>
      <c r="QNZ6" s="157"/>
      <c r="QOA6" s="157"/>
      <c r="QOB6" s="157"/>
      <c r="QOC6" s="157"/>
      <c r="QOD6" s="157"/>
      <c r="QOE6" s="157"/>
      <c r="QOF6" s="157"/>
      <c r="QOG6" s="157"/>
      <c r="QOH6" s="157"/>
      <c r="QOI6" s="157"/>
      <c r="QOJ6" s="157"/>
      <c r="QOK6" s="157"/>
      <c r="QOL6" s="157"/>
      <c r="QOM6" s="157"/>
      <c r="QON6" s="157"/>
      <c r="QOO6" s="157"/>
      <c r="QOP6" s="157"/>
      <c r="QOQ6" s="157"/>
      <c r="QOR6" s="157"/>
      <c r="QOS6" s="157"/>
      <c r="QOT6" s="157"/>
      <c r="QOU6" s="157"/>
      <c r="QOV6" s="157"/>
      <c r="QOW6" s="157"/>
      <c r="QOX6" s="157"/>
      <c r="QOY6" s="157"/>
      <c r="QOZ6" s="157"/>
      <c r="QPA6" s="157"/>
      <c r="QPB6" s="157"/>
      <c r="QPC6" s="157"/>
      <c r="QPD6" s="157"/>
      <c r="QPE6" s="157"/>
      <c r="QPF6" s="157"/>
      <c r="QPG6" s="157"/>
      <c r="QPH6" s="157"/>
      <c r="QPI6" s="157"/>
      <c r="QPJ6" s="157"/>
      <c r="QPK6" s="157"/>
      <c r="QPL6" s="157"/>
      <c r="QPM6" s="157"/>
      <c r="QPN6" s="157"/>
      <c r="QPO6" s="157"/>
      <c r="QPP6" s="157"/>
      <c r="QPQ6" s="157"/>
      <c r="QPR6" s="157"/>
      <c r="QPS6" s="157"/>
      <c r="QPT6" s="157"/>
      <c r="QPU6" s="157"/>
      <c r="QPV6" s="157"/>
      <c r="QPW6" s="157"/>
      <c r="QPX6" s="157"/>
      <c r="QPY6" s="157"/>
      <c r="QPZ6" s="157"/>
      <c r="QQA6" s="157"/>
      <c r="QQB6" s="157"/>
      <c r="QQC6" s="157"/>
      <c r="QQD6" s="157"/>
      <c r="QQE6" s="157"/>
      <c r="QQF6" s="157"/>
      <c r="QQG6" s="157"/>
      <c r="QQH6" s="157"/>
      <c r="QQI6" s="157"/>
      <c r="QQJ6" s="157"/>
      <c r="QQK6" s="157"/>
      <c r="QQL6" s="157"/>
      <c r="QQM6" s="157"/>
      <c r="QQN6" s="157"/>
      <c r="QQO6" s="157"/>
      <c r="QQP6" s="157"/>
      <c r="QQQ6" s="157"/>
      <c r="QQR6" s="157"/>
      <c r="QQS6" s="157"/>
      <c r="QQT6" s="157"/>
      <c r="QQU6" s="157"/>
      <c r="QQV6" s="157"/>
      <c r="QQW6" s="157"/>
      <c r="QQX6" s="157"/>
      <c r="QQY6" s="157"/>
      <c r="QQZ6" s="157"/>
      <c r="QRA6" s="157"/>
      <c r="QRB6" s="157"/>
      <c r="QRC6" s="157"/>
      <c r="QRD6" s="157"/>
      <c r="QRE6" s="157"/>
      <c r="QRF6" s="157"/>
      <c r="QRG6" s="157"/>
      <c r="QRH6" s="157"/>
      <c r="QRI6" s="157"/>
      <c r="QRJ6" s="157"/>
      <c r="QRK6" s="157"/>
      <c r="QRL6" s="157"/>
      <c r="QRM6" s="157"/>
      <c r="QRN6" s="157"/>
      <c r="QRO6" s="157"/>
      <c r="QRP6" s="157"/>
      <c r="QRQ6" s="157"/>
      <c r="QRR6" s="157"/>
      <c r="QRS6" s="157"/>
      <c r="QRT6" s="157"/>
      <c r="QRU6" s="157"/>
      <c r="QRV6" s="157"/>
      <c r="QRW6" s="157"/>
      <c r="QRX6" s="157"/>
      <c r="QRY6" s="157"/>
      <c r="QRZ6" s="157"/>
      <c r="QSA6" s="157"/>
      <c r="QSB6" s="157"/>
      <c r="QSC6" s="157"/>
      <c r="QSD6" s="157"/>
      <c r="QSE6" s="157"/>
      <c r="QSF6" s="157"/>
      <c r="QSG6" s="157"/>
      <c r="QSH6" s="157"/>
      <c r="QSI6" s="157"/>
      <c r="QSJ6" s="157"/>
      <c r="QSK6" s="157"/>
      <c r="QSL6" s="157"/>
      <c r="QSM6" s="157"/>
      <c r="QSN6" s="157"/>
      <c r="QSO6" s="157"/>
      <c r="QSP6" s="157"/>
      <c r="QSQ6" s="157"/>
      <c r="QSR6" s="157"/>
      <c r="QSS6" s="157"/>
      <c r="QST6" s="157"/>
      <c r="QSU6" s="157"/>
      <c r="QSV6" s="157"/>
      <c r="QSW6" s="157"/>
      <c r="QSX6" s="157"/>
      <c r="QSY6" s="157"/>
      <c r="QSZ6" s="157"/>
      <c r="QTA6" s="157"/>
      <c r="QTB6" s="157"/>
      <c r="QTC6" s="157"/>
      <c r="QTD6" s="157"/>
      <c r="QTE6" s="157"/>
      <c r="QTF6" s="157"/>
      <c r="QTG6" s="157"/>
      <c r="QTH6" s="157"/>
      <c r="QTI6" s="157"/>
      <c r="QTJ6" s="157"/>
      <c r="QTK6" s="157"/>
      <c r="QTL6" s="157"/>
      <c r="QTM6" s="157"/>
      <c r="QTN6" s="157"/>
      <c r="QTO6" s="157"/>
      <c r="QTP6" s="157"/>
      <c r="QTQ6" s="157"/>
      <c r="QTR6" s="157"/>
      <c r="QTS6" s="157"/>
      <c r="QTT6" s="157"/>
      <c r="QTU6" s="157"/>
      <c r="QTV6" s="157"/>
      <c r="QTW6" s="157"/>
      <c r="QTX6" s="157"/>
      <c r="QTY6" s="157"/>
      <c r="QTZ6" s="157"/>
      <c r="QUA6" s="157"/>
      <c r="QUB6" s="157"/>
      <c r="QUC6" s="157"/>
      <c r="QUD6" s="157"/>
      <c r="QUE6" s="157"/>
      <c r="QUF6" s="157"/>
      <c r="QUG6" s="157"/>
      <c r="QUH6" s="157"/>
      <c r="QUI6" s="157"/>
      <c r="QUJ6" s="157"/>
      <c r="QUK6" s="157"/>
      <c r="QUL6" s="157"/>
      <c r="QUM6" s="157"/>
      <c r="QUN6" s="157"/>
      <c r="QUO6" s="157"/>
      <c r="QUP6" s="157"/>
      <c r="QUQ6" s="157"/>
      <c r="QUR6" s="157"/>
      <c r="QUS6" s="157"/>
      <c r="QUT6" s="157"/>
      <c r="QUU6" s="157"/>
      <c r="QUV6" s="157"/>
      <c r="QUW6" s="157"/>
      <c r="QUX6" s="157"/>
      <c r="QUY6" s="157"/>
      <c r="QUZ6" s="157"/>
      <c r="QVA6" s="157"/>
      <c r="QVB6" s="157"/>
      <c r="QVC6" s="157"/>
      <c r="QVD6" s="157"/>
      <c r="QVE6" s="157"/>
      <c r="QVF6" s="157"/>
      <c r="QVG6" s="157"/>
      <c r="QVH6" s="157"/>
      <c r="QVI6" s="157"/>
      <c r="QVJ6" s="157"/>
      <c r="QVK6" s="157"/>
      <c r="QVL6" s="157"/>
      <c r="QVM6" s="157"/>
      <c r="QVN6" s="157"/>
      <c r="QVO6" s="157"/>
      <c r="QVP6" s="157"/>
      <c r="QVQ6" s="157"/>
      <c r="QVR6" s="157"/>
      <c r="QVS6" s="157"/>
      <c r="QVT6" s="157"/>
      <c r="QVU6" s="157"/>
      <c r="QVV6" s="157"/>
      <c r="QVW6" s="157"/>
      <c r="QVX6" s="157"/>
      <c r="QVY6" s="157"/>
      <c r="QVZ6" s="157"/>
      <c r="QWA6" s="157"/>
      <c r="QWB6" s="157"/>
      <c r="QWC6" s="157"/>
      <c r="QWD6" s="157"/>
      <c r="QWE6" s="157"/>
      <c r="QWF6" s="157"/>
      <c r="QWG6" s="157"/>
      <c r="QWH6" s="157"/>
      <c r="QWI6" s="157"/>
      <c r="QWJ6" s="157"/>
      <c r="QWK6" s="157"/>
      <c r="QWL6" s="157"/>
      <c r="QWM6" s="157"/>
      <c r="QWN6" s="157"/>
      <c r="QWO6" s="157"/>
      <c r="QWP6" s="157"/>
      <c r="QWQ6" s="157"/>
      <c r="QWR6" s="157"/>
      <c r="QWS6" s="157"/>
      <c r="QWT6" s="157"/>
      <c r="QWU6" s="157"/>
      <c r="QWV6" s="157"/>
      <c r="QWW6" s="157"/>
      <c r="QWX6" s="157"/>
      <c r="QWY6" s="157"/>
      <c r="QWZ6" s="157"/>
      <c r="QXA6" s="157"/>
      <c r="QXB6" s="157"/>
      <c r="QXC6" s="157"/>
      <c r="QXD6" s="157"/>
      <c r="QXE6" s="157"/>
      <c r="QXF6" s="157"/>
      <c r="QXG6" s="157"/>
      <c r="QXH6" s="157"/>
      <c r="QXI6" s="157"/>
      <c r="QXJ6" s="157"/>
      <c r="QXK6" s="157"/>
      <c r="QXL6" s="157"/>
      <c r="QXM6" s="157"/>
      <c r="QXN6" s="157"/>
      <c r="QXO6" s="157"/>
      <c r="QXP6" s="157"/>
      <c r="QXQ6" s="157"/>
      <c r="QXR6" s="157"/>
      <c r="QXS6" s="157"/>
      <c r="QXT6" s="157"/>
      <c r="QXU6" s="157"/>
      <c r="QXV6" s="157"/>
      <c r="QXW6" s="157"/>
      <c r="QXX6" s="157"/>
      <c r="QXY6" s="157"/>
      <c r="QXZ6" s="157"/>
      <c r="QYA6" s="157"/>
      <c r="QYB6" s="157"/>
      <c r="QYC6" s="157"/>
      <c r="QYD6" s="157"/>
      <c r="QYE6" s="157"/>
      <c r="QYF6" s="157"/>
      <c r="QYG6" s="157"/>
      <c r="QYH6" s="157"/>
      <c r="QYI6" s="157"/>
      <c r="QYJ6" s="157"/>
      <c r="QYK6" s="157"/>
      <c r="QYL6" s="157"/>
      <c r="QYM6" s="157"/>
      <c r="QYN6" s="157"/>
      <c r="QYO6" s="157"/>
      <c r="QYP6" s="157"/>
      <c r="QYQ6" s="157"/>
      <c r="QYR6" s="157"/>
      <c r="QYS6" s="157"/>
      <c r="QYT6" s="157"/>
      <c r="QYU6" s="157"/>
      <c r="QYV6" s="157"/>
      <c r="QYW6" s="157"/>
      <c r="QYX6" s="157"/>
      <c r="QYY6" s="157"/>
      <c r="QYZ6" s="157"/>
      <c r="QZA6" s="157"/>
      <c r="QZB6" s="157"/>
      <c r="QZC6" s="157"/>
      <c r="QZD6" s="157"/>
      <c r="QZE6" s="157"/>
      <c r="QZF6" s="157"/>
      <c r="QZG6" s="157"/>
      <c r="QZH6" s="157"/>
      <c r="QZI6" s="157"/>
      <c r="QZJ6" s="157"/>
      <c r="QZK6" s="157"/>
      <c r="QZL6" s="157"/>
      <c r="QZM6" s="157"/>
      <c r="QZN6" s="157"/>
      <c r="QZO6" s="157"/>
      <c r="QZP6" s="157"/>
      <c r="QZQ6" s="157"/>
      <c r="QZR6" s="157"/>
      <c r="QZS6" s="157"/>
      <c r="QZT6" s="157"/>
      <c r="QZU6" s="157"/>
      <c r="QZV6" s="157"/>
      <c r="QZW6" s="157"/>
      <c r="QZX6" s="157"/>
      <c r="QZY6" s="157"/>
      <c r="QZZ6" s="157"/>
      <c r="RAA6" s="157"/>
      <c r="RAB6" s="157"/>
      <c r="RAC6" s="157"/>
      <c r="RAD6" s="157"/>
      <c r="RAE6" s="157"/>
      <c r="RAF6" s="157"/>
      <c r="RAG6" s="157"/>
      <c r="RAH6" s="157"/>
      <c r="RAI6" s="157"/>
      <c r="RAJ6" s="157"/>
      <c r="RAK6" s="157"/>
      <c r="RAL6" s="157"/>
      <c r="RAM6" s="157"/>
      <c r="RAN6" s="157"/>
      <c r="RAO6" s="157"/>
      <c r="RAP6" s="157"/>
      <c r="RAQ6" s="157"/>
      <c r="RAR6" s="157"/>
      <c r="RAS6" s="157"/>
      <c r="RAT6" s="157"/>
      <c r="RAU6" s="157"/>
      <c r="RAV6" s="157"/>
      <c r="RAW6" s="157"/>
      <c r="RAX6" s="157"/>
      <c r="RAY6" s="157"/>
      <c r="RAZ6" s="157"/>
      <c r="RBA6" s="157"/>
      <c r="RBB6" s="157"/>
      <c r="RBC6" s="157"/>
      <c r="RBD6" s="157"/>
      <c r="RBE6" s="157"/>
      <c r="RBF6" s="157"/>
      <c r="RBG6" s="157"/>
      <c r="RBH6" s="157"/>
      <c r="RBI6" s="157"/>
      <c r="RBJ6" s="157"/>
      <c r="RBK6" s="157"/>
      <c r="RBL6" s="157"/>
      <c r="RBM6" s="157"/>
      <c r="RBN6" s="157"/>
      <c r="RBO6" s="157"/>
      <c r="RBP6" s="157"/>
      <c r="RBQ6" s="157"/>
      <c r="RBR6" s="157"/>
      <c r="RBS6" s="157"/>
      <c r="RBT6" s="157"/>
      <c r="RBU6" s="157"/>
      <c r="RBV6" s="157"/>
      <c r="RBW6" s="157"/>
      <c r="RBX6" s="157"/>
      <c r="RBY6" s="157"/>
      <c r="RBZ6" s="157"/>
      <c r="RCA6" s="157"/>
      <c r="RCB6" s="157"/>
      <c r="RCC6" s="157"/>
      <c r="RCD6" s="157"/>
      <c r="RCE6" s="157"/>
      <c r="RCF6" s="157"/>
      <c r="RCG6" s="157"/>
      <c r="RCH6" s="157"/>
      <c r="RCI6" s="157"/>
      <c r="RCJ6" s="157"/>
      <c r="RCK6" s="157"/>
      <c r="RCL6" s="157"/>
      <c r="RCM6" s="157"/>
      <c r="RCN6" s="157"/>
      <c r="RCO6" s="157"/>
      <c r="RCP6" s="157"/>
      <c r="RCQ6" s="157"/>
      <c r="RCR6" s="157"/>
      <c r="RCS6" s="157"/>
      <c r="RCT6" s="157"/>
      <c r="RCU6" s="157"/>
      <c r="RCV6" s="157"/>
      <c r="RCW6" s="157"/>
      <c r="RCX6" s="157"/>
      <c r="RCY6" s="157"/>
      <c r="RCZ6" s="157"/>
      <c r="RDA6" s="157"/>
      <c r="RDB6" s="157"/>
      <c r="RDC6" s="157"/>
      <c r="RDD6" s="157"/>
      <c r="RDE6" s="157"/>
      <c r="RDF6" s="157"/>
      <c r="RDG6" s="157"/>
      <c r="RDH6" s="157"/>
      <c r="RDI6" s="157"/>
      <c r="RDJ6" s="157"/>
      <c r="RDK6" s="157"/>
      <c r="RDL6" s="157"/>
      <c r="RDM6" s="157"/>
      <c r="RDN6" s="157"/>
      <c r="RDO6" s="157"/>
      <c r="RDP6" s="157"/>
      <c r="RDQ6" s="157"/>
      <c r="RDR6" s="157"/>
      <c r="RDS6" s="157"/>
      <c r="RDT6" s="157"/>
      <c r="RDU6" s="157"/>
      <c r="RDV6" s="157"/>
      <c r="RDW6" s="157"/>
      <c r="RDX6" s="157"/>
      <c r="RDY6" s="157"/>
      <c r="RDZ6" s="157"/>
      <c r="REA6" s="157"/>
      <c r="REB6" s="157"/>
      <c r="REC6" s="157"/>
      <c r="RED6" s="157"/>
      <c r="REE6" s="157"/>
      <c r="REF6" s="157"/>
      <c r="REG6" s="157"/>
      <c r="REH6" s="157"/>
      <c r="REI6" s="157"/>
      <c r="REJ6" s="157"/>
      <c r="REK6" s="157"/>
      <c r="REL6" s="157"/>
      <c r="REM6" s="157"/>
      <c r="REN6" s="157"/>
      <c r="REO6" s="157"/>
      <c r="REP6" s="157"/>
      <c r="REQ6" s="157"/>
      <c r="RER6" s="157"/>
      <c r="RES6" s="157"/>
      <c r="RET6" s="157"/>
      <c r="REU6" s="157"/>
      <c r="REV6" s="157"/>
      <c r="REW6" s="157"/>
      <c r="REX6" s="157"/>
      <c r="REY6" s="157"/>
      <c r="REZ6" s="157"/>
      <c r="RFA6" s="157"/>
      <c r="RFB6" s="157"/>
      <c r="RFC6" s="157"/>
      <c r="RFD6" s="157"/>
      <c r="RFE6" s="157"/>
      <c r="RFF6" s="157"/>
      <c r="RFG6" s="157"/>
      <c r="RFH6" s="157"/>
      <c r="RFI6" s="157"/>
      <c r="RFJ6" s="157"/>
      <c r="RFK6" s="157"/>
      <c r="RFL6" s="157"/>
      <c r="RFM6" s="157"/>
      <c r="RFN6" s="157"/>
      <c r="RFO6" s="157"/>
      <c r="RFP6" s="157"/>
      <c r="RFQ6" s="157"/>
      <c r="RFR6" s="157"/>
      <c r="RFS6" s="157"/>
      <c r="RFT6" s="157"/>
      <c r="RFU6" s="157"/>
      <c r="RFV6" s="157"/>
      <c r="RFW6" s="157"/>
      <c r="RFX6" s="157"/>
      <c r="RFY6" s="157"/>
      <c r="RFZ6" s="157"/>
      <c r="RGA6" s="157"/>
      <c r="RGB6" s="157"/>
      <c r="RGC6" s="157"/>
      <c r="RGD6" s="157"/>
      <c r="RGE6" s="157"/>
      <c r="RGF6" s="157"/>
      <c r="RGG6" s="157"/>
      <c r="RGH6" s="157"/>
      <c r="RGI6" s="157"/>
      <c r="RGJ6" s="157"/>
      <c r="RGK6" s="157"/>
      <c r="RGL6" s="157"/>
      <c r="RGM6" s="157"/>
      <c r="RGN6" s="157"/>
      <c r="RGO6" s="157"/>
      <c r="RGP6" s="157"/>
      <c r="RGQ6" s="157"/>
      <c r="RGR6" s="157"/>
      <c r="RGS6" s="157"/>
      <c r="RGT6" s="157"/>
      <c r="RGU6" s="157"/>
      <c r="RGV6" s="157"/>
      <c r="RGW6" s="157"/>
      <c r="RGX6" s="157"/>
      <c r="RGY6" s="157"/>
      <c r="RGZ6" s="157"/>
      <c r="RHA6" s="157"/>
      <c r="RHB6" s="157"/>
      <c r="RHC6" s="157"/>
      <c r="RHD6" s="157"/>
      <c r="RHE6" s="157"/>
      <c r="RHF6" s="157"/>
      <c r="RHG6" s="157"/>
      <c r="RHH6" s="157"/>
      <c r="RHI6" s="157"/>
      <c r="RHJ6" s="157"/>
      <c r="RHK6" s="157"/>
      <c r="RHL6" s="157"/>
      <c r="RHM6" s="157"/>
      <c r="RHN6" s="157"/>
      <c r="RHO6" s="157"/>
      <c r="RHP6" s="157"/>
      <c r="RHQ6" s="157"/>
      <c r="RHR6" s="157"/>
      <c r="RHS6" s="157"/>
      <c r="RHT6" s="157"/>
      <c r="RHU6" s="157"/>
      <c r="RHV6" s="157"/>
      <c r="RHW6" s="157"/>
      <c r="RHX6" s="157"/>
      <c r="RHY6" s="157"/>
      <c r="RHZ6" s="157"/>
      <c r="RIA6" s="157"/>
      <c r="RIB6" s="157"/>
      <c r="RIC6" s="157"/>
      <c r="RID6" s="157"/>
      <c r="RIE6" s="157"/>
      <c r="RIF6" s="157"/>
      <c r="RIG6" s="157"/>
      <c r="RIH6" s="157"/>
      <c r="RII6" s="157"/>
      <c r="RIJ6" s="157"/>
      <c r="RIK6" s="157"/>
      <c r="RIL6" s="157"/>
      <c r="RIM6" s="157"/>
      <c r="RIN6" s="157"/>
      <c r="RIO6" s="157"/>
      <c r="RIP6" s="157"/>
      <c r="RIQ6" s="157"/>
      <c r="RIR6" s="157"/>
      <c r="RIS6" s="157"/>
      <c r="RIT6" s="157"/>
      <c r="RIU6" s="157"/>
      <c r="RIV6" s="157"/>
      <c r="RIW6" s="157"/>
      <c r="RIX6" s="157"/>
      <c r="RIY6" s="157"/>
      <c r="RIZ6" s="157"/>
      <c r="RJA6" s="157"/>
      <c r="RJB6" s="157"/>
      <c r="RJC6" s="157"/>
      <c r="RJD6" s="157"/>
      <c r="RJE6" s="157"/>
      <c r="RJF6" s="157"/>
      <c r="RJG6" s="157"/>
      <c r="RJH6" s="157"/>
      <c r="RJI6" s="157"/>
      <c r="RJJ6" s="157"/>
      <c r="RJK6" s="157"/>
      <c r="RJL6" s="157"/>
      <c r="RJM6" s="157"/>
      <c r="RJN6" s="157"/>
      <c r="RJO6" s="157"/>
      <c r="RJP6" s="157"/>
      <c r="RJQ6" s="157"/>
      <c r="RJR6" s="157"/>
      <c r="RJS6" s="157"/>
      <c r="RJT6" s="157"/>
      <c r="RJU6" s="157"/>
      <c r="RJV6" s="157"/>
      <c r="RJW6" s="157"/>
      <c r="RJX6" s="157"/>
      <c r="RJY6" s="157"/>
      <c r="RJZ6" s="157"/>
      <c r="RKA6" s="157"/>
      <c r="RKB6" s="157"/>
      <c r="RKC6" s="157"/>
      <c r="RKD6" s="157"/>
      <c r="RKE6" s="157"/>
      <c r="RKF6" s="157"/>
      <c r="RKG6" s="157"/>
      <c r="RKH6" s="157"/>
      <c r="RKI6" s="157"/>
      <c r="RKJ6" s="157"/>
      <c r="RKK6" s="157"/>
      <c r="RKL6" s="157"/>
      <c r="RKM6" s="157"/>
      <c r="RKN6" s="157"/>
      <c r="RKO6" s="157"/>
      <c r="RKP6" s="157"/>
      <c r="RKQ6" s="157"/>
      <c r="RKR6" s="157"/>
      <c r="RKS6" s="157"/>
      <c r="RKT6" s="157"/>
      <c r="RKU6" s="157"/>
      <c r="RKV6" s="157"/>
      <c r="RKW6" s="157"/>
      <c r="RKX6" s="157"/>
      <c r="RKY6" s="157"/>
      <c r="RKZ6" s="157"/>
      <c r="RLA6" s="157"/>
      <c r="RLB6" s="157"/>
      <c r="RLC6" s="157"/>
      <c r="RLD6" s="157"/>
      <c r="RLE6" s="157"/>
      <c r="RLF6" s="157"/>
      <c r="RLG6" s="157"/>
      <c r="RLH6" s="157"/>
      <c r="RLI6" s="157"/>
      <c r="RLJ6" s="157"/>
      <c r="RLK6" s="157"/>
      <c r="RLL6" s="157"/>
      <c r="RLM6" s="157"/>
      <c r="RLN6" s="157"/>
      <c r="RLO6" s="157"/>
      <c r="RLP6" s="157"/>
      <c r="RLQ6" s="157"/>
      <c r="RLR6" s="157"/>
      <c r="RLS6" s="157"/>
      <c r="RLT6" s="157"/>
      <c r="RLU6" s="157"/>
      <c r="RLV6" s="157"/>
      <c r="RLW6" s="157"/>
      <c r="RLX6" s="157"/>
      <c r="RLY6" s="157"/>
      <c r="RLZ6" s="157"/>
      <c r="RMA6" s="157"/>
      <c r="RMB6" s="157"/>
      <c r="RMC6" s="157"/>
      <c r="RMD6" s="157"/>
      <c r="RME6" s="157"/>
      <c r="RMF6" s="157"/>
      <c r="RMG6" s="157"/>
      <c r="RMH6" s="157"/>
      <c r="RMI6" s="157"/>
      <c r="RMJ6" s="157"/>
      <c r="RMK6" s="157"/>
      <c r="RML6" s="157"/>
      <c r="RMM6" s="157"/>
      <c r="RMN6" s="157"/>
      <c r="RMO6" s="157"/>
      <c r="RMP6" s="157"/>
      <c r="RMQ6" s="157"/>
      <c r="RMR6" s="157"/>
      <c r="RMS6" s="157"/>
      <c r="RMT6" s="157"/>
      <c r="RMU6" s="157"/>
      <c r="RMV6" s="157"/>
      <c r="RMW6" s="157"/>
      <c r="RMX6" s="157"/>
      <c r="RMY6" s="157"/>
      <c r="RMZ6" s="157"/>
      <c r="RNA6" s="157"/>
      <c r="RNB6" s="157"/>
      <c r="RNC6" s="157"/>
      <c r="RND6" s="157"/>
      <c r="RNE6" s="157"/>
      <c r="RNF6" s="157"/>
      <c r="RNG6" s="157"/>
      <c r="RNH6" s="157"/>
      <c r="RNI6" s="157"/>
      <c r="RNJ6" s="157"/>
      <c r="RNK6" s="157"/>
      <c r="RNL6" s="157"/>
      <c r="RNM6" s="157"/>
      <c r="RNN6" s="157"/>
      <c r="RNO6" s="157"/>
      <c r="RNP6" s="157"/>
      <c r="RNQ6" s="157"/>
      <c r="RNR6" s="157"/>
      <c r="RNS6" s="157"/>
      <c r="RNT6" s="157"/>
      <c r="RNU6" s="157"/>
      <c r="RNV6" s="157"/>
      <c r="RNW6" s="157"/>
      <c r="RNX6" s="157"/>
      <c r="RNY6" s="157"/>
      <c r="RNZ6" s="157"/>
      <c r="ROA6" s="157"/>
      <c r="ROB6" s="157"/>
      <c r="ROC6" s="157"/>
      <c r="ROD6" s="157"/>
      <c r="ROE6" s="157"/>
      <c r="ROF6" s="157"/>
      <c r="ROG6" s="157"/>
      <c r="ROH6" s="157"/>
      <c r="ROI6" s="157"/>
      <c r="ROJ6" s="157"/>
      <c r="ROK6" s="157"/>
      <c r="ROL6" s="157"/>
      <c r="ROM6" s="157"/>
      <c r="RON6" s="157"/>
      <c r="ROO6" s="157"/>
      <c r="ROP6" s="157"/>
      <c r="ROQ6" s="157"/>
      <c r="ROR6" s="157"/>
      <c r="ROS6" s="157"/>
      <c r="ROT6" s="157"/>
      <c r="ROU6" s="157"/>
      <c r="ROV6" s="157"/>
      <c r="ROW6" s="157"/>
      <c r="ROX6" s="157"/>
      <c r="ROY6" s="157"/>
      <c r="ROZ6" s="157"/>
      <c r="RPA6" s="157"/>
      <c r="RPB6" s="157"/>
      <c r="RPC6" s="157"/>
      <c r="RPD6" s="157"/>
      <c r="RPE6" s="157"/>
      <c r="RPF6" s="157"/>
      <c r="RPG6" s="157"/>
      <c r="RPH6" s="157"/>
      <c r="RPI6" s="157"/>
      <c r="RPJ6" s="157"/>
      <c r="RPK6" s="157"/>
      <c r="RPL6" s="157"/>
      <c r="RPM6" s="157"/>
      <c r="RPN6" s="157"/>
      <c r="RPO6" s="157"/>
      <c r="RPP6" s="157"/>
      <c r="RPQ6" s="157"/>
      <c r="RPR6" s="157"/>
      <c r="RPS6" s="157"/>
      <c r="RPT6" s="157"/>
      <c r="RPU6" s="157"/>
      <c r="RPV6" s="157"/>
      <c r="RPW6" s="157"/>
      <c r="RPX6" s="157"/>
      <c r="RPY6" s="157"/>
      <c r="RPZ6" s="157"/>
      <c r="RQA6" s="157"/>
      <c r="RQB6" s="157"/>
      <c r="RQC6" s="157"/>
      <c r="RQD6" s="157"/>
      <c r="RQE6" s="157"/>
      <c r="RQF6" s="157"/>
      <c r="RQG6" s="157"/>
      <c r="RQH6" s="157"/>
      <c r="RQI6" s="157"/>
      <c r="RQJ6" s="157"/>
      <c r="RQK6" s="157"/>
      <c r="RQL6" s="157"/>
      <c r="RQM6" s="157"/>
      <c r="RQN6" s="157"/>
      <c r="RQO6" s="157"/>
      <c r="RQP6" s="157"/>
      <c r="RQQ6" s="157"/>
      <c r="RQR6" s="157"/>
      <c r="RQS6" s="157"/>
      <c r="RQT6" s="157"/>
      <c r="RQU6" s="157"/>
      <c r="RQV6" s="157"/>
      <c r="RQW6" s="157"/>
      <c r="RQX6" s="157"/>
      <c r="RQY6" s="157"/>
      <c r="RQZ6" s="157"/>
      <c r="RRA6" s="157"/>
      <c r="RRB6" s="157"/>
      <c r="RRC6" s="157"/>
      <c r="RRD6" s="157"/>
      <c r="RRE6" s="157"/>
      <c r="RRF6" s="157"/>
      <c r="RRG6" s="157"/>
      <c r="RRH6" s="157"/>
      <c r="RRI6" s="157"/>
      <c r="RRJ6" s="157"/>
      <c r="RRK6" s="157"/>
      <c r="RRL6" s="157"/>
      <c r="RRM6" s="157"/>
      <c r="RRN6" s="157"/>
      <c r="RRO6" s="157"/>
      <c r="RRP6" s="157"/>
      <c r="RRQ6" s="157"/>
      <c r="RRR6" s="157"/>
      <c r="RRS6" s="157"/>
      <c r="RRT6" s="157"/>
      <c r="RRU6" s="157"/>
      <c r="RRV6" s="157"/>
      <c r="RRW6" s="157"/>
      <c r="RRX6" s="157"/>
      <c r="RRY6" s="157"/>
      <c r="RRZ6" s="157"/>
      <c r="RSA6" s="157"/>
      <c r="RSB6" s="157"/>
      <c r="RSC6" s="157"/>
      <c r="RSD6" s="157"/>
      <c r="RSE6" s="157"/>
      <c r="RSF6" s="157"/>
      <c r="RSG6" s="157"/>
      <c r="RSH6" s="157"/>
      <c r="RSI6" s="157"/>
      <c r="RSJ6" s="157"/>
      <c r="RSK6" s="157"/>
      <c r="RSL6" s="157"/>
      <c r="RSM6" s="157"/>
      <c r="RSN6" s="157"/>
      <c r="RSO6" s="157"/>
      <c r="RSP6" s="157"/>
      <c r="RSQ6" s="157"/>
      <c r="RSR6" s="157"/>
      <c r="RSS6" s="157"/>
      <c r="RST6" s="157"/>
      <c r="RSU6" s="157"/>
      <c r="RSV6" s="157"/>
      <c r="RSW6" s="157"/>
      <c r="RSX6" s="157"/>
      <c r="RSY6" s="157"/>
      <c r="RSZ6" s="157"/>
      <c r="RTA6" s="157"/>
      <c r="RTB6" s="157"/>
      <c r="RTC6" s="157"/>
      <c r="RTD6" s="157"/>
      <c r="RTE6" s="157"/>
      <c r="RTF6" s="157"/>
      <c r="RTG6" s="157"/>
      <c r="RTH6" s="157"/>
      <c r="RTI6" s="157"/>
      <c r="RTJ6" s="157"/>
      <c r="RTK6" s="157"/>
      <c r="RTL6" s="157"/>
      <c r="RTM6" s="157"/>
      <c r="RTN6" s="157"/>
      <c r="RTO6" s="157"/>
      <c r="RTP6" s="157"/>
      <c r="RTQ6" s="157"/>
      <c r="RTR6" s="157"/>
      <c r="RTS6" s="157"/>
      <c r="RTT6" s="157"/>
      <c r="RTU6" s="157"/>
      <c r="RTV6" s="157"/>
      <c r="RTW6" s="157"/>
      <c r="RTX6" s="157"/>
      <c r="RTY6" s="157"/>
      <c r="RTZ6" s="157"/>
      <c r="RUA6" s="157"/>
      <c r="RUB6" s="157"/>
      <c r="RUC6" s="157"/>
      <c r="RUD6" s="157"/>
      <c r="RUE6" s="157"/>
      <c r="RUF6" s="157"/>
      <c r="RUG6" s="157"/>
      <c r="RUH6" s="157"/>
      <c r="RUI6" s="157"/>
      <c r="RUJ6" s="157"/>
      <c r="RUK6" s="157"/>
      <c r="RUL6" s="157"/>
      <c r="RUM6" s="157"/>
      <c r="RUN6" s="157"/>
      <c r="RUO6" s="157"/>
      <c r="RUP6" s="157"/>
      <c r="RUQ6" s="157"/>
      <c r="RUR6" s="157"/>
      <c r="RUS6" s="157"/>
      <c r="RUT6" s="157"/>
      <c r="RUU6" s="157"/>
      <c r="RUV6" s="157"/>
      <c r="RUW6" s="157"/>
      <c r="RUX6" s="157"/>
      <c r="RUY6" s="157"/>
      <c r="RUZ6" s="157"/>
      <c r="RVA6" s="157"/>
      <c r="RVB6" s="157"/>
      <c r="RVC6" s="157"/>
      <c r="RVD6" s="157"/>
      <c r="RVE6" s="157"/>
      <c r="RVF6" s="157"/>
      <c r="RVG6" s="157"/>
      <c r="RVH6" s="157"/>
      <c r="RVI6" s="157"/>
      <c r="RVJ6" s="157"/>
      <c r="RVK6" s="157"/>
      <c r="RVL6" s="157"/>
      <c r="RVM6" s="157"/>
      <c r="RVN6" s="157"/>
      <c r="RVO6" s="157"/>
      <c r="RVP6" s="157"/>
      <c r="RVQ6" s="157"/>
      <c r="RVR6" s="157"/>
      <c r="RVS6" s="157"/>
      <c r="RVT6" s="157"/>
      <c r="RVU6" s="157"/>
      <c r="RVV6" s="157"/>
      <c r="RVW6" s="157"/>
      <c r="RVX6" s="157"/>
      <c r="RVY6" s="157"/>
      <c r="RVZ6" s="157"/>
      <c r="RWA6" s="157"/>
      <c r="RWB6" s="157"/>
      <c r="RWC6" s="157"/>
      <c r="RWD6" s="157"/>
      <c r="RWE6" s="157"/>
      <c r="RWF6" s="157"/>
      <c r="RWG6" s="157"/>
      <c r="RWH6" s="157"/>
      <c r="RWI6" s="157"/>
      <c r="RWJ6" s="157"/>
      <c r="RWK6" s="157"/>
      <c r="RWL6" s="157"/>
      <c r="RWM6" s="157"/>
      <c r="RWN6" s="157"/>
      <c r="RWO6" s="157"/>
      <c r="RWP6" s="157"/>
      <c r="RWQ6" s="157"/>
      <c r="RWR6" s="157"/>
      <c r="RWS6" s="157"/>
      <c r="RWT6" s="157"/>
      <c r="RWU6" s="157"/>
      <c r="RWV6" s="157"/>
      <c r="RWW6" s="157"/>
      <c r="RWX6" s="157"/>
      <c r="RWY6" s="157"/>
      <c r="RWZ6" s="157"/>
      <c r="RXA6" s="157"/>
      <c r="RXB6" s="157"/>
      <c r="RXC6" s="157"/>
      <c r="RXD6" s="157"/>
      <c r="RXE6" s="157"/>
      <c r="RXF6" s="157"/>
      <c r="RXG6" s="157"/>
      <c r="RXH6" s="157"/>
      <c r="RXI6" s="157"/>
      <c r="RXJ6" s="157"/>
      <c r="RXK6" s="157"/>
      <c r="RXL6" s="157"/>
      <c r="RXM6" s="157"/>
      <c r="RXN6" s="157"/>
      <c r="RXO6" s="157"/>
      <c r="RXP6" s="157"/>
      <c r="RXQ6" s="157"/>
      <c r="RXR6" s="157"/>
      <c r="RXS6" s="157"/>
      <c r="RXT6" s="157"/>
      <c r="RXU6" s="157"/>
      <c r="RXV6" s="157"/>
      <c r="RXW6" s="157"/>
      <c r="RXX6" s="157"/>
      <c r="RXY6" s="157"/>
      <c r="RXZ6" s="157"/>
      <c r="RYA6" s="157"/>
      <c r="RYB6" s="157"/>
      <c r="RYC6" s="157"/>
      <c r="RYD6" s="157"/>
      <c r="RYE6" s="157"/>
      <c r="RYF6" s="157"/>
      <c r="RYG6" s="157"/>
      <c r="RYH6" s="157"/>
      <c r="RYI6" s="157"/>
      <c r="RYJ6" s="157"/>
      <c r="RYK6" s="157"/>
      <c r="RYL6" s="157"/>
      <c r="RYM6" s="157"/>
      <c r="RYN6" s="157"/>
      <c r="RYO6" s="157"/>
      <c r="RYP6" s="157"/>
      <c r="RYQ6" s="157"/>
      <c r="RYR6" s="157"/>
      <c r="RYS6" s="157"/>
      <c r="RYT6" s="157"/>
      <c r="RYU6" s="157"/>
      <c r="RYV6" s="157"/>
      <c r="RYW6" s="157"/>
      <c r="RYX6" s="157"/>
      <c r="RYY6" s="157"/>
      <c r="RYZ6" s="157"/>
      <c r="RZA6" s="157"/>
      <c r="RZB6" s="157"/>
      <c r="RZC6" s="157"/>
      <c r="RZD6" s="157"/>
      <c r="RZE6" s="157"/>
      <c r="RZF6" s="157"/>
      <c r="RZG6" s="157"/>
      <c r="RZH6" s="157"/>
      <c r="RZI6" s="157"/>
      <c r="RZJ6" s="157"/>
      <c r="RZK6" s="157"/>
      <c r="RZL6" s="157"/>
      <c r="RZM6" s="157"/>
      <c r="RZN6" s="157"/>
      <c r="RZO6" s="157"/>
      <c r="RZP6" s="157"/>
      <c r="RZQ6" s="157"/>
      <c r="RZR6" s="157"/>
      <c r="RZS6" s="157"/>
      <c r="RZT6" s="157"/>
      <c r="RZU6" s="157"/>
      <c r="RZV6" s="157"/>
      <c r="RZW6" s="157"/>
      <c r="RZX6" s="157"/>
      <c r="RZY6" s="157"/>
      <c r="RZZ6" s="157"/>
      <c r="SAA6" s="157"/>
      <c r="SAB6" s="157"/>
      <c r="SAC6" s="157"/>
      <c r="SAD6" s="157"/>
      <c r="SAE6" s="157"/>
      <c r="SAF6" s="157"/>
      <c r="SAG6" s="157"/>
      <c r="SAH6" s="157"/>
      <c r="SAI6" s="157"/>
      <c r="SAJ6" s="157"/>
      <c r="SAK6" s="157"/>
      <c r="SAL6" s="157"/>
      <c r="SAM6" s="157"/>
      <c r="SAN6" s="157"/>
      <c r="SAO6" s="157"/>
      <c r="SAP6" s="157"/>
      <c r="SAQ6" s="157"/>
      <c r="SAR6" s="157"/>
      <c r="SAS6" s="157"/>
      <c r="SAT6" s="157"/>
      <c r="SAU6" s="157"/>
      <c r="SAV6" s="157"/>
      <c r="SAW6" s="157"/>
      <c r="SAX6" s="157"/>
      <c r="SAY6" s="157"/>
      <c r="SAZ6" s="157"/>
      <c r="SBA6" s="157"/>
      <c r="SBB6" s="157"/>
      <c r="SBC6" s="157"/>
      <c r="SBD6" s="157"/>
      <c r="SBE6" s="157"/>
      <c r="SBF6" s="157"/>
      <c r="SBG6" s="157"/>
      <c r="SBH6" s="157"/>
      <c r="SBI6" s="157"/>
      <c r="SBJ6" s="157"/>
      <c r="SBK6" s="157"/>
      <c r="SBL6" s="157"/>
      <c r="SBM6" s="157"/>
      <c r="SBN6" s="157"/>
      <c r="SBO6" s="157"/>
      <c r="SBP6" s="157"/>
      <c r="SBQ6" s="157"/>
      <c r="SBR6" s="157"/>
      <c r="SBS6" s="157"/>
      <c r="SBT6" s="157"/>
      <c r="SBU6" s="157"/>
      <c r="SBV6" s="157"/>
      <c r="SBW6" s="157"/>
      <c r="SBX6" s="157"/>
      <c r="SBY6" s="157"/>
      <c r="SBZ6" s="157"/>
      <c r="SCA6" s="157"/>
      <c r="SCB6" s="157"/>
      <c r="SCC6" s="157"/>
      <c r="SCD6" s="157"/>
      <c r="SCE6" s="157"/>
      <c r="SCF6" s="157"/>
      <c r="SCG6" s="157"/>
      <c r="SCH6" s="157"/>
      <c r="SCI6" s="157"/>
      <c r="SCJ6" s="157"/>
      <c r="SCK6" s="157"/>
      <c r="SCL6" s="157"/>
      <c r="SCM6" s="157"/>
      <c r="SCN6" s="157"/>
      <c r="SCO6" s="157"/>
      <c r="SCP6" s="157"/>
      <c r="SCQ6" s="157"/>
      <c r="SCR6" s="157"/>
      <c r="SCS6" s="157"/>
      <c r="SCT6" s="157"/>
      <c r="SCU6" s="157"/>
      <c r="SCV6" s="157"/>
      <c r="SCW6" s="157"/>
      <c r="SCX6" s="157"/>
      <c r="SCY6" s="157"/>
      <c r="SCZ6" s="157"/>
      <c r="SDA6" s="157"/>
      <c r="SDB6" s="157"/>
      <c r="SDC6" s="157"/>
      <c r="SDD6" s="157"/>
      <c r="SDE6" s="157"/>
      <c r="SDF6" s="157"/>
      <c r="SDG6" s="157"/>
      <c r="SDH6" s="157"/>
      <c r="SDI6" s="157"/>
      <c r="SDJ6" s="157"/>
      <c r="SDK6" s="157"/>
      <c r="SDL6" s="157"/>
      <c r="SDM6" s="157"/>
      <c r="SDN6" s="157"/>
      <c r="SDO6" s="157"/>
      <c r="SDP6" s="157"/>
      <c r="SDQ6" s="157"/>
      <c r="SDR6" s="157"/>
      <c r="SDS6" s="157"/>
      <c r="SDT6" s="157"/>
      <c r="SDU6" s="157"/>
      <c r="SDV6" s="157"/>
      <c r="SDW6" s="157"/>
      <c r="SDX6" s="157"/>
      <c r="SDY6" s="157"/>
      <c r="SDZ6" s="157"/>
      <c r="SEA6" s="157"/>
      <c r="SEB6" s="157"/>
      <c r="SEC6" s="157"/>
      <c r="SED6" s="157"/>
      <c r="SEE6" s="157"/>
      <c r="SEF6" s="157"/>
      <c r="SEG6" s="157"/>
      <c r="SEH6" s="157"/>
      <c r="SEI6" s="157"/>
      <c r="SEJ6" s="157"/>
      <c r="SEK6" s="157"/>
      <c r="SEL6" s="157"/>
      <c r="SEM6" s="157"/>
      <c r="SEN6" s="157"/>
      <c r="SEO6" s="157"/>
      <c r="SEP6" s="157"/>
      <c r="SEQ6" s="157"/>
      <c r="SER6" s="157"/>
      <c r="SES6" s="157"/>
      <c r="SET6" s="157"/>
      <c r="SEU6" s="157"/>
      <c r="SEV6" s="157"/>
      <c r="SEW6" s="157"/>
      <c r="SEX6" s="157"/>
      <c r="SEY6" s="157"/>
      <c r="SEZ6" s="157"/>
      <c r="SFA6" s="157"/>
      <c r="SFB6" s="157"/>
      <c r="SFC6" s="157"/>
      <c r="SFD6" s="157"/>
      <c r="SFE6" s="157"/>
      <c r="SFF6" s="157"/>
      <c r="SFG6" s="157"/>
      <c r="SFH6" s="157"/>
      <c r="SFI6" s="157"/>
      <c r="SFJ6" s="157"/>
      <c r="SFK6" s="157"/>
      <c r="SFL6" s="157"/>
      <c r="SFM6" s="157"/>
      <c r="SFN6" s="157"/>
      <c r="SFO6" s="157"/>
      <c r="SFP6" s="157"/>
      <c r="SFQ6" s="157"/>
      <c r="SFR6" s="157"/>
      <c r="SFS6" s="157"/>
      <c r="SFT6" s="157"/>
      <c r="SFU6" s="157"/>
      <c r="SFV6" s="157"/>
      <c r="SFW6" s="157"/>
      <c r="SFX6" s="157"/>
      <c r="SFY6" s="157"/>
      <c r="SFZ6" s="157"/>
      <c r="SGA6" s="157"/>
      <c r="SGB6" s="157"/>
      <c r="SGC6" s="157"/>
      <c r="SGD6" s="157"/>
      <c r="SGE6" s="157"/>
      <c r="SGF6" s="157"/>
      <c r="SGG6" s="157"/>
      <c r="SGH6" s="157"/>
      <c r="SGI6" s="157"/>
      <c r="SGJ6" s="157"/>
      <c r="SGK6" s="157"/>
      <c r="SGL6" s="157"/>
      <c r="SGM6" s="157"/>
      <c r="SGN6" s="157"/>
      <c r="SGO6" s="157"/>
      <c r="SGP6" s="157"/>
      <c r="SGQ6" s="157"/>
      <c r="SGR6" s="157"/>
      <c r="SGS6" s="157"/>
      <c r="SGT6" s="157"/>
      <c r="SGU6" s="157"/>
      <c r="SGV6" s="157"/>
      <c r="SGW6" s="157"/>
      <c r="SGX6" s="157"/>
      <c r="SGY6" s="157"/>
      <c r="SGZ6" s="157"/>
      <c r="SHA6" s="157"/>
      <c r="SHB6" s="157"/>
      <c r="SHC6" s="157"/>
      <c r="SHD6" s="157"/>
      <c r="SHE6" s="157"/>
      <c r="SHF6" s="157"/>
      <c r="SHG6" s="157"/>
      <c r="SHH6" s="157"/>
      <c r="SHI6" s="157"/>
      <c r="SHJ6" s="157"/>
      <c r="SHK6" s="157"/>
      <c r="SHL6" s="157"/>
      <c r="SHM6" s="157"/>
      <c r="SHN6" s="157"/>
      <c r="SHO6" s="157"/>
      <c r="SHP6" s="157"/>
      <c r="SHQ6" s="157"/>
      <c r="SHR6" s="157"/>
      <c r="SHS6" s="157"/>
      <c r="SHT6" s="157"/>
      <c r="SHU6" s="157"/>
      <c r="SHV6" s="157"/>
      <c r="SHW6" s="157"/>
      <c r="SHX6" s="157"/>
      <c r="SHY6" s="157"/>
      <c r="SHZ6" s="157"/>
      <c r="SIA6" s="157"/>
      <c r="SIB6" s="157"/>
      <c r="SIC6" s="157"/>
      <c r="SID6" s="157"/>
      <c r="SIE6" s="157"/>
      <c r="SIF6" s="157"/>
      <c r="SIG6" s="157"/>
      <c r="SIH6" s="157"/>
      <c r="SII6" s="157"/>
      <c r="SIJ6" s="157"/>
      <c r="SIK6" s="157"/>
      <c r="SIL6" s="157"/>
      <c r="SIM6" s="157"/>
      <c r="SIN6" s="157"/>
      <c r="SIO6" s="157"/>
      <c r="SIP6" s="157"/>
      <c r="SIQ6" s="157"/>
      <c r="SIR6" s="157"/>
      <c r="SIS6" s="157"/>
      <c r="SIT6" s="157"/>
      <c r="SIU6" s="157"/>
      <c r="SIV6" s="157"/>
      <c r="SIW6" s="157"/>
      <c r="SIX6" s="157"/>
      <c r="SIY6" s="157"/>
      <c r="SIZ6" s="157"/>
      <c r="SJA6" s="157"/>
      <c r="SJB6" s="157"/>
      <c r="SJC6" s="157"/>
      <c r="SJD6" s="157"/>
      <c r="SJE6" s="157"/>
      <c r="SJF6" s="157"/>
      <c r="SJG6" s="157"/>
      <c r="SJH6" s="157"/>
      <c r="SJI6" s="157"/>
      <c r="SJJ6" s="157"/>
      <c r="SJK6" s="157"/>
      <c r="SJL6" s="157"/>
      <c r="SJM6" s="157"/>
      <c r="SJN6" s="157"/>
      <c r="SJO6" s="157"/>
      <c r="SJP6" s="157"/>
      <c r="SJQ6" s="157"/>
      <c r="SJR6" s="157"/>
      <c r="SJS6" s="157"/>
      <c r="SJT6" s="157"/>
      <c r="SJU6" s="157"/>
      <c r="SJV6" s="157"/>
      <c r="SJW6" s="157"/>
      <c r="SJX6" s="157"/>
      <c r="SJY6" s="157"/>
      <c r="SJZ6" s="157"/>
      <c r="SKA6" s="157"/>
      <c r="SKB6" s="157"/>
      <c r="SKC6" s="157"/>
      <c r="SKD6" s="157"/>
      <c r="SKE6" s="157"/>
      <c r="SKF6" s="157"/>
      <c r="SKG6" s="157"/>
      <c r="SKH6" s="157"/>
      <c r="SKI6" s="157"/>
      <c r="SKJ6" s="157"/>
      <c r="SKK6" s="157"/>
      <c r="SKL6" s="157"/>
      <c r="SKM6" s="157"/>
      <c r="SKN6" s="157"/>
      <c r="SKO6" s="157"/>
      <c r="SKP6" s="157"/>
      <c r="SKQ6" s="157"/>
      <c r="SKR6" s="157"/>
      <c r="SKS6" s="157"/>
      <c r="SKT6" s="157"/>
      <c r="SKU6" s="157"/>
      <c r="SKV6" s="157"/>
      <c r="SKW6" s="157"/>
      <c r="SKX6" s="157"/>
      <c r="SKY6" s="157"/>
      <c r="SKZ6" s="157"/>
      <c r="SLA6" s="157"/>
      <c r="SLB6" s="157"/>
      <c r="SLC6" s="157"/>
      <c r="SLD6" s="157"/>
      <c r="SLE6" s="157"/>
      <c r="SLF6" s="157"/>
      <c r="SLG6" s="157"/>
      <c r="SLH6" s="157"/>
      <c r="SLI6" s="157"/>
      <c r="SLJ6" s="157"/>
      <c r="SLK6" s="157"/>
      <c r="SLL6" s="157"/>
      <c r="SLM6" s="157"/>
      <c r="SLN6" s="157"/>
      <c r="SLO6" s="157"/>
      <c r="SLP6" s="157"/>
      <c r="SLQ6" s="157"/>
      <c r="SLR6" s="157"/>
      <c r="SLS6" s="157"/>
      <c r="SLT6" s="157"/>
      <c r="SLU6" s="157"/>
      <c r="SLV6" s="157"/>
      <c r="SLW6" s="157"/>
      <c r="SLX6" s="157"/>
      <c r="SLY6" s="157"/>
      <c r="SLZ6" s="157"/>
      <c r="SMA6" s="157"/>
      <c r="SMB6" s="157"/>
      <c r="SMC6" s="157"/>
      <c r="SMD6" s="157"/>
      <c r="SME6" s="157"/>
      <c r="SMF6" s="157"/>
      <c r="SMG6" s="157"/>
      <c r="SMH6" s="157"/>
      <c r="SMI6" s="157"/>
      <c r="SMJ6" s="157"/>
      <c r="SMK6" s="157"/>
      <c r="SML6" s="157"/>
      <c r="SMM6" s="157"/>
      <c r="SMN6" s="157"/>
      <c r="SMO6" s="157"/>
      <c r="SMP6" s="157"/>
      <c r="SMQ6" s="157"/>
      <c r="SMR6" s="157"/>
      <c r="SMS6" s="157"/>
      <c r="SMT6" s="157"/>
      <c r="SMU6" s="157"/>
      <c r="SMV6" s="157"/>
      <c r="SMW6" s="157"/>
      <c r="SMX6" s="157"/>
      <c r="SMY6" s="157"/>
      <c r="SMZ6" s="157"/>
      <c r="SNA6" s="157"/>
      <c r="SNB6" s="157"/>
      <c r="SNC6" s="157"/>
      <c r="SND6" s="157"/>
      <c r="SNE6" s="157"/>
      <c r="SNF6" s="157"/>
      <c r="SNG6" s="157"/>
      <c r="SNH6" s="157"/>
      <c r="SNI6" s="157"/>
      <c r="SNJ6" s="157"/>
      <c r="SNK6" s="157"/>
      <c r="SNL6" s="157"/>
      <c r="SNM6" s="157"/>
      <c r="SNN6" s="157"/>
      <c r="SNO6" s="157"/>
      <c r="SNP6" s="157"/>
      <c r="SNQ6" s="157"/>
      <c r="SNR6" s="157"/>
      <c r="SNS6" s="157"/>
      <c r="SNT6" s="157"/>
      <c r="SNU6" s="157"/>
      <c r="SNV6" s="157"/>
      <c r="SNW6" s="157"/>
      <c r="SNX6" s="157"/>
      <c r="SNY6" s="157"/>
      <c r="SNZ6" s="157"/>
      <c r="SOA6" s="157"/>
      <c r="SOB6" s="157"/>
      <c r="SOC6" s="157"/>
      <c r="SOD6" s="157"/>
      <c r="SOE6" s="157"/>
      <c r="SOF6" s="157"/>
      <c r="SOG6" s="157"/>
      <c r="SOH6" s="157"/>
      <c r="SOI6" s="157"/>
      <c r="SOJ6" s="157"/>
      <c r="SOK6" s="157"/>
      <c r="SOL6" s="157"/>
      <c r="SOM6" s="157"/>
      <c r="SON6" s="157"/>
      <c r="SOO6" s="157"/>
      <c r="SOP6" s="157"/>
      <c r="SOQ6" s="157"/>
      <c r="SOR6" s="157"/>
      <c r="SOS6" s="157"/>
      <c r="SOT6" s="157"/>
      <c r="SOU6" s="157"/>
      <c r="SOV6" s="157"/>
      <c r="SOW6" s="157"/>
      <c r="SOX6" s="157"/>
      <c r="SOY6" s="157"/>
      <c r="SOZ6" s="157"/>
      <c r="SPA6" s="157"/>
      <c r="SPB6" s="157"/>
      <c r="SPC6" s="157"/>
      <c r="SPD6" s="157"/>
      <c r="SPE6" s="157"/>
      <c r="SPF6" s="157"/>
      <c r="SPG6" s="157"/>
      <c r="SPH6" s="157"/>
      <c r="SPI6" s="157"/>
      <c r="SPJ6" s="157"/>
      <c r="SPK6" s="157"/>
      <c r="SPL6" s="157"/>
      <c r="SPM6" s="157"/>
      <c r="SPN6" s="157"/>
      <c r="SPO6" s="157"/>
      <c r="SPP6" s="157"/>
      <c r="SPQ6" s="157"/>
      <c r="SPR6" s="157"/>
      <c r="SPS6" s="157"/>
      <c r="SPT6" s="157"/>
      <c r="SPU6" s="157"/>
      <c r="SPV6" s="157"/>
      <c r="SPW6" s="157"/>
      <c r="SPX6" s="157"/>
      <c r="SPY6" s="157"/>
      <c r="SPZ6" s="157"/>
      <c r="SQA6" s="157"/>
      <c r="SQB6" s="157"/>
      <c r="SQC6" s="157"/>
      <c r="SQD6" s="157"/>
      <c r="SQE6" s="157"/>
      <c r="SQF6" s="157"/>
      <c r="SQG6" s="157"/>
      <c r="SQH6" s="157"/>
      <c r="SQI6" s="157"/>
      <c r="SQJ6" s="157"/>
      <c r="SQK6" s="157"/>
      <c r="SQL6" s="157"/>
      <c r="SQM6" s="157"/>
      <c r="SQN6" s="157"/>
      <c r="SQO6" s="157"/>
      <c r="SQP6" s="157"/>
      <c r="SQQ6" s="157"/>
      <c r="SQR6" s="157"/>
      <c r="SQS6" s="157"/>
      <c r="SQT6" s="157"/>
      <c r="SQU6" s="157"/>
      <c r="SQV6" s="157"/>
      <c r="SQW6" s="157"/>
      <c r="SQX6" s="157"/>
      <c r="SQY6" s="157"/>
      <c r="SQZ6" s="157"/>
      <c r="SRA6" s="157"/>
      <c r="SRB6" s="157"/>
      <c r="SRC6" s="157"/>
      <c r="SRD6" s="157"/>
      <c r="SRE6" s="157"/>
      <c r="SRF6" s="157"/>
      <c r="SRG6" s="157"/>
      <c r="SRH6" s="157"/>
      <c r="SRI6" s="157"/>
      <c r="SRJ6" s="157"/>
      <c r="SRK6" s="157"/>
      <c r="SRL6" s="157"/>
      <c r="SRM6" s="157"/>
      <c r="SRN6" s="157"/>
      <c r="SRO6" s="157"/>
      <c r="SRP6" s="157"/>
      <c r="SRQ6" s="157"/>
      <c r="SRR6" s="157"/>
      <c r="SRS6" s="157"/>
      <c r="SRT6" s="157"/>
      <c r="SRU6" s="157"/>
      <c r="SRV6" s="157"/>
      <c r="SRW6" s="157"/>
      <c r="SRX6" s="157"/>
      <c r="SRY6" s="157"/>
      <c r="SRZ6" s="157"/>
      <c r="SSA6" s="157"/>
      <c r="SSB6" s="157"/>
      <c r="SSC6" s="157"/>
      <c r="SSD6" s="157"/>
      <c r="SSE6" s="157"/>
      <c r="SSF6" s="157"/>
      <c r="SSG6" s="157"/>
      <c r="SSH6" s="157"/>
      <c r="SSI6" s="157"/>
      <c r="SSJ6" s="157"/>
      <c r="SSK6" s="157"/>
      <c r="SSL6" s="157"/>
      <c r="SSM6" s="157"/>
      <c r="SSN6" s="157"/>
      <c r="SSO6" s="157"/>
      <c r="SSP6" s="157"/>
      <c r="SSQ6" s="157"/>
      <c r="SSR6" s="157"/>
      <c r="SSS6" s="157"/>
      <c r="SST6" s="157"/>
      <c r="SSU6" s="157"/>
      <c r="SSV6" s="157"/>
      <c r="SSW6" s="157"/>
      <c r="SSX6" s="157"/>
      <c r="SSY6" s="157"/>
      <c r="SSZ6" s="157"/>
      <c r="STA6" s="157"/>
      <c r="STB6" s="157"/>
      <c r="STC6" s="157"/>
      <c r="STD6" s="157"/>
      <c r="STE6" s="157"/>
      <c r="STF6" s="157"/>
      <c r="STG6" s="157"/>
      <c r="STH6" s="157"/>
      <c r="STI6" s="157"/>
      <c r="STJ6" s="157"/>
      <c r="STK6" s="157"/>
      <c r="STL6" s="157"/>
      <c r="STM6" s="157"/>
      <c r="STN6" s="157"/>
      <c r="STO6" s="157"/>
      <c r="STP6" s="157"/>
      <c r="STQ6" s="157"/>
      <c r="STR6" s="157"/>
      <c r="STS6" s="157"/>
      <c r="STT6" s="157"/>
      <c r="STU6" s="157"/>
      <c r="STV6" s="157"/>
      <c r="STW6" s="157"/>
      <c r="STX6" s="157"/>
      <c r="STY6" s="157"/>
      <c r="STZ6" s="157"/>
      <c r="SUA6" s="157"/>
      <c r="SUB6" s="157"/>
      <c r="SUC6" s="157"/>
      <c r="SUD6" s="157"/>
      <c r="SUE6" s="157"/>
      <c r="SUF6" s="157"/>
      <c r="SUG6" s="157"/>
      <c r="SUH6" s="157"/>
      <c r="SUI6" s="157"/>
      <c r="SUJ6" s="157"/>
      <c r="SUK6" s="157"/>
      <c r="SUL6" s="157"/>
      <c r="SUM6" s="157"/>
      <c r="SUN6" s="157"/>
      <c r="SUO6" s="157"/>
      <c r="SUP6" s="157"/>
      <c r="SUQ6" s="157"/>
      <c r="SUR6" s="157"/>
      <c r="SUS6" s="157"/>
      <c r="SUT6" s="157"/>
      <c r="SUU6" s="157"/>
      <c r="SUV6" s="157"/>
      <c r="SUW6" s="157"/>
      <c r="SUX6" s="157"/>
      <c r="SUY6" s="157"/>
      <c r="SUZ6" s="157"/>
      <c r="SVA6" s="157"/>
      <c r="SVB6" s="157"/>
      <c r="SVC6" s="157"/>
      <c r="SVD6" s="157"/>
      <c r="SVE6" s="157"/>
      <c r="SVF6" s="157"/>
      <c r="SVG6" s="157"/>
      <c r="SVH6" s="157"/>
      <c r="SVI6" s="157"/>
      <c r="SVJ6" s="157"/>
      <c r="SVK6" s="157"/>
      <c r="SVL6" s="157"/>
      <c r="SVM6" s="157"/>
      <c r="SVN6" s="157"/>
      <c r="SVO6" s="157"/>
      <c r="SVP6" s="157"/>
      <c r="SVQ6" s="157"/>
      <c r="SVR6" s="157"/>
      <c r="SVS6" s="157"/>
      <c r="SVT6" s="157"/>
      <c r="SVU6" s="157"/>
      <c r="SVV6" s="157"/>
      <c r="SVW6" s="157"/>
      <c r="SVX6" s="157"/>
      <c r="SVY6" s="157"/>
      <c r="SVZ6" s="157"/>
      <c r="SWA6" s="157"/>
      <c r="SWB6" s="157"/>
      <c r="SWC6" s="157"/>
      <c r="SWD6" s="157"/>
      <c r="SWE6" s="157"/>
      <c r="SWF6" s="157"/>
      <c r="SWG6" s="157"/>
      <c r="SWH6" s="157"/>
      <c r="SWI6" s="157"/>
      <c r="SWJ6" s="157"/>
      <c r="SWK6" s="157"/>
      <c r="SWL6" s="157"/>
      <c r="SWM6" s="157"/>
      <c r="SWN6" s="157"/>
      <c r="SWO6" s="157"/>
      <c r="SWP6" s="157"/>
      <c r="SWQ6" s="157"/>
      <c r="SWR6" s="157"/>
      <c r="SWS6" s="157"/>
      <c r="SWT6" s="157"/>
      <c r="SWU6" s="157"/>
      <c r="SWV6" s="157"/>
      <c r="SWW6" s="157"/>
      <c r="SWX6" s="157"/>
      <c r="SWY6" s="157"/>
      <c r="SWZ6" s="157"/>
      <c r="SXA6" s="157"/>
      <c r="SXB6" s="157"/>
      <c r="SXC6" s="157"/>
      <c r="SXD6" s="157"/>
      <c r="SXE6" s="157"/>
      <c r="SXF6" s="157"/>
      <c r="SXG6" s="157"/>
      <c r="SXH6" s="157"/>
      <c r="SXI6" s="157"/>
      <c r="SXJ6" s="157"/>
      <c r="SXK6" s="157"/>
      <c r="SXL6" s="157"/>
      <c r="SXM6" s="157"/>
      <c r="SXN6" s="157"/>
      <c r="SXO6" s="157"/>
      <c r="SXP6" s="157"/>
      <c r="SXQ6" s="157"/>
      <c r="SXR6" s="157"/>
      <c r="SXS6" s="157"/>
      <c r="SXT6" s="157"/>
      <c r="SXU6" s="157"/>
      <c r="SXV6" s="157"/>
      <c r="SXW6" s="157"/>
      <c r="SXX6" s="157"/>
      <c r="SXY6" s="157"/>
      <c r="SXZ6" s="157"/>
      <c r="SYA6" s="157"/>
      <c r="SYB6" s="157"/>
      <c r="SYC6" s="157"/>
      <c r="SYD6" s="157"/>
      <c r="SYE6" s="157"/>
      <c r="SYF6" s="157"/>
      <c r="SYG6" s="157"/>
      <c r="SYH6" s="157"/>
      <c r="SYI6" s="157"/>
      <c r="SYJ6" s="157"/>
      <c r="SYK6" s="157"/>
      <c r="SYL6" s="157"/>
      <c r="SYM6" s="157"/>
      <c r="SYN6" s="157"/>
      <c r="SYO6" s="157"/>
      <c r="SYP6" s="157"/>
      <c r="SYQ6" s="157"/>
      <c r="SYR6" s="157"/>
      <c r="SYS6" s="157"/>
      <c r="SYT6" s="157"/>
      <c r="SYU6" s="157"/>
      <c r="SYV6" s="157"/>
      <c r="SYW6" s="157"/>
      <c r="SYX6" s="157"/>
      <c r="SYY6" s="157"/>
      <c r="SYZ6" s="157"/>
      <c r="SZA6" s="157"/>
      <c r="SZB6" s="157"/>
      <c r="SZC6" s="157"/>
      <c r="SZD6" s="157"/>
      <c r="SZE6" s="157"/>
      <c r="SZF6" s="157"/>
      <c r="SZG6" s="157"/>
      <c r="SZH6" s="157"/>
      <c r="SZI6" s="157"/>
      <c r="SZJ6" s="157"/>
      <c r="SZK6" s="157"/>
      <c r="SZL6" s="157"/>
      <c r="SZM6" s="157"/>
      <c r="SZN6" s="157"/>
      <c r="SZO6" s="157"/>
      <c r="SZP6" s="157"/>
      <c r="SZQ6" s="157"/>
      <c r="SZR6" s="157"/>
      <c r="SZS6" s="157"/>
      <c r="SZT6" s="157"/>
      <c r="SZU6" s="157"/>
      <c r="SZV6" s="157"/>
      <c r="SZW6" s="157"/>
      <c r="SZX6" s="157"/>
      <c r="SZY6" s="157"/>
      <c r="SZZ6" s="157"/>
      <c r="TAA6" s="157"/>
      <c r="TAB6" s="157"/>
      <c r="TAC6" s="157"/>
      <c r="TAD6" s="157"/>
      <c r="TAE6" s="157"/>
      <c r="TAF6" s="157"/>
      <c r="TAG6" s="157"/>
      <c r="TAH6" s="157"/>
      <c r="TAI6" s="157"/>
      <c r="TAJ6" s="157"/>
      <c r="TAK6" s="157"/>
      <c r="TAL6" s="157"/>
      <c r="TAM6" s="157"/>
      <c r="TAN6" s="157"/>
      <c r="TAO6" s="157"/>
      <c r="TAP6" s="157"/>
      <c r="TAQ6" s="157"/>
      <c r="TAR6" s="157"/>
      <c r="TAS6" s="157"/>
      <c r="TAT6" s="157"/>
      <c r="TAU6" s="157"/>
      <c r="TAV6" s="157"/>
      <c r="TAW6" s="157"/>
      <c r="TAX6" s="157"/>
      <c r="TAY6" s="157"/>
      <c r="TAZ6" s="157"/>
      <c r="TBA6" s="157"/>
      <c r="TBB6" s="157"/>
      <c r="TBC6" s="157"/>
      <c r="TBD6" s="157"/>
      <c r="TBE6" s="157"/>
      <c r="TBF6" s="157"/>
      <c r="TBG6" s="157"/>
      <c r="TBH6" s="157"/>
      <c r="TBI6" s="157"/>
      <c r="TBJ6" s="157"/>
      <c r="TBK6" s="157"/>
      <c r="TBL6" s="157"/>
      <c r="TBM6" s="157"/>
      <c r="TBN6" s="157"/>
      <c r="TBO6" s="157"/>
      <c r="TBP6" s="157"/>
      <c r="TBQ6" s="157"/>
      <c r="TBR6" s="157"/>
      <c r="TBS6" s="157"/>
      <c r="TBT6" s="157"/>
      <c r="TBU6" s="157"/>
      <c r="TBV6" s="157"/>
      <c r="TBW6" s="157"/>
      <c r="TBX6" s="157"/>
      <c r="TBY6" s="157"/>
      <c r="TBZ6" s="157"/>
      <c r="TCA6" s="157"/>
      <c r="TCB6" s="157"/>
      <c r="TCC6" s="157"/>
      <c r="TCD6" s="157"/>
      <c r="TCE6" s="157"/>
      <c r="TCF6" s="157"/>
      <c r="TCG6" s="157"/>
      <c r="TCH6" s="157"/>
      <c r="TCI6" s="157"/>
      <c r="TCJ6" s="157"/>
      <c r="TCK6" s="157"/>
      <c r="TCL6" s="157"/>
      <c r="TCM6" s="157"/>
      <c r="TCN6" s="157"/>
      <c r="TCO6" s="157"/>
      <c r="TCP6" s="157"/>
      <c r="TCQ6" s="157"/>
      <c r="TCR6" s="157"/>
      <c r="TCS6" s="157"/>
      <c r="TCT6" s="157"/>
      <c r="TCU6" s="157"/>
      <c r="TCV6" s="157"/>
      <c r="TCW6" s="157"/>
      <c r="TCX6" s="157"/>
      <c r="TCY6" s="157"/>
      <c r="TCZ6" s="157"/>
      <c r="TDA6" s="157"/>
      <c r="TDB6" s="157"/>
      <c r="TDC6" s="157"/>
      <c r="TDD6" s="157"/>
      <c r="TDE6" s="157"/>
      <c r="TDF6" s="157"/>
      <c r="TDG6" s="157"/>
      <c r="TDH6" s="157"/>
      <c r="TDI6" s="157"/>
      <c r="TDJ6" s="157"/>
      <c r="TDK6" s="157"/>
      <c r="TDL6" s="157"/>
      <c r="TDM6" s="157"/>
      <c r="TDN6" s="157"/>
      <c r="TDO6" s="157"/>
      <c r="TDP6" s="157"/>
      <c r="TDQ6" s="157"/>
      <c r="TDR6" s="157"/>
      <c r="TDS6" s="157"/>
      <c r="TDT6" s="157"/>
      <c r="TDU6" s="157"/>
      <c r="TDV6" s="157"/>
      <c r="TDW6" s="157"/>
      <c r="TDX6" s="157"/>
      <c r="TDY6" s="157"/>
      <c r="TDZ6" s="157"/>
      <c r="TEA6" s="157"/>
      <c r="TEB6" s="157"/>
      <c r="TEC6" s="157"/>
      <c r="TED6" s="157"/>
      <c r="TEE6" s="157"/>
      <c r="TEF6" s="157"/>
      <c r="TEG6" s="157"/>
      <c r="TEH6" s="157"/>
      <c r="TEI6" s="157"/>
      <c r="TEJ6" s="157"/>
      <c r="TEK6" s="157"/>
      <c r="TEL6" s="157"/>
      <c r="TEM6" s="157"/>
      <c r="TEN6" s="157"/>
      <c r="TEO6" s="157"/>
      <c r="TEP6" s="157"/>
      <c r="TEQ6" s="157"/>
      <c r="TER6" s="157"/>
      <c r="TES6" s="157"/>
      <c r="TET6" s="157"/>
      <c r="TEU6" s="157"/>
      <c r="TEV6" s="157"/>
      <c r="TEW6" s="157"/>
      <c r="TEX6" s="157"/>
      <c r="TEY6" s="157"/>
      <c r="TEZ6" s="157"/>
      <c r="TFA6" s="157"/>
      <c r="TFB6" s="157"/>
      <c r="TFC6" s="157"/>
      <c r="TFD6" s="157"/>
      <c r="TFE6" s="157"/>
      <c r="TFF6" s="157"/>
      <c r="TFG6" s="157"/>
      <c r="TFH6" s="157"/>
      <c r="TFI6" s="157"/>
      <c r="TFJ6" s="157"/>
      <c r="TFK6" s="157"/>
      <c r="TFL6" s="157"/>
      <c r="TFM6" s="157"/>
      <c r="TFN6" s="157"/>
      <c r="TFO6" s="157"/>
      <c r="TFP6" s="157"/>
      <c r="TFQ6" s="157"/>
      <c r="TFR6" s="157"/>
      <c r="TFS6" s="157"/>
      <c r="TFT6" s="157"/>
      <c r="TFU6" s="157"/>
      <c r="TFV6" s="157"/>
      <c r="TFW6" s="157"/>
      <c r="TFX6" s="157"/>
      <c r="TFY6" s="157"/>
      <c r="TFZ6" s="157"/>
      <c r="TGA6" s="157"/>
      <c r="TGB6" s="157"/>
      <c r="TGC6" s="157"/>
      <c r="TGD6" s="157"/>
      <c r="TGE6" s="157"/>
      <c r="TGF6" s="157"/>
      <c r="TGG6" s="157"/>
      <c r="TGH6" s="157"/>
      <c r="TGI6" s="157"/>
      <c r="TGJ6" s="157"/>
      <c r="TGK6" s="157"/>
      <c r="TGL6" s="157"/>
      <c r="TGM6" s="157"/>
      <c r="TGN6" s="157"/>
      <c r="TGO6" s="157"/>
      <c r="TGP6" s="157"/>
      <c r="TGQ6" s="157"/>
      <c r="TGR6" s="157"/>
      <c r="TGS6" s="157"/>
      <c r="TGT6" s="157"/>
      <c r="TGU6" s="157"/>
      <c r="TGV6" s="157"/>
      <c r="TGW6" s="157"/>
      <c r="TGX6" s="157"/>
      <c r="TGY6" s="157"/>
      <c r="TGZ6" s="157"/>
      <c r="THA6" s="157"/>
      <c r="THB6" s="157"/>
      <c r="THC6" s="157"/>
      <c r="THD6" s="157"/>
      <c r="THE6" s="157"/>
      <c r="THF6" s="157"/>
      <c r="THG6" s="157"/>
      <c r="THH6" s="157"/>
      <c r="THI6" s="157"/>
      <c r="THJ6" s="157"/>
      <c r="THK6" s="157"/>
      <c r="THL6" s="157"/>
      <c r="THM6" s="157"/>
      <c r="THN6" s="157"/>
      <c r="THO6" s="157"/>
      <c r="THP6" s="157"/>
      <c r="THQ6" s="157"/>
      <c r="THR6" s="157"/>
      <c r="THS6" s="157"/>
      <c r="THT6" s="157"/>
      <c r="THU6" s="157"/>
      <c r="THV6" s="157"/>
      <c r="THW6" s="157"/>
      <c r="THX6" s="157"/>
      <c r="THY6" s="157"/>
      <c r="THZ6" s="157"/>
      <c r="TIA6" s="157"/>
      <c r="TIB6" s="157"/>
      <c r="TIC6" s="157"/>
      <c r="TID6" s="157"/>
      <c r="TIE6" s="157"/>
      <c r="TIF6" s="157"/>
      <c r="TIG6" s="157"/>
      <c r="TIH6" s="157"/>
      <c r="TII6" s="157"/>
      <c r="TIJ6" s="157"/>
      <c r="TIK6" s="157"/>
      <c r="TIL6" s="157"/>
      <c r="TIM6" s="157"/>
      <c r="TIN6" s="157"/>
      <c r="TIO6" s="157"/>
      <c r="TIP6" s="157"/>
      <c r="TIQ6" s="157"/>
      <c r="TIR6" s="157"/>
      <c r="TIS6" s="157"/>
      <c r="TIT6" s="157"/>
      <c r="TIU6" s="157"/>
      <c r="TIV6" s="157"/>
      <c r="TIW6" s="157"/>
      <c r="TIX6" s="157"/>
      <c r="TIY6" s="157"/>
      <c r="TIZ6" s="157"/>
      <c r="TJA6" s="157"/>
      <c r="TJB6" s="157"/>
      <c r="TJC6" s="157"/>
      <c r="TJD6" s="157"/>
      <c r="TJE6" s="157"/>
      <c r="TJF6" s="157"/>
      <c r="TJG6" s="157"/>
      <c r="TJH6" s="157"/>
      <c r="TJI6" s="157"/>
      <c r="TJJ6" s="157"/>
      <c r="TJK6" s="157"/>
      <c r="TJL6" s="157"/>
      <c r="TJM6" s="157"/>
      <c r="TJN6" s="157"/>
      <c r="TJO6" s="157"/>
      <c r="TJP6" s="157"/>
      <c r="TJQ6" s="157"/>
      <c r="TJR6" s="157"/>
      <c r="TJS6" s="157"/>
      <c r="TJT6" s="157"/>
      <c r="TJU6" s="157"/>
      <c r="TJV6" s="157"/>
      <c r="TJW6" s="157"/>
      <c r="TJX6" s="157"/>
      <c r="TJY6" s="157"/>
      <c r="TJZ6" s="157"/>
      <c r="TKA6" s="157"/>
      <c r="TKB6" s="157"/>
      <c r="TKC6" s="157"/>
      <c r="TKD6" s="157"/>
      <c r="TKE6" s="157"/>
      <c r="TKF6" s="157"/>
      <c r="TKG6" s="157"/>
      <c r="TKH6" s="157"/>
      <c r="TKI6" s="157"/>
      <c r="TKJ6" s="157"/>
      <c r="TKK6" s="157"/>
      <c r="TKL6" s="157"/>
      <c r="TKM6" s="157"/>
      <c r="TKN6" s="157"/>
      <c r="TKO6" s="157"/>
      <c r="TKP6" s="157"/>
      <c r="TKQ6" s="157"/>
      <c r="TKR6" s="157"/>
      <c r="TKS6" s="157"/>
      <c r="TKT6" s="157"/>
      <c r="TKU6" s="157"/>
      <c r="TKV6" s="157"/>
      <c r="TKW6" s="157"/>
      <c r="TKX6" s="157"/>
      <c r="TKY6" s="157"/>
      <c r="TKZ6" s="157"/>
      <c r="TLA6" s="157"/>
      <c r="TLB6" s="157"/>
      <c r="TLC6" s="157"/>
      <c r="TLD6" s="157"/>
      <c r="TLE6" s="157"/>
      <c r="TLF6" s="157"/>
      <c r="TLG6" s="157"/>
      <c r="TLH6" s="157"/>
      <c r="TLI6" s="157"/>
      <c r="TLJ6" s="157"/>
      <c r="TLK6" s="157"/>
      <c r="TLL6" s="157"/>
      <c r="TLM6" s="157"/>
      <c r="TLN6" s="157"/>
      <c r="TLO6" s="157"/>
      <c r="TLP6" s="157"/>
      <c r="TLQ6" s="157"/>
      <c r="TLR6" s="157"/>
      <c r="TLS6" s="157"/>
      <c r="TLT6" s="157"/>
      <c r="TLU6" s="157"/>
      <c r="TLV6" s="157"/>
      <c r="TLW6" s="157"/>
      <c r="TLX6" s="157"/>
      <c r="TLY6" s="157"/>
      <c r="TLZ6" s="157"/>
      <c r="TMA6" s="157"/>
      <c r="TMB6" s="157"/>
      <c r="TMC6" s="157"/>
      <c r="TMD6" s="157"/>
      <c r="TME6" s="157"/>
      <c r="TMF6" s="157"/>
      <c r="TMG6" s="157"/>
      <c r="TMH6" s="157"/>
      <c r="TMI6" s="157"/>
      <c r="TMJ6" s="157"/>
      <c r="TMK6" s="157"/>
      <c r="TML6" s="157"/>
      <c r="TMM6" s="157"/>
      <c r="TMN6" s="157"/>
      <c r="TMO6" s="157"/>
      <c r="TMP6" s="157"/>
      <c r="TMQ6" s="157"/>
      <c r="TMR6" s="157"/>
      <c r="TMS6" s="157"/>
      <c r="TMT6" s="157"/>
      <c r="TMU6" s="157"/>
      <c r="TMV6" s="157"/>
      <c r="TMW6" s="157"/>
      <c r="TMX6" s="157"/>
      <c r="TMY6" s="157"/>
      <c r="TMZ6" s="157"/>
      <c r="TNA6" s="157"/>
      <c r="TNB6" s="157"/>
      <c r="TNC6" s="157"/>
      <c r="TND6" s="157"/>
      <c r="TNE6" s="157"/>
      <c r="TNF6" s="157"/>
      <c r="TNG6" s="157"/>
      <c r="TNH6" s="157"/>
      <c r="TNI6" s="157"/>
      <c r="TNJ6" s="157"/>
      <c r="TNK6" s="157"/>
      <c r="TNL6" s="157"/>
      <c r="TNM6" s="157"/>
      <c r="TNN6" s="157"/>
      <c r="TNO6" s="157"/>
      <c r="TNP6" s="157"/>
      <c r="TNQ6" s="157"/>
      <c r="TNR6" s="157"/>
      <c r="TNS6" s="157"/>
      <c r="TNT6" s="157"/>
      <c r="TNU6" s="157"/>
      <c r="TNV6" s="157"/>
      <c r="TNW6" s="157"/>
      <c r="TNX6" s="157"/>
      <c r="TNY6" s="157"/>
      <c r="TNZ6" s="157"/>
      <c r="TOA6" s="157"/>
      <c r="TOB6" s="157"/>
      <c r="TOC6" s="157"/>
      <c r="TOD6" s="157"/>
      <c r="TOE6" s="157"/>
      <c r="TOF6" s="157"/>
      <c r="TOG6" s="157"/>
      <c r="TOH6" s="157"/>
      <c r="TOI6" s="157"/>
      <c r="TOJ6" s="157"/>
      <c r="TOK6" s="157"/>
      <c r="TOL6" s="157"/>
      <c r="TOM6" s="157"/>
      <c r="TON6" s="157"/>
      <c r="TOO6" s="157"/>
      <c r="TOP6" s="157"/>
      <c r="TOQ6" s="157"/>
      <c r="TOR6" s="157"/>
      <c r="TOS6" s="157"/>
      <c r="TOT6" s="157"/>
      <c r="TOU6" s="157"/>
      <c r="TOV6" s="157"/>
      <c r="TOW6" s="157"/>
      <c r="TOX6" s="157"/>
      <c r="TOY6" s="157"/>
      <c r="TOZ6" s="157"/>
      <c r="TPA6" s="157"/>
      <c r="TPB6" s="157"/>
      <c r="TPC6" s="157"/>
      <c r="TPD6" s="157"/>
      <c r="TPE6" s="157"/>
      <c r="TPF6" s="157"/>
      <c r="TPG6" s="157"/>
      <c r="TPH6" s="157"/>
      <c r="TPI6" s="157"/>
      <c r="TPJ6" s="157"/>
      <c r="TPK6" s="157"/>
      <c r="TPL6" s="157"/>
      <c r="TPM6" s="157"/>
      <c r="TPN6" s="157"/>
      <c r="TPO6" s="157"/>
      <c r="TPP6" s="157"/>
      <c r="TPQ6" s="157"/>
      <c r="TPR6" s="157"/>
      <c r="TPS6" s="157"/>
      <c r="TPT6" s="157"/>
      <c r="TPU6" s="157"/>
      <c r="TPV6" s="157"/>
      <c r="TPW6" s="157"/>
      <c r="TPX6" s="157"/>
      <c r="TPY6" s="157"/>
      <c r="TPZ6" s="157"/>
      <c r="TQA6" s="157"/>
      <c r="TQB6" s="157"/>
      <c r="TQC6" s="157"/>
      <c r="TQD6" s="157"/>
      <c r="TQE6" s="157"/>
      <c r="TQF6" s="157"/>
      <c r="TQG6" s="157"/>
      <c r="TQH6" s="157"/>
      <c r="TQI6" s="157"/>
      <c r="TQJ6" s="157"/>
      <c r="TQK6" s="157"/>
      <c r="TQL6" s="157"/>
      <c r="TQM6" s="157"/>
      <c r="TQN6" s="157"/>
      <c r="TQO6" s="157"/>
      <c r="TQP6" s="157"/>
      <c r="TQQ6" s="157"/>
      <c r="TQR6" s="157"/>
      <c r="TQS6" s="157"/>
      <c r="TQT6" s="157"/>
      <c r="TQU6" s="157"/>
      <c r="TQV6" s="157"/>
      <c r="TQW6" s="157"/>
      <c r="TQX6" s="157"/>
      <c r="TQY6" s="157"/>
      <c r="TQZ6" s="157"/>
      <c r="TRA6" s="157"/>
      <c r="TRB6" s="157"/>
      <c r="TRC6" s="157"/>
      <c r="TRD6" s="157"/>
      <c r="TRE6" s="157"/>
      <c r="TRF6" s="157"/>
      <c r="TRG6" s="157"/>
      <c r="TRH6" s="157"/>
      <c r="TRI6" s="157"/>
      <c r="TRJ6" s="157"/>
      <c r="TRK6" s="157"/>
      <c r="TRL6" s="157"/>
      <c r="TRM6" s="157"/>
      <c r="TRN6" s="157"/>
      <c r="TRO6" s="157"/>
      <c r="TRP6" s="157"/>
      <c r="TRQ6" s="157"/>
      <c r="TRR6" s="157"/>
      <c r="TRS6" s="157"/>
      <c r="TRT6" s="157"/>
      <c r="TRU6" s="157"/>
      <c r="TRV6" s="157"/>
      <c r="TRW6" s="157"/>
      <c r="TRX6" s="157"/>
      <c r="TRY6" s="157"/>
      <c r="TRZ6" s="157"/>
      <c r="TSA6" s="157"/>
      <c r="TSB6" s="157"/>
      <c r="TSC6" s="157"/>
      <c r="TSD6" s="157"/>
      <c r="TSE6" s="157"/>
      <c r="TSF6" s="157"/>
      <c r="TSG6" s="157"/>
      <c r="TSH6" s="157"/>
      <c r="TSI6" s="157"/>
      <c r="TSJ6" s="157"/>
      <c r="TSK6" s="157"/>
      <c r="TSL6" s="157"/>
      <c r="TSM6" s="157"/>
      <c r="TSN6" s="157"/>
      <c r="TSO6" s="157"/>
      <c r="TSP6" s="157"/>
      <c r="TSQ6" s="157"/>
      <c r="TSR6" s="157"/>
      <c r="TSS6" s="157"/>
      <c r="TST6" s="157"/>
      <c r="TSU6" s="157"/>
      <c r="TSV6" s="157"/>
      <c r="TSW6" s="157"/>
      <c r="TSX6" s="157"/>
      <c r="TSY6" s="157"/>
      <c r="TSZ6" s="157"/>
      <c r="TTA6" s="157"/>
      <c r="TTB6" s="157"/>
      <c r="TTC6" s="157"/>
      <c r="TTD6" s="157"/>
      <c r="TTE6" s="157"/>
      <c r="TTF6" s="157"/>
      <c r="TTG6" s="157"/>
      <c r="TTH6" s="157"/>
      <c r="TTI6" s="157"/>
      <c r="TTJ6" s="157"/>
      <c r="TTK6" s="157"/>
      <c r="TTL6" s="157"/>
      <c r="TTM6" s="157"/>
      <c r="TTN6" s="157"/>
      <c r="TTO6" s="157"/>
      <c r="TTP6" s="157"/>
      <c r="TTQ6" s="157"/>
      <c r="TTR6" s="157"/>
      <c r="TTS6" s="157"/>
      <c r="TTT6" s="157"/>
      <c r="TTU6" s="157"/>
      <c r="TTV6" s="157"/>
      <c r="TTW6" s="157"/>
      <c r="TTX6" s="157"/>
      <c r="TTY6" s="157"/>
      <c r="TTZ6" s="157"/>
      <c r="TUA6" s="157"/>
      <c r="TUB6" s="157"/>
      <c r="TUC6" s="157"/>
      <c r="TUD6" s="157"/>
      <c r="TUE6" s="157"/>
      <c r="TUF6" s="157"/>
      <c r="TUG6" s="157"/>
      <c r="TUH6" s="157"/>
      <c r="TUI6" s="157"/>
      <c r="TUJ6" s="157"/>
      <c r="TUK6" s="157"/>
      <c r="TUL6" s="157"/>
      <c r="TUM6" s="157"/>
      <c r="TUN6" s="157"/>
      <c r="TUO6" s="157"/>
      <c r="TUP6" s="157"/>
      <c r="TUQ6" s="157"/>
      <c r="TUR6" s="157"/>
      <c r="TUS6" s="157"/>
      <c r="TUT6" s="157"/>
      <c r="TUU6" s="157"/>
      <c r="TUV6" s="157"/>
      <c r="TUW6" s="157"/>
      <c r="TUX6" s="157"/>
      <c r="TUY6" s="157"/>
      <c r="TUZ6" s="157"/>
      <c r="TVA6" s="157"/>
      <c r="TVB6" s="157"/>
      <c r="TVC6" s="157"/>
      <c r="TVD6" s="157"/>
      <c r="TVE6" s="157"/>
      <c r="TVF6" s="157"/>
      <c r="TVG6" s="157"/>
      <c r="TVH6" s="157"/>
      <c r="TVI6" s="157"/>
      <c r="TVJ6" s="157"/>
      <c r="TVK6" s="157"/>
      <c r="TVL6" s="157"/>
      <c r="TVM6" s="157"/>
      <c r="TVN6" s="157"/>
      <c r="TVO6" s="157"/>
      <c r="TVP6" s="157"/>
      <c r="TVQ6" s="157"/>
      <c r="TVR6" s="157"/>
      <c r="TVS6" s="157"/>
      <c r="TVT6" s="157"/>
      <c r="TVU6" s="157"/>
      <c r="TVV6" s="157"/>
      <c r="TVW6" s="157"/>
      <c r="TVX6" s="157"/>
      <c r="TVY6" s="157"/>
      <c r="TVZ6" s="157"/>
      <c r="TWA6" s="157"/>
      <c r="TWB6" s="157"/>
      <c r="TWC6" s="157"/>
      <c r="TWD6" s="157"/>
      <c r="TWE6" s="157"/>
      <c r="TWF6" s="157"/>
      <c r="TWG6" s="157"/>
      <c r="TWH6" s="157"/>
      <c r="TWI6" s="157"/>
      <c r="TWJ6" s="157"/>
      <c r="TWK6" s="157"/>
      <c r="TWL6" s="157"/>
      <c r="TWM6" s="157"/>
      <c r="TWN6" s="157"/>
      <c r="TWO6" s="157"/>
      <c r="TWP6" s="157"/>
      <c r="TWQ6" s="157"/>
      <c r="TWR6" s="157"/>
      <c r="TWS6" s="157"/>
      <c r="TWT6" s="157"/>
      <c r="TWU6" s="157"/>
      <c r="TWV6" s="157"/>
      <c r="TWW6" s="157"/>
      <c r="TWX6" s="157"/>
      <c r="TWY6" s="157"/>
      <c r="TWZ6" s="157"/>
      <c r="TXA6" s="157"/>
      <c r="TXB6" s="157"/>
      <c r="TXC6" s="157"/>
      <c r="TXD6" s="157"/>
      <c r="TXE6" s="157"/>
      <c r="TXF6" s="157"/>
      <c r="TXG6" s="157"/>
      <c r="TXH6" s="157"/>
      <c r="TXI6" s="157"/>
      <c r="TXJ6" s="157"/>
      <c r="TXK6" s="157"/>
      <c r="TXL6" s="157"/>
      <c r="TXM6" s="157"/>
      <c r="TXN6" s="157"/>
      <c r="TXO6" s="157"/>
      <c r="TXP6" s="157"/>
      <c r="TXQ6" s="157"/>
      <c r="TXR6" s="157"/>
      <c r="TXS6" s="157"/>
      <c r="TXT6" s="157"/>
      <c r="TXU6" s="157"/>
      <c r="TXV6" s="157"/>
      <c r="TXW6" s="157"/>
      <c r="TXX6" s="157"/>
      <c r="TXY6" s="157"/>
      <c r="TXZ6" s="157"/>
      <c r="TYA6" s="157"/>
      <c r="TYB6" s="157"/>
      <c r="TYC6" s="157"/>
      <c r="TYD6" s="157"/>
      <c r="TYE6" s="157"/>
      <c r="TYF6" s="157"/>
      <c r="TYG6" s="157"/>
      <c r="TYH6" s="157"/>
      <c r="TYI6" s="157"/>
      <c r="TYJ6" s="157"/>
      <c r="TYK6" s="157"/>
      <c r="TYL6" s="157"/>
      <c r="TYM6" s="157"/>
      <c r="TYN6" s="157"/>
      <c r="TYO6" s="157"/>
      <c r="TYP6" s="157"/>
      <c r="TYQ6" s="157"/>
      <c r="TYR6" s="157"/>
      <c r="TYS6" s="157"/>
      <c r="TYT6" s="157"/>
      <c r="TYU6" s="157"/>
      <c r="TYV6" s="157"/>
      <c r="TYW6" s="157"/>
      <c r="TYX6" s="157"/>
      <c r="TYY6" s="157"/>
      <c r="TYZ6" s="157"/>
      <c r="TZA6" s="157"/>
      <c r="TZB6" s="157"/>
      <c r="TZC6" s="157"/>
      <c r="TZD6" s="157"/>
      <c r="TZE6" s="157"/>
      <c r="TZF6" s="157"/>
      <c r="TZG6" s="157"/>
      <c r="TZH6" s="157"/>
      <c r="TZI6" s="157"/>
      <c r="TZJ6" s="157"/>
      <c r="TZK6" s="157"/>
      <c r="TZL6" s="157"/>
      <c r="TZM6" s="157"/>
      <c r="TZN6" s="157"/>
      <c r="TZO6" s="157"/>
      <c r="TZP6" s="157"/>
      <c r="TZQ6" s="157"/>
      <c r="TZR6" s="157"/>
      <c r="TZS6" s="157"/>
      <c r="TZT6" s="157"/>
      <c r="TZU6" s="157"/>
      <c r="TZV6" s="157"/>
      <c r="TZW6" s="157"/>
      <c r="TZX6" s="157"/>
      <c r="TZY6" s="157"/>
      <c r="TZZ6" s="157"/>
      <c r="UAA6" s="157"/>
      <c r="UAB6" s="157"/>
      <c r="UAC6" s="157"/>
      <c r="UAD6" s="157"/>
      <c r="UAE6" s="157"/>
      <c r="UAF6" s="157"/>
      <c r="UAG6" s="157"/>
      <c r="UAH6" s="157"/>
      <c r="UAI6" s="157"/>
      <c r="UAJ6" s="157"/>
      <c r="UAK6" s="157"/>
      <c r="UAL6" s="157"/>
      <c r="UAM6" s="157"/>
      <c r="UAN6" s="157"/>
      <c r="UAO6" s="157"/>
      <c r="UAP6" s="157"/>
      <c r="UAQ6" s="157"/>
      <c r="UAR6" s="157"/>
      <c r="UAS6" s="157"/>
      <c r="UAT6" s="157"/>
      <c r="UAU6" s="157"/>
      <c r="UAV6" s="157"/>
      <c r="UAW6" s="157"/>
      <c r="UAX6" s="157"/>
      <c r="UAY6" s="157"/>
      <c r="UAZ6" s="157"/>
      <c r="UBA6" s="157"/>
      <c r="UBB6" s="157"/>
      <c r="UBC6" s="157"/>
      <c r="UBD6" s="157"/>
      <c r="UBE6" s="157"/>
      <c r="UBF6" s="157"/>
      <c r="UBG6" s="157"/>
      <c r="UBH6" s="157"/>
      <c r="UBI6" s="157"/>
      <c r="UBJ6" s="157"/>
      <c r="UBK6" s="157"/>
      <c r="UBL6" s="157"/>
      <c r="UBM6" s="157"/>
      <c r="UBN6" s="157"/>
      <c r="UBO6" s="157"/>
      <c r="UBP6" s="157"/>
      <c r="UBQ6" s="157"/>
      <c r="UBR6" s="157"/>
      <c r="UBS6" s="157"/>
      <c r="UBT6" s="157"/>
      <c r="UBU6" s="157"/>
      <c r="UBV6" s="157"/>
      <c r="UBW6" s="157"/>
      <c r="UBX6" s="157"/>
      <c r="UBY6" s="157"/>
      <c r="UBZ6" s="157"/>
      <c r="UCA6" s="157"/>
      <c r="UCB6" s="157"/>
      <c r="UCC6" s="157"/>
      <c r="UCD6" s="157"/>
      <c r="UCE6" s="157"/>
      <c r="UCF6" s="157"/>
      <c r="UCG6" s="157"/>
      <c r="UCH6" s="157"/>
      <c r="UCI6" s="157"/>
      <c r="UCJ6" s="157"/>
      <c r="UCK6" s="157"/>
      <c r="UCL6" s="157"/>
      <c r="UCM6" s="157"/>
      <c r="UCN6" s="157"/>
      <c r="UCO6" s="157"/>
      <c r="UCP6" s="157"/>
      <c r="UCQ6" s="157"/>
      <c r="UCR6" s="157"/>
      <c r="UCS6" s="157"/>
      <c r="UCT6" s="157"/>
      <c r="UCU6" s="157"/>
      <c r="UCV6" s="157"/>
      <c r="UCW6" s="157"/>
      <c r="UCX6" s="157"/>
      <c r="UCY6" s="157"/>
      <c r="UCZ6" s="157"/>
      <c r="UDA6" s="157"/>
      <c r="UDB6" s="157"/>
      <c r="UDC6" s="157"/>
      <c r="UDD6" s="157"/>
      <c r="UDE6" s="157"/>
      <c r="UDF6" s="157"/>
      <c r="UDG6" s="157"/>
      <c r="UDH6" s="157"/>
      <c r="UDI6" s="157"/>
      <c r="UDJ6" s="157"/>
      <c r="UDK6" s="157"/>
      <c r="UDL6" s="157"/>
      <c r="UDM6" s="157"/>
      <c r="UDN6" s="157"/>
      <c r="UDO6" s="157"/>
      <c r="UDP6" s="157"/>
      <c r="UDQ6" s="157"/>
      <c r="UDR6" s="157"/>
      <c r="UDS6" s="157"/>
      <c r="UDT6" s="157"/>
      <c r="UDU6" s="157"/>
      <c r="UDV6" s="157"/>
      <c r="UDW6" s="157"/>
      <c r="UDX6" s="157"/>
      <c r="UDY6" s="157"/>
      <c r="UDZ6" s="157"/>
      <c r="UEA6" s="157"/>
      <c r="UEB6" s="157"/>
      <c r="UEC6" s="157"/>
      <c r="UED6" s="157"/>
      <c r="UEE6" s="157"/>
      <c r="UEF6" s="157"/>
      <c r="UEG6" s="157"/>
      <c r="UEH6" s="157"/>
      <c r="UEI6" s="157"/>
      <c r="UEJ6" s="157"/>
      <c r="UEK6" s="157"/>
      <c r="UEL6" s="157"/>
      <c r="UEM6" s="157"/>
      <c r="UEN6" s="157"/>
      <c r="UEO6" s="157"/>
      <c r="UEP6" s="157"/>
      <c r="UEQ6" s="157"/>
      <c r="UER6" s="157"/>
      <c r="UES6" s="157"/>
      <c r="UET6" s="157"/>
      <c r="UEU6" s="157"/>
      <c r="UEV6" s="157"/>
      <c r="UEW6" s="157"/>
      <c r="UEX6" s="157"/>
      <c r="UEY6" s="157"/>
      <c r="UEZ6" s="157"/>
      <c r="UFA6" s="157"/>
      <c r="UFB6" s="157"/>
      <c r="UFC6" s="157"/>
      <c r="UFD6" s="157"/>
      <c r="UFE6" s="157"/>
      <c r="UFF6" s="157"/>
      <c r="UFG6" s="157"/>
      <c r="UFH6" s="157"/>
      <c r="UFI6" s="157"/>
      <c r="UFJ6" s="157"/>
      <c r="UFK6" s="157"/>
      <c r="UFL6" s="157"/>
      <c r="UFM6" s="157"/>
      <c r="UFN6" s="157"/>
      <c r="UFO6" s="157"/>
      <c r="UFP6" s="157"/>
      <c r="UFQ6" s="157"/>
      <c r="UFR6" s="157"/>
      <c r="UFS6" s="157"/>
      <c r="UFT6" s="157"/>
      <c r="UFU6" s="157"/>
      <c r="UFV6" s="157"/>
      <c r="UFW6" s="157"/>
      <c r="UFX6" s="157"/>
      <c r="UFY6" s="157"/>
      <c r="UFZ6" s="157"/>
      <c r="UGA6" s="157"/>
      <c r="UGB6" s="157"/>
      <c r="UGC6" s="157"/>
      <c r="UGD6" s="157"/>
      <c r="UGE6" s="157"/>
      <c r="UGF6" s="157"/>
      <c r="UGG6" s="157"/>
      <c r="UGH6" s="157"/>
      <c r="UGI6" s="157"/>
      <c r="UGJ6" s="157"/>
      <c r="UGK6" s="157"/>
      <c r="UGL6" s="157"/>
      <c r="UGM6" s="157"/>
      <c r="UGN6" s="157"/>
      <c r="UGO6" s="157"/>
      <c r="UGP6" s="157"/>
      <c r="UGQ6" s="157"/>
      <c r="UGR6" s="157"/>
      <c r="UGS6" s="157"/>
      <c r="UGT6" s="157"/>
      <c r="UGU6" s="157"/>
      <c r="UGV6" s="157"/>
      <c r="UGW6" s="157"/>
      <c r="UGX6" s="157"/>
      <c r="UGY6" s="157"/>
      <c r="UGZ6" s="157"/>
      <c r="UHA6" s="157"/>
      <c r="UHB6" s="157"/>
      <c r="UHC6" s="157"/>
      <c r="UHD6" s="157"/>
      <c r="UHE6" s="157"/>
      <c r="UHF6" s="157"/>
      <c r="UHG6" s="157"/>
      <c r="UHH6" s="157"/>
      <c r="UHI6" s="157"/>
      <c r="UHJ6" s="157"/>
      <c r="UHK6" s="157"/>
      <c r="UHL6" s="157"/>
      <c r="UHM6" s="157"/>
      <c r="UHN6" s="157"/>
      <c r="UHO6" s="157"/>
      <c r="UHP6" s="157"/>
      <c r="UHQ6" s="157"/>
      <c r="UHR6" s="157"/>
      <c r="UHS6" s="157"/>
      <c r="UHT6" s="157"/>
      <c r="UHU6" s="157"/>
      <c r="UHV6" s="157"/>
      <c r="UHW6" s="157"/>
      <c r="UHX6" s="157"/>
      <c r="UHY6" s="157"/>
      <c r="UHZ6" s="157"/>
      <c r="UIA6" s="157"/>
      <c r="UIB6" s="157"/>
      <c r="UIC6" s="157"/>
      <c r="UID6" s="157"/>
      <c r="UIE6" s="157"/>
      <c r="UIF6" s="157"/>
      <c r="UIG6" s="157"/>
      <c r="UIH6" s="157"/>
      <c r="UII6" s="157"/>
      <c r="UIJ6" s="157"/>
      <c r="UIK6" s="157"/>
      <c r="UIL6" s="157"/>
      <c r="UIM6" s="157"/>
      <c r="UIN6" s="157"/>
      <c r="UIO6" s="157"/>
      <c r="UIP6" s="157"/>
      <c r="UIQ6" s="157"/>
      <c r="UIR6" s="157"/>
      <c r="UIS6" s="157"/>
      <c r="UIT6" s="157"/>
      <c r="UIU6" s="157"/>
      <c r="UIV6" s="157"/>
      <c r="UIW6" s="157"/>
      <c r="UIX6" s="157"/>
      <c r="UIY6" s="157"/>
      <c r="UIZ6" s="157"/>
      <c r="UJA6" s="157"/>
      <c r="UJB6" s="157"/>
      <c r="UJC6" s="157"/>
      <c r="UJD6" s="157"/>
      <c r="UJE6" s="157"/>
      <c r="UJF6" s="157"/>
      <c r="UJG6" s="157"/>
      <c r="UJH6" s="157"/>
      <c r="UJI6" s="157"/>
      <c r="UJJ6" s="157"/>
      <c r="UJK6" s="157"/>
      <c r="UJL6" s="157"/>
      <c r="UJM6" s="157"/>
      <c r="UJN6" s="157"/>
      <c r="UJO6" s="157"/>
      <c r="UJP6" s="157"/>
      <c r="UJQ6" s="157"/>
      <c r="UJR6" s="157"/>
      <c r="UJS6" s="157"/>
      <c r="UJT6" s="157"/>
      <c r="UJU6" s="157"/>
      <c r="UJV6" s="157"/>
      <c r="UJW6" s="157"/>
      <c r="UJX6" s="157"/>
      <c r="UJY6" s="157"/>
      <c r="UJZ6" s="157"/>
      <c r="UKA6" s="157"/>
      <c r="UKB6" s="157"/>
      <c r="UKC6" s="157"/>
      <c r="UKD6" s="157"/>
      <c r="UKE6" s="157"/>
      <c r="UKF6" s="157"/>
      <c r="UKG6" s="157"/>
      <c r="UKH6" s="157"/>
      <c r="UKI6" s="157"/>
      <c r="UKJ6" s="157"/>
      <c r="UKK6" s="157"/>
      <c r="UKL6" s="157"/>
      <c r="UKM6" s="157"/>
      <c r="UKN6" s="157"/>
      <c r="UKO6" s="157"/>
      <c r="UKP6" s="157"/>
      <c r="UKQ6" s="157"/>
      <c r="UKR6" s="157"/>
      <c r="UKS6" s="157"/>
      <c r="UKT6" s="157"/>
      <c r="UKU6" s="157"/>
      <c r="UKV6" s="157"/>
      <c r="UKW6" s="157"/>
      <c r="UKX6" s="157"/>
      <c r="UKY6" s="157"/>
      <c r="UKZ6" s="157"/>
      <c r="ULA6" s="157"/>
      <c r="ULB6" s="157"/>
      <c r="ULC6" s="157"/>
      <c r="ULD6" s="157"/>
      <c r="ULE6" s="157"/>
      <c r="ULF6" s="157"/>
      <c r="ULG6" s="157"/>
      <c r="ULH6" s="157"/>
      <c r="ULI6" s="157"/>
      <c r="ULJ6" s="157"/>
      <c r="ULK6" s="157"/>
      <c r="ULL6" s="157"/>
      <c r="ULM6" s="157"/>
      <c r="ULN6" s="157"/>
      <c r="ULO6" s="157"/>
      <c r="ULP6" s="157"/>
      <c r="ULQ6" s="157"/>
      <c r="ULR6" s="157"/>
      <c r="ULS6" s="157"/>
      <c r="ULT6" s="157"/>
      <c r="ULU6" s="157"/>
      <c r="ULV6" s="157"/>
      <c r="ULW6" s="157"/>
      <c r="ULX6" s="157"/>
      <c r="ULY6" s="157"/>
      <c r="ULZ6" s="157"/>
      <c r="UMA6" s="157"/>
      <c r="UMB6" s="157"/>
      <c r="UMC6" s="157"/>
      <c r="UMD6" s="157"/>
      <c r="UME6" s="157"/>
      <c r="UMF6" s="157"/>
      <c r="UMG6" s="157"/>
      <c r="UMH6" s="157"/>
      <c r="UMI6" s="157"/>
      <c r="UMJ6" s="157"/>
      <c r="UMK6" s="157"/>
      <c r="UML6" s="157"/>
      <c r="UMM6" s="157"/>
      <c r="UMN6" s="157"/>
      <c r="UMO6" s="157"/>
      <c r="UMP6" s="157"/>
      <c r="UMQ6" s="157"/>
      <c r="UMR6" s="157"/>
      <c r="UMS6" s="157"/>
      <c r="UMT6" s="157"/>
      <c r="UMU6" s="157"/>
      <c r="UMV6" s="157"/>
      <c r="UMW6" s="157"/>
      <c r="UMX6" s="157"/>
      <c r="UMY6" s="157"/>
      <c r="UMZ6" s="157"/>
      <c r="UNA6" s="157"/>
      <c r="UNB6" s="157"/>
      <c r="UNC6" s="157"/>
      <c r="UND6" s="157"/>
      <c r="UNE6" s="157"/>
      <c r="UNF6" s="157"/>
      <c r="UNG6" s="157"/>
      <c r="UNH6" s="157"/>
      <c r="UNI6" s="157"/>
      <c r="UNJ6" s="157"/>
      <c r="UNK6" s="157"/>
      <c r="UNL6" s="157"/>
      <c r="UNM6" s="157"/>
      <c r="UNN6" s="157"/>
      <c r="UNO6" s="157"/>
      <c r="UNP6" s="157"/>
      <c r="UNQ6" s="157"/>
      <c r="UNR6" s="157"/>
      <c r="UNS6" s="157"/>
      <c r="UNT6" s="157"/>
      <c r="UNU6" s="157"/>
      <c r="UNV6" s="157"/>
      <c r="UNW6" s="157"/>
      <c r="UNX6" s="157"/>
      <c r="UNY6" s="157"/>
      <c r="UNZ6" s="157"/>
      <c r="UOA6" s="157"/>
      <c r="UOB6" s="157"/>
      <c r="UOC6" s="157"/>
      <c r="UOD6" s="157"/>
      <c r="UOE6" s="157"/>
      <c r="UOF6" s="157"/>
      <c r="UOG6" s="157"/>
      <c r="UOH6" s="157"/>
      <c r="UOI6" s="157"/>
      <c r="UOJ6" s="157"/>
      <c r="UOK6" s="157"/>
      <c r="UOL6" s="157"/>
      <c r="UOM6" s="157"/>
      <c r="UON6" s="157"/>
      <c r="UOO6" s="157"/>
      <c r="UOP6" s="157"/>
      <c r="UOQ6" s="157"/>
      <c r="UOR6" s="157"/>
      <c r="UOS6" s="157"/>
      <c r="UOT6" s="157"/>
      <c r="UOU6" s="157"/>
      <c r="UOV6" s="157"/>
      <c r="UOW6" s="157"/>
      <c r="UOX6" s="157"/>
      <c r="UOY6" s="157"/>
      <c r="UOZ6" s="157"/>
      <c r="UPA6" s="157"/>
      <c r="UPB6" s="157"/>
      <c r="UPC6" s="157"/>
      <c r="UPD6" s="157"/>
      <c r="UPE6" s="157"/>
      <c r="UPF6" s="157"/>
      <c r="UPG6" s="157"/>
      <c r="UPH6" s="157"/>
      <c r="UPI6" s="157"/>
      <c r="UPJ6" s="157"/>
      <c r="UPK6" s="157"/>
      <c r="UPL6" s="157"/>
      <c r="UPM6" s="157"/>
      <c r="UPN6" s="157"/>
      <c r="UPO6" s="157"/>
      <c r="UPP6" s="157"/>
      <c r="UPQ6" s="157"/>
      <c r="UPR6" s="157"/>
      <c r="UPS6" s="157"/>
      <c r="UPT6" s="157"/>
      <c r="UPU6" s="157"/>
      <c r="UPV6" s="157"/>
      <c r="UPW6" s="157"/>
      <c r="UPX6" s="157"/>
      <c r="UPY6" s="157"/>
      <c r="UPZ6" s="157"/>
      <c r="UQA6" s="157"/>
      <c r="UQB6" s="157"/>
      <c r="UQC6" s="157"/>
      <c r="UQD6" s="157"/>
      <c r="UQE6" s="157"/>
      <c r="UQF6" s="157"/>
      <c r="UQG6" s="157"/>
      <c r="UQH6" s="157"/>
      <c r="UQI6" s="157"/>
      <c r="UQJ6" s="157"/>
      <c r="UQK6" s="157"/>
      <c r="UQL6" s="157"/>
      <c r="UQM6" s="157"/>
      <c r="UQN6" s="157"/>
      <c r="UQO6" s="157"/>
      <c r="UQP6" s="157"/>
      <c r="UQQ6" s="157"/>
      <c r="UQR6" s="157"/>
      <c r="UQS6" s="157"/>
      <c r="UQT6" s="157"/>
      <c r="UQU6" s="157"/>
      <c r="UQV6" s="157"/>
      <c r="UQW6" s="157"/>
      <c r="UQX6" s="157"/>
      <c r="UQY6" s="157"/>
      <c r="UQZ6" s="157"/>
      <c r="URA6" s="157"/>
      <c r="URB6" s="157"/>
      <c r="URC6" s="157"/>
      <c r="URD6" s="157"/>
      <c r="URE6" s="157"/>
      <c r="URF6" s="157"/>
      <c r="URG6" s="157"/>
      <c r="URH6" s="157"/>
      <c r="URI6" s="157"/>
      <c r="URJ6" s="157"/>
      <c r="URK6" s="157"/>
      <c r="URL6" s="157"/>
      <c r="URM6" s="157"/>
      <c r="URN6" s="157"/>
      <c r="URO6" s="157"/>
      <c r="URP6" s="157"/>
      <c r="URQ6" s="157"/>
      <c r="URR6" s="157"/>
      <c r="URS6" s="157"/>
      <c r="URT6" s="157"/>
      <c r="URU6" s="157"/>
      <c r="URV6" s="157"/>
      <c r="URW6" s="157"/>
      <c r="URX6" s="157"/>
      <c r="URY6" s="157"/>
      <c r="URZ6" s="157"/>
      <c r="USA6" s="157"/>
      <c r="USB6" s="157"/>
      <c r="USC6" s="157"/>
      <c r="USD6" s="157"/>
      <c r="USE6" s="157"/>
      <c r="USF6" s="157"/>
      <c r="USG6" s="157"/>
      <c r="USH6" s="157"/>
      <c r="USI6" s="157"/>
      <c r="USJ6" s="157"/>
      <c r="USK6" s="157"/>
      <c r="USL6" s="157"/>
      <c r="USM6" s="157"/>
      <c r="USN6" s="157"/>
      <c r="USO6" s="157"/>
      <c r="USP6" s="157"/>
      <c r="USQ6" s="157"/>
      <c r="USR6" s="157"/>
      <c r="USS6" s="157"/>
      <c r="UST6" s="157"/>
      <c r="USU6" s="157"/>
      <c r="USV6" s="157"/>
      <c r="USW6" s="157"/>
      <c r="USX6" s="157"/>
      <c r="USY6" s="157"/>
      <c r="USZ6" s="157"/>
      <c r="UTA6" s="157"/>
      <c r="UTB6" s="157"/>
      <c r="UTC6" s="157"/>
      <c r="UTD6" s="157"/>
      <c r="UTE6" s="157"/>
      <c r="UTF6" s="157"/>
      <c r="UTG6" s="157"/>
      <c r="UTH6" s="157"/>
      <c r="UTI6" s="157"/>
      <c r="UTJ6" s="157"/>
      <c r="UTK6" s="157"/>
      <c r="UTL6" s="157"/>
      <c r="UTM6" s="157"/>
      <c r="UTN6" s="157"/>
      <c r="UTO6" s="157"/>
      <c r="UTP6" s="157"/>
      <c r="UTQ6" s="157"/>
      <c r="UTR6" s="157"/>
      <c r="UTS6" s="157"/>
      <c r="UTT6" s="157"/>
      <c r="UTU6" s="157"/>
      <c r="UTV6" s="157"/>
      <c r="UTW6" s="157"/>
      <c r="UTX6" s="157"/>
      <c r="UTY6" s="157"/>
      <c r="UTZ6" s="157"/>
      <c r="UUA6" s="157"/>
      <c r="UUB6" s="157"/>
      <c r="UUC6" s="157"/>
      <c r="UUD6" s="157"/>
      <c r="UUE6" s="157"/>
      <c r="UUF6" s="157"/>
      <c r="UUG6" s="157"/>
      <c r="UUH6" s="157"/>
      <c r="UUI6" s="157"/>
      <c r="UUJ6" s="157"/>
      <c r="UUK6" s="157"/>
      <c r="UUL6" s="157"/>
      <c r="UUM6" s="157"/>
      <c r="UUN6" s="157"/>
      <c r="UUO6" s="157"/>
      <c r="UUP6" s="157"/>
      <c r="UUQ6" s="157"/>
      <c r="UUR6" s="157"/>
      <c r="UUS6" s="157"/>
      <c r="UUT6" s="157"/>
      <c r="UUU6" s="157"/>
      <c r="UUV6" s="157"/>
      <c r="UUW6" s="157"/>
      <c r="UUX6" s="157"/>
      <c r="UUY6" s="157"/>
      <c r="UUZ6" s="157"/>
      <c r="UVA6" s="157"/>
      <c r="UVB6" s="157"/>
      <c r="UVC6" s="157"/>
      <c r="UVD6" s="157"/>
      <c r="UVE6" s="157"/>
      <c r="UVF6" s="157"/>
      <c r="UVG6" s="157"/>
      <c r="UVH6" s="157"/>
      <c r="UVI6" s="157"/>
      <c r="UVJ6" s="157"/>
      <c r="UVK6" s="157"/>
      <c r="UVL6" s="157"/>
      <c r="UVM6" s="157"/>
      <c r="UVN6" s="157"/>
      <c r="UVO6" s="157"/>
      <c r="UVP6" s="157"/>
      <c r="UVQ6" s="157"/>
      <c r="UVR6" s="157"/>
      <c r="UVS6" s="157"/>
      <c r="UVT6" s="157"/>
      <c r="UVU6" s="157"/>
      <c r="UVV6" s="157"/>
      <c r="UVW6" s="157"/>
      <c r="UVX6" s="157"/>
      <c r="UVY6" s="157"/>
      <c r="UVZ6" s="157"/>
      <c r="UWA6" s="157"/>
      <c r="UWB6" s="157"/>
      <c r="UWC6" s="157"/>
      <c r="UWD6" s="157"/>
      <c r="UWE6" s="157"/>
      <c r="UWF6" s="157"/>
      <c r="UWG6" s="157"/>
      <c r="UWH6" s="157"/>
      <c r="UWI6" s="157"/>
      <c r="UWJ6" s="157"/>
      <c r="UWK6" s="157"/>
      <c r="UWL6" s="157"/>
      <c r="UWM6" s="157"/>
      <c r="UWN6" s="157"/>
      <c r="UWO6" s="157"/>
      <c r="UWP6" s="157"/>
      <c r="UWQ6" s="157"/>
      <c r="UWR6" s="157"/>
      <c r="UWS6" s="157"/>
      <c r="UWT6" s="157"/>
      <c r="UWU6" s="157"/>
      <c r="UWV6" s="157"/>
      <c r="UWW6" s="157"/>
      <c r="UWX6" s="157"/>
      <c r="UWY6" s="157"/>
      <c r="UWZ6" s="157"/>
      <c r="UXA6" s="157"/>
      <c r="UXB6" s="157"/>
      <c r="UXC6" s="157"/>
      <c r="UXD6" s="157"/>
      <c r="UXE6" s="157"/>
      <c r="UXF6" s="157"/>
      <c r="UXG6" s="157"/>
      <c r="UXH6" s="157"/>
      <c r="UXI6" s="157"/>
      <c r="UXJ6" s="157"/>
      <c r="UXK6" s="157"/>
      <c r="UXL6" s="157"/>
      <c r="UXM6" s="157"/>
      <c r="UXN6" s="157"/>
      <c r="UXO6" s="157"/>
      <c r="UXP6" s="157"/>
      <c r="UXQ6" s="157"/>
      <c r="UXR6" s="157"/>
      <c r="UXS6" s="157"/>
      <c r="UXT6" s="157"/>
      <c r="UXU6" s="157"/>
      <c r="UXV6" s="157"/>
      <c r="UXW6" s="157"/>
      <c r="UXX6" s="157"/>
      <c r="UXY6" s="157"/>
      <c r="UXZ6" s="157"/>
      <c r="UYA6" s="157"/>
      <c r="UYB6" s="157"/>
      <c r="UYC6" s="157"/>
      <c r="UYD6" s="157"/>
      <c r="UYE6" s="157"/>
      <c r="UYF6" s="157"/>
      <c r="UYG6" s="157"/>
      <c r="UYH6" s="157"/>
      <c r="UYI6" s="157"/>
      <c r="UYJ6" s="157"/>
      <c r="UYK6" s="157"/>
      <c r="UYL6" s="157"/>
      <c r="UYM6" s="157"/>
      <c r="UYN6" s="157"/>
      <c r="UYO6" s="157"/>
      <c r="UYP6" s="157"/>
      <c r="UYQ6" s="157"/>
      <c r="UYR6" s="157"/>
      <c r="UYS6" s="157"/>
      <c r="UYT6" s="157"/>
      <c r="UYU6" s="157"/>
      <c r="UYV6" s="157"/>
      <c r="UYW6" s="157"/>
      <c r="UYX6" s="157"/>
      <c r="UYY6" s="157"/>
      <c r="UYZ6" s="157"/>
      <c r="UZA6" s="157"/>
      <c r="UZB6" s="157"/>
      <c r="UZC6" s="157"/>
      <c r="UZD6" s="157"/>
      <c r="UZE6" s="157"/>
      <c r="UZF6" s="157"/>
      <c r="UZG6" s="157"/>
      <c r="UZH6" s="157"/>
      <c r="UZI6" s="157"/>
      <c r="UZJ6" s="157"/>
      <c r="UZK6" s="157"/>
      <c r="UZL6" s="157"/>
      <c r="UZM6" s="157"/>
      <c r="UZN6" s="157"/>
      <c r="UZO6" s="157"/>
      <c r="UZP6" s="157"/>
      <c r="UZQ6" s="157"/>
      <c r="UZR6" s="157"/>
      <c r="UZS6" s="157"/>
      <c r="UZT6" s="157"/>
      <c r="UZU6" s="157"/>
      <c r="UZV6" s="157"/>
      <c r="UZW6" s="157"/>
      <c r="UZX6" s="157"/>
      <c r="UZY6" s="157"/>
      <c r="UZZ6" s="157"/>
      <c r="VAA6" s="157"/>
      <c r="VAB6" s="157"/>
      <c r="VAC6" s="157"/>
      <c r="VAD6" s="157"/>
      <c r="VAE6" s="157"/>
      <c r="VAF6" s="157"/>
      <c r="VAG6" s="157"/>
      <c r="VAH6" s="157"/>
      <c r="VAI6" s="157"/>
      <c r="VAJ6" s="157"/>
      <c r="VAK6" s="157"/>
      <c r="VAL6" s="157"/>
      <c r="VAM6" s="157"/>
      <c r="VAN6" s="157"/>
      <c r="VAO6" s="157"/>
      <c r="VAP6" s="157"/>
      <c r="VAQ6" s="157"/>
      <c r="VAR6" s="157"/>
      <c r="VAS6" s="157"/>
      <c r="VAT6" s="157"/>
      <c r="VAU6" s="157"/>
      <c r="VAV6" s="157"/>
      <c r="VAW6" s="157"/>
      <c r="VAX6" s="157"/>
      <c r="VAY6" s="157"/>
      <c r="VAZ6" s="157"/>
      <c r="VBA6" s="157"/>
      <c r="VBB6" s="157"/>
      <c r="VBC6" s="157"/>
      <c r="VBD6" s="157"/>
      <c r="VBE6" s="157"/>
      <c r="VBF6" s="157"/>
      <c r="VBG6" s="157"/>
      <c r="VBH6" s="157"/>
      <c r="VBI6" s="157"/>
      <c r="VBJ6" s="157"/>
      <c r="VBK6" s="157"/>
      <c r="VBL6" s="157"/>
      <c r="VBM6" s="157"/>
      <c r="VBN6" s="157"/>
      <c r="VBO6" s="157"/>
      <c r="VBP6" s="157"/>
      <c r="VBQ6" s="157"/>
      <c r="VBR6" s="157"/>
      <c r="VBS6" s="157"/>
      <c r="VBT6" s="157"/>
      <c r="VBU6" s="157"/>
      <c r="VBV6" s="157"/>
      <c r="VBW6" s="157"/>
      <c r="VBX6" s="157"/>
      <c r="VBY6" s="157"/>
      <c r="VBZ6" s="157"/>
      <c r="VCA6" s="157"/>
      <c r="VCB6" s="157"/>
      <c r="VCC6" s="157"/>
      <c r="VCD6" s="157"/>
      <c r="VCE6" s="157"/>
      <c r="VCF6" s="157"/>
      <c r="VCG6" s="157"/>
      <c r="VCH6" s="157"/>
      <c r="VCI6" s="157"/>
      <c r="VCJ6" s="157"/>
      <c r="VCK6" s="157"/>
      <c r="VCL6" s="157"/>
      <c r="VCM6" s="157"/>
      <c r="VCN6" s="157"/>
      <c r="VCO6" s="157"/>
      <c r="VCP6" s="157"/>
      <c r="VCQ6" s="157"/>
      <c r="VCR6" s="157"/>
      <c r="VCS6" s="157"/>
      <c r="VCT6" s="157"/>
      <c r="VCU6" s="157"/>
      <c r="VCV6" s="157"/>
      <c r="VCW6" s="157"/>
      <c r="VCX6" s="157"/>
      <c r="VCY6" s="157"/>
      <c r="VCZ6" s="157"/>
      <c r="VDA6" s="157"/>
      <c r="VDB6" s="157"/>
      <c r="VDC6" s="157"/>
      <c r="VDD6" s="157"/>
      <c r="VDE6" s="157"/>
      <c r="VDF6" s="157"/>
      <c r="VDG6" s="157"/>
      <c r="VDH6" s="157"/>
      <c r="VDI6" s="157"/>
      <c r="VDJ6" s="157"/>
      <c r="VDK6" s="157"/>
      <c r="VDL6" s="157"/>
      <c r="VDM6" s="157"/>
      <c r="VDN6" s="157"/>
      <c r="VDO6" s="157"/>
      <c r="VDP6" s="157"/>
      <c r="VDQ6" s="157"/>
      <c r="VDR6" s="157"/>
      <c r="VDS6" s="157"/>
      <c r="VDT6" s="157"/>
      <c r="VDU6" s="157"/>
      <c r="VDV6" s="157"/>
      <c r="VDW6" s="157"/>
      <c r="VDX6" s="157"/>
      <c r="VDY6" s="157"/>
      <c r="VDZ6" s="157"/>
      <c r="VEA6" s="157"/>
      <c r="VEB6" s="157"/>
      <c r="VEC6" s="157"/>
      <c r="VED6" s="157"/>
      <c r="VEE6" s="157"/>
      <c r="VEF6" s="157"/>
      <c r="VEG6" s="157"/>
      <c r="VEH6" s="157"/>
      <c r="VEI6" s="157"/>
      <c r="VEJ6" s="157"/>
      <c r="VEK6" s="157"/>
      <c r="VEL6" s="157"/>
      <c r="VEM6" s="157"/>
      <c r="VEN6" s="157"/>
      <c r="VEO6" s="157"/>
      <c r="VEP6" s="157"/>
      <c r="VEQ6" s="157"/>
      <c r="VER6" s="157"/>
      <c r="VES6" s="157"/>
      <c r="VET6" s="157"/>
      <c r="VEU6" s="157"/>
      <c r="VEV6" s="157"/>
      <c r="VEW6" s="157"/>
      <c r="VEX6" s="157"/>
      <c r="VEY6" s="157"/>
      <c r="VEZ6" s="157"/>
      <c r="VFA6" s="157"/>
      <c r="VFB6" s="157"/>
      <c r="VFC6" s="157"/>
      <c r="VFD6" s="157"/>
      <c r="VFE6" s="157"/>
      <c r="VFF6" s="157"/>
      <c r="VFG6" s="157"/>
      <c r="VFH6" s="157"/>
      <c r="VFI6" s="157"/>
      <c r="VFJ6" s="157"/>
      <c r="VFK6" s="157"/>
      <c r="VFL6" s="157"/>
      <c r="VFM6" s="157"/>
      <c r="VFN6" s="157"/>
      <c r="VFO6" s="157"/>
      <c r="VFP6" s="157"/>
      <c r="VFQ6" s="157"/>
      <c r="VFR6" s="157"/>
      <c r="VFS6" s="157"/>
      <c r="VFT6" s="157"/>
      <c r="VFU6" s="157"/>
      <c r="VFV6" s="157"/>
      <c r="VFW6" s="157"/>
      <c r="VFX6" s="157"/>
      <c r="VFY6" s="157"/>
      <c r="VFZ6" s="157"/>
      <c r="VGA6" s="157"/>
      <c r="VGB6" s="157"/>
      <c r="VGC6" s="157"/>
      <c r="VGD6" s="157"/>
      <c r="VGE6" s="157"/>
      <c r="VGF6" s="157"/>
      <c r="VGG6" s="157"/>
      <c r="VGH6" s="157"/>
      <c r="VGI6" s="157"/>
      <c r="VGJ6" s="157"/>
      <c r="VGK6" s="157"/>
      <c r="VGL6" s="157"/>
      <c r="VGM6" s="157"/>
      <c r="VGN6" s="157"/>
      <c r="VGO6" s="157"/>
      <c r="VGP6" s="157"/>
      <c r="VGQ6" s="157"/>
      <c r="VGR6" s="157"/>
      <c r="VGS6" s="157"/>
      <c r="VGT6" s="157"/>
      <c r="VGU6" s="157"/>
      <c r="VGV6" s="157"/>
      <c r="VGW6" s="157"/>
      <c r="VGX6" s="157"/>
      <c r="VGY6" s="157"/>
      <c r="VGZ6" s="157"/>
      <c r="VHA6" s="157"/>
      <c r="VHB6" s="157"/>
      <c r="VHC6" s="157"/>
      <c r="VHD6" s="157"/>
      <c r="VHE6" s="157"/>
      <c r="VHF6" s="157"/>
      <c r="VHG6" s="157"/>
      <c r="VHH6" s="157"/>
      <c r="VHI6" s="157"/>
      <c r="VHJ6" s="157"/>
      <c r="VHK6" s="157"/>
      <c r="VHL6" s="157"/>
      <c r="VHM6" s="157"/>
      <c r="VHN6" s="157"/>
      <c r="VHO6" s="157"/>
      <c r="VHP6" s="157"/>
      <c r="VHQ6" s="157"/>
      <c r="VHR6" s="157"/>
      <c r="VHS6" s="157"/>
      <c r="VHT6" s="157"/>
      <c r="VHU6" s="157"/>
      <c r="VHV6" s="157"/>
      <c r="VHW6" s="157"/>
      <c r="VHX6" s="157"/>
      <c r="VHY6" s="157"/>
      <c r="VHZ6" s="157"/>
      <c r="VIA6" s="157"/>
      <c r="VIB6" s="157"/>
      <c r="VIC6" s="157"/>
      <c r="VID6" s="157"/>
      <c r="VIE6" s="157"/>
      <c r="VIF6" s="157"/>
      <c r="VIG6" s="157"/>
      <c r="VIH6" s="157"/>
      <c r="VII6" s="157"/>
      <c r="VIJ6" s="157"/>
      <c r="VIK6" s="157"/>
      <c r="VIL6" s="157"/>
      <c r="VIM6" s="157"/>
      <c r="VIN6" s="157"/>
      <c r="VIO6" s="157"/>
      <c r="VIP6" s="157"/>
      <c r="VIQ6" s="157"/>
      <c r="VIR6" s="157"/>
      <c r="VIS6" s="157"/>
      <c r="VIT6" s="157"/>
      <c r="VIU6" s="157"/>
      <c r="VIV6" s="157"/>
      <c r="VIW6" s="157"/>
      <c r="VIX6" s="157"/>
      <c r="VIY6" s="157"/>
      <c r="VIZ6" s="157"/>
      <c r="VJA6" s="157"/>
      <c r="VJB6" s="157"/>
      <c r="VJC6" s="157"/>
      <c r="VJD6" s="157"/>
      <c r="VJE6" s="157"/>
      <c r="VJF6" s="157"/>
      <c r="VJG6" s="157"/>
      <c r="VJH6" s="157"/>
      <c r="VJI6" s="157"/>
      <c r="VJJ6" s="157"/>
      <c r="VJK6" s="157"/>
      <c r="VJL6" s="157"/>
      <c r="VJM6" s="157"/>
      <c r="VJN6" s="157"/>
      <c r="VJO6" s="157"/>
      <c r="VJP6" s="157"/>
      <c r="VJQ6" s="157"/>
      <c r="VJR6" s="157"/>
      <c r="VJS6" s="157"/>
      <c r="VJT6" s="157"/>
      <c r="VJU6" s="157"/>
      <c r="VJV6" s="157"/>
      <c r="VJW6" s="157"/>
      <c r="VJX6" s="157"/>
      <c r="VJY6" s="157"/>
      <c r="VJZ6" s="157"/>
      <c r="VKA6" s="157"/>
      <c r="VKB6" s="157"/>
      <c r="VKC6" s="157"/>
      <c r="VKD6" s="157"/>
      <c r="VKE6" s="157"/>
      <c r="VKF6" s="157"/>
      <c r="VKG6" s="157"/>
      <c r="VKH6" s="157"/>
      <c r="VKI6" s="157"/>
      <c r="VKJ6" s="157"/>
      <c r="VKK6" s="157"/>
      <c r="VKL6" s="157"/>
      <c r="VKM6" s="157"/>
      <c r="VKN6" s="157"/>
      <c r="VKO6" s="157"/>
      <c r="VKP6" s="157"/>
      <c r="VKQ6" s="157"/>
      <c r="VKR6" s="157"/>
      <c r="VKS6" s="157"/>
      <c r="VKT6" s="157"/>
      <c r="VKU6" s="157"/>
      <c r="VKV6" s="157"/>
      <c r="VKW6" s="157"/>
      <c r="VKX6" s="157"/>
      <c r="VKY6" s="157"/>
      <c r="VKZ6" s="157"/>
      <c r="VLA6" s="157"/>
      <c r="VLB6" s="157"/>
      <c r="VLC6" s="157"/>
      <c r="VLD6" s="157"/>
      <c r="VLE6" s="157"/>
      <c r="VLF6" s="157"/>
      <c r="VLG6" s="157"/>
      <c r="VLH6" s="157"/>
      <c r="VLI6" s="157"/>
      <c r="VLJ6" s="157"/>
      <c r="VLK6" s="157"/>
      <c r="VLL6" s="157"/>
      <c r="VLM6" s="157"/>
      <c r="VLN6" s="157"/>
      <c r="VLO6" s="157"/>
      <c r="VLP6" s="157"/>
      <c r="VLQ6" s="157"/>
      <c r="VLR6" s="157"/>
      <c r="VLS6" s="157"/>
      <c r="VLT6" s="157"/>
      <c r="VLU6" s="157"/>
      <c r="VLV6" s="157"/>
      <c r="VLW6" s="157"/>
      <c r="VLX6" s="157"/>
      <c r="VLY6" s="157"/>
      <c r="VLZ6" s="157"/>
      <c r="VMA6" s="157"/>
      <c r="VMB6" s="157"/>
      <c r="VMC6" s="157"/>
      <c r="VMD6" s="157"/>
      <c r="VME6" s="157"/>
      <c r="VMF6" s="157"/>
      <c r="VMG6" s="157"/>
      <c r="VMH6" s="157"/>
      <c r="VMI6" s="157"/>
      <c r="VMJ6" s="157"/>
      <c r="VMK6" s="157"/>
      <c r="VML6" s="157"/>
      <c r="VMM6" s="157"/>
      <c r="VMN6" s="157"/>
      <c r="VMO6" s="157"/>
      <c r="VMP6" s="157"/>
      <c r="VMQ6" s="157"/>
      <c r="VMR6" s="157"/>
      <c r="VMS6" s="157"/>
      <c r="VMT6" s="157"/>
      <c r="VMU6" s="157"/>
      <c r="VMV6" s="157"/>
      <c r="VMW6" s="157"/>
      <c r="VMX6" s="157"/>
      <c r="VMY6" s="157"/>
      <c r="VMZ6" s="157"/>
      <c r="VNA6" s="157"/>
      <c r="VNB6" s="157"/>
      <c r="VNC6" s="157"/>
      <c r="VND6" s="157"/>
      <c r="VNE6" s="157"/>
      <c r="VNF6" s="157"/>
      <c r="VNG6" s="157"/>
      <c r="VNH6" s="157"/>
      <c r="VNI6" s="157"/>
      <c r="VNJ6" s="157"/>
      <c r="VNK6" s="157"/>
      <c r="VNL6" s="157"/>
      <c r="VNM6" s="157"/>
      <c r="VNN6" s="157"/>
      <c r="VNO6" s="157"/>
      <c r="VNP6" s="157"/>
      <c r="VNQ6" s="157"/>
      <c r="VNR6" s="157"/>
      <c r="VNS6" s="157"/>
      <c r="VNT6" s="157"/>
      <c r="VNU6" s="157"/>
      <c r="VNV6" s="157"/>
      <c r="VNW6" s="157"/>
      <c r="VNX6" s="157"/>
      <c r="VNY6" s="157"/>
      <c r="VNZ6" s="157"/>
      <c r="VOA6" s="157"/>
      <c r="VOB6" s="157"/>
      <c r="VOC6" s="157"/>
      <c r="VOD6" s="157"/>
      <c r="VOE6" s="157"/>
      <c r="VOF6" s="157"/>
      <c r="VOG6" s="157"/>
      <c r="VOH6" s="157"/>
      <c r="VOI6" s="157"/>
      <c r="VOJ6" s="157"/>
      <c r="VOK6" s="157"/>
      <c r="VOL6" s="157"/>
      <c r="VOM6" s="157"/>
      <c r="VON6" s="157"/>
      <c r="VOO6" s="157"/>
      <c r="VOP6" s="157"/>
      <c r="VOQ6" s="157"/>
      <c r="VOR6" s="157"/>
      <c r="VOS6" s="157"/>
      <c r="VOT6" s="157"/>
      <c r="VOU6" s="157"/>
      <c r="VOV6" s="157"/>
      <c r="VOW6" s="157"/>
      <c r="VOX6" s="157"/>
      <c r="VOY6" s="157"/>
      <c r="VOZ6" s="157"/>
      <c r="VPA6" s="157"/>
      <c r="VPB6" s="157"/>
      <c r="VPC6" s="157"/>
      <c r="VPD6" s="157"/>
      <c r="VPE6" s="157"/>
      <c r="VPF6" s="157"/>
      <c r="VPG6" s="157"/>
      <c r="VPH6" s="157"/>
      <c r="VPI6" s="157"/>
      <c r="VPJ6" s="157"/>
      <c r="VPK6" s="157"/>
      <c r="VPL6" s="157"/>
      <c r="VPM6" s="157"/>
      <c r="VPN6" s="157"/>
      <c r="VPO6" s="157"/>
      <c r="VPP6" s="157"/>
      <c r="VPQ6" s="157"/>
      <c r="VPR6" s="157"/>
      <c r="VPS6" s="157"/>
      <c r="VPT6" s="157"/>
      <c r="VPU6" s="157"/>
      <c r="VPV6" s="157"/>
      <c r="VPW6" s="157"/>
      <c r="VPX6" s="157"/>
      <c r="VPY6" s="157"/>
      <c r="VPZ6" s="157"/>
      <c r="VQA6" s="157"/>
      <c r="VQB6" s="157"/>
      <c r="VQC6" s="157"/>
      <c r="VQD6" s="157"/>
      <c r="VQE6" s="157"/>
      <c r="VQF6" s="157"/>
      <c r="VQG6" s="157"/>
      <c r="VQH6" s="157"/>
      <c r="VQI6" s="157"/>
      <c r="VQJ6" s="157"/>
      <c r="VQK6" s="157"/>
      <c r="VQL6" s="157"/>
      <c r="VQM6" s="157"/>
      <c r="VQN6" s="157"/>
      <c r="VQO6" s="157"/>
      <c r="VQP6" s="157"/>
      <c r="VQQ6" s="157"/>
      <c r="VQR6" s="157"/>
      <c r="VQS6" s="157"/>
      <c r="VQT6" s="157"/>
      <c r="VQU6" s="157"/>
      <c r="VQV6" s="157"/>
      <c r="VQW6" s="157"/>
      <c r="VQX6" s="157"/>
      <c r="VQY6" s="157"/>
      <c r="VQZ6" s="157"/>
      <c r="VRA6" s="157"/>
      <c r="VRB6" s="157"/>
      <c r="VRC6" s="157"/>
      <c r="VRD6" s="157"/>
      <c r="VRE6" s="157"/>
      <c r="VRF6" s="157"/>
      <c r="VRG6" s="157"/>
      <c r="VRH6" s="157"/>
      <c r="VRI6" s="157"/>
      <c r="VRJ6" s="157"/>
      <c r="VRK6" s="157"/>
      <c r="VRL6" s="157"/>
      <c r="VRM6" s="157"/>
      <c r="VRN6" s="157"/>
      <c r="VRO6" s="157"/>
      <c r="VRP6" s="157"/>
      <c r="VRQ6" s="157"/>
      <c r="VRR6" s="157"/>
      <c r="VRS6" s="157"/>
      <c r="VRT6" s="157"/>
      <c r="VRU6" s="157"/>
      <c r="VRV6" s="157"/>
      <c r="VRW6" s="157"/>
      <c r="VRX6" s="157"/>
      <c r="VRY6" s="157"/>
      <c r="VRZ6" s="157"/>
      <c r="VSA6" s="157"/>
      <c r="VSB6" s="157"/>
      <c r="VSC6" s="157"/>
      <c r="VSD6" s="157"/>
      <c r="VSE6" s="157"/>
      <c r="VSF6" s="157"/>
      <c r="VSG6" s="157"/>
      <c r="VSH6" s="157"/>
      <c r="VSI6" s="157"/>
      <c r="VSJ6" s="157"/>
      <c r="VSK6" s="157"/>
      <c r="VSL6" s="157"/>
      <c r="VSM6" s="157"/>
      <c r="VSN6" s="157"/>
      <c r="VSO6" s="157"/>
      <c r="VSP6" s="157"/>
      <c r="VSQ6" s="157"/>
      <c r="VSR6" s="157"/>
      <c r="VSS6" s="157"/>
      <c r="VST6" s="157"/>
      <c r="VSU6" s="157"/>
      <c r="VSV6" s="157"/>
      <c r="VSW6" s="157"/>
      <c r="VSX6" s="157"/>
      <c r="VSY6" s="157"/>
      <c r="VSZ6" s="157"/>
      <c r="VTA6" s="157"/>
      <c r="VTB6" s="157"/>
      <c r="VTC6" s="157"/>
      <c r="VTD6" s="157"/>
      <c r="VTE6" s="157"/>
      <c r="VTF6" s="157"/>
      <c r="VTG6" s="157"/>
      <c r="VTH6" s="157"/>
      <c r="VTI6" s="157"/>
      <c r="VTJ6" s="157"/>
      <c r="VTK6" s="157"/>
      <c r="VTL6" s="157"/>
      <c r="VTM6" s="157"/>
      <c r="VTN6" s="157"/>
      <c r="VTO6" s="157"/>
      <c r="VTP6" s="157"/>
      <c r="VTQ6" s="157"/>
      <c r="VTR6" s="157"/>
      <c r="VTS6" s="157"/>
      <c r="VTT6" s="157"/>
      <c r="VTU6" s="157"/>
      <c r="VTV6" s="157"/>
      <c r="VTW6" s="157"/>
      <c r="VTX6" s="157"/>
      <c r="VTY6" s="157"/>
      <c r="VTZ6" s="157"/>
      <c r="VUA6" s="157"/>
      <c r="VUB6" s="157"/>
      <c r="VUC6" s="157"/>
      <c r="VUD6" s="157"/>
      <c r="VUE6" s="157"/>
      <c r="VUF6" s="157"/>
      <c r="VUG6" s="157"/>
      <c r="VUH6" s="157"/>
      <c r="VUI6" s="157"/>
      <c r="VUJ6" s="157"/>
      <c r="VUK6" s="157"/>
      <c r="VUL6" s="157"/>
      <c r="VUM6" s="157"/>
      <c r="VUN6" s="157"/>
      <c r="VUO6" s="157"/>
      <c r="VUP6" s="157"/>
      <c r="VUQ6" s="157"/>
      <c r="VUR6" s="157"/>
      <c r="VUS6" s="157"/>
      <c r="VUT6" s="157"/>
      <c r="VUU6" s="157"/>
      <c r="VUV6" s="157"/>
      <c r="VUW6" s="157"/>
      <c r="VUX6" s="157"/>
      <c r="VUY6" s="157"/>
      <c r="VUZ6" s="157"/>
      <c r="VVA6" s="157"/>
      <c r="VVB6" s="157"/>
      <c r="VVC6" s="157"/>
      <c r="VVD6" s="157"/>
      <c r="VVE6" s="157"/>
      <c r="VVF6" s="157"/>
      <c r="VVG6" s="157"/>
      <c r="VVH6" s="157"/>
      <c r="VVI6" s="157"/>
      <c r="VVJ6" s="157"/>
      <c r="VVK6" s="157"/>
      <c r="VVL6" s="157"/>
      <c r="VVM6" s="157"/>
      <c r="VVN6" s="157"/>
      <c r="VVO6" s="157"/>
      <c r="VVP6" s="157"/>
      <c r="VVQ6" s="157"/>
      <c r="VVR6" s="157"/>
      <c r="VVS6" s="157"/>
      <c r="VVT6" s="157"/>
      <c r="VVU6" s="157"/>
      <c r="VVV6" s="157"/>
      <c r="VVW6" s="157"/>
      <c r="VVX6" s="157"/>
      <c r="VVY6" s="157"/>
      <c r="VVZ6" s="157"/>
      <c r="VWA6" s="157"/>
      <c r="VWB6" s="157"/>
      <c r="VWC6" s="157"/>
      <c r="VWD6" s="157"/>
      <c r="VWE6" s="157"/>
      <c r="VWF6" s="157"/>
      <c r="VWG6" s="157"/>
      <c r="VWH6" s="157"/>
      <c r="VWI6" s="157"/>
      <c r="VWJ6" s="157"/>
      <c r="VWK6" s="157"/>
      <c r="VWL6" s="157"/>
      <c r="VWM6" s="157"/>
      <c r="VWN6" s="157"/>
      <c r="VWO6" s="157"/>
      <c r="VWP6" s="157"/>
      <c r="VWQ6" s="157"/>
      <c r="VWR6" s="157"/>
      <c r="VWS6" s="157"/>
      <c r="VWT6" s="157"/>
      <c r="VWU6" s="157"/>
      <c r="VWV6" s="157"/>
      <c r="VWW6" s="157"/>
      <c r="VWX6" s="157"/>
      <c r="VWY6" s="157"/>
      <c r="VWZ6" s="157"/>
      <c r="VXA6" s="157"/>
      <c r="VXB6" s="157"/>
      <c r="VXC6" s="157"/>
      <c r="VXD6" s="157"/>
      <c r="VXE6" s="157"/>
      <c r="VXF6" s="157"/>
      <c r="VXG6" s="157"/>
      <c r="VXH6" s="157"/>
      <c r="VXI6" s="157"/>
      <c r="VXJ6" s="157"/>
      <c r="VXK6" s="157"/>
      <c r="VXL6" s="157"/>
      <c r="VXM6" s="157"/>
      <c r="VXN6" s="157"/>
      <c r="VXO6" s="157"/>
      <c r="VXP6" s="157"/>
      <c r="VXQ6" s="157"/>
      <c r="VXR6" s="157"/>
      <c r="VXS6" s="157"/>
      <c r="VXT6" s="157"/>
      <c r="VXU6" s="157"/>
      <c r="VXV6" s="157"/>
      <c r="VXW6" s="157"/>
      <c r="VXX6" s="157"/>
      <c r="VXY6" s="157"/>
      <c r="VXZ6" s="157"/>
      <c r="VYA6" s="157"/>
      <c r="VYB6" s="157"/>
      <c r="VYC6" s="157"/>
      <c r="VYD6" s="157"/>
      <c r="VYE6" s="157"/>
      <c r="VYF6" s="157"/>
      <c r="VYG6" s="157"/>
      <c r="VYH6" s="157"/>
      <c r="VYI6" s="157"/>
      <c r="VYJ6" s="157"/>
      <c r="VYK6" s="157"/>
      <c r="VYL6" s="157"/>
      <c r="VYM6" s="157"/>
      <c r="VYN6" s="157"/>
      <c r="VYO6" s="157"/>
      <c r="VYP6" s="157"/>
      <c r="VYQ6" s="157"/>
      <c r="VYR6" s="157"/>
      <c r="VYS6" s="157"/>
      <c r="VYT6" s="157"/>
      <c r="VYU6" s="157"/>
      <c r="VYV6" s="157"/>
      <c r="VYW6" s="157"/>
      <c r="VYX6" s="157"/>
      <c r="VYY6" s="157"/>
      <c r="VYZ6" s="157"/>
      <c r="VZA6" s="157"/>
      <c r="VZB6" s="157"/>
      <c r="VZC6" s="157"/>
      <c r="VZD6" s="157"/>
      <c r="VZE6" s="157"/>
      <c r="VZF6" s="157"/>
      <c r="VZG6" s="157"/>
      <c r="VZH6" s="157"/>
      <c r="VZI6" s="157"/>
      <c r="VZJ6" s="157"/>
      <c r="VZK6" s="157"/>
      <c r="VZL6" s="157"/>
      <c r="VZM6" s="157"/>
      <c r="VZN6" s="157"/>
      <c r="VZO6" s="157"/>
      <c r="VZP6" s="157"/>
      <c r="VZQ6" s="157"/>
      <c r="VZR6" s="157"/>
      <c r="VZS6" s="157"/>
      <c r="VZT6" s="157"/>
      <c r="VZU6" s="157"/>
      <c r="VZV6" s="157"/>
      <c r="VZW6" s="157"/>
      <c r="VZX6" s="157"/>
      <c r="VZY6" s="157"/>
      <c r="VZZ6" s="157"/>
      <c r="WAA6" s="157"/>
      <c r="WAB6" s="157"/>
      <c r="WAC6" s="157"/>
      <c r="WAD6" s="157"/>
      <c r="WAE6" s="157"/>
      <c r="WAF6" s="157"/>
      <c r="WAG6" s="157"/>
      <c r="WAH6" s="157"/>
      <c r="WAI6" s="157"/>
      <c r="WAJ6" s="157"/>
      <c r="WAK6" s="157"/>
      <c r="WAL6" s="157"/>
      <c r="WAM6" s="157"/>
      <c r="WAN6" s="157"/>
      <c r="WAO6" s="157"/>
      <c r="WAP6" s="157"/>
      <c r="WAQ6" s="157"/>
      <c r="WAR6" s="157"/>
      <c r="WAS6" s="157"/>
      <c r="WAT6" s="157"/>
      <c r="WAU6" s="157"/>
      <c r="WAV6" s="157"/>
      <c r="WAW6" s="157"/>
      <c r="WAX6" s="157"/>
      <c r="WAY6" s="157"/>
      <c r="WAZ6" s="157"/>
      <c r="WBA6" s="157"/>
      <c r="WBB6" s="157"/>
      <c r="WBC6" s="157"/>
      <c r="WBD6" s="157"/>
      <c r="WBE6" s="157"/>
      <c r="WBF6" s="157"/>
      <c r="WBG6" s="157"/>
      <c r="WBH6" s="157"/>
      <c r="WBI6" s="157"/>
      <c r="WBJ6" s="157"/>
      <c r="WBK6" s="157"/>
      <c r="WBL6" s="157"/>
      <c r="WBM6" s="157"/>
      <c r="WBN6" s="157"/>
      <c r="WBO6" s="157"/>
      <c r="WBP6" s="157"/>
      <c r="WBQ6" s="157"/>
      <c r="WBR6" s="157"/>
      <c r="WBS6" s="157"/>
      <c r="WBT6" s="157"/>
      <c r="WBU6" s="157"/>
      <c r="WBV6" s="157"/>
      <c r="WBW6" s="157"/>
      <c r="WBX6" s="157"/>
      <c r="WBY6" s="157"/>
      <c r="WBZ6" s="157"/>
      <c r="WCA6" s="157"/>
      <c r="WCB6" s="157"/>
      <c r="WCC6" s="157"/>
      <c r="WCD6" s="157"/>
      <c r="WCE6" s="157"/>
      <c r="WCF6" s="157"/>
      <c r="WCG6" s="157"/>
      <c r="WCH6" s="157"/>
      <c r="WCI6" s="157"/>
      <c r="WCJ6" s="157"/>
      <c r="WCK6" s="157"/>
      <c r="WCL6" s="157"/>
      <c r="WCM6" s="157"/>
      <c r="WCN6" s="157"/>
      <c r="WCO6" s="157"/>
      <c r="WCP6" s="157"/>
      <c r="WCQ6" s="157"/>
      <c r="WCR6" s="157"/>
      <c r="WCS6" s="157"/>
      <c r="WCT6" s="157"/>
      <c r="WCU6" s="157"/>
      <c r="WCV6" s="157"/>
      <c r="WCW6" s="157"/>
      <c r="WCX6" s="157"/>
      <c r="WCY6" s="157"/>
      <c r="WCZ6" s="157"/>
      <c r="WDA6" s="157"/>
      <c r="WDB6" s="157"/>
      <c r="WDC6" s="157"/>
      <c r="WDD6" s="157"/>
      <c r="WDE6" s="157"/>
      <c r="WDF6" s="157"/>
      <c r="WDG6" s="157"/>
      <c r="WDH6" s="157"/>
      <c r="WDI6" s="157"/>
      <c r="WDJ6" s="157"/>
      <c r="WDK6" s="157"/>
      <c r="WDL6" s="157"/>
      <c r="WDM6" s="157"/>
      <c r="WDN6" s="157"/>
      <c r="WDO6" s="157"/>
      <c r="WDP6" s="157"/>
      <c r="WDQ6" s="157"/>
      <c r="WDR6" s="157"/>
      <c r="WDS6" s="157"/>
      <c r="WDT6" s="157"/>
      <c r="WDU6" s="157"/>
      <c r="WDV6" s="157"/>
      <c r="WDW6" s="157"/>
      <c r="WDX6" s="157"/>
      <c r="WDY6" s="157"/>
      <c r="WDZ6" s="157"/>
      <c r="WEA6" s="157"/>
      <c r="WEB6" s="157"/>
      <c r="WEC6" s="157"/>
      <c r="WED6" s="157"/>
      <c r="WEE6" s="157"/>
      <c r="WEF6" s="157"/>
      <c r="WEG6" s="157"/>
      <c r="WEH6" s="157"/>
      <c r="WEI6" s="157"/>
      <c r="WEJ6" s="157"/>
      <c r="WEK6" s="157"/>
      <c r="WEL6" s="157"/>
      <c r="WEM6" s="157"/>
      <c r="WEN6" s="157"/>
      <c r="WEO6" s="157"/>
      <c r="WEP6" s="157"/>
      <c r="WEQ6" s="157"/>
      <c r="WER6" s="157"/>
      <c r="WES6" s="157"/>
      <c r="WET6" s="157"/>
      <c r="WEU6" s="157"/>
      <c r="WEV6" s="157"/>
      <c r="WEW6" s="157"/>
      <c r="WEX6" s="157"/>
      <c r="WEY6" s="157"/>
      <c r="WEZ6" s="157"/>
      <c r="WFA6" s="157"/>
      <c r="WFB6" s="157"/>
      <c r="WFC6" s="157"/>
      <c r="WFD6" s="157"/>
      <c r="WFE6" s="157"/>
      <c r="WFF6" s="157"/>
      <c r="WFG6" s="157"/>
      <c r="WFH6" s="157"/>
      <c r="WFI6" s="157"/>
      <c r="WFJ6" s="157"/>
      <c r="WFK6" s="157"/>
      <c r="WFL6" s="157"/>
      <c r="WFM6" s="157"/>
      <c r="WFN6" s="157"/>
      <c r="WFO6" s="157"/>
      <c r="WFP6" s="157"/>
      <c r="WFQ6" s="157"/>
      <c r="WFR6" s="157"/>
      <c r="WFS6" s="157"/>
      <c r="WFT6" s="157"/>
      <c r="WFU6" s="157"/>
      <c r="WFV6" s="157"/>
      <c r="WFW6" s="157"/>
      <c r="WFX6" s="157"/>
      <c r="WFY6" s="157"/>
      <c r="WFZ6" s="157"/>
      <c r="WGA6" s="157"/>
      <c r="WGB6" s="157"/>
      <c r="WGC6" s="157"/>
      <c r="WGD6" s="157"/>
      <c r="WGE6" s="157"/>
      <c r="WGF6" s="157"/>
      <c r="WGG6" s="157"/>
      <c r="WGH6" s="157"/>
      <c r="WGI6" s="157"/>
      <c r="WGJ6" s="157"/>
      <c r="WGK6" s="157"/>
      <c r="WGL6" s="157"/>
      <c r="WGM6" s="157"/>
      <c r="WGN6" s="157"/>
      <c r="WGO6" s="157"/>
      <c r="WGP6" s="157"/>
      <c r="WGQ6" s="157"/>
      <c r="WGR6" s="157"/>
      <c r="WGS6" s="157"/>
      <c r="WGT6" s="157"/>
      <c r="WGU6" s="157"/>
      <c r="WGV6" s="157"/>
      <c r="WGW6" s="157"/>
      <c r="WGX6" s="157"/>
      <c r="WGY6" s="157"/>
      <c r="WGZ6" s="157"/>
      <c r="WHA6" s="157"/>
      <c r="WHB6" s="157"/>
      <c r="WHC6" s="157"/>
      <c r="WHD6" s="157"/>
      <c r="WHE6" s="157"/>
      <c r="WHF6" s="157"/>
      <c r="WHG6" s="157"/>
      <c r="WHH6" s="157"/>
      <c r="WHI6" s="157"/>
      <c r="WHJ6" s="157"/>
      <c r="WHK6" s="157"/>
      <c r="WHL6" s="157"/>
      <c r="WHM6" s="157"/>
      <c r="WHN6" s="157"/>
      <c r="WHO6" s="157"/>
      <c r="WHP6" s="157"/>
      <c r="WHQ6" s="157"/>
      <c r="WHR6" s="157"/>
      <c r="WHS6" s="157"/>
      <c r="WHT6" s="157"/>
      <c r="WHU6" s="157"/>
      <c r="WHV6" s="157"/>
      <c r="WHW6" s="157"/>
      <c r="WHX6" s="157"/>
      <c r="WHY6" s="157"/>
      <c r="WHZ6" s="157"/>
      <c r="WIA6" s="157"/>
      <c r="WIB6" s="157"/>
      <c r="WIC6" s="157"/>
      <c r="WID6" s="157"/>
      <c r="WIE6" s="157"/>
      <c r="WIF6" s="157"/>
      <c r="WIG6" s="157"/>
      <c r="WIH6" s="157"/>
      <c r="WII6" s="157"/>
      <c r="WIJ6" s="157"/>
      <c r="WIK6" s="157"/>
      <c r="WIL6" s="157"/>
      <c r="WIM6" s="157"/>
      <c r="WIN6" s="157"/>
      <c r="WIO6" s="157"/>
      <c r="WIP6" s="157"/>
      <c r="WIQ6" s="157"/>
      <c r="WIR6" s="157"/>
      <c r="WIS6" s="157"/>
      <c r="WIT6" s="157"/>
      <c r="WIU6" s="157"/>
      <c r="WIV6" s="157"/>
      <c r="WIW6" s="157"/>
      <c r="WIX6" s="157"/>
      <c r="WIY6" s="157"/>
      <c r="WIZ6" s="157"/>
      <c r="WJA6" s="157"/>
      <c r="WJB6" s="157"/>
      <c r="WJC6" s="157"/>
      <c r="WJD6" s="157"/>
      <c r="WJE6" s="157"/>
      <c r="WJF6" s="157"/>
      <c r="WJG6" s="157"/>
      <c r="WJH6" s="157"/>
      <c r="WJI6" s="157"/>
      <c r="WJJ6" s="157"/>
      <c r="WJK6" s="157"/>
      <c r="WJL6" s="157"/>
      <c r="WJM6" s="157"/>
      <c r="WJN6" s="157"/>
      <c r="WJO6" s="157"/>
      <c r="WJP6" s="157"/>
      <c r="WJQ6" s="157"/>
      <c r="WJR6" s="157"/>
      <c r="WJS6" s="157"/>
      <c r="WJT6" s="157"/>
      <c r="WJU6" s="157"/>
      <c r="WJV6" s="157"/>
      <c r="WJW6" s="157"/>
      <c r="WJX6" s="157"/>
      <c r="WJY6" s="157"/>
      <c r="WJZ6" s="157"/>
      <c r="WKA6" s="157"/>
      <c r="WKB6" s="157"/>
      <c r="WKC6" s="157"/>
      <c r="WKD6" s="157"/>
      <c r="WKE6" s="157"/>
      <c r="WKF6" s="157"/>
      <c r="WKG6" s="157"/>
      <c r="WKH6" s="157"/>
      <c r="WKI6" s="157"/>
      <c r="WKJ6" s="157"/>
      <c r="WKK6" s="157"/>
      <c r="WKL6" s="157"/>
      <c r="WKM6" s="157"/>
      <c r="WKN6" s="157"/>
      <c r="WKO6" s="157"/>
      <c r="WKP6" s="157"/>
      <c r="WKQ6" s="157"/>
      <c r="WKR6" s="157"/>
      <c r="WKS6" s="157"/>
      <c r="WKT6" s="157"/>
      <c r="WKU6" s="157"/>
      <c r="WKV6" s="157"/>
      <c r="WKW6" s="157"/>
      <c r="WKX6" s="157"/>
      <c r="WKY6" s="157"/>
      <c r="WKZ6" s="157"/>
      <c r="WLA6" s="157"/>
      <c r="WLB6" s="157"/>
      <c r="WLC6" s="157"/>
      <c r="WLD6" s="157"/>
      <c r="WLE6" s="157"/>
      <c r="WLF6" s="157"/>
      <c r="WLG6" s="157"/>
      <c r="WLH6" s="157"/>
      <c r="WLI6" s="157"/>
      <c r="WLJ6" s="157"/>
      <c r="WLK6" s="157"/>
      <c r="WLL6" s="157"/>
      <c r="WLM6" s="157"/>
      <c r="WLN6" s="157"/>
      <c r="WLO6" s="157"/>
      <c r="WLP6" s="157"/>
      <c r="WLQ6" s="157"/>
      <c r="WLR6" s="157"/>
      <c r="WLS6" s="157"/>
      <c r="WLT6" s="157"/>
      <c r="WLU6" s="157"/>
      <c r="WLV6" s="157"/>
      <c r="WLW6" s="157"/>
      <c r="WLX6" s="157"/>
      <c r="WLY6" s="157"/>
      <c r="WLZ6" s="157"/>
      <c r="WMA6" s="157"/>
      <c r="WMB6" s="157"/>
      <c r="WMC6" s="157"/>
      <c r="WMD6" s="157"/>
      <c r="WME6" s="157"/>
      <c r="WMF6" s="157"/>
      <c r="WMG6" s="157"/>
      <c r="WMH6" s="157"/>
      <c r="WMI6" s="157"/>
      <c r="WMJ6" s="157"/>
      <c r="WMK6" s="157"/>
      <c r="WML6" s="157"/>
      <c r="WMM6" s="157"/>
      <c r="WMN6" s="157"/>
      <c r="WMO6" s="157"/>
      <c r="WMP6" s="157"/>
      <c r="WMQ6" s="157"/>
      <c r="WMR6" s="157"/>
      <c r="WMS6" s="157"/>
      <c r="WMT6" s="157"/>
      <c r="WMU6" s="157"/>
      <c r="WMV6" s="157"/>
      <c r="WMW6" s="157"/>
      <c r="WMX6" s="157"/>
      <c r="WMY6" s="157"/>
      <c r="WMZ6" s="157"/>
      <c r="WNA6" s="157"/>
      <c r="WNB6" s="157"/>
      <c r="WNC6" s="157"/>
      <c r="WND6" s="157"/>
      <c r="WNE6" s="157"/>
      <c r="WNF6" s="157"/>
      <c r="WNG6" s="157"/>
      <c r="WNH6" s="157"/>
      <c r="WNI6" s="157"/>
      <c r="WNJ6" s="157"/>
      <c r="WNK6" s="157"/>
      <c r="WNL6" s="157"/>
      <c r="WNM6" s="157"/>
      <c r="WNN6" s="157"/>
      <c r="WNO6" s="157"/>
      <c r="WNP6" s="157"/>
      <c r="WNQ6" s="157"/>
      <c r="WNR6" s="157"/>
      <c r="WNS6" s="157"/>
      <c r="WNT6" s="157"/>
      <c r="WNU6" s="157"/>
      <c r="WNV6" s="157"/>
      <c r="WNW6" s="157"/>
      <c r="WNX6" s="157"/>
      <c r="WNY6" s="157"/>
      <c r="WNZ6" s="157"/>
      <c r="WOA6" s="157"/>
      <c r="WOB6" s="157"/>
      <c r="WOC6" s="157"/>
      <c r="WOD6" s="157"/>
      <c r="WOE6" s="157"/>
      <c r="WOF6" s="157"/>
      <c r="WOG6" s="157"/>
      <c r="WOH6" s="157"/>
      <c r="WOI6" s="157"/>
      <c r="WOJ6" s="157"/>
      <c r="WOK6" s="157"/>
      <c r="WOL6" s="157"/>
      <c r="WOM6" s="157"/>
      <c r="WON6" s="157"/>
      <c r="WOO6" s="157"/>
      <c r="WOP6" s="157"/>
      <c r="WOQ6" s="157"/>
      <c r="WOR6" s="157"/>
      <c r="WOS6" s="157"/>
      <c r="WOT6" s="157"/>
      <c r="WOU6" s="157"/>
      <c r="WOV6" s="157"/>
      <c r="WOW6" s="157"/>
      <c r="WOX6" s="157"/>
      <c r="WOY6" s="157"/>
      <c r="WOZ6" s="157"/>
      <c r="WPA6" s="157"/>
      <c r="WPB6" s="157"/>
      <c r="WPC6" s="157"/>
      <c r="WPD6" s="157"/>
      <c r="WPE6" s="157"/>
      <c r="WPF6" s="157"/>
      <c r="WPG6" s="157"/>
      <c r="WPH6" s="157"/>
      <c r="WPI6" s="157"/>
      <c r="WPJ6" s="157"/>
      <c r="WPK6" s="157"/>
      <c r="WPL6" s="157"/>
      <c r="WPM6" s="157"/>
      <c r="WPN6" s="157"/>
      <c r="WPO6" s="157"/>
      <c r="WPP6" s="157"/>
      <c r="WPQ6" s="157"/>
      <c r="WPR6" s="157"/>
      <c r="WPS6" s="157"/>
      <c r="WPT6" s="157"/>
      <c r="WPU6" s="157"/>
      <c r="WPV6" s="157"/>
      <c r="WPW6" s="157"/>
      <c r="WPX6" s="157"/>
      <c r="WPY6" s="157"/>
      <c r="WPZ6" s="157"/>
      <c r="WQA6" s="157"/>
      <c r="WQB6" s="157"/>
      <c r="WQC6" s="157"/>
      <c r="WQD6" s="157"/>
      <c r="WQE6" s="157"/>
      <c r="WQF6" s="157"/>
      <c r="WQG6" s="157"/>
      <c r="WQH6" s="157"/>
      <c r="WQI6" s="157"/>
      <c r="WQJ6" s="157"/>
      <c r="WQK6" s="157"/>
      <c r="WQL6" s="157"/>
      <c r="WQM6" s="157"/>
      <c r="WQN6" s="157"/>
      <c r="WQO6" s="157"/>
      <c r="WQP6" s="157"/>
      <c r="WQQ6" s="157"/>
      <c r="WQR6" s="157"/>
      <c r="WQS6" s="157"/>
      <c r="WQT6" s="157"/>
      <c r="WQU6" s="157"/>
      <c r="WQV6" s="157"/>
      <c r="WQW6" s="157"/>
      <c r="WQX6" s="157"/>
      <c r="WQY6" s="157"/>
      <c r="WQZ6" s="157"/>
      <c r="WRA6" s="157"/>
      <c r="WRB6" s="157"/>
      <c r="WRC6" s="157"/>
      <c r="WRD6" s="157"/>
      <c r="WRE6" s="157"/>
      <c r="WRF6" s="157"/>
      <c r="WRG6" s="157"/>
      <c r="WRH6" s="157"/>
      <c r="WRI6" s="157"/>
      <c r="WRJ6" s="157"/>
      <c r="WRK6" s="157"/>
      <c r="WRL6" s="157"/>
      <c r="WRM6" s="157"/>
      <c r="WRN6" s="157"/>
      <c r="WRO6" s="157"/>
      <c r="WRP6" s="157"/>
      <c r="WRQ6" s="157"/>
      <c r="WRR6" s="157"/>
      <c r="WRS6" s="157"/>
      <c r="WRT6" s="157"/>
      <c r="WRU6" s="157"/>
      <c r="WRV6" s="157"/>
      <c r="WRW6" s="157"/>
      <c r="WRX6" s="157"/>
      <c r="WRY6" s="157"/>
      <c r="WRZ6" s="157"/>
      <c r="WSA6" s="157"/>
      <c r="WSB6" s="157"/>
      <c r="WSC6" s="157"/>
      <c r="WSD6" s="157"/>
      <c r="WSE6" s="157"/>
      <c r="WSF6" s="157"/>
      <c r="WSG6" s="157"/>
      <c r="WSH6" s="157"/>
      <c r="WSI6" s="157"/>
      <c r="WSJ6" s="157"/>
      <c r="WSK6" s="157"/>
      <c r="WSL6" s="157"/>
      <c r="WSM6" s="157"/>
      <c r="WSN6" s="157"/>
      <c r="WSO6" s="157"/>
      <c r="WSP6" s="157"/>
      <c r="WSQ6" s="157"/>
      <c r="WSR6" s="157"/>
      <c r="WSS6" s="157"/>
      <c r="WST6" s="157"/>
      <c r="WSU6" s="157"/>
      <c r="WSV6" s="157"/>
      <c r="WSW6" s="157"/>
      <c r="WSX6" s="157"/>
      <c r="WSY6" s="157"/>
      <c r="WSZ6" s="157"/>
      <c r="WTA6" s="157"/>
      <c r="WTB6" s="157"/>
      <c r="WTC6" s="157"/>
      <c r="WTD6" s="157"/>
      <c r="WTE6" s="157"/>
      <c r="WTF6" s="157"/>
      <c r="WTG6" s="157"/>
      <c r="WTH6" s="157"/>
      <c r="WTI6" s="157"/>
      <c r="WTJ6" s="157"/>
      <c r="WTK6" s="157"/>
      <c r="WTL6" s="157"/>
      <c r="WTM6" s="157"/>
      <c r="WTN6" s="157"/>
      <c r="WTO6" s="157"/>
      <c r="WTP6" s="157"/>
      <c r="WTQ6" s="157"/>
      <c r="WTR6" s="157"/>
      <c r="WTS6" s="157"/>
      <c r="WTT6" s="157"/>
      <c r="WTU6" s="157"/>
      <c r="WTV6" s="157"/>
      <c r="WTW6" s="157"/>
      <c r="WTX6" s="157"/>
      <c r="WTY6" s="157"/>
      <c r="WTZ6" s="157"/>
      <c r="WUA6" s="157"/>
      <c r="WUB6" s="157"/>
      <c r="WUC6" s="157"/>
      <c r="WUD6" s="157"/>
      <c r="WUE6" s="157"/>
      <c r="WUF6" s="157"/>
      <c r="WUG6" s="157"/>
      <c r="WUH6" s="157"/>
      <c r="WUI6" s="157"/>
      <c r="WUJ6" s="157"/>
      <c r="WUK6" s="157"/>
      <c r="WUL6" s="157"/>
      <c r="WUM6" s="157"/>
      <c r="WUN6" s="157"/>
      <c r="WUO6" s="157"/>
      <c r="WUP6" s="157"/>
      <c r="WUQ6" s="157"/>
      <c r="WUR6" s="157"/>
      <c r="WUS6" s="157"/>
      <c r="WUT6" s="157"/>
      <c r="WUU6" s="157"/>
      <c r="WUV6" s="157"/>
      <c r="WUW6" s="157"/>
      <c r="WUX6" s="157"/>
      <c r="WUY6" s="157"/>
      <c r="WUZ6" s="157"/>
      <c r="WVA6" s="157"/>
      <c r="WVB6" s="157"/>
      <c r="WVC6" s="157"/>
      <c r="WVD6" s="157"/>
      <c r="WVE6" s="157"/>
      <c r="WVF6" s="157"/>
      <c r="WVG6" s="157"/>
      <c r="WVH6" s="157"/>
      <c r="WVI6" s="157"/>
      <c r="WVJ6" s="157"/>
      <c r="WVK6" s="157"/>
      <c r="WVL6" s="157"/>
      <c r="WVM6" s="157"/>
      <c r="WVN6" s="157"/>
      <c r="WVO6" s="157"/>
      <c r="WVP6" s="157"/>
      <c r="WVQ6" s="157"/>
      <c r="WVR6" s="157"/>
      <c r="WVS6" s="157"/>
      <c r="WVT6" s="157"/>
      <c r="WVU6" s="157"/>
      <c r="WVV6" s="157"/>
      <c r="WVW6" s="157"/>
      <c r="WVX6" s="157"/>
      <c r="WVY6" s="157"/>
      <c r="WVZ6" s="157"/>
      <c r="WWA6" s="157"/>
      <c r="WWB6" s="157"/>
      <c r="WWC6" s="157"/>
      <c r="WWD6" s="157"/>
      <c r="WWE6" s="157"/>
      <c r="WWF6" s="157"/>
      <c r="WWG6" s="157"/>
      <c r="WWH6" s="157"/>
      <c r="WWI6" s="157"/>
      <c r="WWJ6" s="157"/>
      <c r="WWK6" s="157"/>
      <c r="WWL6" s="157"/>
      <c r="WWM6" s="157"/>
      <c r="WWN6" s="157"/>
      <c r="WWO6" s="157"/>
      <c r="WWP6" s="157"/>
      <c r="WWQ6" s="157"/>
      <c r="WWR6" s="157"/>
      <c r="WWS6" s="157"/>
      <c r="WWT6" s="157"/>
      <c r="WWU6" s="157"/>
      <c r="WWV6" s="157"/>
      <c r="WWW6" s="157"/>
      <c r="WWX6" s="157"/>
      <c r="WWY6" s="157"/>
      <c r="WWZ6" s="157"/>
      <c r="WXA6" s="157"/>
      <c r="WXB6" s="157"/>
      <c r="WXC6" s="157"/>
      <c r="WXD6" s="157"/>
      <c r="WXE6" s="157"/>
      <c r="WXF6" s="157"/>
      <c r="WXG6" s="157"/>
      <c r="WXH6" s="157"/>
      <c r="WXI6" s="157"/>
      <c r="WXJ6" s="157"/>
      <c r="WXK6" s="157"/>
      <c r="WXL6" s="157"/>
      <c r="WXM6" s="157"/>
      <c r="WXN6" s="157"/>
      <c r="WXO6" s="157"/>
      <c r="WXP6" s="157"/>
      <c r="WXQ6" s="157"/>
      <c r="WXR6" s="157"/>
      <c r="WXS6" s="157"/>
      <c r="WXT6" s="157"/>
      <c r="WXU6" s="157"/>
      <c r="WXV6" s="157"/>
      <c r="WXW6" s="157"/>
      <c r="WXX6" s="157"/>
      <c r="WXY6" s="157"/>
      <c r="WXZ6" s="157"/>
      <c r="WYA6" s="157"/>
      <c r="WYB6" s="157"/>
      <c r="WYC6" s="157"/>
      <c r="WYD6" s="157"/>
      <c r="WYE6" s="157"/>
      <c r="WYF6" s="157"/>
      <c r="WYG6" s="157"/>
      <c r="WYH6" s="157"/>
      <c r="WYI6" s="157"/>
      <c r="WYJ6" s="157"/>
      <c r="WYK6" s="157"/>
      <c r="WYL6" s="157"/>
      <c r="WYM6" s="157"/>
      <c r="WYN6" s="157"/>
      <c r="WYO6" s="157"/>
      <c r="WYP6" s="157"/>
      <c r="WYQ6" s="157"/>
      <c r="WYR6" s="157"/>
      <c r="WYS6" s="157"/>
      <c r="WYT6" s="157"/>
      <c r="WYU6" s="157"/>
      <c r="WYV6" s="157"/>
      <c r="WYW6" s="157"/>
      <c r="WYX6" s="157"/>
      <c r="WYY6" s="157"/>
      <c r="WYZ6" s="157"/>
      <c r="WZA6" s="157"/>
      <c r="WZB6" s="157"/>
      <c r="WZC6" s="157"/>
      <c r="WZD6" s="157"/>
      <c r="WZE6" s="157"/>
      <c r="WZF6" s="157"/>
      <c r="WZG6" s="157"/>
      <c r="WZH6" s="157"/>
      <c r="WZI6" s="157"/>
      <c r="WZJ6" s="157"/>
      <c r="WZK6" s="157"/>
      <c r="WZL6" s="157"/>
      <c r="WZM6" s="157"/>
      <c r="WZN6" s="157"/>
      <c r="WZO6" s="157"/>
      <c r="WZP6" s="157"/>
      <c r="WZQ6" s="157"/>
      <c r="WZR6" s="157"/>
      <c r="WZS6" s="157"/>
      <c r="WZT6" s="157"/>
      <c r="WZU6" s="157"/>
      <c r="WZV6" s="157"/>
      <c r="WZW6" s="157"/>
      <c r="WZX6" s="157"/>
      <c r="WZY6" s="157"/>
      <c r="WZZ6" s="157"/>
      <c r="XAA6" s="157"/>
      <c r="XAB6" s="157"/>
      <c r="XAC6" s="157"/>
      <c r="XAD6" s="157"/>
      <c r="XAE6" s="157"/>
      <c r="XAF6" s="157"/>
      <c r="XAG6" s="157"/>
      <c r="XAH6" s="157"/>
      <c r="XAI6" s="157"/>
      <c r="XAJ6" s="157"/>
      <c r="XAK6" s="157"/>
      <c r="XAL6" s="157"/>
      <c r="XAM6" s="157"/>
      <c r="XAN6" s="157"/>
      <c r="XAO6" s="157"/>
      <c r="XAP6" s="157"/>
      <c r="XAQ6" s="157"/>
      <c r="XAR6" s="157"/>
      <c r="XAS6" s="157"/>
      <c r="XAT6" s="157"/>
      <c r="XAU6" s="157"/>
      <c r="XAV6" s="157"/>
      <c r="XAW6" s="157"/>
      <c r="XAX6" s="157"/>
      <c r="XAY6" s="157"/>
      <c r="XAZ6" s="157"/>
      <c r="XBA6" s="157"/>
      <c r="XBB6" s="157"/>
      <c r="XBC6" s="157"/>
      <c r="XBD6" s="157"/>
      <c r="XBE6" s="157"/>
      <c r="XBF6" s="157"/>
      <c r="XBG6" s="157"/>
      <c r="XBH6" s="157"/>
      <c r="XBI6" s="157"/>
      <c r="XBJ6" s="157"/>
      <c r="XBK6" s="157"/>
      <c r="XBL6" s="157"/>
      <c r="XBM6" s="157"/>
      <c r="XBN6" s="157"/>
      <c r="XBO6" s="157"/>
      <c r="XBP6" s="157"/>
      <c r="XBQ6" s="157"/>
      <c r="XBR6" s="157"/>
      <c r="XBS6" s="157"/>
      <c r="XBT6" s="157"/>
      <c r="XBU6" s="157"/>
      <c r="XBV6" s="157"/>
      <c r="XBW6" s="157"/>
      <c r="XBX6" s="157"/>
      <c r="XBY6" s="157"/>
      <c r="XBZ6" s="157"/>
      <c r="XCA6" s="157"/>
      <c r="XCB6" s="157"/>
      <c r="XCC6" s="157"/>
      <c r="XCD6" s="157"/>
      <c r="XCE6" s="157"/>
      <c r="XCF6" s="157"/>
      <c r="XCG6" s="157"/>
      <c r="XCH6" s="157"/>
      <c r="XCI6" s="157"/>
      <c r="XCJ6" s="157"/>
      <c r="XCK6" s="157"/>
      <c r="XCL6" s="157"/>
      <c r="XCM6" s="157"/>
      <c r="XCN6" s="157"/>
      <c r="XCO6" s="157"/>
      <c r="XCP6" s="157"/>
      <c r="XCQ6" s="157"/>
      <c r="XCR6" s="157"/>
      <c r="XCS6" s="157"/>
      <c r="XCT6" s="157"/>
      <c r="XCU6" s="157"/>
      <c r="XCV6" s="157"/>
      <c r="XCW6" s="157"/>
      <c r="XCX6" s="157"/>
      <c r="XCY6" s="157"/>
      <c r="XCZ6" s="157"/>
      <c r="XDA6" s="157"/>
      <c r="XDB6" s="157"/>
      <c r="XDC6" s="157"/>
      <c r="XDD6" s="157"/>
      <c r="XDE6" s="157"/>
      <c r="XDF6" s="157"/>
      <c r="XDG6" s="157"/>
      <c r="XDH6" s="157"/>
      <c r="XDI6" s="157"/>
      <c r="XDJ6" s="157"/>
      <c r="XDK6" s="157"/>
      <c r="XDL6" s="157"/>
      <c r="XDM6" s="157"/>
      <c r="XDN6" s="157"/>
      <c r="XDO6" s="157"/>
      <c r="XDP6" s="157"/>
      <c r="XDQ6" s="157"/>
      <c r="XDR6" s="157"/>
      <c r="XDS6" s="157"/>
      <c r="XDT6" s="157"/>
      <c r="XDU6" s="157"/>
      <c r="XDV6" s="157"/>
      <c r="XDW6" s="157"/>
      <c r="XDX6" s="157"/>
      <c r="XDY6" s="157"/>
      <c r="XDZ6" s="157"/>
      <c r="XEA6" s="157"/>
      <c r="XEB6" s="157"/>
      <c r="XEC6" s="157"/>
      <c r="XED6" s="157"/>
      <c r="XEE6" s="157"/>
      <c r="XEF6" s="157"/>
      <c r="XEG6" s="157"/>
      <c r="XEH6" s="157"/>
      <c r="XEI6" s="157"/>
      <c r="XEJ6" s="157"/>
      <c r="XEK6" s="157"/>
      <c r="XEL6" s="157"/>
      <c r="XEM6" s="157"/>
      <c r="XEN6" s="157"/>
      <c r="XEO6" s="157"/>
      <c r="XEP6" s="157"/>
      <c r="XEQ6" s="157"/>
      <c r="XER6" s="157"/>
      <c r="XES6" s="157"/>
      <c r="XET6" s="157"/>
      <c r="XEU6" s="157"/>
      <c r="XEV6" s="157"/>
      <c r="XEW6" s="157"/>
      <c r="XEX6" s="157"/>
      <c r="XEY6" s="157"/>
      <c r="XEZ6" s="157"/>
      <c r="XFA6" s="157"/>
      <c r="XFB6" s="157"/>
      <c r="XFC6" s="157"/>
    </row>
    <row r="7" spans="2:16383" ht="19.149999999999999" customHeight="1" x14ac:dyDescent="0.25">
      <c r="F7" s="162" t="s">
        <v>381</v>
      </c>
      <c r="G7" s="163"/>
      <c r="H7" s="172"/>
      <c r="J7" s="162" t="s">
        <v>381</v>
      </c>
      <c r="K7" s="163"/>
      <c r="L7" s="172"/>
      <c r="N7" s="162" t="s">
        <v>382</v>
      </c>
      <c r="O7" s="163"/>
      <c r="P7" s="172"/>
      <c r="R7" s="162" t="s">
        <v>382</v>
      </c>
      <c r="S7" s="163"/>
      <c r="T7" s="172"/>
      <c r="V7" s="235" t="s">
        <v>382</v>
      </c>
      <c r="W7" s="163"/>
      <c r="X7" s="172"/>
      <c r="Z7" s="235" t="s">
        <v>382</v>
      </c>
      <c r="AA7" s="163"/>
      <c r="AB7" s="172"/>
      <c r="AD7" s="235" t="s">
        <v>382</v>
      </c>
      <c r="AE7" s="163"/>
      <c r="AF7" s="172"/>
      <c r="AH7" s="235" t="s">
        <v>576</v>
      </c>
      <c r="AI7" s="163"/>
      <c r="AJ7" s="172"/>
    </row>
    <row r="8" spans="2:16383" s="151" customFormat="1" ht="19.149999999999999" customHeight="1" x14ac:dyDescent="0.25">
      <c r="B8" s="1169" t="s">
        <v>2</v>
      </c>
      <c r="C8" s="1168" t="s">
        <v>29</v>
      </c>
      <c r="D8" s="1168"/>
      <c r="F8" s="164" t="s">
        <v>596</v>
      </c>
      <c r="G8" s="164"/>
      <c r="H8" s="173"/>
      <c r="J8" s="164" t="s">
        <v>384</v>
      </c>
      <c r="K8" s="164"/>
      <c r="L8" s="173"/>
      <c r="N8" s="165" t="str">
        <f>F8</f>
        <v xml:space="preserve">CÔNG TY A </v>
      </c>
      <c r="O8" s="165"/>
      <c r="P8" s="174"/>
      <c r="R8" s="165" t="str">
        <f>J8</f>
        <v>CÔNG TY B</v>
      </c>
      <c r="S8" s="165"/>
      <c r="T8" s="174"/>
      <c r="V8" s="236" t="s">
        <v>375</v>
      </c>
      <c r="W8" s="166"/>
      <c r="X8" s="175" t="s">
        <v>404</v>
      </c>
      <c r="Z8" s="236" t="s">
        <v>375</v>
      </c>
      <c r="AA8" s="166"/>
      <c r="AB8" s="175" t="s">
        <v>405</v>
      </c>
      <c r="AD8" s="236" t="s">
        <v>375</v>
      </c>
      <c r="AE8" s="166"/>
      <c r="AF8" s="175" t="s">
        <v>407</v>
      </c>
      <c r="AH8" s="236" t="s">
        <v>375</v>
      </c>
      <c r="AI8" s="166"/>
      <c r="AJ8" s="175" t="s">
        <v>407</v>
      </c>
    </row>
    <row r="9" spans="2:16383" s="167" customFormat="1" ht="25.15" customHeight="1" x14ac:dyDescent="0.25">
      <c r="B9" s="1169"/>
      <c r="C9" s="1168"/>
      <c r="D9" s="1168"/>
      <c r="F9" s="168" t="s">
        <v>368</v>
      </c>
      <c r="G9" s="168" t="str">
        <f>$C$6&amp;"/"&amp;"tấn"</f>
        <v>USD/tấn</v>
      </c>
      <c r="H9" s="176" t="s">
        <v>385</v>
      </c>
      <c r="I9" s="169"/>
      <c r="J9" s="168" t="s">
        <v>368</v>
      </c>
      <c r="K9" s="168" t="str">
        <f>$C$6&amp;"/"&amp;"tấn"</f>
        <v>USD/tấn</v>
      </c>
      <c r="L9" s="176" t="s">
        <v>385</v>
      </c>
      <c r="M9" s="169"/>
      <c r="N9" s="170" t="s">
        <v>368</v>
      </c>
      <c r="O9" s="170" t="s">
        <v>369</v>
      </c>
      <c r="P9" s="170" t="str">
        <f>L9</f>
        <v>Tỷ lệ %</v>
      </c>
      <c r="Q9" s="169"/>
      <c r="R9" s="170" t="s">
        <v>368</v>
      </c>
      <c r="S9" s="170" t="s">
        <v>369</v>
      </c>
      <c r="T9" s="170" t="str">
        <f>P9</f>
        <v>Tỷ lệ %</v>
      </c>
      <c r="U9" s="169"/>
      <c r="V9" s="237" t="s">
        <v>368</v>
      </c>
      <c r="W9" s="171" t="s">
        <v>369</v>
      </c>
      <c r="X9" s="177" t="str">
        <f>T9</f>
        <v>Tỷ lệ %</v>
      </c>
      <c r="Y9" s="169"/>
      <c r="Z9" s="237" t="s">
        <v>368</v>
      </c>
      <c r="AA9" s="171" t="s">
        <v>369</v>
      </c>
      <c r="AB9" s="177" t="str">
        <f>X9</f>
        <v>Tỷ lệ %</v>
      </c>
      <c r="AC9" s="169"/>
      <c r="AD9" s="237" t="s">
        <v>368</v>
      </c>
      <c r="AE9" s="171" t="s">
        <v>369</v>
      </c>
      <c r="AF9" s="177" t="str">
        <f>AB9</f>
        <v>Tỷ lệ %</v>
      </c>
      <c r="AG9" s="169"/>
      <c r="AH9" s="237" t="s">
        <v>368</v>
      </c>
      <c r="AI9" s="171" t="s">
        <v>369</v>
      </c>
      <c r="AJ9" s="177" t="str">
        <f>AF9</f>
        <v>Tỷ lệ %</v>
      </c>
    </row>
    <row r="10" spans="2:16383" ht="19.149999999999999" customHeight="1" x14ac:dyDescent="0.25">
      <c r="B10" s="191">
        <v>0</v>
      </c>
      <c r="C10" s="192" t="s">
        <v>388</v>
      </c>
      <c r="D10" s="192"/>
      <c r="E10" s="181"/>
      <c r="F10" s="193"/>
      <c r="G10" s="193"/>
      <c r="H10" s="194"/>
      <c r="I10" s="181"/>
      <c r="J10" s="193"/>
      <c r="K10" s="193"/>
      <c r="L10" s="194"/>
      <c r="M10" s="181"/>
      <c r="N10" s="193"/>
      <c r="O10" s="193"/>
      <c r="P10" s="194"/>
      <c r="Q10" s="181"/>
      <c r="R10" s="193"/>
      <c r="S10" s="193"/>
      <c r="T10" s="194"/>
      <c r="U10" s="181"/>
      <c r="V10" s="238">
        <f>W10*V$6/(V$4*10^3)</f>
        <v>367.2</v>
      </c>
      <c r="W10" s="201" cm="1">
        <f t="array" ref="W10">SUMPRODUCT('W3'!$L$18:$AJ$1670*('W3'!$L$14:$AJ$14='W4'!X$1)*('W3'!$A$18:$A$1670='W4'!X$8)*('W3'!$C$18:$C$1670='W4'!$C10))/$AO$1</f>
        <v>979.2</v>
      </c>
      <c r="X10" s="194"/>
      <c r="Y10" s="181"/>
      <c r="Z10" s="238">
        <f>AA10*Z$6/(Z$4*10^3)</f>
        <v>367.2</v>
      </c>
      <c r="AA10" s="201" cm="1">
        <f t="array" ref="AA10">SUMPRODUCT('W3'!$L$18:$AJ$1670*('W3'!$L$14:$AJ$14='W4'!AB$1)*('W3'!$A$18:$A$1670='W4'!AB$8)*('W3'!$C$18:$C$1670='W4'!$C10))/$AO$1</f>
        <v>979.2</v>
      </c>
      <c r="AB10" s="194"/>
      <c r="AC10" s="181"/>
      <c r="AD10" s="238">
        <f>AE10*AD$6/(AD$4*10^3)</f>
        <v>367.2</v>
      </c>
      <c r="AE10" s="201" cm="1">
        <f t="array" ref="AE10">SUMPRODUCT('W3'!$L$18:$AJ$1670*('W3'!$L$14:$AJ$14='W4'!AF$1)*('W3'!$A$18:$A$1670='W4'!AF$8)*('W3'!$C$18:$C$1670='W4'!$C10))/$AO$1</f>
        <v>979.2</v>
      </c>
      <c r="AF10" s="194"/>
      <c r="AG10" s="181"/>
      <c r="AH10" s="238">
        <f>AI10*AH$6/(AH$4*10^3)</f>
        <v>367.2</v>
      </c>
      <c r="AI10" s="201" cm="1">
        <f t="array" ref="AI10">SUMPRODUCT('W3'!$L$18:$AJ$1670*('W3'!$L$14:$AJ$14='W4'!AJ$1)*('W3'!$A$18:$A$1670='W4'!AJ$8)*('W3'!$C$18:$C$1670='W4'!$C10))/$AO$1</f>
        <v>979.2</v>
      </c>
      <c r="AJ10" s="194"/>
    </row>
    <row r="11" spans="2:16383" s="151" customFormat="1" ht="19.149999999999999" customHeight="1" x14ac:dyDescent="0.25">
      <c r="B11" s="195">
        <v>1</v>
      </c>
      <c r="C11" s="196" t="s">
        <v>379</v>
      </c>
      <c r="D11" s="196"/>
      <c r="E11" s="196"/>
      <c r="F11" s="197">
        <f>460.125*$D$3/18</f>
        <v>383.4375</v>
      </c>
      <c r="G11" s="197">
        <f>F11*($D$4*$D$5)/$D$6</f>
        <v>1022.5</v>
      </c>
      <c r="H11" s="198"/>
      <c r="I11" s="196"/>
      <c r="J11" s="197">
        <f>490.8465*$D$3/18</f>
        <v>409.03874999999999</v>
      </c>
      <c r="K11" s="197">
        <f>J11*($D$4*$D$5)/$D$6</f>
        <v>1090.77</v>
      </c>
      <c r="L11" s="198"/>
      <c r="M11" s="196"/>
      <c r="N11" s="197">
        <f>639*$D$3/18</f>
        <v>532.5</v>
      </c>
      <c r="O11" s="200">
        <f>N11*($D$4*$D$5)/$D$6</f>
        <v>1420</v>
      </c>
      <c r="P11" s="198"/>
      <c r="Q11" s="196"/>
      <c r="R11" s="197">
        <f>639*$D$3/18</f>
        <v>532.5</v>
      </c>
      <c r="S11" s="200">
        <f>R11*($D$4*$D$5)/$D$6</f>
        <v>1420</v>
      </c>
      <c r="T11" s="198"/>
      <c r="U11" s="196"/>
      <c r="V11" s="239"/>
      <c r="W11" s="197"/>
      <c r="X11" s="198"/>
      <c r="Y11" s="196"/>
      <c r="Z11" s="239"/>
      <c r="AA11" s="197"/>
      <c r="AB11" s="198"/>
      <c r="AC11" s="196"/>
      <c r="AD11" s="239"/>
      <c r="AE11" s="197"/>
      <c r="AF11" s="198"/>
      <c r="AG11" s="196"/>
      <c r="AH11" s="239"/>
      <c r="AI11" s="197"/>
      <c r="AJ11" s="198"/>
    </row>
    <row r="12" spans="2:16383" ht="19.149999999999999" customHeight="1" x14ac:dyDescent="0.25">
      <c r="B12" s="187">
        <v>2</v>
      </c>
      <c r="C12" s="188" t="s">
        <v>374</v>
      </c>
      <c r="D12" s="188"/>
      <c r="E12" s="188"/>
      <c r="F12" s="189">
        <f>-F11*$H$12</f>
        <v>-28.7578125</v>
      </c>
      <c r="G12" s="189">
        <f>-G11*$H$12</f>
        <v>-76.6875</v>
      </c>
      <c r="H12" s="199">
        <v>7.4999999999999997E-2</v>
      </c>
      <c r="I12" s="188"/>
      <c r="J12" s="189">
        <f>-J11*$L12</f>
        <v>-28.632712500000004</v>
      </c>
      <c r="K12" s="189">
        <f>-K11*$L$12</f>
        <v>-76.35390000000001</v>
      </c>
      <c r="L12" s="199">
        <v>7.0000000000000007E-2</v>
      </c>
      <c r="M12" s="188"/>
      <c r="N12" s="189">
        <f>N11*$P12</f>
        <v>0</v>
      </c>
      <c r="O12" s="189">
        <f>-O11*$P$12</f>
        <v>0</v>
      </c>
      <c r="P12" s="199">
        <v>0</v>
      </c>
      <c r="Q12" s="188"/>
      <c r="R12" s="189">
        <f>R11*$P12</f>
        <v>0</v>
      </c>
      <c r="S12" s="189">
        <f>-S11*$P$12</f>
        <v>0</v>
      </c>
      <c r="T12" s="199">
        <v>0</v>
      </c>
      <c r="U12" s="188"/>
      <c r="V12" s="240">
        <f>V11*$X12</f>
        <v>0</v>
      </c>
      <c r="W12" s="189">
        <f>-W11*$X$12</f>
        <v>0</v>
      </c>
      <c r="X12" s="199">
        <v>0</v>
      </c>
      <c r="Y12" s="188"/>
      <c r="Z12" s="240">
        <f>Z11*$X12</f>
        <v>0</v>
      </c>
      <c r="AA12" s="189">
        <f>-AA11*$X$12</f>
        <v>0</v>
      </c>
      <c r="AB12" s="199">
        <v>0</v>
      </c>
      <c r="AC12" s="188"/>
      <c r="AD12" s="240">
        <f>AD11*$X12</f>
        <v>0</v>
      </c>
      <c r="AE12" s="189">
        <f>-AE11*$X$12</f>
        <v>0</v>
      </c>
      <c r="AF12" s="199">
        <v>0</v>
      </c>
      <c r="AG12" s="188"/>
      <c r="AH12" s="240">
        <f>AH11*$X12</f>
        <v>0</v>
      </c>
      <c r="AI12" s="189">
        <f>-AI11*$X$12</f>
        <v>0</v>
      </c>
      <c r="AJ12" s="199">
        <v>0</v>
      </c>
    </row>
    <row r="13" spans="2:16383" s="151" customFormat="1" ht="19.149999999999999" customHeight="1" x14ac:dyDescent="0.25">
      <c r="B13" s="148">
        <v>3</v>
      </c>
      <c r="C13" s="149" t="s">
        <v>389</v>
      </c>
      <c r="D13" s="149"/>
      <c r="F13" s="179">
        <f>F11+F12</f>
        <v>354.6796875</v>
      </c>
      <c r="G13" s="179">
        <f>G11+G12</f>
        <v>945.8125</v>
      </c>
      <c r="H13" s="180">
        <f>F13/F$19</f>
        <v>0.74458360895925479</v>
      </c>
      <c r="J13" s="179">
        <f>J11+J12</f>
        <v>380.40603749999997</v>
      </c>
      <c r="K13" s="179">
        <f>K11+K12</f>
        <v>1014.4160999999999</v>
      </c>
      <c r="L13" s="180">
        <f>J13/J$19</f>
        <v>0.6849152004401825</v>
      </c>
      <c r="N13" s="179">
        <f>N11+N12</f>
        <v>532.5</v>
      </c>
      <c r="O13" s="179">
        <f>O11+O12</f>
        <v>1420</v>
      </c>
      <c r="P13" s="180">
        <f>N13/N$19</f>
        <v>0.81401273885350311</v>
      </c>
      <c r="R13" s="179">
        <f>R11+R12</f>
        <v>532.5</v>
      </c>
      <c r="S13" s="179">
        <f>S11+S12</f>
        <v>1420</v>
      </c>
      <c r="T13" s="180">
        <f>R13/R$19</f>
        <v>0.75265017667844525</v>
      </c>
      <c r="V13" s="241">
        <f>SUM(V10:V12)</f>
        <v>367.2</v>
      </c>
      <c r="W13" s="179">
        <f>SUM(W10:W12)</f>
        <v>979.2</v>
      </c>
      <c r="X13" s="180">
        <f>V13/V$19</f>
        <v>0.58850104912842838</v>
      </c>
      <c r="Z13" s="241">
        <f>SUM(Z10:Z12)</f>
        <v>367.2</v>
      </c>
      <c r="AA13" s="179">
        <f>SUM(AA10:AA12)</f>
        <v>979.2</v>
      </c>
      <c r="AB13" s="180">
        <f>Z13/Z$19</f>
        <v>0.55891853683395609</v>
      </c>
      <c r="AD13" s="241">
        <f>SUM(AD10:AD12)</f>
        <v>367.2</v>
      </c>
      <c r="AE13" s="179">
        <f>SUM(AE10:AE12)</f>
        <v>979.2</v>
      </c>
      <c r="AF13" s="180">
        <f>AD13/AD$19</f>
        <v>0.58850104912842838</v>
      </c>
      <c r="AH13" s="241">
        <f>SUM(AH10:AH12)</f>
        <v>367.2</v>
      </c>
      <c r="AI13" s="179">
        <f>SUM(AI10:AI12)</f>
        <v>979.2</v>
      </c>
      <c r="AJ13" s="180">
        <f>AH13/AH$19</f>
        <v>0.58850104912842838</v>
      </c>
    </row>
    <row r="14" spans="2:16383" ht="19.149999999999999" customHeight="1" x14ac:dyDescent="0.25">
      <c r="B14" s="187">
        <v>4</v>
      </c>
      <c r="C14" s="188" t="s">
        <v>367</v>
      </c>
      <c r="D14" s="188"/>
      <c r="E14" s="188"/>
      <c r="F14" s="189">
        <f>SUM(F15:F16)</f>
        <v>118.33333333333333</v>
      </c>
      <c r="G14" s="189">
        <f>SUM(G15:G16)</f>
        <v>315.55555555555554</v>
      </c>
      <c r="H14" s="199">
        <f>F14/F$19</f>
        <v>0.24841868169716319</v>
      </c>
      <c r="I14" s="188"/>
      <c r="J14" s="189">
        <f t="shared" ref="J14:K14" si="0">SUM(J15:J16)</f>
        <v>170.83333333333334</v>
      </c>
      <c r="K14" s="189">
        <f t="shared" si="0"/>
        <v>455.5555555555556</v>
      </c>
      <c r="L14" s="199">
        <f>J14/J$19</f>
        <v>0.30758278052267907</v>
      </c>
      <c r="M14" s="188"/>
      <c r="N14" s="189">
        <f t="shared" ref="N14:O14" si="1">SUM(N15:N16)</f>
        <v>118.33333333333333</v>
      </c>
      <c r="O14" s="189">
        <f t="shared" si="1"/>
        <v>315.55555555555554</v>
      </c>
      <c r="P14" s="199">
        <f>N14/N$19</f>
        <v>0.18089171974522289</v>
      </c>
      <c r="Q14" s="188"/>
      <c r="R14" s="189">
        <f t="shared" ref="R14:S14" si="2">SUM(R15:R16)</f>
        <v>170.83333333333334</v>
      </c>
      <c r="S14" s="189">
        <f t="shared" si="2"/>
        <v>455.5555555555556</v>
      </c>
      <c r="T14" s="199">
        <f>R14/R$19</f>
        <v>0.24146054181389873</v>
      </c>
      <c r="U14" s="188"/>
      <c r="V14" s="240">
        <f>SUM(V15:V16)</f>
        <v>212.99309618072502</v>
      </c>
      <c r="W14" s="189">
        <f t="shared" ref="W14" si="3">SUM(W15:W16)</f>
        <v>567.98158981526672</v>
      </c>
      <c r="X14" s="199">
        <f>V14/V$19</f>
        <v>0.34135800805955591</v>
      </c>
      <c r="Y14" s="188"/>
      <c r="Z14" s="240">
        <f>SUM(Z15:Z16)</f>
        <v>243.95397273162874</v>
      </c>
      <c r="AA14" s="189">
        <f t="shared" ref="AA14" si="4">SUM(AA15:AA16)</f>
        <v>650.54392728434334</v>
      </c>
      <c r="AB14" s="199">
        <f>Z14/Z$19</f>
        <v>0.37132461191174498</v>
      </c>
      <c r="AC14" s="188"/>
      <c r="AD14" s="240">
        <f>SUM(AD15:AD16)</f>
        <v>212.99309618072502</v>
      </c>
      <c r="AE14" s="189">
        <f t="shared" ref="AE14" si="5">SUM(AE15:AE16)</f>
        <v>567.98158981526672</v>
      </c>
      <c r="AF14" s="199">
        <f>AD14/AD$19</f>
        <v>0.34135800805955591</v>
      </c>
      <c r="AG14" s="188"/>
      <c r="AH14" s="240">
        <f>SUM(AH15:AH16)</f>
        <v>212.99309618072502</v>
      </c>
      <c r="AI14" s="189">
        <f t="shared" ref="AI14" si="6">SUM(AI15:AI16)</f>
        <v>567.98158981526672</v>
      </c>
      <c r="AJ14" s="199">
        <f>AH14/AH$19</f>
        <v>0.34135800805955591</v>
      </c>
    </row>
    <row r="15" spans="2:16383" s="206" customFormat="1" ht="19.149999999999999" customHeight="1" outlineLevel="1" x14ac:dyDescent="0.25">
      <c r="B15" s="202">
        <v>4.0999999999999996</v>
      </c>
      <c r="C15" s="207" t="s">
        <v>367</v>
      </c>
      <c r="D15" s="203"/>
      <c r="E15" s="203"/>
      <c r="F15" s="204">
        <f>142*$D$3/18</f>
        <v>118.33333333333333</v>
      </c>
      <c r="G15" s="204">
        <f t="shared" ref="G15" si="7">F15*($D$4*$D$5)/$D$6</f>
        <v>315.55555555555554</v>
      </c>
      <c r="H15" s="205">
        <f t="shared" ref="H15:H16" si="8">F15/F$19</f>
        <v>0.24841868169716319</v>
      </c>
      <c r="I15" s="203"/>
      <c r="J15" s="204">
        <f>205*$D$3/18</f>
        <v>170.83333333333334</v>
      </c>
      <c r="K15" s="204">
        <f t="shared" ref="K15" si="9">J15*($D$4*$D$5)/$D$6</f>
        <v>455.5555555555556</v>
      </c>
      <c r="L15" s="205">
        <f t="shared" ref="L15" si="10">J15/J$19</f>
        <v>0.30758278052267907</v>
      </c>
      <c r="M15" s="203"/>
      <c r="N15" s="204">
        <f t="shared" ref="N15:N16" si="11">F15</f>
        <v>118.33333333333333</v>
      </c>
      <c r="O15" s="204">
        <f t="shared" ref="O15:O18" si="12">N15*($D$4*$D$5)/$D$6</f>
        <v>315.55555555555554</v>
      </c>
      <c r="P15" s="205">
        <f>N15/N$19</f>
        <v>0.18089171974522289</v>
      </c>
      <c r="Q15" s="203"/>
      <c r="R15" s="204">
        <f t="shared" ref="R15:R16" si="13">J15</f>
        <v>170.83333333333334</v>
      </c>
      <c r="S15" s="204">
        <f t="shared" ref="S15:S18" si="14">R15*($D$4*$D$5)/$D$6</f>
        <v>455.5555555555556</v>
      </c>
      <c r="T15" s="205">
        <f t="shared" ref="T15:T16" si="15">R15/R$19</f>
        <v>0.24146054181389873</v>
      </c>
      <c r="U15" s="203"/>
      <c r="V15" s="242">
        <f t="shared" ref="V15:V18" si="16">W15*V$6/(V$4*10^3)</f>
        <v>185.35438650330562</v>
      </c>
      <c r="W15" s="204" cm="1">
        <f t="array" ref="W15">SUMPRODUCT('W3'!$L$18:$AJ$1670*('W3'!$L$14:$AJ$14='W4'!X$1)*('W3'!$A$18:$A$1670='W4'!X$8)*('W3'!$C$18:$C$1670='W4'!$C15))/$AO$1</f>
        <v>494.278364008815</v>
      </c>
      <c r="X15" s="205">
        <f t="shared" ref="X15" si="17">V15/V$19</f>
        <v>0.29706223016816874</v>
      </c>
      <c r="Y15" s="203"/>
      <c r="Z15" s="242">
        <f t="shared" ref="Z15:Z18" si="18">AA15*Z$6/(Z$4*10^3)</f>
        <v>216.31526305420934</v>
      </c>
      <c r="AA15" s="204" cm="1">
        <f t="array" ref="AA15">SUMPRODUCT('W3'!$L$18:$AJ$1670*('W3'!$L$14:$AJ$14='W4'!AB$1)*('W3'!$A$18:$A$1670='W4'!AB$8)*('W3'!$C$18:$C$1670='W4'!$C15))/$AO$1</f>
        <v>576.84070147789157</v>
      </c>
      <c r="AB15" s="205">
        <f t="shared" ref="AB15" si="19">Z15/Z$19</f>
        <v>0.32925547473069444</v>
      </c>
      <c r="AC15" s="203"/>
      <c r="AD15" s="242">
        <f t="shared" ref="AD15:AD18" si="20">AE15*AD$6/(AD$4*10^3)</f>
        <v>185.35438650330562</v>
      </c>
      <c r="AE15" s="204" cm="1">
        <f t="array" ref="AE15">SUMPRODUCT('W3'!$L$18:$AJ$1670*('W3'!$L$14:$AJ$14='W4'!AF$1)*('W3'!$A$18:$A$1670='W4'!AF$8)*('W3'!$C$18:$C$1670='W4'!$C15))/$AO$1</f>
        <v>494.278364008815</v>
      </c>
      <c r="AF15" s="205">
        <f t="shared" ref="AF15" si="21">AD15/AD$19</f>
        <v>0.29706223016816874</v>
      </c>
      <c r="AG15" s="203"/>
      <c r="AH15" s="242">
        <f t="shared" ref="AH15:AH18" si="22">AI15*AH$6/(AH$4*10^3)</f>
        <v>185.35438650330562</v>
      </c>
      <c r="AI15" s="400">
        <f>MD!B26</f>
        <v>494.278364008815</v>
      </c>
      <c r="AJ15" s="205">
        <f t="shared" ref="AJ15" si="23">AH15/AH$19</f>
        <v>0.29706223016816874</v>
      </c>
      <c r="AK15" s="404"/>
    </row>
    <row r="16" spans="2:16383" s="206" customFormat="1" ht="19.149999999999999" customHeight="1" outlineLevel="1" x14ac:dyDescent="0.25">
      <c r="B16" s="202">
        <v>4.2</v>
      </c>
      <c r="C16" s="207" t="s">
        <v>387</v>
      </c>
      <c r="D16" s="203"/>
      <c r="E16" s="203"/>
      <c r="F16" s="204"/>
      <c r="G16" s="204"/>
      <c r="H16" s="205">
        <f t="shared" si="8"/>
        <v>0</v>
      </c>
      <c r="I16" s="203"/>
      <c r="J16" s="204"/>
      <c r="K16" s="204"/>
      <c r="L16" s="205"/>
      <c r="M16" s="203"/>
      <c r="N16" s="204">
        <f t="shared" si="11"/>
        <v>0</v>
      </c>
      <c r="O16" s="204">
        <f t="shared" si="12"/>
        <v>0</v>
      </c>
      <c r="P16" s="205">
        <f t="shared" ref="P16" si="24">N16/N$19</f>
        <v>0</v>
      </c>
      <c r="Q16" s="203"/>
      <c r="R16" s="204">
        <f t="shared" si="13"/>
        <v>0</v>
      </c>
      <c r="S16" s="204">
        <f t="shared" si="14"/>
        <v>0</v>
      </c>
      <c r="T16" s="205">
        <f t="shared" si="15"/>
        <v>0</v>
      </c>
      <c r="U16" s="203"/>
      <c r="V16" s="242">
        <f t="shared" si="16"/>
        <v>27.638709677419406</v>
      </c>
      <c r="W16" s="204" cm="1">
        <f t="array" ref="W16">SUMPRODUCT('W3'!$L$18:$AJ$1670*('W3'!$L$14:$AJ$14='W4'!X$1)*('W3'!$A$18:$A$1670='W4'!X$8)*('W3'!$C$18:$C$1670='W4'!$C16))/$AO$1</f>
        <v>73.703225806451755</v>
      </c>
      <c r="X16" s="205"/>
      <c r="Y16" s="203"/>
      <c r="Z16" s="242">
        <f t="shared" si="18"/>
        <v>27.638709677419406</v>
      </c>
      <c r="AA16" s="204" cm="1">
        <f t="array" ref="AA16">SUMPRODUCT('W3'!$L$18:$AJ$1670*('W3'!$L$14:$AJ$14='W4'!AB$1)*('W3'!$A$18:$A$1670='W4'!AB$8)*('W3'!$C$18:$C$1670='W4'!$C16))/$AO$1</f>
        <v>73.703225806451755</v>
      </c>
      <c r="AB16" s="205"/>
      <c r="AC16" s="203"/>
      <c r="AD16" s="242">
        <f t="shared" si="20"/>
        <v>27.638709677419406</v>
      </c>
      <c r="AE16" s="204" cm="1">
        <f t="array" ref="AE16">SUMPRODUCT('W3'!$L$18:$AJ$1670*('W3'!$L$14:$AJ$14='W4'!AF$1)*('W3'!$A$18:$A$1670='W4'!AF$8)*('W3'!$C$18:$C$1670='W4'!$C16))/$AO$1</f>
        <v>73.703225806451755</v>
      </c>
      <c r="AF16" s="205"/>
      <c r="AG16" s="203"/>
      <c r="AH16" s="242">
        <f t="shared" si="22"/>
        <v>27.638709677419406</v>
      </c>
      <c r="AI16" s="204" cm="1">
        <f t="array" ref="AI16">SUMPRODUCT('W3'!$L$18:$AJ$1670*('W3'!$L$14:$AJ$14='W4'!AJ$1)*('W3'!$A$18:$A$1670='W4'!AJ$8)*('W3'!$C$18:$C$1670='W4'!$C16))/$AO$1</f>
        <v>73.703225806451755</v>
      </c>
      <c r="AJ16" s="205"/>
    </row>
    <row r="17" spans="2:36" ht="19.149999999999999" customHeight="1" x14ac:dyDescent="0.25">
      <c r="B17" s="187">
        <v>5</v>
      </c>
      <c r="C17" s="188" t="s">
        <v>370</v>
      </c>
      <c r="D17" s="188"/>
      <c r="E17" s="188"/>
      <c r="F17" s="189">
        <f>4*$D$3/18</f>
        <v>3.3333333333333335</v>
      </c>
      <c r="G17" s="189">
        <f t="shared" ref="G17" si="25">F17*($D$4*$D$5)/$D$6</f>
        <v>8.8888888888888893</v>
      </c>
      <c r="H17" s="190">
        <f>F17/F$19</f>
        <v>6.9977093435820625E-3</v>
      </c>
      <c r="I17" s="189"/>
      <c r="J17" s="189">
        <f>5*$D$3/18</f>
        <v>4.166666666666667</v>
      </c>
      <c r="K17" s="189">
        <f t="shared" ref="K17" si="26">J17*($D$4*$D$5)/$D$6</f>
        <v>11.111111111111112</v>
      </c>
      <c r="L17" s="190">
        <f>J17/J$19</f>
        <v>7.502019037138514E-3</v>
      </c>
      <c r="M17" s="189"/>
      <c r="N17" s="189">
        <f>F17</f>
        <v>3.3333333333333335</v>
      </c>
      <c r="O17" s="189">
        <f t="shared" si="12"/>
        <v>8.8888888888888893</v>
      </c>
      <c r="P17" s="190">
        <f>N17/N$19</f>
        <v>5.0955414012738851E-3</v>
      </c>
      <c r="Q17" s="189"/>
      <c r="R17" s="189">
        <f>J17</f>
        <v>4.166666666666667</v>
      </c>
      <c r="S17" s="189">
        <f t="shared" si="14"/>
        <v>11.111111111111112</v>
      </c>
      <c r="T17" s="190">
        <f>R17/R$19</f>
        <v>5.8892815076560662E-3</v>
      </c>
      <c r="U17" s="189"/>
      <c r="V17" s="240">
        <f t="shared" si="16"/>
        <v>4.7676282051282062</v>
      </c>
      <c r="W17" s="189" cm="1">
        <f t="array" ref="W17">SUMPRODUCT('W3'!$L$18:$AJ$1670*('W3'!$L$14:$AJ$14='W4'!X$1)*('W3'!$A$18:$A$1670='W4'!X$8)*('W3'!$C$18:$C$1670='W4'!$C17))/$AO$1</f>
        <v>12.713675213675216</v>
      </c>
      <c r="X17" s="190">
        <f>V17/V$19</f>
        <v>7.6409428120158916E-3</v>
      </c>
      <c r="Y17" s="189"/>
      <c r="Z17" s="240">
        <f t="shared" si="18"/>
        <v>4.7676282051282062</v>
      </c>
      <c r="AA17" s="189" cm="1">
        <f t="array" ref="AA17">SUMPRODUCT('W3'!$L$18:$AJ$1670*('W3'!$L$14:$AJ$14='W4'!AB$1)*('W3'!$A$18:$A$1670='W4'!AB$8)*('W3'!$C$18:$C$1670='W4'!$C17))/$AO$1</f>
        <v>12.713675213675216</v>
      </c>
      <c r="AB17" s="190">
        <f>Z17/Z$19</f>
        <v>7.256851254298903E-3</v>
      </c>
      <c r="AC17" s="189"/>
      <c r="AD17" s="240">
        <f t="shared" si="20"/>
        <v>4.7676282051282062</v>
      </c>
      <c r="AE17" s="189" cm="1">
        <f t="array" ref="AE17">SUMPRODUCT('W3'!$L$18:$AJ$1670*('W3'!$L$14:$AJ$14='W4'!AF$1)*('W3'!$A$18:$A$1670='W4'!AF$8)*('W3'!$C$18:$C$1670='W4'!$C17))/$AO$1</f>
        <v>12.713675213675216</v>
      </c>
      <c r="AF17" s="190">
        <f>AD17/AD$19</f>
        <v>7.6409428120158916E-3</v>
      </c>
      <c r="AG17" s="189"/>
      <c r="AH17" s="240">
        <f t="shared" si="22"/>
        <v>4.7676282051282062</v>
      </c>
      <c r="AI17" s="189" cm="1">
        <f t="array" ref="AI17">SUMPRODUCT('W3'!$L$18:$AJ$1670*('W3'!$L$14:$AJ$14='W4'!AJ$1)*('W3'!$A$18:$A$1670='W4'!AJ$8)*('W3'!$C$18:$C$1670='W4'!$C17))/$AO$1</f>
        <v>12.713675213675216</v>
      </c>
      <c r="AJ17" s="190">
        <f>AH17/AH$19</f>
        <v>7.6409428120158916E-3</v>
      </c>
    </row>
    <row r="18" spans="2:36" ht="19.149999999999999" customHeight="1" x14ac:dyDescent="0.25">
      <c r="B18" s="187">
        <v>7</v>
      </c>
      <c r="C18" s="188" t="s">
        <v>291</v>
      </c>
      <c r="D18" s="188"/>
      <c r="E18" s="188"/>
      <c r="F18" s="189"/>
      <c r="G18" s="189"/>
      <c r="H18" s="190">
        <f>F18/F$19</f>
        <v>0</v>
      </c>
      <c r="I18" s="189"/>
      <c r="J18" s="189"/>
      <c r="K18" s="189"/>
      <c r="L18" s="190">
        <f>J18/J$19</f>
        <v>0</v>
      </c>
      <c r="M18" s="189"/>
      <c r="N18" s="189">
        <f>F18</f>
        <v>0</v>
      </c>
      <c r="O18" s="189">
        <f t="shared" si="12"/>
        <v>0</v>
      </c>
      <c r="P18" s="190">
        <f>N18/N$19</f>
        <v>0</v>
      </c>
      <c r="Q18" s="189"/>
      <c r="R18" s="189">
        <f>J18</f>
        <v>0</v>
      </c>
      <c r="S18" s="189">
        <f t="shared" si="14"/>
        <v>0</v>
      </c>
      <c r="T18" s="190">
        <f>R18/R$19</f>
        <v>0</v>
      </c>
      <c r="U18" s="189"/>
      <c r="V18" s="240">
        <f t="shared" si="16"/>
        <v>38.997381625723548</v>
      </c>
      <c r="W18" s="189">
        <f>SUM(,W13:W14,W17)*X18</f>
        <v>103.99301766859614</v>
      </c>
      <c r="X18" s="397">
        <f>INDEX('Cover Page'!$H$12:$W$12,MATCH('W4'!X$8,'Cover Page'!$H$5:$W$5,0))</f>
        <v>6.6666666666666666E-2</v>
      </c>
      <c r="Y18" s="189"/>
      <c r="Z18" s="240">
        <f t="shared" si="18"/>
        <v>41.061440062450465</v>
      </c>
      <c r="AA18" s="189">
        <f>SUM(,AA13:AA14,AA17)*AB18</f>
        <v>109.49717349986791</v>
      </c>
      <c r="AB18" s="397">
        <f>INDEX('Cover Page'!$H$12:$W$12,MATCH('W4'!AB$8,'Cover Page'!$H$5:$W$5,0))</f>
        <v>6.6666666666666666E-2</v>
      </c>
      <c r="AC18" s="398"/>
      <c r="AD18" s="240">
        <f t="shared" si="20"/>
        <v>38.997381625723548</v>
      </c>
      <c r="AE18" s="189">
        <f>SUM(,AE13:AE14,AE17)*AF18</f>
        <v>103.99301766859614</v>
      </c>
      <c r="AF18" s="397">
        <f>INDEX('Cover Page'!$H$12:$W$12,MATCH('W4'!AF$8,'Cover Page'!$H$5:$W$5,0))</f>
        <v>6.6666666666666666E-2</v>
      </c>
      <c r="AG18" s="398"/>
      <c r="AH18" s="240">
        <f t="shared" si="22"/>
        <v>38.997381625723548</v>
      </c>
      <c r="AI18" s="189">
        <f>SUM(,AI13:AI14,AI17)*AJ18</f>
        <v>103.99301766859614</v>
      </c>
      <c r="AJ18" s="397">
        <f>INDEX('Cover Page'!$H$12:$W$12,MATCH('W4'!AJ$8,'Cover Page'!$H$5:$W$5,0))</f>
        <v>6.6666666666666666E-2</v>
      </c>
    </row>
    <row r="19" spans="2:36" s="184" customFormat="1" ht="19.149999999999999" customHeight="1" x14ac:dyDescent="0.25">
      <c r="B19" s="182">
        <v>8</v>
      </c>
      <c r="C19" s="183" t="s">
        <v>371</v>
      </c>
      <c r="D19" s="183"/>
      <c r="F19" s="185">
        <f t="shared" ref="F19:G19" si="27">SUM(F13,F14,F17,F18)</f>
        <v>476.34635416666663</v>
      </c>
      <c r="G19" s="185">
        <f t="shared" si="27"/>
        <v>1270.2569444444446</v>
      </c>
      <c r="H19" s="186">
        <f>F19/F$19</f>
        <v>1</v>
      </c>
      <c r="J19" s="185">
        <f t="shared" ref="J19:K19" si="28">SUM(J13,J14,J17,J18)</f>
        <v>555.40603749999991</v>
      </c>
      <c r="K19" s="185">
        <f t="shared" si="28"/>
        <v>1481.0827666666667</v>
      </c>
      <c r="L19" s="186">
        <f>J19/J$19</f>
        <v>1</v>
      </c>
      <c r="N19" s="185">
        <f t="shared" ref="N19:O19" si="29">SUM(N13,N14,N17,N18)</f>
        <v>654.16666666666674</v>
      </c>
      <c r="O19" s="185">
        <f t="shared" si="29"/>
        <v>1744.4444444444446</v>
      </c>
      <c r="P19" s="186">
        <f>N19/N$19</f>
        <v>1</v>
      </c>
      <c r="R19" s="185">
        <f>SUM(R13,R14,R17,R18)</f>
        <v>707.5</v>
      </c>
      <c r="S19" s="185">
        <f>SUM(S13,S14,S17,S18)</f>
        <v>1886.6666666666667</v>
      </c>
      <c r="T19" s="186">
        <f>R19/R$19</f>
        <v>1</v>
      </c>
      <c r="V19" s="241">
        <f>SUM(V13,V14,V17,V18)</f>
        <v>623.95810601157666</v>
      </c>
      <c r="W19" s="185">
        <f t="shared" ref="W19" si="30">SUM(W13,W14,W17,W18)</f>
        <v>1663.8882826975382</v>
      </c>
      <c r="X19" s="186">
        <f>V19/V$19</f>
        <v>1</v>
      </c>
      <c r="Z19" s="241">
        <f>SUM(Z13,Z14,Z17,Z18)</f>
        <v>656.98304099920745</v>
      </c>
      <c r="AA19" s="185">
        <f t="shared" ref="AA19" si="31">SUM(AA13,AA14,AA17,AA18)</f>
        <v>1751.9547759978866</v>
      </c>
      <c r="AB19" s="186">
        <f>Z19/Z$19</f>
        <v>1</v>
      </c>
      <c r="AD19" s="241">
        <f>SUM(AD13,AD14,AD17,AD18)</f>
        <v>623.95810601157666</v>
      </c>
      <c r="AE19" s="185">
        <f t="shared" ref="AE19" si="32">SUM(AE13,AE14,AE17,AE18)</f>
        <v>1663.8882826975382</v>
      </c>
      <c r="AF19" s="186">
        <f>AD19/AD$19</f>
        <v>1</v>
      </c>
      <c r="AH19" s="241">
        <f>SUM(AH13,AH14,AH17,AH18)</f>
        <v>623.95810601157666</v>
      </c>
      <c r="AI19" s="185">
        <f t="shared" ref="AI19" si="33">SUM(AI13,AI14,AI17,AI18)</f>
        <v>1663.8882826975382</v>
      </c>
      <c r="AJ19" s="186">
        <f>AH19/AH$19</f>
        <v>1</v>
      </c>
    </row>
    <row r="20" spans="2:36" s="151" customFormat="1" ht="19.149999999999999" customHeight="1" x14ac:dyDescent="0.25">
      <c r="B20" s="161">
        <v>9</v>
      </c>
      <c r="C20" s="151" t="s">
        <v>546</v>
      </c>
      <c r="F20" s="353"/>
      <c r="G20" s="353"/>
      <c r="H20" s="152"/>
      <c r="J20" s="353"/>
      <c r="K20" s="353"/>
      <c r="L20" s="152"/>
      <c r="P20" s="152"/>
      <c r="T20" s="152"/>
      <c r="V20" s="354">
        <f>V19-V18</f>
        <v>584.96072438585315</v>
      </c>
      <c r="W20" s="354">
        <f>W19-W18</f>
        <v>1559.895265028942</v>
      </c>
      <c r="X20" s="152"/>
      <c r="Z20" s="354">
        <f t="shared" ref="Z20:AA20" si="34">Z19-Z18</f>
        <v>615.92160093675693</v>
      </c>
      <c r="AA20" s="354">
        <f t="shared" si="34"/>
        <v>1642.4576024980188</v>
      </c>
      <c r="AB20" s="152"/>
      <c r="AD20" s="354">
        <f>AD19-AD18</f>
        <v>584.96072438585315</v>
      </c>
      <c r="AE20" s="354">
        <f>AE19-AE18</f>
        <v>1559.895265028942</v>
      </c>
      <c r="AF20" s="152"/>
      <c r="AH20" s="354">
        <f>AH19-AH18</f>
        <v>584.96072438585315</v>
      </c>
      <c r="AI20" s="354">
        <f>AI19-AI18</f>
        <v>1559.895265028942</v>
      </c>
      <c r="AJ20" s="152"/>
    </row>
    <row r="21" spans="2:36" s="151" customFormat="1" ht="19.149999999999999" hidden="1" customHeight="1" x14ac:dyDescent="0.25">
      <c r="B21" s="437"/>
      <c r="C21" s="151" t="s">
        <v>597</v>
      </c>
      <c r="N21" s="354"/>
      <c r="R21" s="354"/>
      <c r="X21" s="152"/>
      <c r="Z21" s="354"/>
      <c r="AA21" s="354"/>
      <c r="AB21" s="152"/>
      <c r="AD21" s="354"/>
      <c r="AE21" s="354"/>
      <c r="AF21" s="152"/>
    </row>
    <row r="22" spans="2:36" ht="19.149999999999999" customHeight="1" x14ac:dyDescent="0.25">
      <c r="B22" s="178"/>
      <c r="H22" s="154"/>
      <c r="L22" s="154"/>
      <c r="P22" s="154"/>
      <c r="T22" s="154"/>
      <c r="V22" s="154"/>
      <c r="Y22" s="151"/>
      <c r="Z22" s="352"/>
      <c r="AA22" s="352"/>
      <c r="AC22" s="151"/>
      <c r="AD22" s="352"/>
      <c r="AE22" s="352"/>
      <c r="AG22" s="151"/>
    </row>
    <row r="23" spans="2:36" ht="19.149999999999999" customHeight="1" x14ac:dyDescent="0.25">
      <c r="B23" s="178"/>
      <c r="H23" s="154"/>
      <c r="L23" s="154"/>
      <c r="P23" s="154"/>
      <c r="T23" s="154"/>
      <c r="V23" s="154"/>
      <c r="Y23" s="151"/>
      <c r="Z23" s="352"/>
      <c r="AA23" s="352"/>
      <c r="AC23" s="151"/>
      <c r="AD23" s="352"/>
      <c r="AE23" s="352"/>
      <c r="AG23" s="151"/>
    </row>
    <row r="24" spans="2:36" ht="19.149999999999999" customHeight="1" x14ac:dyDescent="0.25">
      <c r="B24" s="178"/>
      <c r="H24" s="154"/>
      <c r="L24" s="154"/>
      <c r="P24" s="154"/>
      <c r="T24" s="154"/>
      <c r="V24" s="154"/>
      <c r="Y24" s="151"/>
      <c r="Z24" s="352"/>
      <c r="AA24" s="352"/>
      <c r="AC24" s="151"/>
      <c r="AD24" s="352"/>
      <c r="AE24" s="352"/>
      <c r="AG24" s="151"/>
    </row>
    <row r="25" spans="2:36" ht="19.149999999999999" customHeight="1" x14ac:dyDescent="0.25">
      <c r="B25" s="178"/>
      <c r="H25" s="154"/>
      <c r="L25" s="154"/>
      <c r="P25" s="154"/>
      <c r="T25" s="154"/>
      <c r="V25" s="154"/>
      <c r="Y25" s="151"/>
      <c r="Z25" s="352"/>
      <c r="AA25" s="352"/>
      <c r="AC25" s="151"/>
      <c r="AD25" s="352"/>
      <c r="AE25" s="352"/>
      <c r="AG25" s="151"/>
    </row>
    <row r="26" spans="2:36" ht="19.149999999999999" customHeight="1" x14ac:dyDescent="0.25">
      <c r="B26" s="178"/>
      <c r="H26" s="154"/>
      <c r="L26" s="154"/>
      <c r="P26" s="154"/>
      <c r="T26" s="154"/>
      <c r="V26" s="154"/>
      <c r="Y26" s="151"/>
      <c r="Z26" s="352"/>
      <c r="AA26" s="352"/>
      <c r="AC26" s="151"/>
      <c r="AD26" s="352"/>
      <c r="AE26" s="352"/>
      <c r="AG26" s="151"/>
    </row>
    <row r="27" spans="2:36" ht="19.149999999999999" customHeight="1" x14ac:dyDescent="0.25">
      <c r="B27" s="178"/>
      <c r="H27" s="154"/>
      <c r="L27" s="154"/>
      <c r="P27" s="154"/>
      <c r="T27" s="154"/>
      <c r="V27" s="154"/>
      <c r="Y27" s="151"/>
      <c r="Z27" s="352"/>
      <c r="AA27" s="352"/>
      <c r="AC27" s="151"/>
      <c r="AD27" s="352"/>
      <c r="AE27" s="352"/>
      <c r="AG27" s="151"/>
    </row>
    <row r="28" spans="2:36" ht="19.149999999999999" customHeight="1" x14ac:dyDescent="0.25">
      <c r="B28" s="178"/>
      <c r="H28" s="154"/>
      <c r="L28" s="154"/>
      <c r="P28" s="154"/>
      <c r="T28" s="154"/>
      <c r="V28" s="154"/>
      <c r="Y28" s="151"/>
      <c r="Z28" s="352"/>
      <c r="AA28" s="352"/>
      <c r="AC28" s="151"/>
      <c r="AD28" s="352"/>
      <c r="AE28" s="352"/>
      <c r="AG28" s="151"/>
    </row>
    <row r="29" spans="2:36" ht="19.149999999999999" customHeight="1" x14ac:dyDescent="0.25">
      <c r="B29" s="178"/>
      <c r="H29" s="154"/>
      <c r="L29" s="154"/>
      <c r="P29" s="154"/>
      <c r="T29" s="154"/>
      <c r="V29" s="154"/>
      <c r="Y29" s="151"/>
      <c r="Z29" s="352"/>
      <c r="AA29" s="352"/>
      <c r="AC29" s="151"/>
      <c r="AD29" s="352"/>
      <c r="AE29" s="352"/>
      <c r="AG29" s="151"/>
    </row>
    <row r="30" spans="2:36" ht="19.149999999999999" customHeight="1" x14ac:dyDescent="0.25">
      <c r="B30" s="178"/>
      <c r="H30" s="154"/>
      <c r="L30" s="154"/>
      <c r="P30" s="154"/>
      <c r="T30" s="154"/>
      <c r="V30" s="154"/>
      <c r="Y30" s="151"/>
      <c r="Z30" s="352"/>
      <c r="AA30" s="352"/>
      <c r="AC30" s="151"/>
      <c r="AD30" s="352"/>
      <c r="AE30" s="352"/>
      <c r="AG30" s="151"/>
    </row>
    <row r="31" spans="2:36" ht="19.149999999999999" customHeight="1" x14ac:dyDescent="0.25">
      <c r="B31" s="178"/>
      <c r="H31" s="154"/>
      <c r="L31" s="154"/>
      <c r="P31" s="154"/>
      <c r="T31" s="154"/>
      <c r="V31" s="154"/>
      <c r="Y31" s="151"/>
      <c r="Z31" s="352"/>
      <c r="AA31" s="352"/>
      <c r="AC31" s="151"/>
      <c r="AD31" s="352"/>
      <c r="AE31" s="352"/>
      <c r="AG31" s="151"/>
    </row>
    <row r="32" spans="2:36" ht="19.149999999999999" customHeight="1" x14ac:dyDescent="0.25">
      <c r="B32" s="178"/>
      <c r="C32" s="154" t="s">
        <v>390</v>
      </c>
      <c r="F32" s="159"/>
      <c r="G32" s="159"/>
      <c r="J32" s="159"/>
      <c r="K32" s="159"/>
      <c r="N32" s="151"/>
      <c r="O32" s="151"/>
      <c r="P32" s="152"/>
      <c r="Q32" s="151"/>
      <c r="R32" s="151"/>
      <c r="T32" s="152"/>
      <c r="U32" s="151"/>
      <c r="Y32" s="151"/>
      <c r="AC32" s="151"/>
      <c r="AG32" s="151"/>
    </row>
    <row r="33" spans="3:3" ht="19.149999999999999" customHeight="1" x14ac:dyDescent="0.25">
      <c r="C33" s="208" t="s">
        <v>386</v>
      </c>
    </row>
    <row r="35" spans="3:3" ht="19.149999999999999" customHeight="1" x14ac:dyDescent="0.25">
      <c r="C35" s="151" t="s">
        <v>391</v>
      </c>
    </row>
    <row r="36" spans="3:3" ht="19.149999999999999" customHeight="1" x14ac:dyDescent="0.25">
      <c r="C36" s="209" t="s">
        <v>392</v>
      </c>
    </row>
    <row r="37" spans="3:3" ht="19.149999999999999" customHeight="1" x14ac:dyDescent="0.25">
      <c r="C37" s="209" t="s">
        <v>395</v>
      </c>
    </row>
    <row r="39" spans="3:3" ht="19.149999999999999" customHeight="1" x14ac:dyDescent="0.25">
      <c r="C39" s="151" t="s">
        <v>393</v>
      </c>
    </row>
    <row r="40" spans="3:3" ht="19.149999999999999" customHeight="1" x14ac:dyDescent="0.25">
      <c r="C40" s="209" t="s">
        <v>399</v>
      </c>
    </row>
    <row r="41" spans="3:3" ht="19.149999999999999" customHeight="1" x14ac:dyDescent="0.25">
      <c r="C41" s="209" t="s">
        <v>394</v>
      </c>
    </row>
    <row r="42" spans="3:3" ht="19.149999999999999" customHeight="1" x14ac:dyDescent="0.25">
      <c r="C42" s="209" t="s">
        <v>396</v>
      </c>
    </row>
    <row r="43" spans="3:3" ht="19.149999999999999" customHeight="1" x14ac:dyDescent="0.25">
      <c r="C43" s="209" t="s">
        <v>397</v>
      </c>
    </row>
    <row r="44" spans="3:3" ht="19.149999999999999" customHeight="1" x14ac:dyDescent="0.25">
      <c r="C44" s="209" t="s">
        <v>398</v>
      </c>
    </row>
    <row r="45" spans="3:3" ht="19.149999999999999" customHeight="1" x14ac:dyDescent="0.25">
      <c r="C45" s="209" t="s">
        <v>400</v>
      </c>
    </row>
  </sheetData>
  <mergeCells count="3">
    <mergeCell ref="D8:D9"/>
    <mergeCell ref="C8:C9"/>
    <mergeCell ref="B8:B9"/>
  </mergeCells>
  <dataValidations disablePrompts="1" count="2">
    <dataValidation type="list" allowBlank="1" showInputMessage="1" showErrorMessage="1" sqref="C6" xr:uid="{B1FC2EA3-A24C-4D64-A235-3BDB8D82F8A2}">
      <formula1>"USD,VND"</formula1>
    </dataValidation>
    <dataValidation type="list" allowBlank="1" showInputMessage="1" showErrorMessage="1" sqref="D3" xr:uid="{7B12A2CF-4CB2-4EE9-AB3A-496467B1628E}">
      <formula1>"15,18"</formula1>
    </dataValidation>
  </dataValidation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4A50A-6D23-4762-B8A2-B703871B534C}">
  <dimension ref="A1:AS120"/>
  <sheetViews>
    <sheetView zoomScale="85" zoomScaleNormal="85" workbookViewId="0">
      <pane xSplit="4" ySplit="3" topLeftCell="E4" activePane="bottomRight" state="frozen"/>
      <selection pane="topRight" activeCell="E1" sqref="E1"/>
      <selection pane="bottomLeft" activeCell="A4" sqref="A4"/>
      <selection pane="bottomRight" activeCell="E71" sqref="E71:F86"/>
    </sheetView>
  </sheetViews>
  <sheetFormatPr defaultColWidth="7.75" defaultRowHeight="14.25" outlineLevelRow="1" x14ac:dyDescent="0.2"/>
  <cols>
    <col min="1" max="1" width="6.125" style="105" customWidth="1"/>
    <col min="2" max="2" width="7.75" style="105" customWidth="1"/>
    <col min="3" max="3" width="16" style="105" customWidth="1"/>
    <col min="4" max="4" width="24.875" style="105" customWidth="1"/>
    <col min="5" max="5" width="16" style="105" customWidth="1"/>
    <col min="6" max="6" width="13.125" style="105" customWidth="1"/>
    <col min="7" max="13" width="16" style="105" customWidth="1"/>
    <col min="14" max="14" width="19.625" style="105" customWidth="1"/>
    <col min="15" max="15" width="16" style="105" customWidth="1"/>
    <col min="16" max="24" width="18.625" style="105" customWidth="1"/>
    <col min="25" max="25" width="26" style="105" customWidth="1"/>
    <col min="26" max="26" width="7.75" style="105"/>
    <col min="27" max="27" width="50.5" style="105" customWidth="1"/>
    <col min="28" max="28" width="14.5" style="105" customWidth="1"/>
    <col min="29" max="33" width="8.5" style="105" customWidth="1"/>
    <col min="34" max="34" width="9.125" style="105" customWidth="1"/>
    <col min="35" max="38" width="7.75" style="105"/>
    <col min="39" max="41" width="9.375" style="105" bestFit="1" customWidth="1"/>
    <col min="42" max="45" width="7.75" style="105"/>
    <col min="46" max="46" width="6.625" style="105" bestFit="1" customWidth="1"/>
    <col min="47" max="16384" width="7.75" style="105"/>
  </cols>
  <sheetData>
    <row r="1" spans="2:45" s="125" customFormat="1" ht="20.25" customHeight="1" outlineLevel="1" thickBot="1" x14ac:dyDescent="0.3">
      <c r="B1" s="104"/>
      <c r="C1" s="104"/>
      <c r="D1" s="126" t="s">
        <v>339</v>
      </c>
      <c r="E1" s="330">
        <f>Summary!M6</f>
        <v>680</v>
      </c>
      <c r="F1" s="857" t="s">
        <v>368</v>
      </c>
      <c r="G1" s="330">
        <f>E1</f>
        <v>680</v>
      </c>
      <c r="H1" s="857" t="s">
        <v>368</v>
      </c>
      <c r="I1" s="330">
        <f>Summary!P6</f>
        <v>650</v>
      </c>
      <c r="J1" s="857" t="s">
        <v>368</v>
      </c>
      <c r="K1" s="330">
        <f>I1</f>
        <v>650</v>
      </c>
      <c r="L1" s="857" t="s">
        <v>368</v>
      </c>
      <c r="M1" s="330">
        <f>Summary!S6</f>
        <v>610</v>
      </c>
      <c r="N1" s="857" t="s">
        <v>368</v>
      </c>
      <c r="O1" s="330">
        <f>M1</f>
        <v>610</v>
      </c>
      <c r="P1" s="857" t="s">
        <v>368</v>
      </c>
      <c r="Q1" s="330">
        <v>585.97521625708509</v>
      </c>
      <c r="R1" s="857" t="s">
        <v>368</v>
      </c>
      <c r="S1" s="330">
        <v>619.24383551386734</v>
      </c>
      <c r="T1" s="857" t="s">
        <v>368</v>
      </c>
      <c r="U1" s="330">
        <v>680</v>
      </c>
      <c r="V1" s="857" t="s">
        <v>368</v>
      </c>
      <c r="W1" s="330">
        <v>680</v>
      </c>
      <c r="X1" s="857" t="s">
        <v>368</v>
      </c>
      <c r="Y1" s="875">
        <v>3</v>
      </c>
      <c r="AA1" s="359"/>
      <c r="AC1" s="436" t="s">
        <v>404</v>
      </c>
      <c r="AD1" s="436" t="s">
        <v>405</v>
      </c>
      <c r="AE1" s="436" t="s">
        <v>407</v>
      </c>
      <c r="AF1" s="436" t="s">
        <v>692</v>
      </c>
      <c r="AG1" s="436" t="s">
        <v>693</v>
      </c>
      <c r="AH1" s="436" t="s">
        <v>694</v>
      </c>
      <c r="AI1" s="436" t="s">
        <v>855</v>
      </c>
      <c r="AJ1" s="436" t="s">
        <v>856</v>
      </c>
      <c r="AK1" s="436" t="s">
        <v>857</v>
      </c>
      <c r="AL1" s="436" t="s">
        <v>858</v>
      </c>
      <c r="AR1" s="440" t="str">
        <f>MD!$A$7</f>
        <v>VND</v>
      </c>
      <c r="AS1" s="441">
        <f>IF(AR1="VND",1,EXR/1000)</f>
        <v>1</v>
      </c>
    </row>
    <row r="2" spans="2:45" s="371" customFormat="1" ht="34.15" customHeight="1" x14ac:dyDescent="0.2">
      <c r="B2" s="373" t="s">
        <v>2</v>
      </c>
      <c r="C2" s="368" t="s">
        <v>556</v>
      </c>
      <c r="D2" s="368"/>
      <c r="E2" s="770" t="str">
        <f>'Cover Page'!H4</f>
        <v>BASE-KHÔNG XƯỞNG</v>
      </c>
      <c r="F2" s="771"/>
      <c r="G2" s="881" t="str">
        <f>'Cover Page'!K4</f>
        <v>BASE-CÓ XƯỞNG</v>
      </c>
      <c r="H2" s="370"/>
      <c r="I2" s="998" t="str">
        <f>'Cover Page'!N4</f>
        <v>650 VND/Phôi-KHÔNG XƯỞNG</v>
      </c>
      <c r="J2" s="999"/>
      <c r="K2" s="1000" t="str">
        <f>'Cover Page'!Q4</f>
        <v>650 VND/Phôi-CÓ XƯỞNG</v>
      </c>
      <c r="L2" s="1000"/>
      <c r="M2" s="1001" t="str">
        <f>'Cover Page'!T4</f>
        <v>SUNTORY-KHÔNG XƯỞNG</v>
      </c>
      <c r="N2" s="1002"/>
      <c r="O2" s="1003" t="str">
        <f>'Cover Page'!W4</f>
        <v>SUNTORY-CÓ XƯỞNG</v>
      </c>
      <c r="P2" s="1004"/>
      <c r="Q2" s="700" t="str">
        <f>'Cover Page'!Z4</f>
        <v>NPV=0 - KHÔNG XƯỞNG</v>
      </c>
      <c r="R2" s="701"/>
      <c r="S2" s="369" t="str">
        <f>'Cover Page'!AC4</f>
        <v>NPV=0 - CÓ XƯỞNG</v>
      </c>
      <c r="T2" s="369"/>
      <c r="U2" s="700" t="str">
        <f>'Cover Page'!AF4</f>
        <v>THỦ</v>
      </c>
      <c r="V2" s="701"/>
      <c r="W2" s="369" t="str">
        <f>'Cover Page'!AI4</f>
        <v>THỦ</v>
      </c>
      <c r="X2" s="369"/>
      <c r="Y2" s="105"/>
      <c r="AC2" s="442">
        <f>E1</f>
        <v>680</v>
      </c>
      <c r="AD2" s="442">
        <f>G1</f>
        <v>680</v>
      </c>
      <c r="AE2" s="442">
        <f>I1</f>
        <v>650</v>
      </c>
      <c r="AF2" s="442">
        <f>K1</f>
        <v>650</v>
      </c>
      <c r="AG2" s="442">
        <f>M1</f>
        <v>610</v>
      </c>
      <c r="AH2" s="442">
        <f>O1</f>
        <v>610</v>
      </c>
      <c r="AI2" s="442">
        <f>Q1</f>
        <v>585.97521625708509</v>
      </c>
      <c r="AJ2" s="442">
        <f>S1</f>
        <v>619.24383551386734</v>
      </c>
      <c r="AK2" s="442">
        <f>U1</f>
        <v>680</v>
      </c>
      <c r="AL2" s="442">
        <f>W1</f>
        <v>680</v>
      </c>
    </row>
    <row r="3" spans="2:45" ht="9.6" customHeight="1" x14ac:dyDescent="0.2">
      <c r="E3" s="772"/>
      <c r="F3" s="123"/>
      <c r="G3" s="773"/>
      <c r="H3" s="360"/>
      <c r="I3" s="361"/>
      <c r="J3" s="360"/>
      <c r="K3" s="697"/>
      <c r="L3" s="697"/>
      <c r="M3" s="361"/>
      <c r="N3" s="360"/>
      <c r="O3" s="774"/>
      <c r="P3" s="123"/>
      <c r="Q3" s="361"/>
      <c r="R3" s="360"/>
      <c r="S3" s="123"/>
      <c r="T3" s="123"/>
      <c r="U3" s="361"/>
      <c r="V3" s="360"/>
      <c r="W3" s="123"/>
      <c r="X3" s="123"/>
      <c r="AC3" s="105">
        <v>715</v>
      </c>
      <c r="AD3" s="105">
        <v>725</v>
      </c>
      <c r="AH3" s="105">
        <f>725-19.5</f>
        <v>705.5</v>
      </c>
    </row>
    <row r="4" spans="2:45" s="359" customFormat="1" ht="15" x14ac:dyDescent="0.25">
      <c r="B4" s="383">
        <v>1</v>
      </c>
      <c r="C4" s="384" t="s">
        <v>749</v>
      </c>
      <c r="D4" s="384"/>
      <c r="E4" s="385">
        <f>E64</f>
        <v>680</v>
      </c>
      <c r="F4" s="385"/>
      <c r="G4" s="386">
        <f>G64</f>
        <v>680</v>
      </c>
      <c r="H4" s="387"/>
      <c r="I4" s="386">
        <f>I64</f>
        <v>650</v>
      </c>
      <c r="J4" s="387"/>
      <c r="K4" s="386">
        <f>K64</f>
        <v>650</v>
      </c>
      <c r="L4" s="698"/>
      <c r="M4" s="386">
        <f>M64</f>
        <v>610</v>
      </c>
      <c r="N4" s="387"/>
      <c r="O4" s="385">
        <f>O64</f>
        <v>610</v>
      </c>
      <c r="P4" s="384"/>
      <c r="Q4" s="386">
        <f>Q64</f>
        <v>585.97521625708509</v>
      </c>
      <c r="R4" s="970"/>
      <c r="S4" s="385">
        <f>S64</f>
        <v>619.24383551386734</v>
      </c>
      <c r="T4" s="384"/>
      <c r="U4" s="386">
        <f>U64</f>
        <v>680</v>
      </c>
      <c r="V4" s="970"/>
      <c r="W4" s="385">
        <f>W64</f>
        <v>680</v>
      </c>
      <c r="X4" s="384"/>
      <c r="Y4" s="105"/>
      <c r="AC4" s="334">
        <f>E61*(1-Tax_rate)/(1-Tax_rate-5%)</f>
        <v>648.91643025203985</v>
      </c>
      <c r="AD4" s="334">
        <f>G61*(1-Tax_rate)/(1-Tax_rate-5%)</f>
        <v>683.26236263917588</v>
      </c>
      <c r="AE4" s="334"/>
      <c r="AF4" s="334"/>
      <c r="AG4" s="334"/>
      <c r="AH4" s="334">
        <f>O61*(1-Tax_rate)/(1-Tax_rate-5%)</f>
        <v>683.26236263917588</v>
      </c>
    </row>
    <row r="5" spans="2:45" x14ac:dyDescent="0.2">
      <c r="B5" s="372">
        <v>2</v>
      </c>
      <c r="C5" s="105" t="s">
        <v>750</v>
      </c>
      <c r="E5" s="123">
        <f>E86</f>
        <v>1743.5897435897436</v>
      </c>
      <c r="F5" s="123"/>
      <c r="G5" s="361">
        <f>G86</f>
        <v>1743.5897435897436</v>
      </c>
      <c r="H5" s="360"/>
      <c r="I5" s="361">
        <f>I86</f>
        <v>1666.6666666666667</v>
      </c>
      <c r="J5" s="360"/>
      <c r="K5" s="361">
        <f>K86</f>
        <v>1666.6666666666667</v>
      </c>
      <c r="L5" s="697"/>
      <c r="M5" s="361">
        <f>M86</f>
        <v>1564.1025641025642</v>
      </c>
      <c r="N5" s="360"/>
      <c r="O5" s="123">
        <f>O86</f>
        <v>1564.1025641025642</v>
      </c>
      <c r="Q5" s="361">
        <f>Q86</f>
        <v>1502.5005545053466</v>
      </c>
      <c r="R5" s="362"/>
      <c r="S5" s="123">
        <f>S86</f>
        <v>1587.8047064458137</v>
      </c>
      <c r="U5" s="361">
        <f>U86</f>
        <v>1743.5897435897436</v>
      </c>
      <c r="V5" s="362"/>
      <c r="W5" s="123">
        <f>W86</f>
        <v>1743.5897435897436</v>
      </c>
    </row>
    <row r="6" spans="2:45" ht="15" x14ac:dyDescent="0.25">
      <c r="B6" s="383">
        <v>3</v>
      </c>
      <c r="C6" s="384" t="s">
        <v>751</v>
      </c>
      <c r="D6" s="384"/>
      <c r="E6" s="385">
        <f>E61</f>
        <v>608.35915336128733</v>
      </c>
      <c r="F6" s="385"/>
      <c r="G6" s="386">
        <f>G61</f>
        <v>640.55846497422726</v>
      </c>
      <c r="H6" s="387"/>
      <c r="I6" s="386">
        <f>I61</f>
        <v>608.35915336128733</v>
      </c>
      <c r="J6" s="387"/>
      <c r="K6" s="386">
        <f>K61</f>
        <v>640.55846497422726</v>
      </c>
      <c r="L6" s="698"/>
      <c r="M6" s="386">
        <f>M61</f>
        <v>608.35915336128733</v>
      </c>
      <c r="N6" s="387"/>
      <c r="O6" s="385">
        <f>O61</f>
        <v>640.55846497422726</v>
      </c>
      <c r="P6" s="384"/>
      <c r="Q6" s="386">
        <f>Q61</f>
        <v>608.35915336128733</v>
      </c>
      <c r="R6" s="970"/>
      <c r="S6" s="385">
        <f>S61</f>
        <v>640.55846497422726</v>
      </c>
      <c r="T6" s="384"/>
      <c r="U6" s="386">
        <f>U61</f>
        <v>608.35915336128733</v>
      </c>
      <c r="V6" s="970"/>
      <c r="W6" s="385">
        <f>W61</f>
        <v>640.55846497422726</v>
      </c>
      <c r="X6" s="384"/>
      <c r="Z6" s="856"/>
    </row>
    <row r="7" spans="2:45" x14ac:dyDescent="0.2">
      <c r="B7" s="372">
        <v>4</v>
      </c>
      <c r="C7" s="105" t="s">
        <v>752</v>
      </c>
      <c r="E7" s="123">
        <f>E83</f>
        <v>1559.895265028942</v>
      </c>
      <c r="F7" s="360"/>
      <c r="G7" s="697">
        <f>G83</f>
        <v>1642.4576024980183</v>
      </c>
      <c r="H7" s="360"/>
      <c r="I7" s="361">
        <f>I83</f>
        <v>1559.895265028942</v>
      </c>
      <c r="J7" s="360"/>
      <c r="K7" s="361">
        <f>K83</f>
        <v>1642.4576024980183</v>
      </c>
      <c r="L7" s="697"/>
      <c r="M7" s="361">
        <f>M83</f>
        <v>1559.895265028942</v>
      </c>
      <c r="N7" s="360"/>
      <c r="O7" s="123">
        <f>O83</f>
        <v>1642.4576024980183</v>
      </c>
      <c r="Q7" s="361">
        <f>Q83</f>
        <v>1559.895265028942</v>
      </c>
      <c r="R7" s="362"/>
      <c r="S7" s="123">
        <f>S83</f>
        <v>1642.4576024980183</v>
      </c>
      <c r="U7" s="361">
        <f>U83</f>
        <v>1559.895265028942</v>
      </c>
      <c r="V7" s="362"/>
      <c r="W7" s="123">
        <f>W83</f>
        <v>1642.4576024980183</v>
      </c>
      <c r="Y7" s="856"/>
      <c r="AA7" s="123"/>
    </row>
    <row r="8" spans="2:45" s="883" customFormat="1" ht="15" x14ac:dyDescent="0.25">
      <c r="B8" s="882">
        <v>5</v>
      </c>
      <c r="C8" s="883" t="s">
        <v>755</v>
      </c>
      <c r="E8" s="884">
        <f>E63</f>
        <v>57.312677310970145</v>
      </c>
      <c r="F8" s="885"/>
      <c r="G8" s="884">
        <f>G63</f>
        <v>31.553228020618192</v>
      </c>
      <c r="H8" s="885"/>
      <c r="I8" s="884">
        <f>I63</f>
        <v>33.312677310970138</v>
      </c>
      <c r="J8" s="885"/>
      <c r="K8" s="886">
        <f>K63</f>
        <v>7.5532280206181897</v>
      </c>
      <c r="L8" s="885"/>
      <c r="M8" s="887">
        <f>M63</f>
        <v>1.3126773109701391</v>
      </c>
      <c r="N8" s="885"/>
      <c r="O8" s="884">
        <f>O63</f>
        <v>-24.446771979381811</v>
      </c>
      <c r="Q8" s="886">
        <f>Q63</f>
        <v>-17.907149683361787</v>
      </c>
      <c r="R8" s="971"/>
      <c r="S8" s="884">
        <f>S63</f>
        <v>-17.051703568287941</v>
      </c>
      <c r="U8" s="886">
        <f>U63</f>
        <v>57.312677310970145</v>
      </c>
      <c r="V8" s="971"/>
      <c r="W8" s="884">
        <f>W63</f>
        <v>31.553228020618192</v>
      </c>
      <c r="AA8" s="884"/>
    </row>
    <row r="9" spans="2:45" s="883" customFormat="1" ht="15" x14ac:dyDescent="0.25">
      <c r="B9" s="882">
        <v>6</v>
      </c>
      <c r="C9" s="883" t="s">
        <v>756</v>
      </c>
      <c r="E9" s="884">
        <f>E85</f>
        <v>146.95558284864128</v>
      </c>
      <c r="F9" s="885"/>
      <c r="G9" s="884">
        <f>G85</f>
        <v>80.905712873380253</v>
      </c>
      <c r="H9" s="885"/>
      <c r="I9" s="884">
        <f>I85</f>
        <v>85.417121310179766</v>
      </c>
      <c r="J9" s="885"/>
      <c r="K9" s="886">
        <f>K85</f>
        <v>19.367251334918731</v>
      </c>
      <c r="L9" s="885"/>
      <c r="M9" s="887">
        <f>M85</f>
        <v>3.3658392588977222</v>
      </c>
      <c r="N9" s="885"/>
      <c r="O9" s="884">
        <f>O85</f>
        <v>-62.68403071636331</v>
      </c>
      <c r="Q9" s="886">
        <f>Q85</f>
        <v>-45.915768418876361</v>
      </c>
      <c r="R9" s="971"/>
      <c r="S9" s="884">
        <f>S85</f>
        <v>-43.722316841763678</v>
      </c>
      <c r="U9" s="886">
        <f>U85</f>
        <v>146.95558284864128</v>
      </c>
      <c r="V9" s="971"/>
      <c r="W9" s="884">
        <f>W85</f>
        <v>80.905712873380253</v>
      </c>
      <c r="AA9" s="884"/>
    </row>
    <row r="10" spans="2:45" x14ac:dyDescent="0.2">
      <c r="B10" s="382">
        <v>7</v>
      </c>
      <c r="C10" s="364" t="s">
        <v>562</v>
      </c>
      <c r="D10" s="364"/>
      <c r="E10" s="388">
        <f>F85</f>
        <v>8.4283348986720741E-2</v>
      </c>
      <c r="F10" s="390"/>
      <c r="G10" s="396">
        <f>H85</f>
        <v>4.6401805912673968E-2</v>
      </c>
      <c r="H10" s="390"/>
      <c r="I10" s="389">
        <f>J85</f>
        <v>5.1250272786107859E-2</v>
      </c>
      <c r="J10" s="390"/>
      <c r="K10" s="389">
        <f>L85</f>
        <v>1.1620350800951237E-2</v>
      </c>
      <c r="L10" s="390"/>
      <c r="M10" s="396">
        <f>N85</f>
        <v>2.1519300179837896E-3</v>
      </c>
      <c r="N10" s="390"/>
      <c r="O10" s="396">
        <f>P85</f>
        <v>-4.0076675376035556E-2</v>
      </c>
      <c r="P10" s="364"/>
      <c r="Q10" s="389">
        <f>R85</f>
        <v>-3.0559568368340971E-2</v>
      </c>
      <c r="R10" s="972"/>
      <c r="S10" s="396">
        <f>T85</f>
        <v>-2.7536331555303755E-2</v>
      </c>
      <c r="T10" s="364"/>
      <c r="U10" s="389">
        <f>V85</f>
        <v>8.4283348986720741E-2</v>
      </c>
      <c r="V10" s="972"/>
      <c r="W10" s="396">
        <f>X85</f>
        <v>4.6401805912673968E-2</v>
      </c>
      <c r="X10" s="364"/>
      <c r="AA10" s="123"/>
    </row>
    <row r="11" spans="2:45" x14ac:dyDescent="0.2">
      <c r="B11" s="372">
        <v>8</v>
      </c>
      <c r="C11" s="105" t="s">
        <v>573</v>
      </c>
      <c r="E11" s="358">
        <f>'Cover Page'!H17</f>
        <v>0.02</v>
      </c>
      <c r="F11" s="362"/>
      <c r="G11" s="358">
        <f>'Cover Page'!K17</f>
        <v>0.02</v>
      </c>
      <c r="H11" s="362"/>
      <c r="I11" s="363">
        <f>'Cover Page'!N17</f>
        <v>0.02</v>
      </c>
      <c r="J11" s="362"/>
      <c r="K11" s="363">
        <f>'Cover Page'!Q17</f>
        <v>0.02</v>
      </c>
      <c r="L11" s="362"/>
      <c r="M11" s="358">
        <f>'Cover Page'!T17</f>
        <v>0.02</v>
      </c>
      <c r="N11" s="362"/>
      <c r="O11" s="358">
        <f>'Cover Page'!W17</f>
        <v>0.02</v>
      </c>
      <c r="Q11" s="363">
        <f>'Cover Page'!Z17</f>
        <v>0.02</v>
      </c>
      <c r="R11" s="362"/>
      <c r="S11" s="358">
        <f>'Cover Page'!AC17</f>
        <v>0.02</v>
      </c>
      <c r="U11" s="363">
        <f>'Cover Page'!AF17</f>
        <v>0.02</v>
      </c>
      <c r="V11" s="362"/>
      <c r="W11" s="358">
        <f>'Cover Page'!AI17</f>
        <v>0.02</v>
      </c>
      <c r="AA11" s="856"/>
    </row>
    <row r="12" spans="2:45" x14ac:dyDescent="0.2">
      <c r="B12" s="372">
        <v>9</v>
      </c>
      <c r="C12" s="105" t="s">
        <v>753</v>
      </c>
      <c r="E12" s="358">
        <f>Inflation</f>
        <v>0.05</v>
      </c>
      <c r="F12" s="362"/>
      <c r="G12" s="358">
        <f>Inflation</f>
        <v>0.05</v>
      </c>
      <c r="H12" s="362"/>
      <c r="I12" s="363">
        <f>Inflation</f>
        <v>0.05</v>
      </c>
      <c r="J12" s="362"/>
      <c r="K12" s="363">
        <f>Inflation</f>
        <v>0.05</v>
      </c>
      <c r="M12" s="363">
        <f>Inflation</f>
        <v>0.05</v>
      </c>
      <c r="N12" s="362"/>
      <c r="O12" s="358">
        <f>Inflation</f>
        <v>0.05</v>
      </c>
      <c r="Q12" s="363">
        <f>Inflation</f>
        <v>0.05</v>
      </c>
      <c r="R12" s="362"/>
      <c r="S12" s="358">
        <f>Inflation</f>
        <v>0.05</v>
      </c>
      <c r="U12" s="363">
        <f>Inflation</f>
        <v>0.05</v>
      </c>
      <c r="V12" s="362"/>
      <c r="W12" s="363">
        <f>Inflation</f>
        <v>0.05</v>
      </c>
    </row>
    <row r="13" spans="2:45" x14ac:dyDescent="0.2">
      <c r="B13" s="382">
        <v>10</v>
      </c>
      <c r="C13" s="364" t="s">
        <v>554</v>
      </c>
      <c r="D13" s="364"/>
      <c r="E13" s="365" t="str">
        <f>'Cover Page'!H36</f>
        <v>6 năm 11 tháng</v>
      </c>
      <c r="F13" s="367"/>
      <c r="G13" s="365" t="str">
        <f>'Cover Page'!K36</f>
        <v>10 năm 11 tháng</v>
      </c>
      <c r="H13" s="367"/>
      <c r="I13" s="702" t="str">
        <f>'Cover Page'!N36</f>
        <v>8 năm 04 tháng</v>
      </c>
      <c r="J13" s="367"/>
      <c r="K13" s="699" t="str">
        <f>'Cover Page'!Q36</f>
        <v>14 năm 01 tháng</v>
      </c>
      <c r="L13" s="699"/>
      <c r="M13" s="702" t="str">
        <f>'Cover Page'!T36</f>
        <v>12 năm 02 tháng</v>
      </c>
      <c r="N13" s="367"/>
      <c r="O13" s="365" t="str">
        <f>'Cover Page'!W36</f>
        <v>0 năm</v>
      </c>
      <c r="P13" s="366"/>
      <c r="Q13" s="702" t="str">
        <f>'Cover Page'!Z36</f>
        <v>0 năm</v>
      </c>
      <c r="R13" s="367"/>
      <c r="S13" s="366" t="str">
        <f>'Cover Page'!AC36</f>
        <v>0 năm</v>
      </c>
      <c r="T13" s="366"/>
      <c r="U13" s="702" t="str">
        <f>'Cover Page'!AF36</f>
        <v>6 năm 11 tháng</v>
      </c>
      <c r="V13" s="367"/>
      <c r="W13" s="366" t="str">
        <f>'Cover Page'!AI36</f>
        <v>10 năm 11 tháng</v>
      </c>
      <c r="X13" s="366"/>
    </row>
    <row r="14" spans="2:45" x14ac:dyDescent="0.2">
      <c r="B14" s="858">
        <v>11</v>
      </c>
      <c r="C14" s="859" t="s">
        <v>402</v>
      </c>
      <c r="D14" s="859"/>
      <c r="E14" s="860">
        <f>'Cover Page'!H37</f>
        <v>0.17745920185994968</v>
      </c>
      <c r="F14" s="862"/>
      <c r="G14" s="860">
        <f>'Cover Page'!K37</f>
        <v>0.10663649141917064</v>
      </c>
      <c r="H14" s="862"/>
      <c r="I14" s="863">
        <f>'Cover Page'!N37</f>
        <v>0.14321796256466768</v>
      </c>
      <c r="J14" s="862"/>
      <c r="K14" s="864">
        <f>'Cover Page'!Q37</f>
        <v>7.8400170416034864E-2</v>
      </c>
      <c r="L14" s="864"/>
      <c r="M14" s="863">
        <f>'Cover Page'!T37</f>
        <v>9.0883731569794568E-2</v>
      </c>
      <c r="N14" s="862"/>
      <c r="O14" s="860">
        <f>'Cover Page'!W37</f>
        <v>3.4366044105067273E-2</v>
      </c>
      <c r="P14" s="861"/>
      <c r="Q14" s="863">
        <f>'Cover Page'!Z37</f>
        <v>5.3201942211057229E-2</v>
      </c>
      <c r="R14" s="862"/>
      <c r="S14" s="861">
        <f>'Cover Page'!AC37</f>
        <v>4.5414210877376959E-2</v>
      </c>
      <c r="T14" s="861"/>
      <c r="U14" s="863">
        <f>'Cover Page'!AF37</f>
        <v>0.17745920185994968</v>
      </c>
      <c r="V14" s="862"/>
      <c r="W14" s="861">
        <f>'Cover Page'!AI37</f>
        <v>0.10663649141917064</v>
      </c>
      <c r="X14" s="861"/>
    </row>
    <row r="15" spans="2:45" x14ac:dyDescent="0.2">
      <c r="B15" s="858">
        <v>12</v>
      </c>
      <c r="C15" s="859" t="s">
        <v>761</v>
      </c>
      <c r="D15" s="859"/>
      <c r="E15" s="896">
        <f>'Cover Page'!H42</f>
        <v>253244.21552528266</v>
      </c>
      <c r="F15" s="898"/>
      <c r="G15" s="896">
        <f>'Cover Page'!K42</f>
        <v>110037.0876423665</v>
      </c>
      <c r="H15" s="897"/>
      <c r="I15" s="896">
        <f>'Cover Page'!N42</f>
        <v>160747.52327341749</v>
      </c>
      <c r="J15" s="897"/>
      <c r="K15" s="896">
        <f>'Cover Page'!Q42</f>
        <v>17540.395390501228</v>
      </c>
      <c r="L15" s="897"/>
      <c r="M15" s="896">
        <f>'Cover Page'!T42</f>
        <v>37418.600270930314</v>
      </c>
      <c r="N15" s="897"/>
      <c r="O15" s="896">
        <f>'Cover Page'!W42</f>
        <v>-105788.5276119859</v>
      </c>
      <c r="P15" s="897"/>
      <c r="Q15" s="973">
        <f>'Cover Page'!Z42</f>
        <v>-36655.1673386037</v>
      </c>
      <c r="R15" s="898"/>
      <c r="S15" s="897">
        <f>'Cover Page'!AC42</f>
        <v>-77287.720653551019</v>
      </c>
      <c r="T15" s="897"/>
      <c r="U15" s="973">
        <f>'Cover Page'!AF42</f>
        <v>253244.21552528266</v>
      </c>
      <c r="V15" s="898"/>
      <c r="W15" s="897">
        <f>'Cover Page'!AI42</f>
        <v>110037.0876423665</v>
      </c>
      <c r="X15" s="897"/>
    </row>
    <row r="16" spans="2:45" ht="9.6" customHeight="1" x14ac:dyDescent="0.2">
      <c r="E16" s="772"/>
      <c r="F16" s="123"/>
      <c r="G16" s="772"/>
      <c r="H16" s="123"/>
      <c r="I16" s="772"/>
      <c r="J16" s="123"/>
      <c r="K16" s="772"/>
      <c r="L16" s="123"/>
      <c r="M16" s="772"/>
      <c r="N16" s="123"/>
      <c r="O16" s="772"/>
      <c r="P16" s="123"/>
      <c r="Q16" s="123"/>
      <c r="R16" s="123"/>
      <c r="S16" s="123"/>
      <c r="T16" s="123"/>
      <c r="U16" s="123"/>
      <c r="V16" s="123"/>
      <c r="W16" s="123"/>
      <c r="X16" s="123"/>
      <c r="Y16" s="123"/>
    </row>
    <row r="17" spans="2:24" ht="15" x14ac:dyDescent="0.25">
      <c r="B17" s="372">
        <v>13</v>
      </c>
      <c r="C17" s="374" t="s">
        <v>566</v>
      </c>
      <c r="D17" s="379"/>
      <c r="E17" s="375">
        <f t="shared" ref="E17:P17" si="0">SUM(E19:E43)</f>
        <v>548996.37880777777</v>
      </c>
      <c r="F17" s="375">
        <f t="shared" si="0"/>
        <v>21115245.338760681</v>
      </c>
      <c r="G17" s="376">
        <f t="shared" si="0"/>
        <v>416031.15168450959</v>
      </c>
      <c r="H17" s="377">
        <f t="shared" si="0"/>
        <v>16001198.141711904</v>
      </c>
      <c r="I17" s="376">
        <f t="shared" ref="I17:N17" si="1">SUM(I19:I43)</f>
        <v>385594.86635778542</v>
      </c>
      <c r="J17" s="377">
        <f t="shared" si="1"/>
        <v>14830571.782991746</v>
      </c>
      <c r="K17" s="376">
        <f t="shared" si="1"/>
        <v>252629.63923451729</v>
      </c>
      <c r="L17" s="377">
        <f t="shared" si="1"/>
        <v>9716524.5859429725</v>
      </c>
      <c r="M17" s="376">
        <f t="shared" si="1"/>
        <v>167726.18309112891</v>
      </c>
      <c r="N17" s="377">
        <f t="shared" si="1"/>
        <v>6451007.041966496</v>
      </c>
      <c r="O17" s="375">
        <f t="shared" si="0"/>
        <v>34760.955967860762</v>
      </c>
      <c r="P17" s="375">
        <f t="shared" si="0"/>
        <v>1336959.8449177211</v>
      </c>
      <c r="Q17" s="376">
        <f t="shared" ref="Q17:X17" si="2">SUM(Q19:Q43)</f>
        <v>36869.983095252515</v>
      </c>
      <c r="R17" s="377">
        <f t="shared" si="2"/>
        <v>1418076.2728943275</v>
      </c>
      <c r="S17" s="376">
        <f t="shared" si="2"/>
        <v>85109.512761356556</v>
      </c>
      <c r="T17" s="377">
        <f t="shared" si="2"/>
        <v>3273442.7985137142</v>
      </c>
      <c r="U17" s="376">
        <f t="shared" si="2"/>
        <v>548996.37880777777</v>
      </c>
      <c r="V17" s="377">
        <f t="shared" si="2"/>
        <v>21115245.338760681</v>
      </c>
      <c r="W17" s="376">
        <f t="shared" si="2"/>
        <v>416031.15168450959</v>
      </c>
      <c r="X17" s="377">
        <f t="shared" si="2"/>
        <v>16001198.141711904</v>
      </c>
    </row>
    <row r="18" spans="2:24" ht="15.75" thickBot="1" x14ac:dyDescent="0.3">
      <c r="B18" s="378" t="s">
        <v>558</v>
      </c>
      <c r="C18" s="378" t="s">
        <v>559</v>
      </c>
      <c r="D18" s="378" t="s">
        <v>557</v>
      </c>
      <c r="E18" s="405" t="s">
        <v>555</v>
      </c>
      <c r="F18" s="405" t="s">
        <v>380</v>
      </c>
      <c r="G18" s="406" t="s">
        <v>555</v>
      </c>
      <c r="H18" s="407" t="s">
        <v>380</v>
      </c>
      <c r="I18" s="406" t="s">
        <v>555</v>
      </c>
      <c r="J18" s="407" t="s">
        <v>380</v>
      </c>
      <c r="K18" s="406" t="s">
        <v>555</v>
      </c>
      <c r="L18" s="407" t="s">
        <v>380</v>
      </c>
      <c r="M18" s="406" t="s">
        <v>555</v>
      </c>
      <c r="N18" s="407" t="s">
        <v>380</v>
      </c>
      <c r="O18" s="405" t="s">
        <v>555</v>
      </c>
      <c r="P18" s="405" t="s">
        <v>380</v>
      </c>
      <c r="Q18" s="406" t="s">
        <v>555</v>
      </c>
      <c r="R18" s="407" t="s">
        <v>380</v>
      </c>
      <c r="S18" s="406" t="s">
        <v>555</v>
      </c>
      <c r="T18" s="407" t="s">
        <v>380</v>
      </c>
      <c r="U18" s="406" t="s">
        <v>555</v>
      </c>
      <c r="V18" s="407" t="s">
        <v>380</v>
      </c>
      <c r="W18" s="406" t="s">
        <v>555</v>
      </c>
      <c r="X18" s="407" t="s">
        <v>380</v>
      </c>
    </row>
    <row r="19" spans="2:24" outlineLevel="1" x14ac:dyDescent="0.2">
      <c r="B19" s="524">
        <v>1</v>
      </c>
      <c r="C19" s="525">
        <v>2026</v>
      </c>
      <c r="D19" s="526">
        <v>0.5</v>
      </c>
      <c r="E19" s="527" cm="1">
        <f t="array" ref="E19">IF(Currency="VND",SUMPRODUCT('W3'!$K$18:$AJ$1670*('W3'!$A$18:$A$1670='W5'!E$47)*('W3'!$K$14:$AJ$14='W5'!$B19)*('W3'!$D$18:$D$1670="LNST")),SUMPRODUCT('W3'!$K$18:$AJ$1670*('W3'!$A$18:$A$1670='W5'!E$47)*('W3'!$K$14:$AJ$14='W5'!$B19)*('W3'!$D$18:$D$1670="LNST"))*$AS$1/10^3)</f>
        <v>-10585.927709728085</v>
      </c>
      <c r="F19" s="527">
        <f t="shared" ref="F19:F43" si="3">E19/EXR*10^6</f>
        <v>-407151.06575877249</v>
      </c>
      <c r="G19" s="528" cm="1">
        <f t="array" ref="G19">IF(Currency="VND",SUMPRODUCT('W3'!$K$18:$AJ$1670*('W3'!$A$18:$A$1670='W5'!G$47)*('W3'!$K$14:$AJ$14='W5'!$B19)*('W3'!$D$18:$D$1670="LNST")),SUMPRODUCT('W3'!$K$18:$AJ$1670*('W3'!$A$18:$A$1670='W5'!G$47)*('W3'!$K$14:$AJ$14='W5'!$B19)*('W3'!$D$18:$D$1670="LNST"))*$AS$1/10^3)</f>
        <v>-21707.527709728085</v>
      </c>
      <c r="H19" s="529">
        <f t="shared" ref="H19:H43" si="4">G19/EXR*10^6</f>
        <v>-834904.91191261867</v>
      </c>
      <c r="I19" s="528" cm="1">
        <f t="array" ref="I19">IF(Currency="VND",SUMPRODUCT('W3'!$K$18:$AJ$1670*('W3'!$A$18:$A$1670='W5'!I$47)*('W3'!$K$14:$AJ$14='W5'!$B19)*('W3'!$D$18:$D$1670="LNST")),SUMPRODUCT('W3'!$K$18:$AJ$1670*('W3'!$A$18:$A$1670='W5'!I$47)*('W3'!$K$14:$AJ$14='W5'!$B19)*('W3'!$D$18:$D$1670="LNST"))*$AS$1/10^3)</f>
        <v>-15541.267690528091</v>
      </c>
      <c r="J19" s="529">
        <f t="shared" ref="J19:J43" si="5">I19/EXR*10^6</f>
        <v>-597741.06502031116</v>
      </c>
      <c r="K19" s="528" cm="1">
        <f t="array" ref="K19">IF(Currency="VND",SUMPRODUCT('W3'!$K$18:$AJ$1670*('W3'!$A$18:$A$1670='W5'!K$47)*('W3'!$K$14:$AJ$14='W5'!$B19)*('W3'!$D$18:$D$1670="LNST")),SUMPRODUCT('W3'!$K$18:$AJ$1670*('W3'!$A$18:$A$1670='W5'!K$47)*('W3'!$K$14:$AJ$14='W5'!$B19)*('W3'!$D$18:$D$1670="LNST"))*$AS$1/10^3)</f>
        <v>-26662.867690528092</v>
      </c>
      <c r="L19" s="529">
        <f t="shared" ref="L19:L43" si="6">K19/EXR*10^6</f>
        <v>-1025494.9111741574</v>
      </c>
      <c r="M19" s="528" cm="1">
        <f t="array" ref="M19">IF(Currency="VND",SUMPRODUCT('W3'!$K$18:$AJ$1670*('W3'!$A$18:$A$1670='W5'!M$47)*('W3'!$K$14:$AJ$14='W5'!$B19)*('W3'!$D$18:$D$1670="LNST")),SUMPRODUCT('W3'!$K$18:$AJ$1670*('W3'!$A$18:$A$1670='W5'!M$47)*('W3'!$K$14:$AJ$14='W5'!$B19)*('W3'!$D$18:$D$1670="LNST"))*$AS$1/10^3)</f>
        <v>-22148.387664928079</v>
      </c>
      <c r="N19" s="529">
        <f t="shared" ref="N19:N43" si="7">M19/EXR*10^6</f>
        <v>-851861.0640356954</v>
      </c>
      <c r="O19" s="527" cm="1">
        <f t="array" ref="O19">IF(Currency="VND",SUMPRODUCT('W3'!$K$18:$AJ$1670*('W3'!$A$18:$A$1670='W5'!O$47)*('W3'!$K$14:$AJ$14='W5'!$B19)*('W3'!$D$18:$D$1670="LNST")),SUMPRODUCT('W3'!$K$18:$AJ$1670*('W3'!$A$18:$A$1670='W5'!O$47)*('W3'!$K$14:$AJ$14='W5'!$B19)*('W3'!$D$18:$D$1670="LNST"))*$AS$1/10^3)</f>
        <v>-33269.987664928078</v>
      </c>
      <c r="P19" s="527">
        <f t="shared" ref="P19:P43" si="8">O19/EXR*10^6</f>
        <v>-1279614.9101895415</v>
      </c>
      <c r="Q19" s="528" cm="1">
        <f t="array" ref="Q19">IF(Currency="VND",SUMPRODUCT('W3'!$K$18:$AJ$1670*('W3'!$A$18:$A$1670='W5'!Q$47)*('W3'!$K$14:$AJ$14='W5'!$B19)*('W3'!$D$18:$D$1670="LNST")),SUMPRODUCT('W3'!$K$18:$AJ$1670*('W3'!$A$18:$A$1670='W5'!Q$47)*('W3'!$K$14:$AJ$14='W5'!$B19)*('W3'!$D$18:$D$1670="LNST"))*$AS$1/10^3)</f>
        <v>-26116.75337863942</v>
      </c>
      <c r="R19" s="529">
        <f t="shared" ref="R19:R43" si="9">Q19/EXR*10^6</f>
        <v>-1004490.5145630545</v>
      </c>
      <c r="S19" s="528" cm="1">
        <f t="array" ref="S19">IF(Currency="VND",SUMPRODUCT('W3'!$K$18:$AJ$1670*('W3'!$A$18:$A$1670='W5'!S$47)*('W3'!$K$14:$AJ$14='W5'!$B19)*('W3'!$D$18:$D$1670="LNST")),SUMPRODUCT('W3'!$K$18:$AJ$1670*('W3'!$A$18:$A$1670='W5'!S$47)*('W3'!$K$14:$AJ$14='W5'!$B19)*('W3'!$D$18:$D$1670="LNST"))*$AS$1/10^3)</f>
        <v>-31743.109408334574</v>
      </c>
      <c r="T19" s="529">
        <f t="shared" ref="T19:T43" si="10">S19/EXR*10^6</f>
        <v>-1220888.8233974837</v>
      </c>
      <c r="U19" s="528" cm="1">
        <f t="array" ref="U19">IF(Currency="VND",SUMPRODUCT('W3'!$K$18:$AJ$1670*('W3'!$A$18:$A$1670='W5'!U$47)*('W3'!$K$14:$AJ$14='W5'!$B19)*('W3'!$D$18:$D$1670="LNST")),SUMPRODUCT('W3'!$K$18:$AJ$1670*('W3'!$A$18:$A$1670='W5'!U$47)*('W3'!$K$14:$AJ$14='W5'!$B19)*('W3'!$D$18:$D$1670="LNST"))*$AS$1/10^3)</f>
        <v>-10585.927709728085</v>
      </c>
      <c r="V19" s="529">
        <f t="shared" ref="V19:V43" si="11">U19/EXR*10^6</f>
        <v>-407151.06575877249</v>
      </c>
      <c r="W19" s="528" cm="1">
        <f t="array" ref="W19">IF(Currency="VND",SUMPRODUCT('W3'!$K$18:$AJ$1670*('W3'!$A$18:$A$1670='W5'!W$47)*('W3'!$K$14:$AJ$14='W5'!$B19)*('W3'!$D$18:$D$1670="LNST")),SUMPRODUCT('W3'!$K$18:$AJ$1670*('W3'!$A$18:$A$1670='W5'!W$47)*('W3'!$K$14:$AJ$14='W5'!$B19)*('W3'!$D$18:$D$1670="LNST"))*$AS$1/10^3)</f>
        <v>-21707.527709728085</v>
      </c>
      <c r="X19" s="529">
        <f t="shared" ref="X19:X43" si="12">W19/EXR*10^6</f>
        <v>-834904.91191261867</v>
      </c>
    </row>
    <row r="20" spans="2:24" outlineLevel="1" x14ac:dyDescent="0.2">
      <c r="B20" s="530">
        <v>2</v>
      </c>
      <c r="C20" s="531">
        <v>2027</v>
      </c>
      <c r="D20" s="532">
        <v>0.7</v>
      </c>
      <c r="E20" s="533" cm="1">
        <f t="array" ref="E20">IF(Currency="VND",SUMPRODUCT('W3'!$K$18:$AJ$1670*('W3'!$A$18:$A$1670='W5'!E$47)*('W3'!$K$14:$AJ$14='W5'!$B20)*('W3'!$D$18:$D$1670="LNST")),SUMPRODUCT('W3'!$K$18:$AJ$1670*('W3'!$A$18:$A$1670='W5'!E$47)*('W3'!$K$14:$AJ$14='W5'!$B20)*('W3'!$D$18:$D$1670="LNST"))*$AS$1/10^3)</f>
        <v>8036.3006260685861</v>
      </c>
      <c r="F20" s="533">
        <f t="shared" si="3"/>
        <v>309088.48561802256</v>
      </c>
      <c r="G20" s="534" cm="1">
        <f t="array" ref="G20">IF(Currency="VND",SUMPRODUCT('W3'!$K$18:$AJ$1670*('W3'!$A$18:$A$1670='W5'!G$47)*('W3'!$K$14:$AJ$14='W5'!$B20)*('W3'!$D$18:$D$1670="LNST")),SUMPRODUCT('W3'!$K$18:$AJ$1670*('W3'!$A$18:$A$1670='W5'!G$47)*('W3'!$K$14:$AJ$14='W5'!$B20)*('W3'!$D$18:$D$1670="LNST"))*$AS$1/10^3)</f>
        <v>-2851.3069806894987</v>
      </c>
      <c r="H20" s="535">
        <f t="shared" si="4"/>
        <v>-109665.65310344225</v>
      </c>
      <c r="I20" s="534" cm="1">
        <f t="array" ref="I20">IF(Currency="VND",SUMPRODUCT('W3'!$K$18:$AJ$1670*('W3'!$A$18:$A$1670='W5'!I$47)*('W3'!$K$14:$AJ$14='W5'!$B20)*('W3'!$D$18:$D$1670="LNST")),SUMPRODUCT('W3'!$K$18:$AJ$1670*('W3'!$A$18:$A$1670='W5'!I$47)*('W3'!$K$14:$AJ$14='W5'!$B20)*('W3'!$D$18:$D$1670="LNST"))*$AS$1/10^3)</f>
        <v>960.07513348618522</v>
      </c>
      <c r="J20" s="535">
        <f t="shared" si="5"/>
        <v>36925.966672545583</v>
      </c>
      <c r="K20" s="534" cm="1">
        <f t="array" ref="K20">IF(Currency="VND",SUMPRODUCT('W3'!$K$18:$AJ$1670*('W3'!$A$18:$A$1670='W5'!K$47)*('W3'!$K$14:$AJ$14='W5'!$B20)*('W3'!$D$18:$D$1670="LNST")),SUMPRODUCT('W3'!$K$18:$AJ$1670*('W3'!$A$18:$A$1670='W5'!K$47)*('W3'!$K$14:$AJ$14='W5'!$B20)*('W3'!$D$18:$D$1670="LNST"))*$AS$1/10^3)</f>
        <v>-9927.5324732719</v>
      </c>
      <c r="L20" s="535">
        <f t="shared" si="6"/>
        <v>-381828.17204891925</v>
      </c>
      <c r="M20" s="534" cm="1">
        <f t="array" ref="M20">IF(Currency="VND",SUMPRODUCT('W3'!$K$18:$AJ$1670*('W3'!$A$18:$A$1670='W5'!M$47)*('W3'!$K$14:$AJ$14='W5'!$B20)*('W3'!$D$18:$D$1670="LNST")),SUMPRODUCT('W3'!$K$18:$AJ$1670*('W3'!$A$18:$A$1670='W5'!M$47)*('W3'!$K$14:$AJ$14='W5'!$B20)*('W3'!$D$18:$D$1670="LNST"))*$AS$1/10^3)</f>
        <v>-8474.8921899570159</v>
      </c>
      <c r="N20" s="535">
        <f t="shared" si="7"/>
        <v>-325957.39192142372</v>
      </c>
      <c r="O20" s="533" cm="1">
        <f t="array" ref="O20">IF(Currency="VND",SUMPRODUCT('W3'!$K$18:$AJ$1670*('W3'!$A$18:$A$1670='W5'!O$47)*('W3'!$K$14:$AJ$14='W5'!$B20)*('W3'!$D$18:$D$1670="LNST")),SUMPRODUCT('W3'!$K$18:$AJ$1670*('W3'!$A$18:$A$1670='W5'!O$47)*('W3'!$K$14:$AJ$14='W5'!$B20)*('W3'!$D$18:$D$1670="LNST"))*$AS$1/10^3)</f>
        <v>-19362.499796715099</v>
      </c>
      <c r="P20" s="533">
        <f t="shared" si="8"/>
        <v>-744711.53064288839</v>
      </c>
      <c r="Q20" s="534" cm="1">
        <f t="array" ref="Q20">IF(Currency="VND",SUMPRODUCT('W3'!$K$18:$AJ$1670*('W3'!$A$18:$A$1670='W5'!Q$47)*('W3'!$K$14:$AJ$14='W5'!$B20)*('W3'!$D$18:$D$1670="LNST")),SUMPRODUCT('W3'!$K$18:$AJ$1670*('W3'!$A$18:$A$1670='W5'!Q$47)*('W3'!$K$14:$AJ$14='W5'!$B20)*('W3'!$D$18:$D$1670="LNST"))*$AS$1/10^3)</f>
        <v>-14141.718429136812</v>
      </c>
      <c r="R20" s="535">
        <f t="shared" si="9"/>
        <v>-543912.24727449275</v>
      </c>
      <c r="S20" s="534" cm="1">
        <f t="array" ref="S20">IF(Currency="VND",SUMPRODUCT('W3'!$K$18:$AJ$1670*('W3'!$A$18:$A$1670='W5'!S$47)*('W3'!$K$14:$AJ$14='W5'!$B20)*('W3'!$D$18:$D$1670="LNST")),SUMPRODUCT('W3'!$K$18:$AJ$1670*('W3'!$A$18:$A$1670='W5'!S$47)*('W3'!$K$14:$AJ$14='W5'!$B20)*('W3'!$D$18:$D$1670="LNST"))*$AS$1/10^3)</f>
        <v>-17182.117646299583</v>
      </c>
      <c r="T20" s="535">
        <f t="shared" si="10"/>
        <v>-660850.67870383011</v>
      </c>
      <c r="U20" s="534" cm="1">
        <f t="array" ref="U20">IF(Currency="VND",SUMPRODUCT('W3'!$K$18:$AJ$1670*('W3'!$A$18:$A$1670='W5'!U$47)*('W3'!$K$14:$AJ$14='W5'!$B20)*('W3'!$D$18:$D$1670="LNST")),SUMPRODUCT('W3'!$K$18:$AJ$1670*('W3'!$A$18:$A$1670='W5'!U$47)*('W3'!$K$14:$AJ$14='W5'!$B20)*('W3'!$D$18:$D$1670="LNST"))*$AS$1/10^3)</f>
        <v>8036.3006260685861</v>
      </c>
      <c r="V20" s="535">
        <f t="shared" si="11"/>
        <v>309088.48561802256</v>
      </c>
      <c r="W20" s="534" cm="1">
        <f t="array" ref="W20">IF(Currency="VND",SUMPRODUCT('W3'!$K$18:$AJ$1670*('W3'!$A$18:$A$1670='W5'!W$47)*('W3'!$K$14:$AJ$14='W5'!$B20)*('W3'!$D$18:$D$1670="LNST")),SUMPRODUCT('W3'!$K$18:$AJ$1670*('W3'!$A$18:$A$1670='W5'!W$47)*('W3'!$K$14:$AJ$14='W5'!$B20)*('W3'!$D$18:$D$1670="LNST"))*$AS$1/10^3)</f>
        <v>-2851.3069806894987</v>
      </c>
      <c r="X20" s="535">
        <f t="shared" si="12"/>
        <v>-109665.65310344225</v>
      </c>
    </row>
    <row r="21" spans="2:24" outlineLevel="1" x14ac:dyDescent="0.2">
      <c r="B21" s="530">
        <f>B20+1</f>
        <v>3</v>
      </c>
      <c r="C21" s="531">
        <v>2028</v>
      </c>
      <c r="D21" s="532">
        <v>1</v>
      </c>
      <c r="E21" s="533" cm="1">
        <f t="array" ref="E21">IF(Currency="VND",SUMPRODUCT('W3'!$K$18:$AJ$1670*('W3'!$A$18:$A$1670='W5'!E$47)*('W3'!$K$14:$AJ$14='W5'!$B21)*('W3'!$D$18:$D$1670="LNST")),SUMPRODUCT('W3'!$K$18:$AJ$1670*('W3'!$A$18:$A$1670='W5'!E$47)*('W3'!$K$14:$AJ$14='W5'!$B21)*('W3'!$D$18:$D$1670="LNST"))*$AS$1/10^3)</f>
        <v>32742.523437314085</v>
      </c>
      <c r="F21" s="533">
        <f t="shared" si="3"/>
        <v>1259327.8245120803</v>
      </c>
      <c r="G21" s="534" cm="1">
        <f t="array" ref="G21">IF(Currency="VND",SUMPRODUCT('W3'!$K$18:$AJ$1670*('W3'!$A$18:$A$1670='W5'!G$47)*('W3'!$K$14:$AJ$14='W5'!$B21)*('W3'!$D$18:$D$1670="LNST")),SUMPRODUCT('W3'!$K$18:$AJ$1670*('W3'!$A$18:$A$1670='W5'!G$47)*('W3'!$K$14:$AJ$14='W5'!$B21)*('W3'!$D$18:$D$1670="LNST"))*$AS$1/10^3)</f>
        <v>22105.287691324858</v>
      </c>
      <c r="H21" s="535">
        <f t="shared" si="4"/>
        <v>850203.37274326372</v>
      </c>
      <c r="I21" s="534" cm="1">
        <f t="array" ref="I21">IF(Currency="VND",SUMPRODUCT('W3'!$K$18:$AJ$1670*('W3'!$A$18:$A$1670='W5'!I$47)*('W3'!$K$14:$AJ$14='W5'!$B21)*('W3'!$D$18:$D$1670="LNST")),SUMPRODUCT('W3'!$K$18:$AJ$1670*('W3'!$A$18:$A$1670='W5'!I$47)*('W3'!$K$14:$AJ$14='W5'!$B21)*('W3'!$D$18:$D$1670="LNST"))*$AS$1/10^3)</f>
        <v>22431.452005265444</v>
      </c>
      <c r="J21" s="535">
        <f t="shared" si="5"/>
        <v>862748.1540486709</v>
      </c>
      <c r="K21" s="534" cm="1">
        <f t="array" ref="K21">IF(Currency="VND",SUMPRODUCT('W3'!$K$18:$AJ$1670*('W3'!$A$18:$A$1670='W5'!K$47)*('W3'!$K$14:$AJ$14='W5'!$B21)*('W3'!$D$18:$D$1670="LNST")),SUMPRODUCT('W3'!$K$18:$AJ$1670*('W3'!$A$18:$A$1670='W5'!K$47)*('W3'!$K$14:$AJ$14='W5'!$B21)*('W3'!$D$18:$D$1670="LNST"))*$AS$1/10^3)</f>
        <v>11794.216259276216</v>
      </c>
      <c r="L21" s="535">
        <f t="shared" si="6"/>
        <v>453623.70227985451</v>
      </c>
      <c r="M21" s="534" cm="1">
        <f t="array" ref="M21">IF(Currency="VND",SUMPRODUCT('W3'!$K$18:$AJ$1670*('W3'!$A$18:$A$1670='W5'!M$47)*('W3'!$K$14:$AJ$14='W5'!$B21)*('W3'!$D$18:$D$1670="LNST")),SUMPRODUCT('W3'!$K$18:$AJ$1670*('W3'!$A$18:$A$1670='W5'!M$47)*('W3'!$K$14:$AJ$14='W5'!$B21)*('W3'!$D$18:$D$1670="LNST"))*$AS$1/10^3)</f>
        <v>8683.356762533962</v>
      </c>
      <c r="N21" s="535">
        <f t="shared" si="7"/>
        <v>333975.26009746006</v>
      </c>
      <c r="O21" s="533" cm="1">
        <f t="array" ref="O21">IF(Currency="VND",SUMPRODUCT('W3'!$K$18:$AJ$1670*('W3'!$A$18:$A$1670='W5'!O$47)*('W3'!$K$14:$AJ$14='W5'!$B21)*('W3'!$D$18:$D$1670="LNST")),SUMPRODUCT('W3'!$K$18:$AJ$1670*('W3'!$A$18:$A$1670='W5'!O$47)*('W3'!$K$14:$AJ$14='W5'!$B21)*('W3'!$D$18:$D$1670="LNST"))*$AS$1/10^3)</f>
        <v>-1953.8789834552679</v>
      </c>
      <c r="P21" s="533">
        <f t="shared" si="8"/>
        <v>-75149.191671356457</v>
      </c>
      <c r="Q21" s="534" cm="1">
        <f t="array" ref="Q21">IF(Currency="VND",SUMPRODUCT('W3'!$K$18:$AJ$1670*('W3'!$A$18:$A$1670='W5'!Q$47)*('W3'!$K$14:$AJ$14='W5'!$B21)*('W3'!$D$18:$D$1670="LNST")),SUMPRODUCT('W3'!$K$18:$AJ$1670*('W3'!$A$18:$A$1670='W5'!Q$47)*('W3'!$K$14:$AJ$14='W5'!$B21)*('W3'!$D$18:$D$1670="LNST"))*$AS$1/10^3)</f>
        <v>425.98138544340623</v>
      </c>
      <c r="R21" s="535">
        <f t="shared" si="9"/>
        <v>16383.899440131008</v>
      </c>
      <c r="S21" s="534" cm="1">
        <f t="array" ref="S21">IF(Currency="VND",SUMPRODUCT('W3'!$K$18:$AJ$1670*('W3'!$A$18:$A$1670='W5'!S$47)*('W3'!$K$14:$AJ$14='W5'!$B21)*('W3'!$D$18:$D$1670="LNST")),SUMPRODUCT('W3'!$K$18:$AJ$1670*('W3'!$A$18:$A$1670='W5'!S$47)*('W3'!$K$14:$AJ$14='W5'!$B21)*('W3'!$D$18:$D$1670="LNST"))*$AS$1/10^3)</f>
        <v>1223.2492928645108</v>
      </c>
      <c r="T21" s="535">
        <f t="shared" si="10"/>
        <v>47048.049725558107</v>
      </c>
      <c r="U21" s="534" cm="1">
        <f t="array" ref="U21">IF(Currency="VND",SUMPRODUCT('W3'!$K$18:$AJ$1670*('W3'!$A$18:$A$1670='W5'!U$47)*('W3'!$K$14:$AJ$14='W5'!$B21)*('W3'!$D$18:$D$1670="LNST")),SUMPRODUCT('W3'!$K$18:$AJ$1670*('W3'!$A$18:$A$1670='W5'!U$47)*('W3'!$K$14:$AJ$14='W5'!$B21)*('W3'!$D$18:$D$1670="LNST"))*$AS$1/10^3)</f>
        <v>32742.523437314085</v>
      </c>
      <c r="V21" s="535">
        <f t="shared" si="11"/>
        <v>1259327.8245120803</v>
      </c>
      <c r="W21" s="534" cm="1">
        <f t="array" ref="W21">IF(Currency="VND",SUMPRODUCT('W3'!$K$18:$AJ$1670*('W3'!$A$18:$A$1670='W5'!W$47)*('W3'!$K$14:$AJ$14='W5'!$B21)*('W3'!$D$18:$D$1670="LNST")),SUMPRODUCT('W3'!$K$18:$AJ$1670*('W3'!$A$18:$A$1670='W5'!W$47)*('W3'!$K$14:$AJ$14='W5'!$B21)*('W3'!$D$18:$D$1670="LNST"))*$AS$1/10^3)</f>
        <v>22105.287691324858</v>
      </c>
      <c r="X21" s="535">
        <f t="shared" si="12"/>
        <v>850203.37274326372</v>
      </c>
    </row>
    <row r="22" spans="2:24" outlineLevel="1" x14ac:dyDescent="0.2">
      <c r="B22" s="530">
        <f t="shared" ref="B22:B43" si="13">B21+1</f>
        <v>4</v>
      </c>
      <c r="C22" s="531">
        <v>2029</v>
      </c>
      <c r="D22" s="532">
        <v>1</v>
      </c>
      <c r="E22" s="533" cm="1">
        <f t="array" ref="E22">IF(Currency="VND",SUMPRODUCT('W3'!$K$18:$AJ$1670*('W3'!$A$18:$A$1670='W5'!E$47)*('W3'!$K$14:$AJ$14='W5'!$B22)*('W3'!$D$18:$D$1670="LNST")),SUMPRODUCT('W3'!$K$18:$AJ$1670*('W3'!$A$18:$A$1670='W5'!E$47)*('W3'!$K$14:$AJ$14='W5'!$B22)*('W3'!$D$18:$D$1670="LNST"))*$AS$1/10^3)</f>
        <v>33583.434655129611</v>
      </c>
      <c r="F22" s="533">
        <f t="shared" si="3"/>
        <v>1291670.5636588312</v>
      </c>
      <c r="G22" s="534" cm="1">
        <f t="array" ref="G22">IF(Currency="VND",SUMPRODUCT('W3'!$K$18:$AJ$1670*('W3'!$A$18:$A$1670='W5'!G$47)*('W3'!$K$14:$AJ$14='W5'!$B22)*('W3'!$D$18:$D$1670="LNST")),SUMPRODUCT('W3'!$K$18:$AJ$1670*('W3'!$A$18:$A$1670='W5'!G$47)*('W3'!$K$14:$AJ$14='W5'!$B22)*('W3'!$D$18:$D$1670="LNST"))*$AS$1/10^3)</f>
        <v>23214.096800163064</v>
      </c>
      <c r="H22" s="535">
        <f t="shared" si="4"/>
        <v>892849.87692934857</v>
      </c>
      <c r="I22" s="534" cm="1">
        <f t="array" ref="I22">IF(Currency="VND",SUMPRODUCT('W3'!$K$18:$AJ$1670*('W3'!$A$18:$A$1670='W5'!I$47)*('W3'!$K$14:$AJ$14='W5'!$B22)*('W3'!$D$18:$D$1670="LNST")),SUMPRODUCT('W3'!$K$18:$AJ$1670*('W3'!$A$18:$A$1670='W5'!I$47)*('W3'!$K$14:$AJ$14='W5'!$B22)*('W3'!$D$18:$D$1670="LNST"))*$AS$1/10^3)</f>
        <v>23066.141794439987</v>
      </c>
      <c r="J22" s="535">
        <f t="shared" si="5"/>
        <v>887159.29978615337</v>
      </c>
      <c r="K22" s="534" cm="1">
        <f t="array" ref="K22">IF(Currency="VND",SUMPRODUCT('W3'!$K$18:$AJ$1670*('W3'!$A$18:$A$1670='W5'!K$47)*('W3'!$K$14:$AJ$14='W5'!$B22)*('W3'!$D$18:$D$1670="LNST")),SUMPRODUCT('W3'!$K$18:$AJ$1670*('W3'!$A$18:$A$1670='W5'!K$47)*('W3'!$K$14:$AJ$14='W5'!$B22)*('W3'!$D$18:$D$1670="LNST"))*$AS$1/10^3)</f>
        <v>12696.803939473444</v>
      </c>
      <c r="L22" s="535">
        <f t="shared" si="6"/>
        <v>488338.61305667093</v>
      </c>
      <c r="M22" s="534" cm="1">
        <f t="array" ref="M22">IF(Currency="VND",SUMPRODUCT('W3'!$K$18:$AJ$1670*('W3'!$A$18:$A$1670='W5'!M$47)*('W3'!$K$14:$AJ$14='W5'!$B22)*('W3'!$D$18:$D$1670="LNST")),SUMPRODUCT('W3'!$K$18:$AJ$1670*('W3'!$A$18:$A$1670='W5'!M$47)*('W3'!$K$14:$AJ$14='W5'!$B22)*('W3'!$D$18:$D$1670="LNST"))*$AS$1/10^3)</f>
        <v>9043.084646853782</v>
      </c>
      <c r="N22" s="535">
        <f t="shared" si="7"/>
        <v>347810.94795591471</v>
      </c>
      <c r="O22" s="533" cm="1">
        <f t="array" ref="O22">IF(Currency="VND",SUMPRODUCT('W3'!$K$18:$AJ$1670*('W3'!$A$18:$A$1670='W5'!O$47)*('W3'!$K$14:$AJ$14='W5'!$B22)*('W3'!$D$18:$D$1670="LNST")),SUMPRODUCT('W3'!$K$18:$AJ$1670*('W3'!$A$18:$A$1670='W5'!O$47)*('W3'!$K$14:$AJ$14='W5'!$B22)*('W3'!$D$18:$D$1670="LNST"))*$AS$1/10^3)</f>
        <v>-1326.2532081127633</v>
      </c>
      <c r="P22" s="533">
        <f t="shared" si="8"/>
        <v>-51009.73877356782</v>
      </c>
      <c r="Q22" s="534" cm="1">
        <f t="array" ref="Q22">IF(Currency="VND",SUMPRODUCT('W3'!$K$18:$AJ$1670*('W3'!$A$18:$A$1670='W5'!Q$47)*('W3'!$K$14:$AJ$14='W5'!$B22)*('W3'!$D$18:$D$1670="LNST")),SUMPRODUCT('W3'!$K$18:$AJ$1670*('W3'!$A$18:$A$1670='W5'!Q$47)*('W3'!$K$14:$AJ$14='W5'!$B22)*('W3'!$D$18:$D$1670="LNST"))*$AS$1/10^3)</f>
        <v>620.5617622214603</v>
      </c>
      <c r="R22" s="535">
        <f t="shared" si="9"/>
        <v>23867.760085440783</v>
      </c>
      <c r="S22" s="534" cm="1">
        <f t="array" ref="S22">IF(Currency="VND",SUMPRODUCT('W3'!$K$18:$AJ$1670*('W3'!$A$18:$A$1670='W5'!S$47)*('W3'!$K$14:$AJ$14='W5'!$B22)*('W3'!$D$18:$D$1670="LNST")),SUMPRODUCT('W3'!$K$18:$AJ$1670*('W3'!$A$18:$A$1670='W5'!S$47)*('W3'!$K$14:$AJ$14='W5'!$B22)*('W3'!$D$18:$D$1670="LNST"))*$AS$1/10^3)</f>
        <v>1914.4176337335259</v>
      </c>
      <c r="T22" s="535">
        <f t="shared" si="10"/>
        <v>73631.447451289452</v>
      </c>
      <c r="U22" s="534" cm="1">
        <f t="array" ref="U22">IF(Currency="VND",SUMPRODUCT('W3'!$K$18:$AJ$1670*('W3'!$A$18:$A$1670='W5'!U$47)*('W3'!$K$14:$AJ$14='W5'!$B22)*('W3'!$D$18:$D$1670="LNST")),SUMPRODUCT('W3'!$K$18:$AJ$1670*('W3'!$A$18:$A$1670='W5'!U$47)*('W3'!$K$14:$AJ$14='W5'!$B22)*('W3'!$D$18:$D$1670="LNST"))*$AS$1/10^3)</f>
        <v>33583.434655129611</v>
      </c>
      <c r="V22" s="535">
        <f t="shared" si="11"/>
        <v>1291670.5636588312</v>
      </c>
      <c r="W22" s="534" cm="1">
        <f t="array" ref="W22">IF(Currency="VND",SUMPRODUCT('W3'!$K$18:$AJ$1670*('W3'!$A$18:$A$1670='W5'!W$47)*('W3'!$K$14:$AJ$14='W5'!$B22)*('W3'!$D$18:$D$1670="LNST")),SUMPRODUCT('W3'!$K$18:$AJ$1670*('W3'!$A$18:$A$1670='W5'!W$47)*('W3'!$K$14:$AJ$14='W5'!$B22)*('W3'!$D$18:$D$1670="LNST"))*$AS$1/10^3)</f>
        <v>23214.096800163064</v>
      </c>
      <c r="X22" s="535">
        <f t="shared" si="12"/>
        <v>892849.87692934857</v>
      </c>
    </row>
    <row r="23" spans="2:24" outlineLevel="1" x14ac:dyDescent="0.2">
      <c r="B23" s="530">
        <f t="shared" si="13"/>
        <v>5</v>
      </c>
      <c r="C23" s="531">
        <v>2030</v>
      </c>
      <c r="D23" s="532">
        <v>1</v>
      </c>
      <c r="E23" s="533" cm="1">
        <f t="array" ref="E23">IF(Currency="VND",SUMPRODUCT('W3'!$K$18:$AJ$1670*('W3'!$A$18:$A$1670='W5'!E$47)*('W3'!$K$14:$AJ$14='W5'!$B23)*('W3'!$D$18:$D$1670="LNST")),SUMPRODUCT('W3'!$K$18:$AJ$1670*('W3'!$A$18:$A$1670='W5'!E$47)*('W3'!$K$14:$AJ$14='W5'!$B23)*('W3'!$D$18:$D$1670="LNST"))*$AS$1/10^3)</f>
        <v>34418.296458477809</v>
      </c>
      <c r="F23" s="533">
        <f t="shared" si="3"/>
        <v>1323780.6330183772</v>
      </c>
      <c r="G23" s="534" cm="1">
        <f t="array" ref="G23">IF(Currency="VND",SUMPRODUCT('W3'!$K$18:$AJ$1670*('W3'!$A$18:$A$1670='W5'!G$47)*('W3'!$K$14:$AJ$14='W5'!$B23)*('W3'!$D$18:$D$1670="LNST")),SUMPRODUCT('W3'!$K$18:$AJ$1670*('W3'!$A$18:$A$1670='W5'!G$47)*('W3'!$K$14:$AJ$14='W5'!$B23)*('W3'!$D$18:$D$1670="LNST"))*$AS$1/10^3)</f>
        <v>24335.60934690549</v>
      </c>
      <c r="H23" s="535">
        <f t="shared" si="4"/>
        <v>935984.97488098044</v>
      </c>
      <c r="I23" s="534" cm="1">
        <f t="array" ref="I23">IF(Currency="VND",SUMPRODUCT('W3'!$K$18:$AJ$1670*('W3'!$A$18:$A$1670='W5'!I$47)*('W3'!$K$14:$AJ$14='W5'!$B23)*('W3'!$D$18:$D$1670="LNST")),SUMPRODUCT('W3'!$K$18:$AJ$1670*('W3'!$A$18:$A$1670='W5'!I$47)*('W3'!$K$14:$AJ$14='W5'!$B23)*('W3'!$D$18:$D$1670="LNST"))*$AS$1/10^3)</f>
        <v>23690.657740574472</v>
      </c>
      <c r="J23" s="535">
        <f t="shared" si="5"/>
        <v>911179.14386824891</v>
      </c>
      <c r="K23" s="534" cm="1">
        <f t="array" ref="K23">IF(Currency="VND",SUMPRODUCT('W3'!$K$18:$AJ$1670*('W3'!$A$18:$A$1670='W5'!K$47)*('W3'!$K$14:$AJ$14='W5'!$B23)*('W3'!$D$18:$D$1670="LNST")),SUMPRODUCT('W3'!$K$18:$AJ$1670*('W3'!$A$18:$A$1670='W5'!K$47)*('W3'!$K$14:$AJ$14='W5'!$B23)*('W3'!$D$18:$D$1670="LNST"))*$AS$1/10^3)</f>
        <v>13607.970629002155</v>
      </c>
      <c r="L23" s="535">
        <f t="shared" si="6"/>
        <v>523383.48573085212</v>
      </c>
      <c r="M23" s="534" cm="1">
        <f t="array" ref="M23">IF(Currency="VND",SUMPRODUCT('W3'!$K$18:$AJ$1670*('W3'!$A$18:$A$1670='W5'!M$47)*('W3'!$K$14:$AJ$14='W5'!$B23)*('W3'!$D$18:$D$1670="LNST")),SUMPRODUCT('W3'!$K$18:$AJ$1670*('W3'!$A$18:$A$1670='W5'!M$47)*('W3'!$K$14:$AJ$14='W5'!$B23)*('W3'!$D$18:$D$1670="LNST"))*$AS$1/10^3)</f>
        <v>9387.1394500365477</v>
      </c>
      <c r="N23" s="535">
        <f t="shared" si="7"/>
        <v>361043.82500140567</v>
      </c>
      <c r="O23" s="533" cm="1">
        <f t="array" ref="O23">IF(Currency="VND",SUMPRODUCT('W3'!$K$18:$AJ$1670*('W3'!$A$18:$A$1670='W5'!O$47)*('W3'!$K$14:$AJ$14='W5'!$B23)*('W3'!$D$18:$D$1670="LNST")),SUMPRODUCT('W3'!$K$18:$AJ$1670*('W3'!$A$18:$A$1670='W5'!O$47)*('W3'!$K$14:$AJ$14='W5'!$B23)*('W3'!$D$18:$D$1670="LNST"))*$AS$1/10^3)</f>
        <v>-695.54766153576793</v>
      </c>
      <c r="P23" s="533">
        <f t="shared" si="8"/>
        <v>-26751.833135991074</v>
      </c>
      <c r="Q23" s="534" cm="1">
        <f t="array" ref="Q23">IF(Currency="VND",SUMPRODUCT('W3'!$K$18:$AJ$1670*('W3'!$A$18:$A$1670='W5'!Q$47)*('W3'!$K$14:$AJ$14='W5'!$B23)*('W3'!$D$18:$D$1670="LNST")),SUMPRODUCT('W3'!$K$18:$AJ$1670*('W3'!$A$18:$A$1670='W5'!Q$47)*('W3'!$K$14:$AJ$14='W5'!$B23)*('W3'!$D$18:$D$1670="LNST"))*$AS$1/10^3)</f>
        <v>796.16610771152193</v>
      </c>
      <c r="R23" s="535">
        <f t="shared" si="9"/>
        <v>30621.773373520075</v>
      </c>
      <c r="S23" s="534" cm="1">
        <f t="array" ref="S23">IF(Currency="VND",SUMPRODUCT('W3'!$K$18:$AJ$1670*('W3'!$A$18:$A$1670='W5'!S$47)*('W3'!$K$14:$AJ$14='W5'!$B23)*('W3'!$D$18:$D$1670="LNST")),SUMPRODUCT('W3'!$K$18:$AJ$1670*('W3'!$A$18:$A$1670='W5'!S$47)*('W3'!$K$14:$AJ$14='W5'!$B23)*('W3'!$D$18:$D$1670="LNST"))*$AS$1/10^3)</f>
        <v>2609.9365971473048</v>
      </c>
      <c r="T23" s="535">
        <f t="shared" si="10"/>
        <v>100382.17681335789</v>
      </c>
      <c r="U23" s="534" cm="1">
        <f t="array" ref="U23">IF(Currency="VND",SUMPRODUCT('W3'!$K$18:$AJ$1670*('W3'!$A$18:$A$1670='W5'!U$47)*('W3'!$K$14:$AJ$14='W5'!$B23)*('W3'!$D$18:$D$1670="LNST")),SUMPRODUCT('W3'!$K$18:$AJ$1670*('W3'!$A$18:$A$1670='W5'!U$47)*('W3'!$K$14:$AJ$14='W5'!$B23)*('W3'!$D$18:$D$1670="LNST"))*$AS$1/10^3)</f>
        <v>34418.296458477809</v>
      </c>
      <c r="V23" s="535">
        <f t="shared" si="11"/>
        <v>1323780.6330183772</v>
      </c>
      <c r="W23" s="534" cm="1">
        <f t="array" ref="W23">IF(Currency="VND",SUMPRODUCT('W3'!$K$18:$AJ$1670*('W3'!$A$18:$A$1670='W5'!W$47)*('W3'!$K$14:$AJ$14='W5'!$B23)*('W3'!$D$18:$D$1670="LNST")),SUMPRODUCT('W3'!$K$18:$AJ$1670*('W3'!$A$18:$A$1670='W5'!W$47)*('W3'!$K$14:$AJ$14='W5'!$B23)*('W3'!$D$18:$D$1670="LNST"))*$AS$1/10^3)</f>
        <v>24335.60934690549</v>
      </c>
      <c r="X23" s="535">
        <f t="shared" si="12"/>
        <v>935984.97488098044</v>
      </c>
    </row>
    <row r="24" spans="2:24" outlineLevel="1" x14ac:dyDescent="0.2">
      <c r="B24" s="530">
        <f t="shared" si="13"/>
        <v>6</v>
      </c>
      <c r="C24" s="531">
        <v>2031</v>
      </c>
      <c r="D24" s="532">
        <v>1</v>
      </c>
      <c r="E24" s="533" cm="1">
        <f t="array" ref="E24">IF(Currency="VND",SUMPRODUCT('W3'!$K$18:$AJ$1670*('W3'!$A$18:$A$1670='W5'!E$47)*('W3'!$K$14:$AJ$14='W5'!$B24)*('W3'!$D$18:$D$1670="LNST")),SUMPRODUCT('W3'!$K$18:$AJ$1670*('W3'!$A$18:$A$1670='W5'!E$47)*('W3'!$K$14:$AJ$14='W5'!$B24)*('W3'!$D$18:$D$1670="LNST"))*$AS$1/10^3)</f>
        <v>35246.381612042525</v>
      </c>
      <c r="F24" s="533">
        <f t="shared" si="3"/>
        <v>1355630.0620016356</v>
      </c>
      <c r="G24" s="534" cm="1">
        <f t="array" ref="G24">IF(Currency="VND",SUMPRODUCT('W3'!$K$18:$AJ$1670*('W3'!$A$18:$A$1670='W5'!G$47)*('W3'!$K$14:$AJ$14='W5'!$B24)*('W3'!$D$18:$D$1670="LNST")),SUMPRODUCT('W3'!$K$18:$AJ$1670*('W3'!$A$18:$A$1670='W5'!G$47)*('W3'!$K$14:$AJ$14='W5'!$B24)*('W3'!$D$18:$D$1670="LNST"))*$AS$1/10^3)</f>
        <v>25470.410795902091</v>
      </c>
      <c r="H24" s="535">
        <f t="shared" si="4"/>
        <v>979631.18445777276</v>
      </c>
      <c r="I24" s="534" cm="1">
        <f t="array" ref="I24">IF(Currency="VND",SUMPRODUCT('W3'!$K$18:$AJ$1670*('W3'!$A$18:$A$1670='W5'!I$47)*('W3'!$K$14:$AJ$14='W5'!$B24)*('W3'!$D$18:$D$1670="LNST")),SUMPRODUCT('W3'!$K$18:$AJ$1670*('W3'!$A$18:$A$1670='W5'!I$47)*('W3'!$K$14:$AJ$14='W5'!$B24)*('W3'!$D$18:$D$1670="LNST"))*$AS$1/10^3)</f>
        <v>24304.190119781022</v>
      </c>
      <c r="J24" s="535">
        <f t="shared" si="5"/>
        <v>934776.54306850093</v>
      </c>
      <c r="K24" s="534" cm="1">
        <f t="array" ref="K24">IF(Currency="VND",SUMPRODUCT('W3'!$K$18:$AJ$1670*('W3'!$A$18:$A$1670='W5'!K$47)*('W3'!$K$14:$AJ$14='W5'!$B24)*('W3'!$D$18:$D$1670="LNST")),SUMPRODUCT('W3'!$K$18:$AJ$1670*('W3'!$A$18:$A$1670='W5'!K$47)*('W3'!$K$14:$AJ$14='W5'!$B24)*('W3'!$D$18:$D$1670="LNST"))*$AS$1/10^3)</f>
        <v>14528.219303640584</v>
      </c>
      <c r="L24" s="535">
        <f t="shared" si="6"/>
        <v>558777.66552463779</v>
      </c>
      <c r="M24" s="534" cm="1">
        <f t="array" ref="M24">IF(Currency="VND",SUMPRODUCT('W3'!$K$18:$AJ$1670*('W3'!$A$18:$A$1670='W5'!M$47)*('W3'!$K$14:$AJ$14='W5'!$B24)*('W3'!$D$18:$D$1670="LNST")),SUMPRODUCT('W3'!$K$18:$AJ$1670*('W3'!$A$18:$A$1670='W5'!M$47)*('W3'!$K$14:$AJ$14='W5'!$B24)*('W3'!$D$18:$D$1670="LNST"))*$AS$1/10^3)</f>
        <v>9714.6014634324238</v>
      </c>
      <c r="N24" s="535">
        <f t="shared" si="7"/>
        <v>373638.51782432402</v>
      </c>
      <c r="O24" s="533" cm="1">
        <f t="array" ref="O24">IF(Currency="VND",SUMPRODUCT('W3'!$K$18:$AJ$1670*('W3'!$A$18:$A$1670='W5'!O$47)*('W3'!$K$14:$AJ$14='W5'!$B24)*('W3'!$D$18:$D$1670="LNST")),SUMPRODUCT('W3'!$K$18:$AJ$1670*('W3'!$A$18:$A$1670='W5'!O$47)*('W3'!$K$14:$AJ$14='W5'!$B24)*('W3'!$D$18:$D$1670="LNST"))*$AS$1/10^3)</f>
        <v>-61.369352708011867</v>
      </c>
      <c r="P24" s="533">
        <f t="shared" si="8"/>
        <v>-2360.3597195389179</v>
      </c>
      <c r="Q24" s="534" cm="1">
        <f t="array" ref="Q24">IF(Currency="VND",SUMPRODUCT('W3'!$K$18:$AJ$1670*('W3'!$A$18:$A$1670='W5'!Q$47)*('W3'!$K$14:$AJ$14='W5'!$B24)*('W3'!$D$18:$D$1670="LNST")),SUMPRODUCT('W3'!$K$18:$AJ$1670*('W3'!$A$18:$A$1670='W5'!Q$47)*('W3'!$K$14:$AJ$14='W5'!$B24)*('W3'!$D$18:$D$1670="LNST"))*$AS$1/10^3)</f>
        <v>951.80865426091486</v>
      </c>
      <c r="R24" s="535">
        <f t="shared" si="9"/>
        <v>36608.025163881342</v>
      </c>
      <c r="S24" s="534" cm="1">
        <f t="array" ref="S24">IF(Currency="VND",SUMPRODUCT('W3'!$K$18:$AJ$1670*('W3'!$A$18:$A$1670='W5'!S$47)*('W3'!$K$14:$AJ$14='W5'!$B24)*('W3'!$D$18:$D$1670="LNST")),SUMPRODUCT('W3'!$K$18:$AJ$1670*('W3'!$A$18:$A$1670='W5'!S$47)*('W3'!$K$14:$AJ$14='W5'!$B24)*('W3'!$D$18:$D$1670="LNST"))*$AS$1/10^3)</f>
        <v>3310.2245911488312</v>
      </c>
      <c r="T24" s="535">
        <f t="shared" si="10"/>
        <v>127316.3304288012</v>
      </c>
      <c r="U24" s="534" cm="1">
        <f t="array" ref="U24">IF(Currency="VND",SUMPRODUCT('W3'!$K$18:$AJ$1670*('W3'!$A$18:$A$1670='W5'!U$47)*('W3'!$K$14:$AJ$14='W5'!$B24)*('W3'!$D$18:$D$1670="LNST")),SUMPRODUCT('W3'!$K$18:$AJ$1670*('W3'!$A$18:$A$1670='W5'!U$47)*('W3'!$K$14:$AJ$14='W5'!$B24)*('W3'!$D$18:$D$1670="LNST"))*$AS$1/10^3)</f>
        <v>35246.381612042525</v>
      </c>
      <c r="V24" s="535">
        <f t="shared" si="11"/>
        <v>1355630.0620016356</v>
      </c>
      <c r="W24" s="534" cm="1">
        <f t="array" ref="W24">IF(Currency="VND",SUMPRODUCT('W3'!$K$18:$AJ$1670*('W3'!$A$18:$A$1670='W5'!W$47)*('W3'!$K$14:$AJ$14='W5'!$B24)*('W3'!$D$18:$D$1670="LNST")),SUMPRODUCT('W3'!$K$18:$AJ$1670*('W3'!$A$18:$A$1670='W5'!W$47)*('W3'!$K$14:$AJ$14='W5'!$B24)*('W3'!$D$18:$D$1670="LNST"))*$AS$1/10^3)</f>
        <v>25470.410795902091</v>
      </c>
      <c r="X24" s="535">
        <f t="shared" si="12"/>
        <v>979631.18445777276</v>
      </c>
    </row>
    <row r="25" spans="2:24" outlineLevel="1" x14ac:dyDescent="0.2">
      <c r="B25" s="530">
        <f t="shared" si="13"/>
        <v>7</v>
      </c>
      <c r="C25" s="531">
        <v>2032</v>
      </c>
      <c r="D25" s="532">
        <v>1</v>
      </c>
      <c r="E25" s="533" cm="1">
        <f t="array" ref="E25">IF(Currency="VND",SUMPRODUCT('W3'!$K$18:$AJ$1670*('W3'!$A$18:$A$1670='W5'!E$47)*('W3'!$K$14:$AJ$14='W5'!$B25)*('W3'!$D$18:$D$1670="LNST")),SUMPRODUCT('W3'!$K$18:$AJ$1670*('W3'!$A$18:$A$1670='W5'!E$47)*('W3'!$K$14:$AJ$14='W5'!$B25)*('W3'!$D$18:$D$1670="LNST"))*$AS$1/10^3)</f>
        <v>36066.955622893809</v>
      </c>
      <c r="F25" s="533">
        <f t="shared" si="3"/>
        <v>1387190.6008805311</v>
      </c>
      <c r="G25" s="534" cm="1">
        <f t="array" ref="G25">IF(Currency="VND",SUMPRODUCT('W3'!$K$18:$AJ$1670*('W3'!$A$18:$A$1670='W5'!G$47)*('W3'!$K$14:$AJ$14='W5'!$B25)*('W3'!$D$18:$D$1670="LNST")),SUMPRODUCT('W3'!$K$18:$AJ$1670*('W3'!$A$18:$A$1670='W5'!G$47)*('W3'!$K$14:$AJ$14='W5'!$B25)*('W3'!$D$18:$D$1670="LNST"))*$AS$1/10^3)</f>
        <v>26619.17124286541</v>
      </c>
      <c r="H25" s="535">
        <f t="shared" si="4"/>
        <v>1023814.2785717465</v>
      </c>
      <c r="I25" s="534" cm="1">
        <f t="array" ref="I25">IF(Currency="VND",SUMPRODUCT('W3'!$K$18:$AJ$1670*('W3'!$A$18:$A$1670='W5'!I$47)*('W3'!$K$14:$AJ$14='W5'!$B25)*('W3'!$D$18:$D$1670="LNST")),SUMPRODUCT('W3'!$K$18:$AJ$1670*('W3'!$A$18:$A$1670='W5'!I$47)*('W3'!$K$14:$AJ$14='W5'!$B25)*('W3'!$D$18:$D$1670="LNST"))*$AS$1/10^3)</f>
        <v>24905.920300787129</v>
      </c>
      <c r="J25" s="535">
        <f t="shared" si="5"/>
        <v>957920.0115687357</v>
      </c>
      <c r="K25" s="534" cm="1">
        <f t="array" ref="K25">IF(Currency="VND",SUMPRODUCT('W3'!$K$18:$AJ$1670*('W3'!$A$18:$A$1670='W5'!K$47)*('W3'!$K$14:$AJ$14='W5'!$B25)*('W3'!$D$18:$D$1670="LNST")),SUMPRODUCT('W3'!$K$18:$AJ$1670*('W3'!$A$18:$A$1670='W5'!K$47)*('W3'!$K$14:$AJ$14='W5'!$B25)*('W3'!$D$18:$D$1670="LNST"))*$AS$1/10^3)</f>
        <v>15458.135920758732</v>
      </c>
      <c r="L25" s="535">
        <f t="shared" si="6"/>
        <v>594543.68925995124</v>
      </c>
      <c r="M25" s="534" cm="1">
        <f t="array" ref="M25">IF(Currency="VND",SUMPRODUCT('W3'!$K$18:$AJ$1670*('W3'!$A$18:$A$1670='W5'!M$47)*('W3'!$K$14:$AJ$14='W5'!$B25)*('W3'!$D$18:$D$1670="LNST")),SUMPRODUCT('W3'!$K$18:$AJ$1670*('W3'!$A$18:$A$1670='W5'!M$47)*('W3'!$K$14:$AJ$14='W5'!$B25)*('W3'!$D$18:$D$1670="LNST"))*$AS$1/10^3)</f>
        <v>10024.539871311514</v>
      </c>
      <c r="N25" s="535">
        <f t="shared" si="7"/>
        <v>385559.22581967362</v>
      </c>
      <c r="O25" s="533" cm="1">
        <f t="array" ref="O25">IF(Currency="VND",SUMPRODUCT('W3'!$K$18:$AJ$1670*('W3'!$A$18:$A$1670='W5'!O$47)*('W3'!$K$14:$AJ$14='W5'!$B25)*('W3'!$D$18:$D$1670="LNST")),SUMPRODUCT('W3'!$K$18:$AJ$1670*('W3'!$A$18:$A$1670='W5'!O$47)*('W3'!$K$14:$AJ$14='W5'!$B25)*('W3'!$D$18:$D$1670="LNST"))*$AS$1/10^3)</f>
        <v>576.75549128311684</v>
      </c>
      <c r="P25" s="533">
        <f t="shared" si="8"/>
        <v>22182.903510889108</v>
      </c>
      <c r="Q25" s="534" cm="1">
        <f t="array" ref="Q25">IF(Currency="VND",SUMPRODUCT('W3'!$K$18:$AJ$1670*('W3'!$A$18:$A$1670='W5'!Q$47)*('W3'!$K$14:$AJ$14='W5'!$B25)*('W3'!$D$18:$D$1670="LNST")),SUMPRODUCT('W3'!$K$18:$AJ$1670*('W3'!$A$18:$A$1670='W5'!Q$47)*('W3'!$K$14:$AJ$14='W5'!$B25)*('W3'!$D$18:$D$1670="LNST"))*$AS$1/10^3)</f>
        <v>1086.491205956554</v>
      </c>
      <c r="R25" s="535">
        <f t="shared" si="9"/>
        <v>41788.123306021305</v>
      </c>
      <c r="S25" s="534" cm="1">
        <f t="array" ref="S25">IF(Currency="VND",SUMPRODUCT('W3'!$K$18:$AJ$1670*('W3'!$A$18:$A$1670='W5'!S$47)*('W3'!$K$14:$AJ$14='W5'!$B25)*('W3'!$D$18:$D$1670="LNST")),SUMPRODUCT('W3'!$K$18:$AJ$1670*('W3'!$A$18:$A$1670='W5'!S$47)*('W3'!$K$14:$AJ$14='W5'!$B25)*('W3'!$D$18:$D$1670="LNST"))*$AS$1/10^3)</f>
        <v>4015.7813140170651</v>
      </c>
      <c r="T25" s="535">
        <f t="shared" si="10"/>
        <v>154453.1274621948</v>
      </c>
      <c r="U25" s="534" cm="1">
        <f t="array" ref="U25">IF(Currency="VND",SUMPRODUCT('W3'!$K$18:$AJ$1670*('W3'!$A$18:$A$1670='W5'!U$47)*('W3'!$K$14:$AJ$14='W5'!$B25)*('W3'!$D$18:$D$1670="LNST")),SUMPRODUCT('W3'!$K$18:$AJ$1670*('W3'!$A$18:$A$1670='W5'!U$47)*('W3'!$K$14:$AJ$14='W5'!$B25)*('W3'!$D$18:$D$1670="LNST"))*$AS$1/10^3)</f>
        <v>36066.955622893809</v>
      </c>
      <c r="V25" s="535">
        <f t="shared" si="11"/>
        <v>1387190.6008805311</v>
      </c>
      <c r="W25" s="534" cm="1">
        <f t="array" ref="W25">IF(Currency="VND",SUMPRODUCT('W3'!$K$18:$AJ$1670*('W3'!$A$18:$A$1670='W5'!W$47)*('W3'!$K$14:$AJ$14='W5'!$B25)*('W3'!$D$18:$D$1670="LNST")),SUMPRODUCT('W3'!$K$18:$AJ$1670*('W3'!$A$18:$A$1670='W5'!W$47)*('W3'!$K$14:$AJ$14='W5'!$B25)*('W3'!$D$18:$D$1670="LNST"))*$AS$1/10^3)</f>
        <v>26619.17124286541</v>
      </c>
      <c r="X25" s="535">
        <f t="shared" si="12"/>
        <v>1023814.2785717465</v>
      </c>
    </row>
    <row r="26" spans="2:24" outlineLevel="1" x14ac:dyDescent="0.2">
      <c r="B26" s="530">
        <f t="shared" si="13"/>
        <v>8</v>
      </c>
      <c r="C26" s="531">
        <v>2033</v>
      </c>
      <c r="D26" s="532">
        <v>1</v>
      </c>
      <c r="E26" s="533" cm="1">
        <f t="array" ref="E26">IF(Currency="VND",SUMPRODUCT('W3'!$K$18:$AJ$1670*('W3'!$A$18:$A$1670='W5'!E$47)*('W3'!$K$14:$AJ$14='W5'!$B26)*('W3'!$D$18:$D$1670="LNST")),SUMPRODUCT('W3'!$K$18:$AJ$1670*('W3'!$A$18:$A$1670='W5'!E$47)*('W3'!$K$14:$AJ$14='W5'!$B26)*('W3'!$D$18:$D$1670="LNST"))*$AS$1/10^3)</f>
        <v>36879.279591651539</v>
      </c>
      <c r="F26" s="533">
        <f t="shared" si="3"/>
        <v>1418433.8304481362</v>
      </c>
      <c r="G26" s="534" cm="1">
        <f t="array" ref="G26">IF(Currency="VND",SUMPRODUCT('W3'!$K$18:$AJ$1670*('W3'!$A$18:$A$1670='W5'!G$47)*('W3'!$K$14:$AJ$14='W5'!$B26)*('W3'!$D$18:$D$1670="LNST")),SUMPRODUCT('W3'!$K$18:$AJ$1670*('W3'!$A$18:$A$1670='W5'!G$47)*('W3'!$K$14:$AJ$14='W5'!$B26)*('W3'!$D$18:$D$1670="LNST"))*$AS$1/10^3)</f>
        <v>27782.654698263112</v>
      </c>
      <c r="H26" s="535">
        <f t="shared" si="4"/>
        <v>1068563.6422408889</v>
      </c>
      <c r="I26" s="534" cm="1">
        <f t="array" ref="I26">IF(Currency="VND",SUMPRODUCT('W3'!$K$18:$AJ$1670*('W3'!$A$18:$A$1670='W5'!I$47)*('W3'!$K$14:$AJ$14='W5'!$B26)*('W3'!$D$18:$D$1670="LNST")),SUMPRODUCT('W3'!$K$18:$AJ$1670*('W3'!$A$18:$A$1670='W5'!I$47)*('W3'!$K$14:$AJ$14='W5'!$B26)*('W3'!$D$18:$D$1670="LNST"))*$AS$1/10^3)</f>
        <v>25495.023563102728</v>
      </c>
      <c r="J26" s="535">
        <f t="shared" si="5"/>
        <v>980577.8293501049</v>
      </c>
      <c r="K26" s="534" cm="1">
        <f t="array" ref="K26">IF(Currency="VND",SUMPRODUCT('W3'!$K$18:$AJ$1670*('W3'!$A$18:$A$1670='W5'!K$47)*('W3'!$K$14:$AJ$14='W5'!$B26)*('W3'!$D$18:$D$1670="LNST")),SUMPRODUCT('W3'!$K$18:$AJ$1670*('W3'!$A$18:$A$1670='W5'!K$47)*('W3'!$K$14:$AJ$14='W5'!$B26)*('W3'!$D$18:$D$1670="LNST"))*$AS$1/10^3)</f>
        <v>16398.398669714294</v>
      </c>
      <c r="L26" s="535">
        <f t="shared" si="6"/>
        <v>630707.64114285749</v>
      </c>
      <c r="M26" s="534" cm="1">
        <f t="array" ref="M26">IF(Currency="VND",SUMPRODUCT('W3'!$K$18:$AJ$1670*('W3'!$A$18:$A$1670='W5'!M$47)*('W3'!$K$14:$AJ$14='W5'!$B26)*('W3'!$D$18:$D$1670="LNST")),SUMPRODUCT('W3'!$K$18:$AJ$1670*('W3'!$A$18:$A$1670='W5'!M$47)*('W3'!$K$14:$AJ$14='W5'!$B26)*('W3'!$D$18:$D$1670="LNST"))*$AS$1/10^3)</f>
        <v>10316.015525037563</v>
      </c>
      <c r="N26" s="535">
        <f t="shared" si="7"/>
        <v>396769.82788606011</v>
      </c>
      <c r="O26" s="533" cm="1">
        <f t="array" ref="O26">IF(Currency="VND",SUMPRODUCT('W3'!$K$18:$AJ$1670*('W3'!$A$18:$A$1670='W5'!O$47)*('W3'!$K$14:$AJ$14='W5'!$B26)*('W3'!$D$18:$D$1670="LNST")),SUMPRODUCT('W3'!$K$18:$AJ$1670*('W3'!$A$18:$A$1670='W5'!O$47)*('W3'!$K$14:$AJ$14='W5'!$B26)*('W3'!$D$18:$D$1670="LNST"))*$AS$1/10^3)</f>
        <v>1219.3906316491309</v>
      </c>
      <c r="P26" s="533">
        <f t="shared" si="8"/>
        <v>46899.639678812731</v>
      </c>
      <c r="Q26" s="534" cm="1">
        <f t="array" ref="Q26">IF(Currency="VND",SUMPRODUCT('W3'!$K$18:$AJ$1670*('W3'!$A$18:$A$1670='W5'!Q$47)*('W3'!$K$14:$AJ$14='W5'!$B26)*('W3'!$D$18:$D$1670="LNST")),SUMPRODUCT('W3'!$K$18:$AJ$1670*('W3'!$A$18:$A$1670='W5'!Q$47)*('W3'!$K$14:$AJ$14='W5'!$B26)*('W3'!$D$18:$D$1670="LNST"))*$AS$1/10^3)</f>
        <v>1199.2058863755781</v>
      </c>
      <c r="R26" s="535">
        <f t="shared" si="9"/>
        <v>46123.303322137617</v>
      </c>
      <c r="S26" s="534" cm="1">
        <f t="array" ref="S26">IF(Currency="VND",SUMPRODUCT('W3'!$K$18:$AJ$1670*('W3'!$A$18:$A$1670='W5'!S$47)*('W3'!$K$14:$AJ$14='W5'!$B26)*('W3'!$D$18:$D$1670="LNST")),SUMPRODUCT('W3'!$K$18:$AJ$1670*('W3'!$A$18:$A$1670='W5'!S$47)*('W3'!$K$14:$AJ$14='W5'!$B26)*('W3'!$D$18:$D$1670="LNST"))*$AS$1/10^3)</f>
        <v>4727.1969708377028</v>
      </c>
      <c r="T26" s="535">
        <f t="shared" si="10"/>
        <v>181815.26810914243</v>
      </c>
      <c r="U26" s="534" cm="1">
        <f t="array" ref="U26">IF(Currency="VND",SUMPRODUCT('W3'!$K$18:$AJ$1670*('W3'!$A$18:$A$1670='W5'!U$47)*('W3'!$K$14:$AJ$14='W5'!$B26)*('W3'!$D$18:$D$1670="LNST")),SUMPRODUCT('W3'!$K$18:$AJ$1670*('W3'!$A$18:$A$1670='W5'!U$47)*('W3'!$K$14:$AJ$14='W5'!$B26)*('W3'!$D$18:$D$1670="LNST"))*$AS$1/10^3)</f>
        <v>36879.279591651539</v>
      </c>
      <c r="V26" s="535">
        <f t="shared" si="11"/>
        <v>1418433.8304481362</v>
      </c>
      <c r="W26" s="534" cm="1">
        <f t="array" ref="W26">IF(Currency="VND",SUMPRODUCT('W3'!$K$18:$AJ$1670*('W3'!$A$18:$A$1670='W5'!W$47)*('W3'!$K$14:$AJ$14='W5'!$B26)*('W3'!$D$18:$D$1670="LNST")),SUMPRODUCT('W3'!$K$18:$AJ$1670*('W3'!$A$18:$A$1670='W5'!W$47)*('W3'!$K$14:$AJ$14='W5'!$B26)*('W3'!$D$18:$D$1670="LNST"))*$AS$1/10^3)</f>
        <v>27782.654698263112</v>
      </c>
      <c r="X26" s="535">
        <f t="shared" si="12"/>
        <v>1068563.6422408889</v>
      </c>
    </row>
    <row r="27" spans="2:24" outlineLevel="1" x14ac:dyDescent="0.2">
      <c r="B27" s="530">
        <f t="shared" si="13"/>
        <v>9</v>
      </c>
      <c r="C27" s="531">
        <v>2034</v>
      </c>
      <c r="D27" s="532">
        <v>1</v>
      </c>
      <c r="E27" s="533" cm="1">
        <f t="array" ref="E27">IF(Currency="VND",SUMPRODUCT('W3'!$K$18:$AJ$1670*('W3'!$A$18:$A$1670='W5'!E$47)*('W3'!$K$14:$AJ$14='W5'!$B27)*('W3'!$D$18:$D$1670="LNST")),SUMPRODUCT('W3'!$K$18:$AJ$1670*('W3'!$A$18:$A$1670='W5'!E$47)*('W3'!$K$14:$AJ$14='W5'!$B27)*('W3'!$D$18:$D$1670="LNST"))*$AS$1/10^3)</f>
        <v>37682.613454725222</v>
      </c>
      <c r="F27" s="533">
        <f t="shared" si="3"/>
        <v>1449331.2867202009</v>
      </c>
      <c r="G27" s="534" cm="1">
        <f t="array" ref="G27">IF(Currency="VND",SUMPRODUCT('W3'!$K$18:$AJ$1670*('W3'!$A$18:$A$1670='W5'!G$47)*('W3'!$K$14:$AJ$14='W5'!$B27)*('W3'!$D$18:$D$1670="LNST")),SUMPRODUCT('W3'!$K$18:$AJ$1670*('W3'!$A$18:$A$1670='W5'!G$47)*('W3'!$K$14:$AJ$14='W5'!$B27)*('W3'!$D$18:$D$1670="LNST"))*$AS$1/10^3)</f>
        <v>28961.729212041573</v>
      </c>
      <c r="H27" s="535">
        <f t="shared" si="4"/>
        <v>1113912.6620015989</v>
      </c>
      <c r="I27" s="534" cm="1">
        <f t="array" ref="I27">IF(Currency="VND",SUMPRODUCT('W3'!$K$18:$AJ$1670*('W3'!$A$18:$A$1670='W5'!I$47)*('W3'!$K$14:$AJ$14='W5'!$B27)*('W3'!$D$18:$D$1670="LNST")),SUMPRODUCT('W3'!$K$18:$AJ$1670*('W3'!$A$18:$A$1670='W5'!I$47)*('W3'!$K$14:$AJ$14='W5'!$B27)*('W3'!$D$18:$D$1670="LNST"))*$AS$1/10^3)</f>
        <v>26070.672305605422</v>
      </c>
      <c r="J27" s="535">
        <f t="shared" si="5"/>
        <v>1002718.1656002084</v>
      </c>
      <c r="K27" s="534" cm="1">
        <f t="array" ref="K27">IF(Currency="VND",SUMPRODUCT('W3'!$K$18:$AJ$1670*('W3'!$A$18:$A$1670='W5'!K$47)*('W3'!$K$14:$AJ$14='W5'!$B27)*('W3'!$D$18:$D$1670="LNST")),SUMPRODUCT('W3'!$K$18:$AJ$1670*('W3'!$A$18:$A$1670='W5'!K$47)*('W3'!$K$14:$AJ$14='W5'!$B27)*('W3'!$D$18:$D$1670="LNST"))*$AS$1/10^3)</f>
        <v>17349.788062921773</v>
      </c>
      <c r="L27" s="535">
        <f t="shared" si="6"/>
        <v>667299.54088160663</v>
      </c>
      <c r="M27" s="534" cm="1">
        <f t="array" ref="M27">IF(Currency="VND",SUMPRODUCT('W3'!$K$18:$AJ$1670*('W3'!$A$18:$A$1670='W5'!M$47)*('W3'!$K$14:$AJ$14='W5'!$B27)*('W3'!$D$18:$D$1670="LNST")),SUMPRODUCT('W3'!$K$18:$AJ$1670*('W3'!$A$18:$A$1670='W5'!M$47)*('W3'!$K$14:$AJ$14='W5'!$B27)*('W3'!$D$18:$D$1670="LNST"))*$AS$1/10^3)</f>
        <v>10588.084106779053</v>
      </c>
      <c r="N27" s="535">
        <f t="shared" si="7"/>
        <v>407234.00410688663</v>
      </c>
      <c r="O27" s="533" cm="1">
        <f t="array" ref="O27">IF(Currency="VND",SUMPRODUCT('W3'!$K$18:$AJ$1670*('W3'!$A$18:$A$1670='W5'!O$47)*('W3'!$K$14:$AJ$14='W5'!$B27)*('W3'!$D$18:$D$1670="LNST")),SUMPRODUCT('W3'!$K$18:$AJ$1670*('W3'!$A$18:$A$1670='W5'!O$47)*('W3'!$K$14:$AJ$14='W5'!$B27)*('W3'!$D$18:$D$1670="LNST"))*$AS$1/10^3)</f>
        <v>1867.199864095403</v>
      </c>
      <c r="P27" s="533">
        <f t="shared" si="8"/>
        <v>71815.379388284739</v>
      </c>
      <c r="Q27" s="534" cm="1">
        <f t="array" ref="Q27">IF(Currency="VND",SUMPRODUCT('W3'!$K$18:$AJ$1670*('W3'!$A$18:$A$1670='W5'!Q$47)*('W3'!$K$14:$AJ$14='W5'!$B27)*('W3'!$D$18:$D$1670="LNST")),SUMPRODUCT('W3'!$K$18:$AJ$1670*('W3'!$A$18:$A$1670='W5'!Q$47)*('W3'!$K$14:$AJ$14='W5'!$B27)*('W3'!$D$18:$D$1670="LNST"))*$AS$1/10^3)</f>
        <v>1288.9382753437385</v>
      </c>
      <c r="R27" s="535">
        <f t="shared" si="9"/>
        <v>49574.549051682254</v>
      </c>
      <c r="S27" s="534" cm="1">
        <f t="array" ref="S27">IF(Currency="VND",SUMPRODUCT('W3'!$K$18:$AJ$1670*('W3'!$A$18:$A$1670='W5'!S$47)*('W3'!$K$14:$AJ$14='W5'!$B27)*('W3'!$D$18:$D$1670="LNST")),SUMPRODUCT('W3'!$K$18:$AJ$1670*('W3'!$A$18:$A$1670='W5'!S$47)*('W3'!$K$14:$AJ$14='W5'!$B27)*('W3'!$D$18:$D$1670="LNST"))*$AS$1/10^3)</f>
        <v>5445.1623300677638</v>
      </c>
      <c r="T27" s="535">
        <f t="shared" si="10"/>
        <v>209429.32038722167</v>
      </c>
      <c r="U27" s="534" cm="1">
        <f t="array" ref="U27">IF(Currency="VND",SUMPRODUCT('W3'!$K$18:$AJ$1670*('W3'!$A$18:$A$1670='W5'!U$47)*('W3'!$K$14:$AJ$14='W5'!$B27)*('W3'!$D$18:$D$1670="LNST")),SUMPRODUCT('W3'!$K$18:$AJ$1670*('W3'!$A$18:$A$1670='W5'!U$47)*('W3'!$K$14:$AJ$14='W5'!$B27)*('W3'!$D$18:$D$1670="LNST"))*$AS$1/10^3)</f>
        <v>37682.613454725222</v>
      </c>
      <c r="V27" s="535">
        <f t="shared" si="11"/>
        <v>1449331.2867202009</v>
      </c>
      <c r="W27" s="534" cm="1">
        <f t="array" ref="W27">IF(Currency="VND",SUMPRODUCT('W3'!$K$18:$AJ$1670*('W3'!$A$18:$A$1670='W5'!W$47)*('W3'!$K$14:$AJ$14='W5'!$B27)*('W3'!$D$18:$D$1670="LNST")),SUMPRODUCT('W3'!$K$18:$AJ$1670*('W3'!$A$18:$A$1670='W5'!W$47)*('W3'!$K$14:$AJ$14='W5'!$B27)*('W3'!$D$18:$D$1670="LNST"))*$AS$1/10^3)</f>
        <v>28961.729212041573</v>
      </c>
      <c r="X27" s="535">
        <f t="shared" si="12"/>
        <v>1113912.6620015989</v>
      </c>
    </row>
    <row r="28" spans="2:24" outlineLevel="1" x14ac:dyDescent="0.2">
      <c r="B28" s="530">
        <f t="shared" si="13"/>
        <v>10</v>
      </c>
      <c r="C28" s="531">
        <v>2035</v>
      </c>
      <c r="D28" s="532">
        <v>1</v>
      </c>
      <c r="E28" s="533" cm="1">
        <f t="array" ref="E28">IF(Currency="VND",SUMPRODUCT('W3'!$K$18:$AJ$1670*('W3'!$A$18:$A$1670='W5'!E$47)*('W3'!$K$14:$AJ$14='W5'!$B28)*('W3'!$D$18:$D$1670="LNST")),SUMPRODUCT('W3'!$K$18:$AJ$1670*('W3'!$A$18:$A$1670='W5'!E$47)*('W3'!$K$14:$AJ$14='W5'!$B28)*('W3'!$D$18:$D$1670="LNST"))*$AS$1/10^3)</f>
        <v>38476.219655050663</v>
      </c>
      <c r="F28" s="533">
        <f t="shared" si="3"/>
        <v>1479854.6021173331</v>
      </c>
      <c r="G28" s="534" cm="1">
        <f t="array" ref="G28">IF(Currency="VND",SUMPRODUCT('W3'!$K$18:$AJ$1670*('W3'!$A$18:$A$1670='W5'!G$47)*('W3'!$K$14:$AJ$14='W5'!$B28)*('W3'!$D$18:$D$1670="LNST")),SUMPRODUCT('W3'!$K$18:$AJ$1670*('W3'!$A$18:$A$1670='W5'!G$47)*('W3'!$K$14:$AJ$14='W5'!$B28)*('W3'!$D$18:$D$1670="LNST"))*$AS$1/10^3)</f>
        <v>30157.377908621031</v>
      </c>
      <c r="H28" s="535">
        <f t="shared" si="4"/>
        <v>1159899.150331578</v>
      </c>
      <c r="I28" s="534" cm="1">
        <f t="array" ref="I28">IF(Currency="VND",SUMPRODUCT('W3'!$K$18:$AJ$1670*('W3'!$A$18:$A$1670='W5'!I$47)*('W3'!$K$14:$AJ$14='W5'!$B28)*('W3'!$D$18:$D$1670="LNST")),SUMPRODUCT('W3'!$K$18:$AJ$1670*('W3'!$A$18:$A$1670='W5'!I$47)*('W3'!$K$14:$AJ$14='W5'!$B28)*('W3'!$D$18:$D$1670="LNST"))*$AS$1/10^3)</f>
        <v>26632.039682948453</v>
      </c>
      <c r="J28" s="535">
        <f t="shared" si="5"/>
        <v>1024309.2185749405</v>
      </c>
      <c r="K28" s="534" cm="1">
        <f t="array" ref="K28">IF(Currency="VND",SUMPRODUCT('W3'!$K$18:$AJ$1670*('W3'!$A$18:$A$1670='W5'!K$47)*('W3'!$K$14:$AJ$14='W5'!$B28)*('W3'!$D$18:$D$1670="LNST")),SUMPRODUCT('W3'!$K$18:$AJ$1670*('W3'!$A$18:$A$1670='W5'!K$47)*('W3'!$K$14:$AJ$14='W5'!$B28)*('W3'!$D$18:$D$1670="LNST"))*$AS$1/10^3)</f>
        <v>18313.197936518816</v>
      </c>
      <c r="L28" s="535">
        <f t="shared" si="6"/>
        <v>704353.76678918523</v>
      </c>
      <c r="M28" s="534" cm="1">
        <f t="array" ref="M28">IF(Currency="VND",SUMPRODUCT('W3'!$K$18:$AJ$1670*('W3'!$A$18:$A$1670='W5'!M$47)*('W3'!$K$14:$AJ$14='W5'!$B28)*('W3'!$D$18:$D$1670="LNST")),SUMPRODUCT('W3'!$K$18:$AJ$1670*('W3'!$A$18:$A$1670='W5'!M$47)*('W3'!$K$14:$AJ$14='W5'!$B28)*('W3'!$D$18:$D$1670="LNST"))*$AS$1/10^3)</f>
        <v>10839.799720145529</v>
      </c>
      <c r="N28" s="535">
        <f t="shared" si="7"/>
        <v>416915.37385175115</v>
      </c>
      <c r="O28" s="533" cm="1">
        <f t="array" ref="O28">IF(Currency="VND",SUMPRODUCT('W3'!$K$18:$AJ$1670*('W3'!$A$18:$A$1670='W5'!O$47)*('W3'!$K$14:$AJ$14='W5'!$B28)*('W3'!$D$18:$D$1670="LNST")),SUMPRODUCT('W3'!$K$18:$AJ$1670*('W3'!$A$18:$A$1670='W5'!O$47)*('W3'!$K$14:$AJ$14='W5'!$B28)*('W3'!$D$18:$D$1670="LNST"))*$AS$1/10^3)</f>
        <v>2520.9579737158961</v>
      </c>
      <c r="P28" s="533">
        <f t="shared" si="8"/>
        <v>96959.922065995997</v>
      </c>
      <c r="Q28" s="534" cm="1">
        <f t="array" ref="Q28">IF(Currency="VND",SUMPRODUCT('W3'!$K$18:$AJ$1670*('W3'!$A$18:$A$1670='W5'!Q$47)*('W3'!$K$14:$AJ$14='W5'!$B28)*('W3'!$D$18:$D$1670="LNST")),SUMPRODUCT('W3'!$K$18:$AJ$1670*('W3'!$A$18:$A$1670='W5'!Q$47)*('W3'!$K$14:$AJ$14='W5'!$B28)*('W3'!$D$18:$D$1670="LNST"))*$AS$1/10^3)</f>
        <v>1354.6709720815534</v>
      </c>
      <c r="R28" s="535">
        <f t="shared" si="9"/>
        <v>52102.729695444359</v>
      </c>
      <c r="S28" s="534" cm="1">
        <f t="array" ref="S28">IF(Currency="VND",SUMPRODUCT('W3'!$K$18:$AJ$1670*('W3'!$A$18:$A$1670='W5'!S$47)*('W3'!$K$14:$AJ$14='W5'!$B28)*('W3'!$D$18:$D$1670="LNST")),SUMPRODUCT('W3'!$K$18:$AJ$1670*('W3'!$A$18:$A$1670='W5'!S$47)*('W3'!$K$14:$AJ$14='W5'!$B28)*('W3'!$D$18:$D$1670="LNST"))*$AS$1/10^3)</f>
        <v>6170.4796890077187</v>
      </c>
      <c r="T28" s="535">
        <f t="shared" si="10"/>
        <v>237326.14188491224</v>
      </c>
      <c r="U28" s="534" cm="1">
        <f t="array" ref="U28">IF(Currency="VND",SUMPRODUCT('W3'!$K$18:$AJ$1670*('W3'!$A$18:$A$1670='W5'!U$47)*('W3'!$K$14:$AJ$14='W5'!$B28)*('W3'!$D$18:$D$1670="LNST")),SUMPRODUCT('W3'!$K$18:$AJ$1670*('W3'!$A$18:$A$1670='W5'!U$47)*('W3'!$K$14:$AJ$14='W5'!$B28)*('W3'!$D$18:$D$1670="LNST"))*$AS$1/10^3)</f>
        <v>38476.219655050663</v>
      </c>
      <c r="V28" s="535">
        <f t="shared" si="11"/>
        <v>1479854.6021173331</v>
      </c>
      <c r="W28" s="534" cm="1">
        <f t="array" ref="W28">IF(Currency="VND",SUMPRODUCT('W3'!$K$18:$AJ$1670*('W3'!$A$18:$A$1670='W5'!W$47)*('W3'!$K$14:$AJ$14='W5'!$B28)*('W3'!$D$18:$D$1670="LNST")),SUMPRODUCT('W3'!$K$18:$AJ$1670*('W3'!$A$18:$A$1670='W5'!W$47)*('W3'!$K$14:$AJ$14='W5'!$B28)*('W3'!$D$18:$D$1670="LNST"))*$AS$1/10^3)</f>
        <v>30157.377908621031</v>
      </c>
      <c r="X28" s="535">
        <f t="shared" si="12"/>
        <v>1159899.150331578</v>
      </c>
    </row>
    <row r="29" spans="2:24" outlineLevel="1" x14ac:dyDescent="0.2">
      <c r="B29" s="530">
        <f t="shared" si="13"/>
        <v>11</v>
      </c>
      <c r="C29" s="531">
        <v>2036</v>
      </c>
      <c r="D29" s="532">
        <v>1</v>
      </c>
      <c r="E29" s="533" cm="1">
        <f t="array" ref="E29">IF(Currency="VND",SUMPRODUCT('W3'!$K$18:$AJ$1670*('W3'!$A$18:$A$1670='W5'!E$47)*('W3'!$K$14:$AJ$14='W5'!$B29)*('W3'!$D$18:$D$1670="LNST")),SUMPRODUCT('W3'!$K$18:$AJ$1670*('W3'!$A$18:$A$1670='W5'!E$47)*('W3'!$K$14:$AJ$14='W5'!$B29)*('W3'!$D$18:$D$1670="LNST"))*$AS$1/10^3)</f>
        <v>39259.367281876133</v>
      </c>
      <c r="F29" s="533">
        <f t="shared" si="3"/>
        <v>1509975.6646875434</v>
      </c>
      <c r="G29" s="534" cm="1">
        <f t="array" ref="G29">IF(Currency="VND",SUMPRODUCT('W3'!$K$18:$AJ$1670*('W3'!$A$18:$A$1670='W5'!G$47)*('W3'!$K$14:$AJ$14='W5'!$B29)*('W3'!$D$18:$D$1670="LNST")),SUMPRODUCT('W3'!$K$18:$AJ$1670*('W3'!$A$18:$A$1670='W5'!G$47)*('W3'!$K$14:$AJ$14='W5'!$B29)*('W3'!$D$18:$D$1670="LNST"))*$AS$1/10^3)</f>
        <v>31370.71100643836</v>
      </c>
      <c r="H29" s="535">
        <f t="shared" si="4"/>
        <v>1206565.8079399369</v>
      </c>
      <c r="I29" s="534" cm="1">
        <f t="array" ref="I29">IF(Currency="VND",SUMPRODUCT('W3'!$K$18:$AJ$1670*('W3'!$A$18:$A$1670='W5'!I$47)*('W3'!$K$14:$AJ$14='W5'!$B29)*('W3'!$D$18:$D$1670="LNST")),SUMPRODUCT('W3'!$K$18:$AJ$1670*('W3'!$A$18:$A$1670='W5'!I$47)*('W3'!$K$14:$AJ$14='W5'!$B29)*('W3'!$D$18:$D$1670="LNST"))*$AS$1/10^3)</f>
        <v>27178.303710331907</v>
      </c>
      <c r="J29" s="535">
        <f t="shared" si="5"/>
        <v>1045319.373474304</v>
      </c>
      <c r="K29" s="534" cm="1">
        <f t="array" ref="K29">IF(Currency="VND",SUMPRODUCT('W3'!$K$18:$AJ$1670*('W3'!$A$18:$A$1670='W5'!K$47)*('W3'!$K$14:$AJ$14='W5'!$B29)*('W3'!$D$18:$D$1670="LNST")),SUMPRODUCT('W3'!$K$18:$AJ$1670*('W3'!$A$18:$A$1670='W5'!K$47)*('W3'!$K$14:$AJ$14='W5'!$B29)*('W3'!$D$18:$D$1670="LNST"))*$AS$1/10^3)</f>
        <v>19289.647434894137</v>
      </c>
      <c r="L29" s="535">
        <f t="shared" si="6"/>
        <v>741909.51672669756</v>
      </c>
      <c r="M29" s="534" cm="1">
        <f t="array" ref="M29">IF(Currency="VND",SUMPRODUCT('W3'!$K$18:$AJ$1670*('W3'!$A$18:$A$1670='W5'!M$47)*('W3'!$K$14:$AJ$14='W5'!$B29)*('W3'!$D$18:$D$1670="LNST")),SUMPRODUCT('W3'!$K$18:$AJ$1670*('W3'!$A$18:$A$1670='W5'!M$47)*('W3'!$K$14:$AJ$14='W5'!$B29)*('W3'!$D$18:$D$1670="LNST"))*$AS$1/10^3)</f>
        <v>11070.218948272895</v>
      </c>
      <c r="N29" s="535">
        <f t="shared" si="7"/>
        <v>425777.65185664984</v>
      </c>
      <c r="O29" s="533" cm="1">
        <f t="array" ref="O29">IF(Currency="VND",SUMPRODUCT('W3'!$K$18:$AJ$1670*('W3'!$A$18:$A$1670='W5'!O$47)*('W3'!$K$14:$AJ$14='W5'!$B29)*('W3'!$D$18:$D$1670="LNST")),SUMPRODUCT('W3'!$K$18:$AJ$1670*('W3'!$A$18:$A$1670='W5'!O$47)*('W3'!$K$14:$AJ$14='W5'!$B29)*('W3'!$D$18:$D$1670="LNST"))*$AS$1/10^3)</f>
        <v>3181.5626728351231</v>
      </c>
      <c r="P29" s="533">
        <f t="shared" si="8"/>
        <v>122367.79510904319</v>
      </c>
      <c r="Q29" s="534" cm="1">
        <f t="array" ref="Q29">IF(Currency="VND",SUMPRODUCT('W3'!$K$18:$AJ$1670*('W3'!$A$18:$A$1670='W5'!Q$47)*('W3'!$K$14:$AJ$14='W5'!$B29)*('W3'!$D$18:$D$1670="LNST")),SUMPRODUCT('W3'!$K$18:$AJ$1670*('W3'!$A$18:$A$1670='W5'!Q$47)*('W3'!$K$14:$AJ$14='W5'!$B29)*('W3'!$D$18:$D$1670="LNST"))*$AS$1/10^3)</f>
        <v>1395.3876252476127</v>
      </c>
      <c r="R29" s="535">
        <f t="shared" si="9"/>
        <v>53668.754817215879</v>
      </c>
      <c r="S29" s="534" cm="1">
        <f t="array" ref="S29">IF(Currency="VND",SUMPRODUCT('W3'!$K$18:$AJ$1670*('W3'!$A$18:$A$1670='W5'!S$47)*('W3'!$K$14:$AJ$14='W5'!$B29)*('W3'!$D$18:$D$1670="LNST")),SUMPRODUCT('W3'!$K$18:$AJ$1670*('W3'!$A$18:$A$1670='W5'!S$47)*('W3'!$K$14:$AJ$14='W5'!$B29)*('W3'!$D$18:$D$1670="LNST"))*$AS$1/10^3)</f>
        <v>6904.0748224328272</v>
      </c>
      <c r="T29" s="535">
        <f t="shared" si="10"/>
        <v>265541.33932433947</v>
      </c>
      <c r="U29" s="534" cm="1">
        <f t="array" ref="U29">IF(Currency="VND",SUMPRODUCT('W3'!$K$18:$AJ$1670*('W3'!$A$18:$A$1670='W5'!U$47)*('W3'!$K$14:$AJ$14='W5'!$B29)*('W3'!$D$18:$D$1670="LNST")),SUMPRODUCT('W3'!$K$18:$AJ$1670*('W3'!$A$18:$A$1670='W5'!U$47)*('W3'!$K$14:$AJ$14='W5'!$B29)*('W3'!$D$18:$D$1670="LNST"))*$AS$1/10^3)</f>
        <v>39259.367281876133</v>
      </c>
      <c r="V29" s="535">
        <f t="shared" si="11"/>
        <v>1509975.6646875434</v>
      </c>
      <c r="W29" s="534" cm="1">
        <f t="array" ref="W29">IF(Currency="VND",SUMPRODUCT('W3'!$K$18:$AJ$1670*('W3'!$A$18:$A$1670='W5'!W$47)*('W3'!$K$14:$AJ$14='W5'!$B29)*('W3'!$D$18:$D$1670="LNST")),SUMPRODUCT('W3'!$K$18:$AJ$1670*('W3'!$A$18:$A$1670='W5'!W$47)*('W3'!$K$14:$AJ$14='W5'!$B29)*('W3'!$D$18:$D$1670="LNST"))*$AS$1/10^3)</f>
        <v>31370.71100643836</v>
      </c>
      <c r="X29" s="535">
        <f t="shared" si="12"/>
        <v>1206565.8079399369</v>
      </c>
    </row>
    <row r="30" spans="2:24" outlineLevel="1" x14ac:dyDescent="0.2">
      <c r="B30" s="530">
        <f t="shared" si="13"/>
        <v>12</v>
      </c>
      <c r="C30" s="531">
        <v>2037</v>
      </c>
      <c r="D30" s="532">
        <v>1</v>
      </c>
      <c r="E30" s="533" cm="1">
        <f t="array" ref="E30">IF(Currency="VND",SUMPRODUCT('W3'!$K$18:$AJ$1670*('W3'!$A$18:$A$1670='W5'!E$47)*('W3'!$K$14:$AJ$14='W5'!$B30)*('W3'!$D$18:$D$1670="LNST")),SUMPRODUCT('W3'!$K$18:$AJ$1670*('W3'!$A$18:$A$1670='W5'!E$47)*('W3'!$K$14:$AJ$14='W5'!$B30)*('W3'!$D$18:$D$1670="LNST"))*$AS$1/10^3)</f>
        <v>40031.336723525128</v>
      </c>
      <c r="F30" s="533">
        <f t="shared" si="3"/>
        <v>1539666.7970586589</v>
      </c>
      <c r="G30" s="534" cm="1">
        <f t="array" ref="G30">IF(Currency="VND",SUMPRODUCT('W3'!$K$18:$AJ$1670*('W3'!$A$18:$A$1670='W5'!G$47)*('W3'!$K$14:$AJ$14='W5'!$B30)*('W3'!$D$18:$D$1670="LNST")),SUMPRODUCT('W3'!$K$18:$AJ$1670*('W3'!$A$18:$A$1670='W5'!G$47)*('W3'!$K$14:$AJ$14='W5'!$B30)*('W3'!$D$18:$D$1670="LNST"))*$AS$1/10^3)</f>
        <v>32602.978902048621</v>
      </c>
      <c r="H30" s="535">
        <f t="shared" si="4"/>
        <v>1253960.7270018701</v>
      </c>
      <c r="I30" s="534" cm="1">
        <f t="array" ref="I30">IF(Currency="VND",SUMPRODUCT('W3'!$K$18:$AJ$1670*('W3'!$A$18:$A$1670='W5'!I$47)*('W3'!$K$14:$AJ$14='W5'!$B30)*('W3'!$D$18:$D$1670="LNST")),SUMPRODUCT('W3'!$K$18:$AJ$1670*('W3'!$A$18:$A$1670='W5'!I$47)*('W3'!$K$14:$AJ$14='W5'!$B30)*('W3'!$D$18:$D$1670="LNST"))*$AS$1/10^3)</f>
        <v>27708.651880549965</v>
      </c>
      <c r="J30" s="535">
        <f t="shared" si="5"/>
        <v>1065717.3800211526</v>
      </c>
      <c r="K30" s="534" cm="1">
        <f t="array" ref="K30">IF(Currency="VND",SUMPRODUCT('W3'!$K$18:$AJ$1670*('W3'!$A$18:$A$1670='W5'!K$47)*('W3'!$K$14:$AJ$14='W5'!$B30)*('W3'!$D$18:$D$1670="LNST")),SUMPRODUCT('W3'!$K$18:$AJ$1670*('W3'!$A$18:$A$1670='W5'!K$47)*('W3'!$K$14:$AJ$14='W5'!$B30)*('W3'!$D$18:$D$1670="LNST"))*$AS$1/10^3)</f>
        <v>20280.294059073462</v>
      </c>
      <c r="L30" s="535">
        <f t="shared" si="6"/>
        <v>780011.30996436381</v>
      </c>
      <c r="M30" s="534" cm="1">
        <f t="array" ref="M30">IF(Currency="VND",SUMPRODUCT('W3'!$K$18:$AJ$1670*('W3'!$A$18:$A$1670='W5'!M$47)*('W3'!$K$14:$AJ$14='W5'!$B30)*('W3'!$D$18:$D$1670="LNST")),SUMPRODUCT('W3'!$K$18:$AJ$1670*('W3'!$A$18:$A$1670='W5'!M$47)*('W3'!$K$14:$AJ$14='W5'!$B30)*('W3'!$D$18:$D$1670="LNST"))*$AS$1/10^3)</f>
        <v>11278.405423249771</v>
      </c>
      <c r="N30" s="535">
        <f t="shared" si="7"/>
        <v>433784.82397114503</v>
      </c>
      <c r="O30" s="533" cm="1">
        <f t="array" ref="O30">IF(Currency="VND",SUMPRODUCT('W3'!$K$18:$AJ$1670*('W3'!$A$18:$A$1670='W5'!O$47)*('W3'!$K$14:$AJ$14='W5'!$B30)*('W3'!$D$18:$D$1670="LNST")),SUMPRODUCT('W3'!$K$18:$AJ$1670*('W3'!$A$18:$A$1670='W5'!O$47)*('W3'!$K$14:$AJ$14='W5'!$B30)*('W3'!$D$18:$D$1670="LNST"))*$AS$1/10^3)</f>
        <v>3850.047601773264</v>
      </c>
      <c r="P30" s="533">
        <f t="shared" si="8"/>
        <v>148078.75391435632</v>
      </c>
      <c r="Q30" s="534" cm="1">
        <f t="array" ref="Q30">IF(Currency="VND",SUMPRODUCT('W3'!$K$18:$AJ$1670*('W3'!$A$18:$A$1670='W5'!Q$47)*('W3'!$K$14:$AJ$14='W5'!$B30)*('W3'!$D$18:$D$1670="LNST")),SUMPRODUCT('W3'!$K$18:$AJ$1670*('W3'!$A$18:$A$1670='W5'!Q$47)*('W3'!$K$14:$AJ$14='W5'!$B30)*('W3'!$D$18:$D$1670="LNST"))*$AS$1/10^3)</f>
        <v>1410.077473763982</v>
      </c>
      <c r="R30" s="535">
        <f t="shared" si="9"/>
        <v>54233.74899092238</v>
      </c>
      <c r="S30" s="534" cm="1">
        <f t="array" ref="S30">IF(Currency="VND",SUMPRODUCT('W3'!$K$18:$AJ$1670*('W3'!$A$18:$A$1670='W5'!S$47)*('W3'!$K$14:$AJ$14='W5'!$B30)*('W3'!$D$18:$D$1670="LNST")),SUMPRODUCT('W3'!$K$18:$AJ$1670*('W3'!$A$18:$A$1670='W5'!S$47)*('W3'!$K$14:$AJ$14='W5'!$B30)*('W3'!$D$18:$D$1670="LNST"))*$AS$1/10^3)</f>
        <v>7647.0099943628538</v>
      </c>
      <c r="T30" s="535">
        <f t="shared" si="10"/>
        <v>294115.7690139559</v>
      </c>
      <c r="U30" s="534" cm="1">
        <f t="array" ref="U30">IF(Currency="VND",SUMPRODUCT('W3'!$K$18:$AJ$1670*('W3'!$A$18:$A$1670='W5'!U$47)*('W3'!$K$14:$AJ$14='W5'!$B30)*('W3'!$D$18:$D$1670="LNST")),SUMPRODUCT('W3'!$K$18:$AJ$1670*('W3'!$A$18:$A$1670='W5'!U$47)*('W3'!$K$14:$AJ$14='W5'!$B30)*('W3'!$D$18:$D$1670="LNST"))*$AS$1/10^3)</f>
        <v>40031.336723525128</v>
      </c>
      <c r="V30" s="535">
        <f t="shared" si="11"/>
        <v>1539666.7970586589</v>
      </c>
      <c r="W30" s="534" cm="1">
        <f t="array" ref="W30">IF(Currency="VND",SUMPRODUCT('W3'!$K$18:$AJ$1670*('W3'!$A$18:$A$1670='W5'!W$47)*('W3'!$K$14:$AJ$14='W5'!$B30)*('W3'!$D$18:$D$1670="LNST")),SUMPRODUCT('W3'!$K$18:$AJ$1670*('W3'!$A$18:$A$1670='W5'!W$47)*('W3'!$K$14:$AJ$14='W5'!$B30)*('W3'!$D$18:$D$1670="LNST"))*$AS$1/10^3)</f>
        <v>32602.978902048621</v>
      </c>
      <c r="X30" s="535">
        <f t="shared" si="12"/>
        <v>1253960.7270018701</v>
      </c>
    </row>
    <row r="31" spans="2:24" outlineLevel="1" x14ac:dyDescent="0.2">
      <c r="B31" s="530">
        <f t="shared" si="13"/>
        <v>13</v>
      </c>
      <c r="C31" s="531">
        <v>2038</v>
      </c>
      <c r="D31" s="532">
        <v>1</v>
      </c>
      <c r="E31" s="533" cm="1">
        <f t="array" ref="E31">IF(Currency="VND",SUMPRODUCT('W3'!$K$18:$AJ$1670*('W3'!$A$18:$A$1670='W5'!E$47)*('W3'!$K$14:$AJ$14='W5'!$B31)*('W3'!$D$18:$D$1670="LNST")),SUMPRODUCT('W3'!$K$18:$AJ$1670*('W3'!$A$18:$A$1670='W5'!E$47)*('W3'!$K$14:$AJ$14='W5'!$B31)*('W3'!$D$18:$D$1670="LNST"))*$AS$1/10^3)</f>
        <v>61643.411014037672</v>
      </c>
      <c r="F31" s="533">
        <f t="shared" si="3"/>
        <v>2370900.4236168335</v>
      </c>
      <c r="G31" s="534" cm="1">
        <f t="array" ref="G31">IF(Currency="VND",SUMPRODUCT('W3'!$K$18:$AJ$1670*('W3'!$A$18:$A$1670='W5'!G$47)*('W3'!$K$14:$AJ$14='W5'!$B31)*('W3'!$D$18:$D$1670="LNST")),SUMPRODUCT('W3'!$K$18:$AJ$1670*('W3'!$A$18:$A$1670='W5'!G$47)*('W3'!$K$14:$AJ$14='W5'!$B31)*('W3'!$D$18:$D$1670="LNST"))*$AS$1/10^3)</f>
        <v>54707.57253829977</v>
      </c>
      <c r="H31" s="535">
        <f t="shared" si="4"/>
        <v>2104137.4053192218</v>
      </c>
      <c r="I31" s="534" cm="1">
        <f t="array" ref="I31">IF(Currency="VND",SUMPRODUCT('W3'!$K$18:$AJ$1670*('W3'!$A$18:$A$1670='W5'!I$47)*('W3'!$K$14:$AJ$14='W5'!$B31)*('W3'!$D$18:$D$1670="LNST")),SUMPRODUCT('W3'!$K$18:$AJ$1670*('W3'!$A$18:$A$1670='W5'!I$47)*('W3'!$K$14:$AJ$14='W5'!$B31)*('W3'!$D$18:$D$1670="LNST"))*$AS$1/10^3)</f>
        <v>49074.272474203077</v>
      </c>
      <c r="J31" s="535">
        <f t="shared" si="5"/>
        <v>1887472.0182385799</v>
      </c>
      <c r="K31" s="534" cm="1">
        <f t="array" ref="K31">IF(Currency="VND",SUMPRODUCT('W3'!$K$18:$AJ$1670*('W3'!$A$18:$A$1670='W5'!K$47)*('W3'!$K$14:$AJ$14='W5'!$B31)*('W3'!$D$18:$D$1670="LNST")),SUMPRODUCT('W3'!$K$18:$AJ$1670*('W3'!$A$18:$A$1670='W5'!K$47)*('W3'!$K$14:$AJ$14='W5'!$B31)*('W3'!$D$18:$D$1670="LNST"))*$AS$1/10^3)</f>
        <v>42138.433998465167</v>
      </c>
      <c r="L31" s="535">
        <f t="shared" si="6"/>
        <v>1620708.9999409681</v>
      </c>
      <c r="M31" s="534" cm="1">
        <f t="array" ref="M31">IF(Currency="VND",SUMPRODUCT('W3'!$K$18:$AJ$1670*('W3'!$A$18:$A$1670='W5'!M$47)*('W3'!$K$14:$AJ$14='W5'!$B31)*('W3'!$D$18:$D$1670="LNST")),SUMPRODUCT('W3'!$K$18:$AJ$1670*('W3'!$A$18:$A$1670='W5'!M$47)*('W3'!$K$14:$AJ$14='W5'!$B31)*('W3'!$D$18:$D$1670="LNST"))*$AS$1/10^3)</f>
        <v>32315.421087756848</v>
      </c>
      <c r="N31" s="535">
        <f t="shared" si="7"/>
        <v>1242900.8110675709</v>
      </c>
      <c r="O31" s="533" cm="1">
        <f t="array" ref="O31">IF(Currency="VND",SUMPRODUCT('W3'!$K$18:$AJ$1670*('W3'!$A$18:$A$1670='W5'!O$47)*('W3'!$K$14:$AJ$14='W5'!$B31)*('W3'!$D$18:$D$1670="LNST")),SUMPRODUCT('W3'!$K$18:$AJ$1670*('W3'!$A$18:$A$1670='W5'!O$47)*('W3'!$K$14:$AJ$14='W5'!$B31)*('W3'!$D$18:$D$1670="LNST"))*$AS$1/10^3)</f>
        <v>25379.582612018941</v>
      </c>
      <c r="P31" s="533">
        <f t="shared" si="8"/>
        <v>976137.79276995931</v>
      </c>
      <c r="Q31" s="534" cm="1">
        <f t="array" ref="Q31">IF(Currency="VND",SUMPRODUCT('W3'!$K$18:$AJ$1670*('W3'!$A$18:$A$1670='W5'!Q$47)*('W3'!$K$14:$AJ$14='W5'!$B31)*('W3'!$D$18:$D$1670="LNST")),SUMPRODUCT('W3'!$K$18:$AJ$1670*('W3'!$A$18:$A$1670='W5'!Q$47)*('W3'!$K$14:$AJ$14='W5'!$B31)*('W3'!$D$18:$D$1670="LNST"))*$AS$1/10^3)</f>
        <v>22249.726579281316</v>
      </c>
      <c r="R31" s="535">
        <f t="shared" si="9"/>
        <v>855758.71458774293</v>
      </c>
      <c r="S31" s="534" cm="1">
        <f t="array" ref="S31">IF(Currency="VND",SUMPRODUCT('W3'!$K$18:$AJ$1670*('W3'!$A$18:$A$1670='W5'!S$47)*('W3'!$K$14:$AJ$14='W5'!$B31)*('W3'!$D$18:$D$1670="LNST")),SUMPRODUCT('W3'!$K$18:$AJ$1670*('W3'!$A$18:$A$1670='W5'!S$47)*('W3'!$K$14:$AJ$14='W5'!$B31)*('W3'!$D$18:$D$1670="LNST"))*$AS$1/10^3)</f>
        <v>29252.484252460396</v>
      </c>
      <c r="T31" s="535">
        <f t="shared" si="10"/>
        <v>1125095.5481715538</v>
      </c>
      <c r="U31" s="534" cm="1">
        <f t="array" ref="U31">IF(Currency="VND",SUMPRODUCT('W3'!$K$18:$AJ$1670*('W3'!$A$18:$A$1670='W5'!U$47)*('W3'!$K$14:$AJ$14='W5'!$B31)*('W3'!$D$18:$D$1670="LNST")),SUMPRODUCT('W3'!$K$18:$AJ$1670*('W3'!$A$18:$A$1670='W5'!U$47)*('W3'!$K$14:$AJ$14='W5'!$B31)*('W3'!$D$18:$D$1670="LNST"))*$AS$1/10^3)</f>
        <v>61643.411014037672</v>
      </c>
      <c r="V31" s="535">
        <f t="shared" si="11"/>
        <v>2370900.4236168335</v>
      </c>
      <c r="W31" s="534" cm="1">
        <f t="array" ref="W31">IF(Currency="VND",SUMPRODUCT('W3'!$K$18:$AJ$1670*('W3'!$A$18:$A$1670='W5'!W$47)*('W3'!$K$14:$AJ$14='W5'!$B31)*('W3'!$D$18:$D$1670="LNST")),SUMPRODUCT('W3'!$K$18:$AJ$1670*('W3'!$A$18:$A$1670='W5'!W$47)*('W3'!$K$14:$AJ$14='W5'!$B31)*('W3'!$D$18:$D$1670="LNST"))*$AS$1/10^3)</f>
        <v>54707.57253829977</v>
      </c>
      <c r="X31" s="535">
        <f t="shared" si="12"/>
        <v>2104137.4053192218</v>
      </c>
    </row>
    <row r="32" spans="2:24" outlineLevel="1" x14ac:dyDescent="0.2">
      <c r="B32" s="530">
        <f t="shared" si="13"/>
        <v>14</v>
      </c>
      <c r="C32" s="531">
        <v>2039</v>
      </c>
      <c r="D32" s="532">
        <v>1</v>
      </c>
      <c r="E32" s="533" cm="1">
        <f t="array" ref="E32">IF(Currency="VND",SUMPRODUCT('W3'!$K$18:$AJ$1670*('W3'!$A$18:$A$1670='W5'!E$47)*('W3'!$K$14:$AJ$14='W5'!$B32)*('W3'!$D$18:$D$1670="LNST")),SUMPRODUCT('W3'!$K$18:$AJ$1670*('W3'!$A$18:$A$1670='W5'!E$47)*('W3'!$K$14:$AJ$14='W5'!$B32)*('W3'!$D$18:$D$1670="LNST"))*$AS$1/10^3)</f>
        <v>62390.937125178942</v>
      </c>
      <c r="F32" s="533">
        <f t="shared" si="3"/>
        <v>2399651.427891498</v>
      </c>
      <c r="G32" s="534" cm="1">
        <f t="array" ref="G32">IF(Currency="VND",SUMPRODUCT('W3'!$K$18:$AJ$1670*('W3'!$A$18:$A$1670='W5'!G$47)*('W3'!$K$14:$AJ$14='W5'!$B32)*('W3'!$D$18:$D$1670="LNST")),SUMPRODUCT('W3'!$K$18:$AJ$1670*('W3'!$A$18:$A$1670='W5'!G$47)*('W3'!$K$14:$AJ$14='W5'!$B32)*('W3'!$D$18:$D$1670="LNST"))*$AS$1/10^3)</f>
        <v>55982.094349381281</v>
      </c>
      <c r="H32" s="535">
        <f t="shared" si="4"/>
        <v>2153157.4749762029</v>
      </c>
      <c r="I32" s="534" cm="1">
        <f t="array" ref="I32">IF(Currency="VND",SUMPRODUCT('W3'!$K$18:$AJ$1670*('W3'!$A$18:$A$1670='W5'!I$47)*('W3'!$K$14:$AJ$14='W5'!$B32)*('W3'!$D$18:$D$1670="LNST")),SUMPRODUCT('W3'!$K$18:$AJ$1670*('W3'!$A$18:$A$1670='W5'!I$47)*('W3'!$K$14:$AJ$14='W5'!$B32)*('W3'!$D$18:$D$1670="LNST"))*$AS$1/10^3)</f>
        <v>49570.415814547618</v>
      </c>
      <c r="J32" s="535">
        <f t="shared" si="5"/>
        <v>1906554.4544056775</v>
      </c>
      <c r="K32" s="534" cm="1">
        <f t="array" ref="K32">IF(Currency="VND",SUMPRODUCT('W3'!$K$18:$AJ$1670*('W3'!$A$18:$A$1670='W5'!K$47)*('W3'!$K$14:$AJ$14='W5'!$B32)*('W3'!$D$18:$D$1670="LNST")),SUMPRODUCT('W3'!$K$18:$AJ$1670*('W3'!$A$18:$A$1670='W5'!K$47)*('W3'!$K$14:$AJ$14='W5'!$B32)*('W3'!$D$18:$D$1670="LNST"))*$AS$1/10^3)</f>
        <v>43161.573038749957</v>
      </c>
      <c r="L32" s="535">
        <f t="shared" si="6"/>
        <v>1660060.5014903829</v>
      </c>
      <c r="M32" s="534" cm="1">
        <f t="array" ref="M32">IF(Currency="VND",SUMPRODUCT('W3'!$K$18:$AJ$1670*('W3'!$A$18:$A$1670='W5'!M$47)*('W3'!$K$14:$AJ$14='W5'!$B32)*('W3'!$D$18:$D$1670="LNST")),SUMPRODUCT('W3'!$K$18:$AJ$1670*('W3'!$A$18:$A$1670='W5'!M$47)*('W3'!$K$14:$AJ$14='W5'!$B32)*('W3'!$D$18:$D$1670="LNST"))*$AS$1/10^3)</f>
        <v>32476.387400372609</v>
      </c>
      <c r="N32" s="535">
        <f t="shared" si="7"/>
        <v>1249091.8230912541</v>
      </c>
      <c r="O32" s="533" cm="1">
        <f t="array" ref="O32">IF(Currency="VND",SUMPRODUCT('W3'!$K$18:$AJ$1670*('W3'!$A$18:$A$1670='W5'!O$47)*('W3'!$K$14:$AJ$14='W5'!$B32)*('W3'!$D$18:$D$1670="LNST")),SUMPRODUCT('W3'!$K$18:$AJ$1670*('W3'!$A$18:$A$1670='W5'!O$47)*('W3'!$K$14:$AJ$14='W5'!$B32)*('W3'!$D$18:$D$1670="LNST"))*$AS$1/10^3)</f>
        <v>26067.544624574948</v>
      </c>
      <c r="P32" s="533">
        <f t="shared" si="8"/>
        <v>1002597.8701759594</v>
      </c>
      <c r="Q32" s="534" cm="1">
        <f t="array" ref="Q32">IF(Currency="VND",SUMPRODUCT('W3'!$K$18:$AJ$1670*('W3'!$A$18:$A$1670='W5'!Q$47)*('W3'!$K$14:$AJ$14='W5'!$B32)*('W3'!$D$18:$D$1670="LNST")),SUMPRODUCT('W3'!$K$18:$AJ$1670*('W3'!$A$18:$A$1670='W5'!Q$47)*('W3'!$K$14:$AJ$14='W5'!$B32)*('W3'!$D$18:$D$1670="LNST"))*$AS$1/10^3)</f>
        <v>22209.379001727517</v>
      </c>
      <c r="R32" s="535">
        <f t="shared" si="9"/>
        <v>854206.88468182762</v>
      </c>
      <c r="S32" s="534" cm="1">
        <f t="array" ref="S32">IF(Currency="VND",SUMPRODUCT('W3'!$K$18:$AJ$1670*('W3'!$A$18:$A$1670='W5'!S$47)*('W3'!$K$14:$AJ$14='W5'!$B32)*('W3'!$D$18:$D$1670="LNST")),SUMPRODUCT('W3'!$K$18:$AJ$1670*('W3'!$A$18:$A$1670='W5'!S$47)*('W3'!$K$14:$AJ$14='W5'!$B32)*('W3'!$D$18:$D$1670="LNST"))*$AS$1/10^3)</f>
        <v>30017.904297825091</v>
      </c>
      <c r="T32" s="535">
        <f t="shared" si="10"/>
        <v>1154534.7806855803</v>
      </c>
      <c r="U32" s="534" cm="1">
        <f t="array" ref="U32">IF(Currency="VND",SUMPRODUCT('W3'!$K$18:$AJ$1670*('W3'!$A$18:$A$1670='W5'!U$47)*('W3'!$K$14:$AJ$14='W5'!$B32)*('W3'!$D$18:$D$1670="LNST")),SUMPRODUCT('W3'!$K$18:$AJ$1670*('W3'!$A$18:$A$1670='W5'!U$47)*('W3'!$K$14:$AJ$14='W5'!$B32)*('W3'!$D$18:$D$1670="LNST"))*$AS$1/10^3)</f>
        <v>62390.937125178942</v>
      </c>
      <c r="V32" s="535">
        <f t="shared" si="11"/>
        <v>2399651.427891498</v>
      </c>
      <c r="W32" s="534" cm="1">
        <f t="array" ref="W32">IF(Currency="VND",SUMPRODUCT('W3'!$K$18:$AJ$1670*('W3'!$A$18:$A$1670='W5'!W$47)*('W3'!$K$14:$AJ$14='W5'!$B32)*('W3'!$D$18:$D$1670="LNST")),SUMPRODUCT('W3'!$K$18:$AJ$1670*('W3'!$A$18:$A$1670='W5'!W$47)*('W3'!$K$14:$AJ$14='W5'!$B32)*('W3'!$D$18:$D$1670="LNST"))*$AS$1/10^3)</f>
        <v>55982.094349381281</v>
      </c>
      <c r="X32" s="535">
        <f t="shared" si="12"/>
        <v>2153157.4749762029</v>
      </c>
    </row>
    <row r="33" spans="1:25" outlineLevel="1" x14ac:dyDescent="0.2">
      <c r="B33" s="530">
        <f t="shared" si="13"/>
        <v>15</v>
      </c>
      <c r="C33" s="531">
        <v>2040</v>
      </c>
      <c r="D33" s="532">
        <v>1</v>
      </c>
      <c r="E33" s="533" cm="1">
        <f t="array" ref="E33">IF(Currency="VND",SUMPRODUCT('W3'!$K$18:$AJ$1670*('W3'!$A$18:$A$1670='W5'!E$47)*('W3'!$K$14:$AJ$14='W5'!$B33)*('W3'!$D$18:$D$1670="LNST")),SUMPRODUCT('W3'!$K$18:$AJ$1670*('W3'!$A$18:$A$1670='W5'!E$47)*('W3'!$K$14:$AJ$14='W5'!$B33)*('W3'!$D$18:$D$1670="LNST"))*$AS$1/10^3)</f>
        <v>63125.249259534059</v>
      </c>
      <c r="F33" s="533">
        <f t="shared" si="3"/>
        <v>2427894.2022897713</v>
      </c>
      <c r="G33" s="534" cm="1">
        <f t="array" ref="G33">IF(Currency="VND",SUMPRODUCT('W3'!$K$18:$AJ$1670*('W3'!$A$18:$A$1670='W5'!G$47)*('W3'!$K$14:$AJ$14='W5'!$B33)*('W3'!$D$18:$D$1670="LNST")),SUMPRODUCT('W3'!$K$18:$AJ$1670*('W3'!$A$18:$A$1670='W5'!G$47)*('W3'!$K$14:$AJ$14='W5'!$B33)*('W3'!$D$18:$D$1670="LNST"))*$AS$1/10^3)</f>
        <v>57280.291882672493</v>
      </c>
      <c r="H33" s="535">
        <f t="shared" si="4"/>
        <v>2203088.1493335571</v>
      </c>
      <c r="I33" s="534" cm="1">
        <f t="array" ref="I33">IF(Currency="VND",SUMPRODUCT('W3'!$K$18:$AJ$1670*('W3'!$A$18:$A$1670='W5'!I$47)*('W3'!$K$14:$AJ$14='W5'!$B33)*('W3'!$D$18:$D$1670="LNST")),SUMPRODUCT('W3'!$K$18:$AJ$1670*('W3'!$A$18:$A$1670='W5'!I$47)*('W3'!$K$14:$AJ$14='W5'!$B33)*('W3'!$D$18:$D$1670="LNST"))*$AS$1/10^3)</f>
        <v>50048.317522690122</v>
      </c>
      <c r="J33" s="535">
        <f t="shared" si="5"/>
        <v>1924935.2893342355</v>
      </c>
      <c r="K33" s="534" cm="1">
        <f t="array" ref="K33">IF(Currency="VND",SUMPRODUCT('W3'!$K$18:$AJ$1670*('W3'!$A$18:$A$1670='W5'!K$47)*('W3'!$K$14:$AJ$14='W5'!$B33)*('W3'!$D$18:$D$1670="LNST")),SUMPRODUCT('W3'!$K$18:$AJ$1670*('W3'!$A$18:$A$1670='W5'!K$47)*('W3'!$K$14:$AJ$14='W5'!$B33)*('W3'!$D$18:$D$1670="LNST"))*$AS$1/10^3)</f>
        <v>44203.360145828548</v>
      </c>
      <c r="L33" s="535">
        <f t="shared" si="6"/>
        <v>1700129.2363780211</v>
      </c>
      <c r="M33" s="534" cm="1">
        <f t="array" ref="M33">IF(Currency="VND",SUMPRODUCT('W3'!$K$18:$AJ$1670*('W3'!$A$18:$A$1670='W5'!M$47)*('W3'!$K$14:$AJ$14='W5'!$B33)*('W3'!$D$18:$D$1670="LNST")),SUMPRODUCT('W3'!$K$18:$AJ$1670*('W3'!$A$18:$A$1670='W5'!M$47)*('W3'!$K$14:$AJ$14='W5'!$B33)*('W3'!$D$18:$D$1670="LNST"))*$AS$1/10^3)</f>
        <v>32612.408540231503</v>
      </c>
      <c r="N33" s="535">
        <f t="shared" si="7"/>
        <v>1254323.4053935192</v>
      </c>
      <c r="O33" s="533" cm="1">
        <f t="array" ref="O33">IF(Currency="VND",SUMPRODUCT('W3'!$K$18:$AJ$1670*('W3'!$A$18:$A$1670='W5'!O$47)*('W3'!$K$14:$AJ$14='W5'!$B33)*('W3'!$D$18:$D$1670="LNST")),SUMPRODUCT('W3'!$K$18:$AJ$1670*('W3'!$A$18:$A$1670='W5'!O$47)*('W3'!$K$14:$AJ$14='W5'!$B33)*('W3'!$D$18:$D$1670="LNST"))*$AS$1/10^3)</f>
        <v>26767.451163369929</v>
      </c>
      <c r="P33" s="533">
        <f t="shared" si="8"/>
        <v>1029517.3524373049</v>
      </c>
      <c r="Q33" s="534" cm="1">
        <f t="array" ref="Q33">IF(Currency="VND",SUMPRODUCT('W3'!$K$18:$AJ$1670*('W3'!$A$18:$A$1670='W5'!Q$47)*('W3'!$K$14:$AJ$14='W5'!$B33)*('W3'!$D$18:$D$1670="LNST")),SUMPRODUCT('W3'!$K$18:$AJ$1670*('W3'!$A$18:$A$1670='W5'!Q$47)*('W3'!$K$14:$AJ$14='W5'!$B33)*('W3'!$D$18:$D$1670="LNST"))*$AS$1/10^3)</f>
        <v>22140.059973613592</v>
      </c>
      <c r="R33" s="535">
        <f t="shared" si="9"/>
        <v>851540.76821590739</v>
      </c>
      <c r="S33" s="534" cm="1">
        <f t="array" ref="S33">IF(Currency="VND",SUMPRODUCT('W3'!$K$18:$AJ$1670*('W3'!$A$18:$A$1670='W5'!S$47)*('W3'!$K$14:$AJ$14='W5'!$B33)*('W3'!$D$18:$D$1670="LNST")),SUMPRODUCT('W3'!$K$18:$AJ$1670*('W3'!$A$18:$A$1670='W5'!S$47)*('W3'!$K$14:$AJ$14='W5'!$B33)*('W3'!$D$18:$D$1670="LNST"))*$AS$1/10^3)</f>
        <v>30796.818030085138</v>
      </c>
      <c r="T33" s="535">
        <f t="shared" si="10"/>
        <v>1184493.0011571206</v>
      </c>
      <c r="U33" s="534" cm="1">
        <f t="array" ref="U33">IF(Currency="VND",SUMPRODUCT('W3'!$K$18:$AJ$1670*('W3'!$A$18:$A$1670='W5'!U$47)*('W3'!$K$14:$AJ$14='W5'!$B33)*('W3'!$D$18:$D$1670="LNST")),SUMPRODUCT('W3'!$K$18:$AJ$1670*('W3'!$A$18:$A$1670='W5'!U$47)*('W3'!$K$14:$AJ$14='W5'!$B33)*('W3'!$D$18:$D$1670="LNST"))*$AS$1/10^3)</f>
        <v>63125.249259534059</v>
      </c>
      <c r="V33" s="535">
        <f t="shared" si="11"/>
        <v>2427894.2022897713</v>
      </c>
      <c r="W33" s="534" cm="1">
        <f t="array" ref="W33">IF(Currency="VND",SUMPRODUCT('W3'!$K$18:$AJ$1670*('W3'!$A$18:$A$1670='W5'!W$47)*('W3'!$K$14:$AJ$14='W5'!$B33)*('W3'!$D$18:$D$1670="LNST")),SUMPRODUCT('W3'!$K$18:$AJ$1670*('W3'!$A$18:$A$1670='W5'!W$47)*('W3'!$K$14:$AJ$14='W5'!$B33)*('W3'!$D$18:$D$1670="LNST"))*$AS$1/10^3)</f>
        <v>57280.291882672493</v>
      </c>
      <c r="X33" s="535">
        <f t="shared" si="12"/>
        <v>2203088.1493335571</v>
      </c>
    </row>
    <row r="34" spans="1:25" outlineLevel="1" x14ac:dyDescent="0.2">
      <c r="B34" s="530">
        <f t="shared" si="13"/>
        <v>16</v>
      </c>
      <c r="C34" s="531">
        <v>2041</v>
      </c>
      <c r="D34" s="532">
        <v>1</v>
      </c>
      <c r="E34" s="533" cm="1">
        <f t="array" ref="E34">IF(Currency="VND",SUMPRODUCT('W3'!$K$18:$AJ$1670*('W3'!$A$18:$A$1670='W5'!E$47)*('W3'!$K$14:$AJ$14='W5'!$B34)*('W3'!$D$18:$D$1670="LNST")),SUMPRODUCT('W3'!$K$18:$AJ$1670*('W3'!$A$18:$A$1670='W5'!E$47)*('W3'!$K$14:$AJ$14='W5'!$B34)*('W3'!$D$18:$D$1670="LNST"))*$AS$1/10^3)</f>
        <v>0</v>
      </c>
      <c r="F34" s="533">
        <f t="shared" si="3"/>
        <v>0</v>
      </c>
      <c r="G34" s="534" cm="1">
        <f t="array" ref="G34">IF(Currency="VND",SUMPRODUCT('W3'!$K$18:$AJ$1670*('W3'!$A$18:$A$1670='W5'!G$47)*('W3'!$K$14:$AJ$14='W5'!$B34)*('W3'!$D$18:$D$1670="LNST")),SUMPRODUCT('W3'!$K$18:$AJ$1670*('W3'!$A$18:$A$1670='W5'!G$47)*('W3'!$K$14:$AJ$14='W5'!$B34)*('W3'!$D$18:$D$1670="LNST"))*$AS$1/10^3)</f>
        <v>0</v>
      </c>
      <c r="H34" s="535">
        <f t="shared" si="4"/>
        <v>0</v>
      </c>
      <c r="I34" s="534" cm="1">
        <f t="array" ref="I34">IF(Currency="VND",SUMPRODUCT('W3'!$K$18:$AJ$1670*('W3'!$A$18:$A$1670='W5'!I$47)*('W3'!$K$14:$AJ$14='W5'!$B34)*('W3'!$D$18:$D$1670="LNST")),SUMPRODUCT('W3'!$K$18:$AJ$1670*('W3'!$A$18:$A$1670='W5'!I$47)*('W3'!$K$14:$AJ$14='W5'!$B34)*('W3'!$D$18:$D$1670="LNST"))*$AS$1/10^3)</f>
        <v>0</v>
      </c>
      <c r="J34" s="535">
        <f t="shared" si="5"/>
        <v>0</v>
      </c>
      <c r="K34" s="534" cm="1">
        <f t="array" ref="K34">IF(Currency="VND",SUMPRODUCT('W3'!$K$18:$AJ$1670*('W3'!$A$18:$A$1670='W5'!K$47)*('W3'!$K$14:$AJ$14='W5'!$B34)*('W3'!$D$18:$D$1670="LNST")),SUMPRODUCT('W3'!$K$18:$AJ$1670*('W3'!$A$18:$A$1670='W5'!K$47)*('W3'!$K$14:$AJ$14='W5'!$B34)*('W3'!$D$18:$D$1670="LNST"))*$AS$1/10^3)</f>
        <v>0</v>
      </c>
      <c r="L34" s="535">
        <f t="shared" si="6"/>
        <v>0</v>
      </c>
      <c r="M34" s="534" cm="1">
        <f t="array" ref="M34">IF(Currency="VND",SUMPRODUCT('W3'!$K$18:$AJ$1670*('W3'!$A$18:$A$1670='W5'!M$47)*('W3'!$K$14:$AJ$14='W5'!$B34)*('W3'!$D$18:$D$1670="LNST")),SUMPRODUCT('W3'!$K$18:$AJ$1670*('W3'!$A$18:$A$1670='W5'!M$47)*('W3'!$K$14:$AJ$14='W5'!$B34)*('W3'!$D$18:$D$1670="LNST"))*$AS$1/10^3)</f>
        <v>0</v>
      </c>
      <c r="N34" s="535">
        <f t="shared" si="7"/>
        <v>0</v>
      </c>
      <c r="O34" s="533" cm="1">
        <f t="array" ref="O34">IF(Currency="VND",SUMPRODUCT('W3'!$K$18:$AJ$1670*('W3'!$A$18:$A$1670='W5'!O$47)*('W3'!$K$14:$AJ$14='W5'!$B34)*('W3'!$D$18:$D$1670="LNST")),SUMPRODUCT('W3'!$K$18:$AJ$1670*('W3'!$A$18:$A$1670='W5'!O$47)*('W3'!$K$14:$AJ$14='W5'!$B34)*('W3'!$D$18:$D$1670="LNST"))*$AS$1/10^3)</f>
        <v>0</v>
      </c>
      <c r="P34" s="533">
        <f t="shared" si="8"/>
        <v>0</v>
      </c>
      <c r="Q34" s="534" cm="1">
        <f t="array" ref="Q34">IF(Currency="VND",SUMPRODUCT('W3'!$K$18:$AJ$1670*('W3'!$A$18:$A$1670='W5'!Q$47)*('W3'!$K$14:$AJ$14='W5'!$B34)*('W3'!$D$18:$D$1670="LNST")),SUMPRODUCT('W3'!$K$18:$AJ$1670*('W3'!$A$18:$A$1670='W5'!Q$47)*('W3'!$K$14:$AJ$14='W5'!$B34)*('W3'!$D$18:$D$1670="LNST"))*$AS$1/10^3)</f>
        <v>0</v>
      </c>
      <c r="R34" s="535">
        <f t="shared" si="9"/>
        <v>0</v>
      </c>
      <c r="S34" s="534" cm="1">
        <f t="array" ref="S34">IF(Currency="VND",SUMPRODUCT('W3'!$K$18:$AJ$1670*('W3'!$A$18:$A$1670='W5'!S$47)*('W3'!$K$14:$AJ$14='W5'!$B34)*('W3'!$D$18:$D$1670="LNST")),SUMPRODUCT('W3'!$K$18:$AJ$1670*('W3'!$A$18:$A$1670='W5'!S$47)*('W3'!$K$14:$AJ$14='W5'!$B34)*('W3'!$D$18:$D$1670="LNST"))*$AS$1/10^3)</f>
        <v>0</v>
      </c>
      <c r="T34" s="535">
        <f t="shared" si="10"/>
        <v>0</v>
      </c>
      <c r="U34" s="534" cm="1">
        <f t="array" ref="U34">IF(Currency="VND",SUMPRODUCT('W3'!$K$18:$AJ$1670*('W3'!$A$18:$A$1670='W5'!U$47)*('W3'!$K$14:$AJ$14='W5'!$B34)*('W3'!$D$18:$D$1670="LNST")),SUMPRODUCT('W3'!$K$18:$AJ$1670*('W3'!$A$18:$A$1670='W5'!U$47)*('W3'!$K$14:$AJ$14='W5'!$B34)*('W3'!$D$18:$D$1670="LNST"))*$AS$1/10^3)</f>
        <v>0</v>
      </c>
      <c r="V34" s="535">
        <f t="shared" si="11"/>
        <v>0</v>
      </c>
      <c r="W34" s="534" cm="1">
        <f t="array" ref="W34">IF(Currency="VND",SUMPRODUCT('W3'!$K$18:$AJ$1670*('W3'!$A$18:$A$1670='W5'!W$47)*('W3'!$K$14:$AJ$14='W5'!$B34)*('W3'!$D$18:$D$1670="LNST")),SUMPRODUCT('W3'!$K$18:$AJ$1670*('W3'!$A$18:$A$1670='W5'!W$47)*('W3'!$K$14:$AJ$14='W5'!$B34)*('W3'!$D$18:$D$1670="LNST"))*$AS$1/10^3)</f>
        <v>0</v>
      </c>
      <c r="X34" s="535">
        <f t="shared" si="12"/>
        <v>0</v>
      </c>
    </row>
    <row r="35" spans="1:25" outlineLevel="1" x14ac:dyDescent="0.2">
      <c r="B35" s="530">
        <f t="shared" si="13"/>
        <v>17</v>
      </c>
      <c r="C35" s="531">
        <v>2042</v>
      </c>
      <c r="D35" s="532">
        <v>1</v>
      </c>
      <c r="E35" s="533" cm="1">
        <f t="array" ref="E35">IF(Currency="VND",SUMPRODUCT('W3'!$K$18:$AJ$1670*('W3'!$A$18:$A$1670='W5'!E$47)*('W3'!$K$14:$AJ$14='W5'!$B35)*('W3'!$D$18:$D$1670="LNST")),SUMPRODUCT('W3'!$K$18:$AJ$1670*('W3'!$A$18:$A$1670='W5'!E$47)*('W3'!$K$14:$AJ$14='W5'!$B35)*('W3'!$D$18:$D$1670="LNST"))*$AS$1/10^3)</f>
        <v>0</v>
      </c>
      <c r="F35" s="533">
        <f t="shared" si="3"/>
        <v>0</v>
      </c>
      <c r="G35" s="534" cm="1">
        <f t="array" ref="G35">IF(Currency="VND",SUMPRODUCT('W3'!$K$18:$AJ$1670*('W3'!$A$18:$A$1670='W5'!G$47)*('W3'!$K$14:$AJ$14='W5'!$B35)*('W3'!$D$18:$D$1670="LNST")),SUMPRODUCT('W3'!$K$18:$AJ$1670*('W3'!$A$18:$A$1670='W5'!G$47)*('W3'!$K$14:$AJ$14='W5'!$B35)*('W3'!$D$18:$D$1670="LNST"))*$AS$1/10^3)</f>
        <v>0</v>
      </c>
      <c r="H35" s="535">
        <f t="shared" si="4"/>
        <v>0</v>
      </c>
      <c r="I35" s="534" cm="1">
        <f t="array" ref="I35">IF(Currency="VND",SUMPRODUCT('W3'!$K$18:$AJ$1670*('W3'!$A$18:$A$1670='W5'!I$47)*('W3'!$K$14:$AJ$14='W5'!$B35)*('W3'!$D$18:$D$1670="LNST")),SUMPRODUCT('W3'!$K$18:$AJ$1670*('W3'!$A$18:$A$1670='W5'!I$47)*('W3'!$K$14:$AJ$14='W5'!$B35)*('W3'!$D$18:$D$1670="LNST"))*$AS$1/10^3)</f>
        <v>0</v>
      </c>
      <c r="J35" s="535">
        <f t="shared" si="5"/>
        <v>0</v>
      </c>
      <c r="K35" s="534" cm="1">
        <f t="array" ref="K35">IF(Currency="VND",SUMPRODUCT('W3'!$K$18:$AJ$1670*('W3'!$A$18:$A$1670='W5'!K$47)*('W3'!$K$14:$AJ$14='W5'!$B35)*('W3'!$D$18:$D$1670="LNST")),SUMPRODUCT('W3'!$K$18:$AJ$1670*('W3'!$A$18:$A$1670='W5'!K$47)*('W3'!$K$14:$AJ$14='W5'!$B35)*('W3'!$D$18:$D$1670="LNST"))*$AS$1/10^3)</f>
        <v>0</v>
      </c>
      <c r="L35" s="535">
        <f t="shared" si="6"/>
        <v>0</v>
      </c>
      <c r="M35" s="534" cm="1">
        <f t="array" ref="M35">IF(Currency="VND",SUMPRODUCT('W3'!$K$18:$AJ$1670*('W3'!$A$18:$A$1670='W5'!M$47)*('W3'!$K$14:$AJ$14='W5'!$B35)*('W3'!$D$18:$D$1670="LNST")),SUMPRODUCT('W3'!$K$18:$AJ$1670*('W3'!$A$18:$A$1670='W5'!M$47)*('W3'!$K$14:$AJ$14='W5'!$B35)*('W3'!$D$18:$D$1670="LNST"))*$AS$1/10^3)</f>
        <v>0</v>
      </c>
      <c r="N35" s="535">
        <f t="shared" si="7"/>
        <v>0</v>
      </c>
      <c r="O35" s="533" cm="1">
        <f t="array" ref="O35">IF(Currency="VND",SUMPRODUCT('W3'!$K$18:$AJ$1670*('W3'!$A$18:$A$1670='W5'!O$47)*('W3'!$K$14:$AJ$14='W5'!$B35)*('W3'!$D$18:$D$1670="LNST")),SUMPRODUCT('W3'!$K$18:$AJ$1670*('W3'!$A$18:$A$1670='W5'!O$47)*('W3'!$K$14:$AJ$14='W5'!$B35)*('W3'!$D$18:$D$1670="LNST"))*$AS$1/10^3)</f>
        <v>0</v>
      </c>
      <c r="P35" s="533">
        <f t="shared" si="8"/>
        <v>0</v>
      </c>
      <c r="Q35" s="534" cm="1">
        <f t="array" ref="Q35">IF(Currency="VND",SUMPRODUCT('W3'!$K$18:$AJ$1670*('W3'!$A$18:$A$1670='W5'!Q$47)*('W3'!$K$14:$AJ$14='W5'!$B35)*('W3'!$D$18:$D$1670="LNST")),SUMPRODUCT('W3'!$K$18:$AJ$1670*('W3'!$A$18:$A$1670='W5'!Q$47)*('W3'!$K$14:$AJ$14='W5'!$B35)*('W3'!$D$18:$D$1670="LNST"))*$AS$1/10^3)</f>
        <v>0</v>
      </c>
      <c r="R35" s="535">
        <f t="shared" si="9"/>
        <v>0</v>
      </c>
      <c r="S35" s="534" cm="1">
        <f t="array" ref="S35">IF(Currency="VND",SUMPRODUCT('W3'!$K$18:$AJ$1670*('W3'!$A$18:$A$1670='W5'!S$47)*('W3'!$K$14:$AJ$14='W5'!$B35)*('W3'!$D$18:$D$1670="LNST")),SUMPRODUCT('W3'!$K$18:$AJ$1670*('W3'!$A$18:$A$1670='W5'!S$47)*('W3'!$K$14:$AJ$14='W5'!$B35)*('W3'!$D$18:$D$1670="LNST"))*$AS$1/10^3)</f>
        <v>0</v>
      </c>
      <c r="T35" s="535">
        <f t="shared" si="10"/>
        <v>0</v>
      </c>
      <c r="U35" s="534" cm="1">
        <f t="array" ref="U35">IF(Currency="VND",SUMPRODUCT('W3'!$K$18:$AJ$1670*('W3'!$A$18:$A$1670='W5'!U$47)*('W3'!$K$14:$AJ$14='W5'!$B35)*('W3'!$D$18:$D$1670="LNST")),SUMPRODUCT('W3'!$K$18:$AJ$1670*('W3'!$A$18:$A$1670='W5'!U$47)*('W3'!$K$14:$AJ$14='W5'!$B35)*('W3'!$D$18:$D$1670="LNST"))*$AS$1/10^3)</f>
        <v>0</v>
      </c>
      <c r="V35" s="535">
        <f t="shared" si="11"/>
        <v>0</v>
      </c>
      <c r="W35" s="534" cm="1">
        <f t="array" ref="W35">IF(Currency="VND",SUMPRODUCT('W3'!$K$18:$AJ$1670*('W3'!$A$18:$A$1670='W5'!W$47)*('W3'!$K$14:$AJ$14='W5'!$B35)*('W3'!$D$18:$D$1670="LNST")),SUMPRODUCT('W3'!$K$18:$AJ$1670*('W3'!$A$18:$A$1670='W5'!W$47)*('W3'!$K$14:$AJ$14='W5'!$B35)*('W3'!$D$18:$D$1670="LNST"))*$AS$1/10^3)</f>
        <v>0</v>
      </c>
      <c r="X35" s="535">
        <f t="shared" si="12"/>
        <v>0</v>
      </c>
    </row>
    <row r="36" spans="1:25" outlineLevel="1" x14ac:dyDescent="0.2">
      <c r="B36" s="530">
        <f t="shared" si="13"/>
        <v>18</v>
      </c>
      <c r="C36" s="531">
        <v>2043</v>
      </c>
      <c r="D36" s="532">
        <v>1</v>
      </c>
      <c r="E36" s="533" cm="1">
        <f t="array" ref="E36">IF(Currency="VND",SUMPRODUCT('W3'!$K$18:$AJ$1670*('W3'!$A$18:$A$1670='W5'!E$47)*('W3'!$K$14:$AJ$14='W5'!$B36)*('W3'!$D$18:$D$1670="LNST")),SUMPRODUCT('W3'!$K$18:$AJ$1670*('W3'!$A$18:$A$1670='W5'!E$47)*('W3'!$K$14:$AJ$14='W5'!$B36)*('W3'!$D$18:$D$1670="LNST"))*$AS$1/10^3)</f>
        <v>0</v>
      </c>
      <c r="F36" s="533">
        <f t="shared" si="3"/>
        <v>0</v>
      </c>
      <c r="G36" s="534" cm="1">
        <f t="array" ref="G36">IF(Currency="VND",SUMPRODUCT('W3'!$K$18:$AJ$1670*('W3'!$A$18:$A$1670='W5'!G$47)*('W3'!$K$14:$AJ$14='W5'!$B36)*('W3'!$D$18:$D$1670="LNST")),SUMPRODUCT('W3'!$K$18:$AJ$1670*('W3'!$A$18:$A$1670='W5'!G$47)*('W3'!$K$14:$AJ$14='W5'!$B36)*('W3'!$D$18:$D$1670="LNST"))*$AS$1/10^3)</f>
        <v>0</v>
      </c>
      <c r="H36" s="535">
        <f t="shared" si="4"/>
        <v>0</v>
      </c>
      <c r="I36" s="534" cm="1">
        <f t="array" ref="I36">IF(Currency="VND",SUMPRODUCT('W3'!$K$18:$AJ$1670*('W3'!$A$18:$A$1670='W5'!I$47)*('W3'!$K$14:$AJ$14='W5'!$B36)*('W3'!$D$18:$D$1670="LNST")),SUMPRODUCT('W3'!$K$18:$AJ$1670*('W3'!$A$18:$A$1670='W5'!I$47)*('W3'!$K$14:$AJ$14='W5'!$B36)*('W3'!$D$18:$D$1670="LNST"))*$AS$1/10^3)</f>
        <v>0</v>
      </c>
      <c r="J36" s="535">
        <f t="shared" si="5"/>
        <v>0</v>
      </c>
      <c r="K36" s="534" cm="1">
        <f t="array" ref="K36">IF(Currency="VND",SUMPRODUCT('W3'!$K$18:$AJ$1670*('W3'!$A$18:$A$1670='W5'!K$47)*('W3'!$K$14:$AJ$14='W5'!$B36)*('W3'!$D$18:$D$1670="LNST")),SUMPRODUCT('W3'!$K$18:$AJ$1670*('W3'!$A$18:$A$1670='W5'!K$47)*('W3'!$K$14:$AJ$14='W5'!$B36)*('W3'!$D$18:$D$1670="LNST"))*$AS$1/10^3)</f>
        <v>0</v>
      </c>
      <c r="L36" s="535">
        <f t="shared" si="6"/>
        <v>0</v>
      </c>
      <c r="M36" s="534" cm="1">
        <f t="array" ref="M36">IF(Currency="VND",SUMPRODUCT('W3'!$K$18:$AJ$1670*('W3'!$A$18:$A$1670='W5'!M$47)*('W3'!$K$14:$AJ$14='W5'!$B36)*('W3'!$D$18:$D$1670="LNST")),SUMPRODUCT('W3'!$K$18:$AJ$1670*('W3'!$A$18:$A$1670='W5'!M$47)*('W3'!$K$14:$AJ$14='W5'!$B36)*('W3'!$D$18:$D$1670="LNST"))*$AS$1/10^3)</f>
        <v>0</v>
      </c>
      <c r="N36" s="535">
        <f t="shared" si="7"/>
        <v>0</v>
      </c>
      <c r="O36" s="533" cm="1">
        <f t="array" ref="O36">IF(Currency="VND",SUMPRODUCT('W3'!$K$18:$AJ$1670*('W3'!$A$18:$A$1670='W5'!O$47)*('W3'!$K$14:$AJ$14='W5'!$B36)*('W3'!$D$18:$D$1670="LNST")),SUMPRODUCT('W3'!$K$18:$AJ$1670*('W3'!$A$18:$A$1670='W5'!O$47)*('W3'!$K$14:$AJ$14='W5'!$B36)*('W3'!$D$18:$D$1670="LNST"))*$AS$1/10^3)</f>
        <v>0</v>
      </c>
      <c r="P36" s="533">
        <f t="shared" si="8"/>
        <v>0</v>
      </c>
      <c r="Q36" s="534" cm="1">
        <f t="array" ref="Q36">IF(Currency="VND",SUMPRODUCT('W3'!$K$18:$AJ$1670*('W3'!$A$18:$A$1670='W5'!Q$47)*('W3'!$K$14:$AJ$14='W5'!$B36)*('W3'!$D$18:$D$1670="LNST")),SUMPRODUCT('W3'!$K$18:$AJ$1670*('W3'!$A$18:$A$1670='W5'!Q$47)*('W3'!$K$14:$AJ$14='W5'!$B36)*('W3'!$D$18:$D$1670="LNST"))*$AS$1/10^3)</f>
        <v>0</v>
      </c>
      <c r="R36" s="535">
        <f t="shared" si="9"/>
        <v>0</v>
      </c>
      <c r="S36" s="534" cm="1">
        <f t="array" ref="S36">IF(Currency="VND",SUMPRODUCT('W3'!$K$18:$AJ$1670*('W3'!$A$18:$A$1670='W5'!S$47)*('W3'!$K$14:$AJ$14='W5'!$B36)*('W3'!$D$18:$D$1670="LNST")),SUMPRODUCT('W3'!$K$18:$AJ$1670*('W3'!$A$18:$A$1670='W5'!S$47)*('W3'!$K$14:$AJ$14='W5'!$B36)*('W3'!$D$18:$D$1670="LNST"))*$AS$1/10^3)</f>
        <v>0</v>
      </c>
      <c r="T36" s="535">
        <f t="shared" si="10"/>
        <v>0</v>
      </c>
      <c r="U36" s="534" cm="1">
        <f t="array" ref="U36">IF(Currency="VND",SUMPRODUCT('W3'!$K$18:$AJ$1670*('W3'!$A$18:$A$1670='W5'!U$47)*('W3'!$K$14:$AJ$14='W5'!$B36)*('W3'!$D$18:$D$1670="LNST")),SUMPRODUCT('W3'!$K$18:$AJ$1670*('W3'!$A$18:$A$1670='W5'!U$47)*('W3'!$K$14:$AJ$14='W5'!$B36)*('W3'!$D$18:$D$1670="LNST"))*$AS$1/10^3)</f>
        <v>0</v>
      </c>
      <c r="V36" s="535">
        <f t="shared" si="11"/>
        <v>0</v>
      </c>
      <c r="W36" s="534" cm="1">
        <f t="array" ref="W36">IF(Currency="VND",SUMPRODUCT('W3'!$K$18:$AJ$1670*('W3'!$A$18:$A$1670='W5'!W$47)*('W3'!$K$14:$AJ$14='W5'!$B36)*('W3'!$D$18:$D$1670="LNST")),SUMPRODUCT('W3'!$K$18:$AJ$1670*('W3'!$A$18:$A$1670='W5'!W$47)*('W3'!$K$14:$AJ$14='W5'!$B36)*('W3'!$D$18:$D$1670="LNST"))*$AS$1/10^3)</f>
        <v>0</v>
      </c>
      <c r="X36" s="535">
        <f t="shared" si="12"/>
        <v>0</v>
      </c>
    </row>
    <row r="37" spans="1:25" outlineLevel="1" x14ac:dyDescent="0.2">
      <c r="B37" s="530">
        <f t="shared" si="13"/>
        <v>19</v>
      </c>
      <c r="C37" s="531">
        <v>2044</v>
      </c>
      <c r="D37" s="532">
        <v>1</v>
      </c>
      <c r="E37" s="533" cm="1">
        <f t="array" ref="E37">IF(Currency="VND",SUMPRODUCT('W3'!$K$18:$AJ$1670*('W3'!$A$18:$A$1670='W5'!E$47)*('W3'!$K$14:$AJ$14='W5'!$B37)*('W3'!$D$18:$D$1670="LNST")),SUMPRODUCT('W3'!$K$18:$AJ$1670*('W3'!$A$18:$A$1670='W5'!E$47)*('W3'!$K$14:$AJ$14='W5'!$B37)*('W3'!$D$18:$D$1670="LNST"))*$AS$1/10^3)</f>
        <v>0</v>
      </c>
      <c r="F37" s="533">
        <f t="shared" si="3"/>
        <v>0</v>
      </c>
      <c r="G37" s="534" cm="1">
        <f t="array" ref="G37">IF(Currency="VND",SUMPRODUCT('W3'!$K$18:$AJ$1670*('W3'!$A$18:$A$1670='W5'!G$47)*('W3'!$K$14:$AJ$14='W5'!$B37)*('W3'!$D$18:$D$1670="LNST")),SUMPRODUCT('W3'!$K$18:$AJ$1670*('W3'!$A$18:$A$1670='W5'!G$47)*('W3'!$K$14:$AJ$14='W5'!$B37)*('W3'!$D$18:$D$1670="LNST"))*$AS$1/10^3)</f>
        <v>0</v>
      </c>
      <c r="H37" s="535">
        <f t="shared" si="4"/>
        <v>0</v>
      </c>
      <c r="I37" s="534" cm="1">
        <f t="array" ref="I37">IF(Currency="VND",SUMPRODUCT('W3'!$K$18:$AJ$1670*('W3'!$A$18:$A$1670='W5'!I$47)*('W3'!$K$14:$AJ$14='W5'!$B37)*('W3'!$D$18:$D$1670="LNST")),SUMPRODUCT('W3'!$K$18:$AJ$1670*('W3'!$A$18:$A$1670='W5'!I$47)*('W3'!$K$14:$AJ$14='W5'!$B37)*('W3'!$D$18:$D$1670="LNST"))*$AS$1/10^3)</f>
        <v>0</v>
      </c>
      <c r="J37" s="535">
        <f t="shared" si="5"/>
        <v>0</v>
      </c>
      <c r="K37" s="534" cm="1">
        <f t="array" ref="K37">IF(Currency="VND",SUMPRODUCT('W3'!$K$18:$AJ$1670*('W3'!$A$18:$A$1670='W5'!K$47)*('W3'!$K$14:$AJ$14='W5'!$B37)*('W3'!$D$18:$D$1670="LNST")),SUMPRODUCT('W3'!$K$18:$AJ$1670*('W3'!$A$18:$A$1670='W5'!K$47)*('W3'!$K$14:$AJ$14='W5'!$B37)*('W3'!$D$18:$D$1670="LNST"))*$AS$1/10^3)</f>
        <v>0</v>
      </c>
      <c r="L37" s="535">
        <f t="shared" si="6"/>
        <v>0</v>
      </c>
      <c r="M37" s="534" cm="1">
        <f t="array" ref="M37">IF(Currency="VND",SUMPRODUCT('W3'!$K$18:$AJ$1670*('W3'!$A$18:$A$1670='W5'!M$47)*('W3'!$K$14:$AJ$14='W5'!$B37)*('W3'!$D$18:$D$1670="LNST")),SUMPRODUCT('W3'!$K$18:$AJ$1670*('W3'!$A$18:$A$1670='W5'!M$47)*('W3'!$K$14:$AJ$14='W5'!$B37)*('W3'!$D$18:$D$1670="LNST"))*$AS$1/10^3)</f>
        <v>0</v>
      </c>
      <c r="N37" s="535">
        <f t="shared" si="7"/>
        <v>0</v>
      </c>
      <c r="O37" s="533" cm="1">
        <f t="array" ref="O37">IF(Currency="VND",SUMPRODUCT('W3'!$K$18:$AJ$1670*('W3'!$A$18:$A$1670='W5'!O$47)*('W3'!$K$14:$AJ$14='W5'!$B37)*('W3'!$D$18:$D$1670="LNST")),SUMPRODUCT('W3'!$K$18:$AJ$1670*('W3'!$A$18:$A$1670='W5'!O$47)*('W3'!$K$14:$AJ$14='W5'!$B37)*('W3'!$D$18:$D$1670="LNST"))*$AS$1/10^3)</f>
        <v>0</v>
      </c>
      <c r="P37" s="533">
        <f t="shared" si="8"/>
        <v>0</v>
      </c>
      <c r="Q37" s="534" cm="1">
        <f t="array" ref="Q37">IF(Currency="VND",SUMPRODUCT('W3'!$K$18:$AJ$1670*('W3'!$A$18:$A$1670='W5'!Q$47)*('W3'!$K$14:$AJ$14='W5'!$B37)*('W3'!$D$18:$D$1670="LNST")),SUMPRODUCT('W3'!$K$18:$AJ$1670*('W3'!$A$18:$A$1670='W5'!Q$47)*('W3'!$K$14:$AJ$14='W5'!$B37)*('W3'!$D$18:$D$1670="LNST"))*$AS$1/10^3)</f>
        <v>0</v>
      </c>
      <c r="R37" s="535">
        <f t="shared" si="9"/>
        <v>0</v>
      </c>
      <c r="S37" s="534" cm="1">
        <f t="array" ref="S37">IF(Currency="VND",SUMPRODUCT('W3'!$K$18:$AJ$1670*('W3'!$A$18:$A$1670='W5'!S$47)*('W3'!$K$14:$AJ$14='W5'!$B37)*('W3'!$D$18:$D$1670="LNST")),SUMPRODUCT('W3'!$K$18:$AJ$1670*('W3'!$A$18:$A$1670='W5'!S$47)*('W3'!$K$14:$AJ$14='W5'!$B37)*('W3'!$D$18:$D$1670="LNST"))*$AS$1/10^3)</f>
        <v>0</v>
      </c>
      <c r="T37" s="535">
        <f t="shared" si="10"/>
        <v>0</v>
      </c>
      <c r="U37" s="534" cm="1">
        <f t="array" ref="U37">IF(Currency="VND",SUMPRODUCT('W3'!$K$18:$AJ$1670*('W3'!$A$18:$A$1670='W5'!U$47)*('W3'!$K$14:$AJ$14='W5'!$B37)*('W3'!$D$18:$D$1670="LNST")),SUMPRODUCT('W3'!$K$18:$AJ$1670*('W3'!$A$18:$A$1670='W5'!U$47)*('W3'!$K$14:$AJ$14='W5'!$B37)*('W3'!$D$18:$D$1670="LNST"))*$AS$1/10^3)</f>
        <v>0</v>
      </c>
      <c r="V37" s="535">
        <f t="shared" si="11"/>
        <v>0</v>
      </c>
      <c r="W37" s="534" cm="1">
        <f t="array" ref="W37">IF(Currency="VND",SUMPRODUCT('W3'!$K$18:$AJ$1670*('W3'!$A$18:$A$1670='W5'!W$47)*('W3'!$K$14:$AJ$14='W5'!$B37)*('W3'!$D$18:$D$1670="LNST")),SUMPRODUCT('W3'!$K$18:$AJ$1670*('W3'!$A$18:$A$1670='W5'!W$47)*('W3'!$K$14:$AJ$14='W5'!$B37)*('W3'!$D$18:$D$1670="LNST"))*$AS$1/10^3)</f>
        <v>0</v>
      </c>
      <c r="X37" s="535">
        <f t="shared" si="12"/>
        <v>0</v>
      </c>
    </row>
    <row r="38" spans="1:25" outlineLevel="1" x14ac:dyDescent="0.2">
      <c r="B38" s="530">
        <f t="shared" si="13"/>
        <v>20</v>
      </c>
      <c r="C38" s="531">
        <v>2045</v>
      </c>
      <c r="D38" s="532">
        <v>1</v>
      </c>
      <c r="E38" s="533" cm="1">
        <f t="array" ref="E38">IF(Currency="VND",SUMPRODUCT('W3'!$K$18:$AJ$1670*('W3'!$A$18:$A$1670='W5'!E$47)*('W3'!$K$14:$AJ$14='W5'!$B38)*('W3'!$D$18:$D$1670="LNST")),SUMPRODUCT('W3'!$K$18:$AJ$1670*('W3'!$A$18:$A$1670='W5'!E$47)*('W3'!$K$14:$AJ$14='W5'!$B38)*('W3'!$D$18:$D$1670="LNST"))*$AS$1/10^3)</f>
        <v>0</v>
      </c>
      <c r="F38" s="533">
        <f t="shared" si="3"/>
        <v>0</v>
      </c>
      <c r="G38" s="534" cm="1">
        <f t="array" ref="G38">IF(Currency="VND",SUMPRODUCT('W3'!$K$18:$AJ$1670*('W3'!$A$18:$A$1670='W5'!G$47)*('W3'!$K$14:$AJ$14='W5'!$B38)*('W3'!$D$18:$D$1670="LNST")),SUMPRODUCT('W3'!$K$18:$AJ$1670*('W3'!$A$18:$A$1670='W5'!G$47)*('W3'!$K$14:$AJ$14='W5'!$B38)*('W3'!$D$18:$D$1670="LNST"))*$AS$1/10^3)</f>
        <v>0</v>
      </c>
      <c r="H38" s="535">
        <f t="shared" si="4"/>
        <v>0</v>
      </c>
      <c r="I38" s="534" cm="1">
        <f t="array" ref="I38">IF(Currency="VND",SUMPRODUCT('W3'!$K$18:$AJ$1670*('W3'!$A$18:$A$1670='W5'!I$47)*('W3'!$K$14:$AJ$14='W5'!$B38)*('W3'!$D$18:$D$1670="LNST")),SUMPRODUCT('W3'!$K$18:$AJ$1670*('W3'!$A$18:$A$1670='W5'!I$47)*('W3'!$K$14:$AJ$14='W5'!$B38)*('W3'!$D$18:$D$1670="LNST"))*$AS$1/10^3)</f>
        <v>0</v>
      </c>
      <c r="J38" s="535">
        <f t="shared" si="5"/>
        <v>0</v>
      </c>
      <c r="K38" s="534" cm="1">
        <f t="array" ref="K38">IF(Currency="VND",SUMPRODUCT('W3'!$K$18:$AJ$1670*('W3'!$A$18:$A$1670='W5'!K$47)*('W3'!$K$14:$AJ$14='W5'!$B38)*('W3'!$D$18:$D$1670="LNST")),SUMPRODUCT('W3'!$K$18:$AJ$1670*('W3'!$A$18:$A$1670='W5'!K$47)*('W3'!$K$14:$AJ$14='W5'!$B38)*('W3'!$D$18:$D$1670="LNST"))*$AS$1/10^3)</f>
        <v>0</v>
      </c>
      <c r="L38" s="535">
        <f t="shared" si="6"/>
        <v>0</v>
      </c>
      <c r="M38" s="534" cm="1">
        <f t="array" ref="M38">IF(Currency="VND",SUMPRODUCT('W3'!$K$18:$AJ$1670*('W3'!$A$18:$A$1670='W5'!M$47)*('W3'!$K$14:$AJ$14='W5'!$B38)*('W3'!$D$18:$D$1670="LNST")),SUMPRODUCT('W3'!$K$18:$AJ$1670*('W3'!$A$18:$A$1670='W5'!M$47)*('W3'!$K$14:$AJ$14='W5'!$B38)*('W3'!$D$18:$D$1670="LNST"))*$AS$1/10^3)</f>
        <v>0</v>
      </c>
      <c r="N38" s="535">
        <f t="shared" si="7"/>
        <v>0</v>
      </c>
      <c r="O38" s="533" cm="1">
        <f t="array" ref="O38">IF(Currency="VND",SUMPRODUCT('W3'!$K$18:$AJ$1670*('W3'!$A$18:$A$1670='W5'!O$47)*('W3'!$K$14:$AJ$14='W5'!$B38)*('W3'!$D$18:$D$1670="LNST")),SUMPRODUCT('W3'!$K$18:$AJ$1670*('W3'!$A$18:$A$1670='W5'!O$47)*('W3'!$K$14:$AJ$14='W5'!$B38)*('W3'!$D$18:$D$1670="LNST"))*$AS$1/10^3)</f>
        <v>0</v>
      </c>
      <c r="P38" s="533">
        <f t="shared" si="8"/>
        <v>0</v>
      </c>
      <c r="Q38" s="534" cm="1">
        <f t="array" ref="Q38">IF(Currency="VND",SUMPRODUCT('W3'!$K$18:$AJ$1670*('W3'!$A$18:$A$1670='W5'!Q$47)*('W3'!$K$14:$AJ$14='W5'!$B38)*('W3'!$D$18:$D$1670="LNST")),SUMPRODUCT('W3'!$K$18:$AJ$1670*('W3'!$A$18:$A$1670='W5'!Q$47)*('W3'!$K$14:$AJ$14='W5'!$B38)*('W3'!$D$18:$D$1670="LNST"))*$AS$1/10^3)</f>
        <v>0</v>
      </c>
      <c r="R38" s="535">
        <f t="shared" si="9"/>
        <v>0</v>
      </c>
      <c r="S38" s="534" cm="1">
        <f t="array" ref="S38">IF(Currency="VND",SUMPRODUCT('W3'!$K$18:$AJ$1670*('W3'!$A$18:$A$1670='W5'!S$47)*('W3'!$K$14:$AJ$14='W5'!$B38)*('W3'!$D$18:$D$1670="LNST")),SUMPRODUCT('W3'!$K$18:$AJ$1670*('W3'!$A$18:$A$1670='W5'!S$47)*('W3'!$K$14:$AJ$14='W5'!$B38)*('W3'!$D$18:$D$1670="LNST"))*$AS$1/10^3)</f>
        <v>0</v>
      </c>
      <c r="T38" s="535">
        <f t="shared" si="10"/>
        <v>0</v>
      </c>
      <c r="U38" s="534" cm="1">
        <f t="array" ref="U38">IF(Currency="VND",SUMPRODUCT('W3'!$K$18:$AJ$1670*('W3'!$A$18:$A$1670='W5'!U$47)*('W3'!$K$14:$AJ$14='W5'!$B38)*('W3'!$D$18:$D$1670="LNST")),SUMPRODUCT('W3'!$K$18:$AJ$1670*('W3'!$A$18:$A$1670='W5'!U$47)*('W3'!$K$14:$AJ$14='W5'!$B38)*('W3'!$D$18:$D$1670="LNST"))*$AS$1/10^3)</f>
        <v>0</v>
      </c>
      <c r="V38" s="535">
        <f t="shared" si="11"/>
        <v>0</v>
      </c>
      <c r="W38" s="534" cm="1">
        <f t="array" ref="W38">IF(Currency="VND",SUMPRODUCT('W3'!$K$18:$AJ$1670*('W3'!$A$18:$A$1670='W5'!W$47)*('W3'!$K$14:$AJ$14='W5'!$B38)*('W3'!$D$18:$D$1670="LNST")),SUMPRODUCT('W3'!$K$18:$AJ$1670*('W3'!$A$18:$A$1670='W5'!W$47)*('W3'!$K$14:$AJ$14='W5'!$B38)*('W3'!$D$18:$D$1670="LNST"))*$AS$1/10^3)</f>
        <v>0</v>
      </c>
      <c r="X38" s="535">
        <f t="shared" si="12"/>
        <v>0</v>
      </c>
    </row>
    <row r="39" spans="1:25" outlineLevel="1" x14ac:dyDescent="0.2">
      <c r="B39" s="530">
        <f t="shared" si="13"/>
        <v>21</v>
      </c>
      <c r="C39" s="531">
        <v>2046</v>
      </c>
      <c r="D39" s="532">
        <v>1</v>
      </c>
      <c r="E39" s="533" cm="1">
        <f t="array" ref="E39">IF(Currency="VND",SUMPRODUCT('W3'!$K$18:$AJ$1670*('W3'!$A$18:$A$1670='W5'!E$47)*('W3'!$K$14:$AJ$14='W5'!$B39)*('W3'!$D$18:$D$1670="LNST")),SUMPRODUCT('W3'!$K$18:$AJ$1670*('W3'!$A$18:$A$1670='W5'!E$47)*('W3'!$K$14:$AJ$14='W5'!$B39)*('W3'!$D$18:$D$1670="LNST"))*$AS$1/10^3)</f>
        <v>0</v>
      </c>
      <c r="F39" s="533">
        <f t="shared" si="3"/>
        <v>0</v>
      </c>
      <c r="G39" s="534" cm="1">
        <f t="array" ref="G39">IF(Currency="VND",SUMPRODUCT('W3'!$K$18:$AJ$1670*('W3'!$A$18:$A$1670='W5'!G$47)*('W3'!$K$14:$AJ$14='W5'!$B39)*('W3'!$D$18:$D$1670="LNST")),SUMPRODUCT('W3'!$K$18:$AJ$1670*('W3'!$A$18:$A$1670='W5'!G$47)*('W3'!$K$14:$AJ$14='W5'!$B39)*('W3'!$D$18:$D$1670="LNST"))*$AS$1/10^3)</f>
        <v>0</v>
      </c>
      <c r="H39" s="535">
        <f t="shared" si="4"/>
        <v>0</v>
      </c>
      <c r="I39" s="534" cm="1">
        <f t="array" ref="I39">IF(Currency="VND",SUMPRODUCT('W3'!$K$18:$AJ$1670*('W3'!$A$18:$A$1670='W5'!I$47)*('W3'!$K$14:$AJ$14='W5'!$B39)*('W3'!$D$18:$D$1670="LNST")),SUMPRODUCT('W3'!$K$18:$AJ$1670*('W3'!$A$18:$A$1670='W5'!I$47)*('W3'!$K$14:$AJ$14='W5'!$B39)*('W3'!$D$18:$D$1670="LNST"))*$AS$1/10^3)</f>
        <v>0</v>
      </c>
      <c r="J39" s="535">
        <f t="shared" si="5"/>
        <v>0</v>
      </c>
      <c r="K39" s="534" cm="1">
        <f t="array" ref="K39">IF(Currency="VND",SUMPRODUCT('W3'!$K$18:$AJ$1670*('W3'!$A$18:$A$1670='W5'!K$47)*('W3'!$K$14:$AJ$14='W5'!$B39)*('W3'!$D$18:$D$1670="LNST")),SUMPRODUCT('W3'!$K$18:$AJ$1670*('W3'!$A$18:$A$1670='W5'!K$47)*('W3'!$K$14:$AJ$14='W5'!$B39)*('W3'!$D$18:$D$1670="LNST"))*$AS$1/10^3)</f>
        <v>0</v>
      </c>
      <c r="L39" s="535">
        <f t="shared" si="6"/>
        <v>0</v>
      </c>
      <c r="M39" s="534" cm="1">
        <f t="array" ref="M39">IF(Currency="VND",SUMPRODUCT('W3'!$K$18:$AJ$1670*('W3'!$A$18:$A$1670='W5'!M$47)*('W3'!$K$14:$AJ$14='W5'!$B39)*('W3'!$D$18:$D$1670="LNST")),SUMPRODUCT('W3'!$K$18:$AJ$1670*('W3'!$A$18:$A$1670='W5'!M$47)*('W3'!$K$14:$AJ$14='W5'!$B39)*('W3'!$D$18:$D$1670="LNST"))*$AS$1/10^3)</f>
        <v>0</v>
      </c>
      <c r="N39" s="535">
        <f t="shared" si="7"/>
        <v>0</v>
      </c>
      <c r="O39" s="533" cm="1">
        <f t="array" ref="O39">IF(Currency="VND",SUMPRODUCT('W3'!$K$18:$AJ$1670*('W3'!$A$18:$A$1670='W5'!O$47)*('W3'!$K$14:$AJ$14='W5'!$B39)*('W3'!$D$18:$D$1670="LNST")),SUMPRODUCT('W3'!$K$18:$AJ$1670*('W3'!$A$18:$A$1670='W5'!O$47)*('W3'!$K$14:$AJ$14='W5'!$B39)*('W3'!$D$18:$D$1670="LNST"))*$AS$1/10^3)</f>
        <v>0</v>
      </c>
      <c r="P39" s="533">
        <f t="shared" si="8"/>
        <v>0</v>
      </c>
      <c r="Q39" s="534" cm="1">
        <f t="array" ref="Q39">IF(Currency="VND",SUMPRODUCT('W3'!$K$18:$AJ$1670*('W3'!$A$18:$A$1670='W5'!Q$47)*('W3'!$K$14:$AJ$14='W5'!$B39)*('W3'!$D$18:$D$1670="LNST")),SUMPRODUCT('W3'!$K$18:$AJ$1670*('W3'!$A$18:$A$1670='W5'!Q$47)*('W3'!$K$14:$AJ$14='W5'!$B39)*('W3'!$D$18:$D$1670="LNST"))*$AS$1/10^3)</f>
        <v>0</v>
      </c>
      <c r="R39" s="535">
        <f t="shared" si="9"/>
        <v>0</v>
      </c>
      <c r="S39" s="534" cm="1">
        <f t="array" ref="S39">IF(Currency="VND",SUMPRODUCT('W3'!$K$18:$AJ$1670*('W3'!$A$18:$A$1670='W5'!S$47)*('W3'!$K$14:$AJ$14='W5'!$B39)*('W3'!$D$18:$D$1670="LNST")),SUMPRODUCT('W3'!$K$18:$AJ$1670*('W3'!$A$18:$A$1670='W5'!S$47)*('W3'!$K$14:$AJ$14='W5'!$B39)*('W3'!$D$18:$D$1670="LNST"))*$AS$1/10^3)</f>
        <v>0</v>
      </c>
      <c r="T39" s="535">
        <f t="shared" si="10"/>
        <v>0</v>
      </c>
      <c r="U39" s="534" cm="1">
        <f t="array" ref="U39">IF(Currency="VND",SUMPRODUCT('W3'!$K$18:$AJ$1670*('W3'!$A$18:$A$1670='W5'!U$47)*('W3'!$K$14:$AJ$14='W5'!$B39)*('W3'!$D$18:$D$1670="LNST")),SUMPRODUCT('W3'!$K$18:$AJ$1670*('W3'!$A$18:$A$1670='W5'!U$47)*('W3'!$K$14:$AJ$14='W5'!$B39)*('W3'!$D$18:$D$1670="LNST"))*$AS$1/10^3)</f>
        <v>0</v>
      </c>
      <c r="V39" s="535">
        <f t="shared" si="11"/>
        <v>0</v>
      </c>
      <c r="W39" s="534" cm="1">
        <f t="array" ref="W39">IF(Currency="VND",SUMPRODUCT('W3'!$K$18:$AJ$1670*('W3'!$A$18:$A$1670='W5'!W$47)*('W3'!$K$14:$AJ$14='W5'!$B39)*('W3'!$D$18:$D$1670="LNST")),SUMPRODUCT('W3'!$K$18:$AJ$1670*('W3'!$A$18:$A$1670='W5'!W$47)*('W3'!$K$14:$AJ$14='W5'!$B39)*('W3'!$D$18:$D$1670="LNST"))*$AS$1/10^3)</f>
        <v>0</v>
      </c>
      <c r="X39" s="535">
        <f t="shared" si="12"/>
        <v>0</v>
      </c>
    </row>
    <row r="40" spans="1:25" outlineLevel="1" x14ac:dyDescent="0.2">
      <c r="B40" s="530">
        <f t="shared" si="13"/>
        <v>22</v>
      </c>
      <c r="C40" s="531">
        <v>2047</v>
      </c>
      <c r="D40" s="532">
        <v>1</v>
      </c>
      <c r="E40" s="533" cm="1">
        <f t="array" ref="E40">IF(Currency="VND",SUMPRODUCT('W3'!$K$18:$AJ$1670*('W3'!$A$18:$A$1670='W5'!E$47)*('W3'!$K$14:$AJ$14='W5'!$B40)*('W3'!$D$18:$D$1670="LNST")),SUMPRODUCT('W3'!$K$18:$AJ$1670*('W3'!$A$18:$A$1670='W5'!E$47)*('W3'!$K$14:$AJ$14='W5'!$B40)*('W3'!$D$18:$D$1670="LNST"))*$AS$1/10^3)</f>
        <v>0</v>
      </c>
      <c r="F40" s="533">
        <f t="shared" si="3"/>
        <v>0</v>
      </c>
      <c r="G40" s="534" cm="1">
        <f t="array" ref="G40">IF(Currency="VND",SUMPRODUCT('W3'!$K$18:$AJ$1670*('W3'!$A$18:$A$1670='W5'!G$47)*('W3'!$K$14:$AJ$14='W5'!$B40)*('W3'!$D$18:$D$1670="LNST")),SUMPRODUCT('W3'!$K$18:$AJ$1670*('W3'!$A$18:$A$1670='W5'!G$47)*('W3'!$K$14:$AJ$14='W5'!$B40)*('W3'!$D$18:$D$1670="LNST"))*$AS$1/10^3)</f>
        <v>0</v>
      </c>
      <c r="H40" s="535">
        <f t="shared" si="4"/>
        <v>0</v>
      </c>
      <c r="I40" s="534" cm="1">
        <f t="array" ref="I40">IF(Currency="VND",SUMPRODUCT('W3'!$K$18:$AJ$1670*('W3'!$A$18:$A$1670='W5'!I$47)*('W3'!$K$14:$AJ$14='W5'!$B40)*('W3'!$D$18:$D$1670="LNST")),SUMPRODUCT('W3'!$K$18:$AJ$1670*('W3'!$A$18:$A$1670='W5'!I$47)*('W3'!$K$14:$AJ$14='W5'!$B40)*('W3'!$D$18:$D$1670="LNST"))*$AS$1/10^3)</f>
        <v>0</v>
      </c>
      <c r="J40" s="535">
        <f t="shared" si="5"/>
        <v>0</v>
      </c>
      <c r="K40" s="534" cm="1">
        <f t="array" ref="K40">IF(Currency="VND",SUMPRODUCT('W3'!$K$18:$AJ$1670*('W3'!$A$18:$A$1670='W5'!K$47)*('W3'!$K$14:$AJ$14='W5'!$B40)*('W3'!$D$18:$D$1670="LNST")),SUMPRODUCT('W3'!$K$18:$AJ$1670*('W3'!$A$18:$A$1670='W5'!K$47)*('W3'!$K$14:$AJ$14='W5'!$B40)*('W3'!$D$18:$D$1670="LNST"))*$AS$1/10^3)</f>
        <v>0</v>
      </c>
      <c r="L40" s="535">
        <f t="shared" si="6"/>
        <v>0</v>
      </c>
      <c r="M40" s="534" cm="1">
        <f t="array" ref="M40">IF(Currency="VND",SUMPRODUCT('W3'!$K$18:$AJ$1670*('W3'!$A$18:$A$1670='W5'!M$47)*('W3'!$K$14:$AJ$14='W5'!$B40)*('W3'!$D$18:$D$1670="LNST")),SUMPRODUCT('W3'!$K$18:$AJ$1670*('W3'!$A$18:$A$1670='W5'!M$47)*('W3'!$K$14:$AJ$14='W5'!$B40)*('W3'!$D$18:$D$1670="LNST"))*$AS$1/10^3)</f>
        <v>0</v>
      </c>
      <c r="N40" s="535">
        <f t="shared" si="7"/>
        <v>0</v>
      </c>
      <c r="O40" s="533" cm="1">
        <f t="array" ref="O40">IF(Currency="VND",SUMPRODUCT('W3'!$K$18:$AJ$1670*('W3'!$A$18:$A$1670='W5'!O$47)*('W3'!$K$14:$AJ$14='W5'!$B40)*('W3'!$D$18:$D$1670="LNST")),SUMPRODUCT('W3'!$K$18:$AJ$1670*('W3'!$A$18:$A$1670='W5'!O$47)*('W3'!$K$14:$AJ$14='W5'!$B40)*('W3'!$D$18:$D$1670="LNST"))*$AS$1/10^3)</f>
        <v>0</v>
      </c>
      <c r="P40" s="533">
        <f t="shared" si="8"/>
        <v>0</v>
      </c>
      <c r="Q40" s="534" cm="1">
        <f t="array" ref="Q40">IF(Currency="VND",SUMPRODUCT('W3'!$K$18:$AJ$1670*('W3'!$A$18:$A$1670='W5'!Q$47)*('W3'!$K$14:$AJ$14='W5'!$B40)*('W3'!$D$18:$D$1670="LNST")),SUMPRODUCT('W3'!$K$18:$AJ$1670*('W3'!$A$18:$A$1670='W5'!Q$47)*('W3'!$K$14:$AJ$14='W5'!$B40)*('W3'!$D$18:$D$1670="LNST"))*$AS$1/10^3)</f>
        <v>0</v>
      </c>
      <c r="R40" s="535">
        <f t="shared" si="9"/>
        <v>0</v>
      </c>
      <c r="S40" s="534" cm="1">
        <f t="array" ref="S40">IF(Currency="VND",SUMPRODUCT('W3'!$K$18:$AJ$1670*('W3'!$A$18:$A$1670='W5'!S$47)*('W3'!$K$14:$AJ$14='W5'!$B40)*('W3'!$D$18:$D$1670="LNST")),SUMPRODUCT('W3'!$K$18:$AJ$1670*('W3'!$A$18:$A$1670='W5'!S$47)*('W3'!$K$14:$AJ$14='W5'!$B40)*('W3'!$D$18:$D$1670="LNST"))*$AS$1/10^3)</f>
        <v>0</v>
      </c>
      <c r="T40" s="535">
        <f t="shared" si="10"/>
        <v>0</v>
      </c>
      <c r="U40" s="534" cm="1">
        <f t="array" ref="U40">IF(Currency="VND",SUMPRODUCT('W3'!$K$18:$AJ$1670*('W3'!$A$18:$A$1670='W5'!U$47)*('W3'!$K$14:$AJ$14='W5'!$B40)*('W3'!$D$18:$D$1670="LNST")),SUMPRODUCT('W3'!$K$18:$AJ$1670*('W3'!$A$18:$A$1670='W5'!U$47)*('W3'!$K$14:$AJ$14='W5'!$B40)*('W3'!$D$18:$D$1670="LNST"))*$AS$1/10^3)</f>
        <v>0</v>
      </c>
      <c r="V40" s="535">
        <f t="shared" si="11"/>
        <v>0</v>
      </c>
      <c r="W40" s="534" cm="1">
        <f t="array" ref="W40">IF(Currency="VND",SUMPRODUCT('W3'!$K$18:$AJ$1670*('W3'!$A$18:$A$1670='W5'!W$47)*('W3'!$K$14:$AJ$14='W5'!$B40)*('W3'!$D$18:$D$1670="LNST")),SUMPRODUCT('W3'!$K$18:$AJ$1670*('W3'!$A$18:$A$1670='W5'!W$47)*('W3'!$K$14:$AJ$14='W5'!$B40)*('W3'!$D$18:$D$1670="LNST"))*$AS$1/10^3)</f>
        <v>0</v>
      </c>
      <c r="X40" s="535">
        <f t="shared" si="12"/>
        <v>0</v>
      </c>
    </row>
    <row r="41" spans="1:25" outlineLevel="1" x14ac:dyDescent="0.2">
      <c r="B41" s="530">
        <f t="shared" si="13"/>
        <v>23</v>
      </c>
      <c r="C41" s="531">
        <v>2048</v>
      </c>
      <c r="D41" s="532">
        <v>1</v>
      </c>
      <c r="E41" s="533" cm="1">
        <f t="array" ref="E41">IF(Currency="VND",SUMPRODUCT('W3'!$K$18:$AJ$1670*('W3'!$A$18:$A$1670='W5'!E$47)*('W3'!$K$14:$AJ$14='W5'!$B41)*('W3'!$D$18:$D$1670="LNST")),SUMPRODUCT('W3'!$K$18:$AJ$1670*('W3'!$A$18:$A$1670='W5'!E$47)*('W3'!$K$14:$AJ$14='W5'!$B41)*('W3'!$D$18:$D$1670="LNST"))*$AS$1/10^3)</f>
        <v>0</v>
      </c>
      <c r="F41" s="533">
        <f t="shared" si="3"/>
        <v>0</v>
      </c>
      <c r="G41" s="534" cm="1">
        <f t="array" ref="G41">IF(Currency="VND",SUMPRODUCT('W3'!$K$18:$AJ$1670*('W3'!$A$18:$A$1670='W5'!G$47)*('W3'!$K$14:$AJ$14='W5'!$B41)*('W3'!$D$18:$D$1670="LNST")),SUMPRODUCT('W3'!$K$18:$AJ$1670*('W3'!$A$18:$A$1670='W5'!G$47)*('W3'!$K$14:$AJ$14='W5'!$B41)*('W3'!$D$18:$D$1670="LNST"))*$AS$1/10^3)</f>
        <v>0</v>
      </c>
      <c r="H41" s="535">
        <f t="shared" si="4"/>
        <v>0</v>
      </c>
      <c r="I41" s="534" cm="1">
        <f t="array" ref="I41">IF(Currency="VND",SUMPRODUCT('W3'!$K$18:$AJ$1670*('W3'!$A$18:$A$1670='W5'!I$47)*('W3'!$K$14:$AJ$14='W5'!$B41)*('W3'!$D$18:$D$1670="LNST")),SUMPRODUCT('W3'!$K$18:$AJ$1670*('W3'!$A$18:$A$1670='W5'!I$47)*('W3'!$K$14:$AJ$14='W5'!$B41)*('W3'!$D$18:$D$1670="LNST"))*$AS$1/10^3)</f>
        <v>0</v>
      </c>
      <c r="J41" s="535">
        <f t="shared" si="5"/>
        <v>0</v>
      </c>
      <c r="K41" s="534" cm="1">
        <f t="array" ref="K41">IF(Currency="VND",SUMPRODUCT('W3'!$K$18:$AJ$1670*('W3'!$A$18:$A$1670='W5'!K$47)*('W3'!$K$14:$AJ$14='W5'!$B41)*('W3'!$D$18:$D$1670="LNST")),SUMPRODUCT('W3'!$K$18:$AJ$1670*('W3'!$A$18:$A$1670='W5'!K$47)*('W3'!$K$14:$AJ$14='W5'!$B41)*('W3'!$D$18:$D$1670="LNST"))*$AS$1/10^3)</f>
        <v>0</v>
      </c>
      <c r="L41" s="535">
        <f t="shared" si="6"/>
        <v>0</v>
      </c>
      <c r="M41" s="534" cm="1">
        <f t="array" ref="M41">IF(Currency="VND",SUMPRODUCT('W3'!$K$18:$AJ$1670*('W3'!$A$18:$A$1670='W5'!M$47)*('W3'!$K$14:$AJ$14='W5'!$B41)*('W3'!$D$18:$D$1670="LNST")),SUMPRODUCT('W3'!$K$18:$AJ$1670*('W3'!$A$18:$A$1670='W5'!M$47)*('W3'!$K$14:$AJ$14='W5'!$B41)*('W3'!$D$18:$D$1670="LNST"))*$AS$1/10^3)</f>
        <v>0</v>
      </c>
      <c r="N41" s="535">
        <f t="shared" si="7"/>
        <v>0</v>
      </c>
      <c r="O41" s="533" cm="1">
        <f t="array" ref="O41">IF(Currency="VND",SUMPRODUCT('W3'!$K$18:$AJ$1670*('W3'!$A$18:$A$1670='W5'!O$47)*('W3'!$K$14:$AJ$14='W5'!$B41)*('W3'!$D$18:$D$1670="LNST")),SUMPRODUCT('W3'!$K$18:$AJ$1670*('W3'!$A$18:$A$1670='W5'!O$47)*('W3'!$K$14:$AJ$14='W5'!$B41)*('W3'!$D$18:$D$1670="LNST"))*$AS$1/10^3)</f>
        <v>0</v>
      </c>
      <c r="P41" s="533">
        <f t="shared" si="8"/>
        <v>0</v>
      </c>
      <c r="Q41" s="534" cm="1">
        <f t="array" ref="Q41">IF(Currency="VND",SUMPRODUCT('W3'!$K$18:$AJ$1670*('W3'!$A$18:$A$1670='W5'!Q$47)*('W3'!$K$14:$AJ$14='W5'!$B41)*('W3'!$D$18:$D$1670="LNST")),SUMPRODUCT('W3'!$K$18:$AJ$1670*('W3'!$A$18:$A$1670='W5'!Q$47)*('W3'!$K$14:$AJ$14='W5'!$B41)*('W3'!$D$18:$D$1670="LNST"))*$AS$1/10^3)</f>
        <v>0</v>
      </c>
      <c r="R41" s="535">
        <f t="shared" si="9"/>
        <v>0</v>
      </c>
      <c r="S41" s="534" cm="1">
        <f t="array" ref="S41">IF(Currency="VND",SUMPRODUCT('W3'!$K$18:$AJ$1670*('W3'!$A$18:$A$1670='W5'!S$47)*('W3'!$K$14:$AJ$14='W5'!$B41)*('W3'!$D$18:$D$1670="LNST")),SUMPRODUCT('W3'!$K$18:$AJ$1670*('W3'!$A$18:$A$1670='W5'!S$47)*('W3'!$K$14:$AJ$14='W5'!$B41)*('W3'!$D$18:$D$1670="LNST"))*$AS$1/10^3)</f>
        <v>0</v>
      </c>
      <c r="T41" s="535">
        <f t="shared" si="10"/>
        <v>0</v>
      </c>
      <c r="U41" s="534" cm="1">
        <f t="array" ref="U41">IF(Currency="VND",SUMPRODUCT('W3'!$K$18:$AJ$1670*('W3'!$A$18:$A$1670='W5'!U$47)*('W3'!$K$14:$AJ$14='W5'!$B41)*('W3'!$D$18:$D$1670="LNST")),SUMPRODUCT('W3'!$K$18:$AJ$1670*('W3'!$A$18:$A$1670='W5'!U$47)*('W3'!$K$14:$AJ$14='W5'!$B41)*('W3'!$D$18:$D$1670="LNST"))*$AS$1/10^3)</f>
        <v>0</v>
      </c>
      <c r="V41" s="535">
        <f t="shared" si="11"/>
        <v>0</v>
      </c>
      <c r="W41" s="534" cm="1">
        <f t="array" ref="W41">IF(Currency="VND",SUMPRODUCT('W3'!$K$18:$AJ$1670*('W3'!$A$18:$A$1670='W5'!W$47)*('W3'!$K$14:$AJ$14='W5'!$B41)*('W3'!$D$18:$D$1670="LNST")),SUMPRODUCT('W3'!$K$18:$AJ$1670*('W3'!$A$18:$A$1670='W5'!W$47)*('W3'!$K$14:$AJ$14='W5'!$B41)*('W3'!$D$18:$D$1670="LNST"))*$AS$1/10^3)</f>
        <v>0</v>
      </c>
      <c r="X41" s="535">
        <f t="shared" si="12"/>
        <v>0</v>
      </c>
    </row>
    <row r="42" spans="1:25" outlineLevel="1" x14ac:dyDescent="0.2">
      <c r="B42" s="530">
        <f t="shared" si="13"/>
        <v>24</v>
      </c>
      <c r="C42" s="531">
        <v>2049</v>
      </c>
      <c r="D42" s="532">
        <v>1</v>
      </c>
      <c r="E42" s="533" cm="1">
        <f t="array" ref="E42">IF(Currency="VND",SUMPRODUCT('W3'!$K$18:$AJ$1670*('W3'!$A$18:$A$1670='W5'!E$47)*('W3'!$K$14:$AJ$14='W5'!$B42)*('W3'!$D$18:$D$1670="LNST")),SUMPRODUCT('W3'!$K$18:$AJ$1670*('W3'!$A$18:$A$1670='W5'!E$47)*('W3'!$K$14:$AJ$14='W5'!$B42)*('W3'!$D$18:$D$1670="LNST"))*$AS$1/10^3)</f>
        <v>0</v>
      </c>
      <c r="F42" s="533">
        <f t="shared" si="3"/>
        <v>0</v>
      </c>
      <c r="G42" s="534" cm="1">
        <f t="array" ref="G42">IF(Currency="VND",SUMPRODUCT('W3'!$K$18:$AJ$1670*('W3'!$A$18:$A$1670='W5'!G$47)*('W3'!$K$14:$AJ$14='W5'!$B42)*('W3'!$D$18:$D$1670="LNST")),SUMPRODUCT('W3'!$K$18:$AJ$1670*('W3'!$A$18:$A$1670='W5'!G$47)*('W3'!$K$14:$AJ$14='W5'!$B42)*('W3'!$D$18:$D$1670="LNST"))*$AS$1/10^3)</f>
        <v>0</v>
      </c>
      <c r="H42" s="535">
        <f t="shared" si="4"/>
        <v>0</v>
      </c>
      <c r="I42" s="534" cm="1">
        <f t="array" ref="I42">IF(Currency="VND",SUMPRODUCT('W3'!$K$18:$AJ$1670*('W3'!$A$18:$A$1670='W5'!I$47)*('W3'!$K$14:$AJ$14='W5'!$B42)*('W3'!$D$18:$D$1670="LNST")),SUMPRODUCT('W3'!$K$18:$AJ$1670*('W3'!$A$18:$A$1670='W5'!I$47)*('W3'!$K$14:$AJ$14='W5'!$B42)*('W3'!$D$18:$D$1670="LNST"))*$AS$1/10^3)</f>
        <v>0</v>
      </c>
      <c r="J42" s="535">
        <f t="shared" si="5"/>
        <v>0</v>
      </c>
      <c r="K42" s="534" cm="1">
        <f t="array" ref="K42">IF(Currency="VND",SUMPRODUCT('W3'!$K$18:$AJ$1670*('W3'!$A$18:$A$1670='W5'!K$47)*('W3'!$K$14:$AJ$14='W5'!$B42)*('W3'!$D$18:$D$1670="LNST")),SUMPRODUCT('W3'!$K$18:$AJ$1670*('W3'!$A$18:$A$1670='W5'!K$47)*('W3'!$K$14:$AJ$14='W5'!$B42)*('W3'!$D$18:$D$1670="LNST"))*$AS$1/10^3)</f>
        <v>0</v>
      </c>
      <c r="L42" s="535">
        <f t="shared" si="6"/>
        <v>0</v>
      </c>
      <c r="M42" s="534" cm="1">
        <f t="array" ref="M42">IF(Currency="VND",SUMPRODUCT('W3'!$K$18:$AJ$1670*('W3'!$A$18:$A$1670='W5'!M$47)*('W3'!$K$14:$AJ$14='W5'!$B42)*('W3'!$D$18:$D$1670="LNST")),SUMPRODUCT('W3'!$K$18:$AJ$1670*('W3'!$A$18:$A$1670='W5'!M$47)*('W3'!$K$14:$AJ$14='W5'!$B42)*('W3'!$D$18:$D$1670="LNST"))*$AS$1/10^3)</f>
        <v>0</v>
      </c>
      <c r="N42" s="535">
        <f t="shared" si="7"/>
        <v>0</v>
      </c>
      <c r="O42" s="533" cm="1">
        <f t="array" ref="O42">IF(Currency="VND",SUMPRODUCT('W3'!$K$18:$AJ$1670*('W3'!$A$18:$A$1670='W5'!O$47)*('W3'!$K$14:$AJ$14='W5'!$B42)*('W3'!$D$18:$D$1670="LNST")),SUMPRODUCT('W3'!$K$18:$AJ$1670*('W3'!$A$18:$A$1670='W5'!O$47)*('W3'!$K$14:$AJ$14='W5'!$B42)*('W3'!$D$18:$D$1670="LNST"))*$AS$1/10^3)</f>
        <v>0</v>
      </c>
      <c r="P42" s="533">
        <f t="shared" si="8"/>
        <v>0</v>
      </c>
      <c r="Q42" s="534" cm="1">
        <f t="array" ref="Q42">IF(Currency="VND",SUMPRODUCT('W3'!$K$18:$AJ$1670*('W3'!$A$18:$A$1670='W5'!Q$47)*('W3'!$K$14:$AJ$14='W5'!$B42)*('W3'!$D$18:$D$1670="LNST")),SUMPRODUCT('W3'!$K$18:$AJ$1670*('W3'!$A$18:$A$1670='W5'!Q$47)*('W3'!$K$14:$AJ$14='W5'!$B42)*('W3'!$D$18:$D$1670="LNST"))*$AS$1/10^3)</f>
        <v>0</v>
      </c>
      <c r="R42" s="535">
        <f t="shared" si="9"/>
        <v>0</v>
      </c>
      <c r="S42" s="534" cm="1">
        <f t="array" ref="S42">IF(Currency="VND",SUMPRODUCT('W3'!$K$18:$AJ$1670*('W3'!$A$18:$A$1670='W5'!S$47)*('W3'!$K$14:$AJ$14='W5'!$B42)*('W3'!$D$18:$D$1670="LNST")),SUMPRODUCT('W3'!$K$18:$AJ$1670*('W3'!$A$18:$A$1670='W5'!S$47)*('W3'!$K$14:$AJ$14='W5'!$B42)*('W3'!$D$18:$D$1670="LNST"))*$AS$1/10^3)</f>
        <v>0</v>
      </c>
      <c r="T42" s="535">
        <f t="shared" si="10"/>
        <v>0</v>
      </c>
      <c r="U42" s="534" cm="1">
        <f t="array" ref="U42">IF(Currency="VND",SUMPRODUCT('W3'!$K$18:$AJ$1670*('W3'!$A$18:$A$1670='W5'!U$47)*('W3'!$K$14:$AJ$14='W5'!$B42)*('W3'!$D$18:$D$1670="LNST")),SUMPRODUCT('W3'!$K$18:$AJ$1670*('W3'!$A$18:$A$1670='W5'!U$47)*('W3'!$K$14:$AJ$14='W5'!$B42)*('W3'!$D$18:$D$1670="LNST"))*$AS$1/10^3)</f>
        <v>0</v>
      </c>
      <c r="V42" s="535">
        <f t="shared" si="11"/>
        <v>0</v>
      </c>
      <c r="W42" s="534" cm="1">
        <f t="array" ref="W42">IF(Currency="VND",SUMPRODUCT('W3'!$K$18:$AJ$1670*('W3'!$A$18:$A$1670='W5'!W$47)*('W3'!$K$14:$AJ$14='W5'!$B42)*('W3'!$D$18:$D$1670="LNST")),SUMPRODUCT('W3'!$K$18:$AJ$1670*('W3'!$A$18:$A$1670='W5'!W$47)*('W3'!$K$14:$AJ$14='W5'!$B42)*('W3'!$D$18:$D$1670="LNST"))*$AS$1/10^3)</f>
        <v>0</v>
      </c>
      <c r="X42" s="535">
        <f t="shared" si="12"/>
        <v>0</v>
      </c>
    </row>
    <row r="43" spans="1:25" outlineLevel="1" x14ac:dyDescent="0.2">
      <c r="B43" s="530">
        <f t="shared" si="13"/>
        <v>25</v>
      </c>
      <c r="C43" s="531">
        <v>2050</v>
      </c>
      <c r="D43" s="532">
        <v>1</v>
      </c>
      <c r="E43" s="533" cm="1">
        <f t="array" ref="E43">IF(Currency="VND",SUMPRODUCT('W3'!$K$18:$AJ$1670*('W3'!$A$18:$A$1670='W5'!E$47)*('W3'!$K$14:$AJ$14='W5'!$B43)*('W3'!$D$18:$D$1670="LNST")),SUMPRODUCT('W3'!$K$18:$AJ$1670*('W3'!$A$18:$A$1670='W5'!E$47)*('W3'!$K$14:$AJ$14='W5'!$B43)*('W3'!$D$18:$D$1670="LNST"))*$AS$1/10^3)</f>
        <v>0</v>
      </c>
      <c r="F43" s="533">
        <f t="shared" si="3"/>
        <v>0</v>
      </c>
      <c r="G43" s="534" cm="1">
        <f t="array" ref="G43">IF(Currency="VND",SUMPRODUCT('W3'!$K$18:$AJ$1670*('W3'!$A$18:$A$1670='W5'!G$47)*('W3'!$K$14:$AJ$14='W5'!$B43)*('W3'!$D$18:$D$1670="LNST")),SUMPRODUCT('W3'!$K$18:$AJ$1670*('W3'!$A$18:$A$1670='W5'!G$47)*('W3'!$K$14:$AJ$14='W5'!$B43)*('W3'!$D$18:$D$1670="LNST"))*$AS$1/10^3)</f>
        <v>0</v>
      </c>
      <c r="H43" s="535">
        <f t="shared" si="4"/>
        <v>0</v>
      </c>
      <c r="I43" s="534" cm="1">
        <f t="array" ref="I43">IF(Currency="VND",SUMPRODUCT('W3'!$K$18:$AJ$1670*('W3'!$A$18:$A$1670='W5'!I$47)*('W3'!$K$14:$AJ$14='W5'!$B43)*('W3'!$D$18:$D$1670="LNST")),SUMPRODUCT('W3'!$K$18:$AJ$1670*('W3'!$A$18:$A$1670='W5'!I$47)*('W3'!$K$14:$AJ$14='W5'!$B43)*('W3'!$D$18:$D$1670="LNST"))*$AS$1/10^3)</f>
        <v>0</v>
      </c>
      <c r="J43" s="535">
        <f t="shared" si="5"/>
        <v>0</v>
      </c>
      <c r="K43" s="534" cm="1">
        <f t="array" ref="K43">IF(Currency="VND",SUMPRODUCT('W3'!$K$18:$AJ$1670*('W3'!$A$18:$A$1670='W5'!K$47)*('W3'!$K$14:$AJ$14='W5'!$B43)*('W3'!$D$18:$D$1670="LNST")),SUMPRODUCT('W3'!$K$18:$AJ$1670*('W3'!$A$18:$A$1670='W5'!K$47)*('W3'!$K$14:$AJ$14='W5'!$B43)*('W3'!$D$18:$D$1670="LNST"))*$AS$1/10^3)</f>
        <v>0</v>
      </c>
      <c r="L43" s="535">
        <f t="shared" si="6"/>
        <v>0</v>
      </c>
      <c r="M43" s="534" cm="1">
        <f t="array" ref="M43">IF(Currency="VND",SUMPRODUCT('W3'!$K$18:$AJ$1670*('W3'!$A$18:$A$1670='W5'!M$47)*('W3'!$K$14:$AJ$14='W5'!$B43)*('W3'!$D$18:$D$1670="LNST")),SUMPRODUCT('W3'!$K$18:$AJ$1670*('W3'!$A$18:$A$1670='W5'!M$47)*('W3'!$K$14:$AJ$14='W5'!$B43)*('W3'!$D$18:$D$1670="LNST"))*$AS$1/10^3)</f>
        <v>0</v>
      </c>
      <c r="N43" s="535">
        <f t="shared" si="7"/>
        <v>0</v>
      </c>
      <c r="O43" s="533" cm="1">
        <f t="array" ref="O43">IF(Currency="VND",SUMPRODUCT('W3'!$K$18:$AJ$1670*('W3'!$A$18:$A$1670='W5'!O$47)*('W3'!$K$14:$AJ$14='W5'!$B43)*('W3'!$D$18:$D$1670="LNST")),SUMPRODUCT('W3'!$K$18:$AJ$1670*('W3'!$A$18:$A$1670='W5'!O$47)*('W3'!$K$14:$AJ$14='W5'!$B43)*('W3'!$D$18:$D$1670="LNST"))*$AS$1/10^3)</f>
        <v>0</v>
      </c>
      <c r="P43" s="533">
        <f t="shared" si="8"/>
        <v>0</v>
      </c>
      <c r="Q43" s="534" cm="1">
        <f t="array" ref="Q43">IF(Currency="VND",SUMPRODUCT('W3'!$K$18:$AJ$1670*('W3'!$A$18:$A$1670='W5'!Q$47)*('W3'!$K$14:$AJ$14='W5'!$B43)*('W3'!$D$18:$D$1670="LNST")),SUMPRODUCT('W3'!$K$18:$AJ$1670*('W3'!$A$18:$A$1670='W5'!Q$47)*('W3'!$K$14:$AJ$14='W5'!$B43)*('W3'!$D$18:$D$1670="LNST"))*$AS$1/10^3)</f>
        <v>0</v>
      </c>
      <c r="R43" s="535">
        <f t="shared" si="9"/>
        <v>0</v>
      </c>
      <c r="S43" s="534" cm="1">
        <f t="array" ref="S43">IF(Currency="VND",SUMPRODUCT('W3'!$K$18:$AJ$1670*('W3'!$A$18:$A$1670='W5'!S$47)*('W3'!$K$14:$AJ$14='W5'!$B43)*('W3'!$D$18:$D$1670="LNST")),SUMPRODUCT('W3'!$K$18:$AJ$1670*('W3'!$A$18:$A$1670='W5'!S$47)*('W3'!$K$14:$AJ$14='W5'!$B43)*('W3'!$D$18:$D$1670="LNST"))*$AS$1/10^3)</f>
        <v>0</v>
      </c>
      <c r="T43" s="535">
        <f t="shared" si="10"/>
        <v>0</v>
      </c>
      <c r="U43" s="534" cm="1">
        <f t="array" ref="U43">IF(Currency="VND",SUMPRODUCT('W3'!$K$18:$AJ$1670*('W3'!$A$18:$A$1670='W5'!U$47)*('W3'!$K$14:$AJ$14='W5'!$B43)*('W3'!$D$18:$D$1670="LNST")),SUMPRODUCT('W3'!$K$18:$AJ$1670*('W3'!$A$18:$A$1670='W5'!U$47)*('W3'!$K$14:$AJ$14='W5'!$B43)*('W3'!$D$18:$D$1670="LNST"))*$AS$1/10^3)</f>
        <v>0</v>
      </c>
      <c r="V43" s="535">
        <f t="shared" si="11"/>
        <v>0</v>
      </c>
      <c r="W43" s="534" cm="1">
        <f t="array" ref="W43">IF(Currency="VND",SUMPRODUCT('W3'!$K$18:$AJ$1670*('W3'!$A$18:$A$1670='W5'!W$47)*('W3'!$K$14:$AJ$14='W5'!$B43)*('W3'!$D$18:$D$1670="LNST")),SUMPRODUCT('W3'!$K$18:$AJ$1670*('W3'!$A$18:$A$1670='W5'!W$47)*('W3'!$K$14:$AJ$14='W5'!$B43)*('W3'!$D$18:$D$1670="LNST"))*$AS$1/10^3)</f>
        <v>0</v>
      </c>
      <c r="X43" s="535">
        <f t="shared" si="12"/>
        <v>0</v>
      </c>
    </row>
    <row r="45" spans="1:25" ht="23.25" customHeight="1" x14ac:dyDescent="0.2">
      <c r="A45" s="775" t="s">
        <v>338</v>
      </c>
      <c r="B45" s="775" t="s">
        <v>765</v>
      </c>
    </row>
    <row r="46" spans="1:25" ht="3.75" customHeight="1" x14ac:dyDescent="0.2">
      <c r="B46" s="775"/>
      <c r="E46" s="123"/>
      <c r="G46" s="123"/>
      <c r="O46" s="123"/>
    </row>
    <row r="47" spans="1:25" ht="15" customHeight="1" thickBot="1" x14ac:dyDescent="0.25">
      <c r="E47" s="772" t="s">
        <v>404</v>
      </c>
      <c r="G47" s="772" t="s">
        <v>405</v>
      </c>
      <c r="I47" s="772" t="s">
        <v>407</v>
      </c>
      <c r="K47" s="772" t="s">
        <v>692</v>
      </c>
      <c r="M47" s="772" t="s">
        <v>693</v>
      </c>
      <c r="O47" s="772" t="s">
        <v>694</v>
      </c>
      <c r="Q47" s="772" t="s">
        <v>855</v>
      </c>
      <c r="S47" s="772" t="s">
        <v>856</v>
      </c>
      <c r="U47" s="772" t="s">
        <v>857</v>
      </c>
      <c r="W47" s="772" t="s">
        <v>858</v>
      </c>
    </row>
    <row r="48" spans="1:25" ht="30.75" customHeight="1" thickTop="1" x14ac:dyDescent="0.2">
      <c r="B48" s="106" t="s">
        <v>168</v>
      </c>
      <c r="C48" s="106" t="s">
        <v>297</v>
      </c>
      <c r="D48" s="427" t="s">
        <v>169</v>
      </c>
      <c r="E48" s="424" t="s">
        <v>323</v>
      </c>
      <c r="F48" s="435" t="s">
        <v>298</v>
      </c>
      <c r="G48" s="421" t="s">
        <v>323</v>
      </c>
      <c r="H48" s="708" t="s">
        <v>298</v>
      </c>
      <c r="I48" s="703" t="s">
        <v>323</v>
      </c>
      <c r="J48" s="776" t="s">
        <v>298</v>
      </c>
      <c r="K48" s="421" t="s">
        <v>323</v>
      </c>
      <c r="L48" s="708" t="s">
        <v>298</v>
      </c>
      <c r="M48" s="703" t="s">
        <v>323</v>
      </c>
      <c r="N48" s="776" t="s">
        <v>298</v>
      </c>
      <c r="O48" s="107" t="s">
        <v>323</v>
      </c>
      <c r="P48" s="107" t="s">
        <v>298</v>
      </c>
      <c r="Q48" s="703" t="s">
        <v>323</v>
      </c>
      <c r="R48" s="776" t="s">
        <v>298</v>
      </c>
      <c r="S48" s="703" t="s">
        <v>323</v>
      </c>
      <c r="T48" s="776" t="s">
        <v>298</v>
      </c>
      <c r="U48" s="703" t="s">
        <v>323</v>
      </c>
      <c r="V48" s="776" t="s">
        <v>298</v>
      </c>
      <c r="W48" s="703" t="s">
        <v>323</v>
      </c>
      <c r="X48" s="107" t="s">
        <v>298</v>
      </c>
      <c r="Y48" s="107" t="s">
        <v>299</v>
      </c>
    </row>
    <row r="49" spans="2:35" ht="15" customHeight="1" x14ac:dyDescent="0.2">
      <c r="B49" s="108" t="s">
        <v>170</v>
      </c>
      <c r="C49" s="777" t="s">
        <v>536</v>
      </c>
      <c r="D49" s="428" t="s">
        <v>300</v>
      </c>
      <c r="E49" s="778">
        <f>+SUM(E50:E50)</f>
        <v>381.88799999999998</v>
      </c>
      <c r="F49" s="779">
        <f>IFERROR(E49/E$64,0)</f>
        <v>0.56159999999999999</v>
      </c>
      <c r="G49" s="780">
        <f>+SUM(G50:G50)</f>
        <v>381.88799999999998</v>
      </c>
      <c r="H49" s="781">
        <f>IFERROR(G49/G$64,0)</f>
        <v>0.56159999999999999</v>
      </c>
      <c r="I49" s="782">
        <f>+SUM(I50:I50)</f>
        <v>381.88799999999998</v>
      </c>
      <c r="J49" s="783">
        <f>IFERROR(I49/I$64,0)</f>
        <v>0.58751999999999993</v>
      </c>
      <c r="K49" s="780">
        <f>+SUM(K50:K50)</f>
        <v>381.88799999999998</v>
      </c>
      <c r="L49" s="781">
        <f>IFERROR(K49/K$64,0)</f>
        <v>0.58751999999999993</v>
      </c>
      <c r="M49" s="782">
        <f>+SUM(M50:M50)</f>
        <v>381.88799999999998</v>
      </c>
      <c r="N49" s="783">
        <f>IFERROR(M49/M$64,0)</f>
        <v>0.62604590163934426</v>
      </c>
      <c r="O49" s="784">
        <f>+SUM(O50:O50)</f>
        <v>381.88799999999998</v>
      </c>
      <c r="P49" s="785">
        <f>IFERROR(O49/O$64,0)</f>
        <v>0.62604590163934426</v>
      </c>
      <c r="Q49" s="782">
        <f>+SUM(Q50:Q50)</f>
        <v>381.88799999999998</v>
      </c>
      <c r="R49" s="783">
        <f>IFERROR(Q49/Q$64,0)</f>
        <v>0.65171356979789763</v>
      </c>
      <c r="S49" s="782">
        <f>+SUM(S50:S50)</f>
        <v>381.88799999999998</v>
      </c>
      <c r="T49" s="783">
        <f>IFERROR(S49/S$64,0)</f>
        <v>0.61670052747977333</v>
      </c>
      <c r="U49" s="782">
        <f>+SUM(U50:U50)</f>
        <v>381.88799999999998</v>
      </c>
      <c r="V49" s="783">
        <f>IFERROR(U49/U$64,0)</f>
        <v>0.56159999999999999</v>
      </c>
      <c r="W49" s="782">
        <f>+SUM(W50:W50)</f>
        <v>381.88799999999998</v>
      </c>
      <c r="X49" s="785">
        <f>IFERROR(W49/W$64,0)</f>
        <v>0.56159999999999999</v>
      </c>
      <c r="Y49" s="109"/>
    </row>
    <row r="50" spans="2:35" ht="15" customHeight="1" x14ac:dyDescent="0.2">
      <c r="B50" s="110"/>
      <c r="C50" s="332" t="s">
        <v>536</v>
      </c>
      <c r="D50" s="420" t="s">
        <v>167</v>
      </c>
      <c r="E50" s="786" cm="1">
        <f t="array" ref="E50">SUMPRODUCT('W3'!$K$18:$AJ$1670*('W3'!$A$18:$A$1670='W5'!E$47)*('W3'!$E$18:$E$1670='W5'!$C50)*('W3'!$K$14:$AJ$14='W5'!$Y$1))*$AS$1</f>
        <v>381.88799999999998</v>
      </c>
      <c r="F50" s="787">
        <f t="shared" ref="F50:H64" si="14">IFERROR(E50/E$64,0)</f>
        <v>0.56159999999999999</v>
      </c>
      <c r="G50" s="788" cm="1">
        <f t="array" ref="G50">SUMPRODUCT('W3'!$K$18:$AJ$1670*('W3'!$A$18:$A$1670='W5'!G$47)*('W3'!$E$18:$E$1670='W5'!$C50)*('W3'!$K$14:$AJ$14='W5'!$Y$1))*$AS$1</f>
        <v>381.88799999999998</v>
      </c>
      <c r="H50" s="789">
        <f t="shared" si="14"/>
        <v>0.56159999999999999</v>
      </c>
      <c r="I50" s="790" cm="1">
        <f t="array" ref="I50">SUMPRODUCT('W3'!$K$18:$AJ$1670*('W3'!$A$18:$A$1670='W5'!I$47)*('W3'!$E$18:$E$1670='W5'!$C50)*('W3'!$K$14:$AJ$14='W5'!$Y$1))*$AS$1</f>
        <v>381.88799999999998</v>
      </c>
      <c r="J50" s="791">
        <f t="shared" ref="J50:J64" si="15">IFERROR(I50/I$64,0)</f>
        <v>0.58751999999999993</v>
      </c>
      <c r="K50" s="788" cm="1">
        <f t="array" ref="K50">SUMPRODUCT('W3'!$K$18:$AJ$1670*('W3'!$A$18:$A$1670='W5'!K$47)*('W3'!$E$18:$E$1670='W5'!$C50)*('W3'!$K$14:$AJ$14='W5'!$Y$1))*$AS$1</f>
        <v>381.88799999999998</v>
      </c>
      <c r="L50" s="789">
        <f t="shared" ref="L50:L64" si="16">IFERROR(K50/K$64,0)</f>
        <v>0.58751999999999993</v>
      </c>
      <c r="M50" s="790" cm="1">
        <f t="array" ref="M50">SUMPRODUCT('W3'!$K$18:$AJ$1670*('W3'!$A$18:$A$1670='W5'!M$47)*('W3'!$E$18:$E$1670='W5'!$C50)*('W3'!$K$14:$AJ$14='W5'!$Y$1))*$AS$1</f>
        <v>381.88799999999998</v>
      </c>
      <c r="N50" s="791">
        <f t="shared" ref="N50:N64" si="17">IFERROR(M50/M$64,0)</f>
        <v>0.62604590163934426</v>
      </c>
      <c r="O50" s="792" cm="1">
        <f t="array" ref="O50">SUMPRODUCT('W3'!$K$18:$AJ$1670*('W3'!$A$18:$A$1670='W5'!O$47)*('W3'!$E$18:$E$1670='W5'!$C50)*('W3'!$K$14:$AJ$14='W5'!$Y$1))*$AS$1</f>
        <v>381.88799999999998</v>
      </c>
      <c r="P50" s="793">
        <f t="shared" ref="P50:X50" si="18">IFERROR(O50/O$64,0)</f>
        <v>0.62604590163934426</v>
      </c>
      <c r="Q50" s="790" cm="1">
        <f t="array" ref="Q50">SUMPRODUCT('W3'!$K$18:$AJ$1670*('W3'!$A$18:$A$1670='W5'!Q$47)*('W3'!$E$18:$E$1670='W5'!$C50)*('W3'!$K$14:$AJ$14='W5'!$Y$1))*$AS$1</f>
        <v>381.88799999999998</v>
      </c>
      <c r="R50" s="791">
        <f t="shared" si="18"/>
        <v>0.65171356979789763</v>
      </c>
      <c r="S50" s="790" cm="1">
        <f t="array" ref="S50">SUMPRODUCT('W3'!$K$18:$AJ$1670*('W3'!$A$18:$A$1670='W5'!S$47)*('W3'!$E$18:$E$1670='W5'!$C50)*('W3'!$K$14:$AJ$14='W5'!$Y$1))*$AS$1</f>
        <v>381.88799999999998</v>
      </c>
      <c r="T50" s="791">
        <f t="shared" si="18"/>
        <v>0.61670052747977333</v>
      </c>
      <c r="U50" s="790" cm="1">
        <f t="array" ref="U50">SUMPRODUCT('W3'!$K$18:$AJ$1670*('W3'!$A$18:$A$1670='W5'!U$47)*('W3'!$E$18:$E$1670='W5'!$C50)*('W3'!$K$14:$AJ$14='W5'!$Y$1))*$AS$1</f>
        <v>381.88799999999998</v>
      </c>
      <c r="V50" s="791">
        <f t="shared" si="18"/>
        <v>0.56159999999999999</v>
      </c>
      <c r="W50" s="790" cm="1">
        <f t="array" ref="W50">SUMPRODUCT('W3'!$K$18:$AJ$1670*('W3'!$A$18:$A$1670='W5'!W$47)*('W3'!$E$18:$E$1670='W5'!$C50)*('W3'!$K$14:$AJ$14='W5'!$Y$1))*$AS$1</f>
        <v>381.88799999999998</v>
      </c>
      <c r="X50" s="793">
        <f t="shared" si="18"/>
        <v>0.56159999999999999</v>
      </c>
      <c r="Y50" s="112"/>
      <c r="AA50" s="356"/>
    </row>
    <row r="51" spans="2:35" ht="15" customHeight="1" x14ac:dyDescent="0.2">
      <c r="B51" s="108" t="s">
        <v>176</v>
      </c>
      <c r="C51" s="777" t="s">
        <v>537</v>
      </c>
      <c r="D51" s="428" t="s">
        <v>301</v>
      </c>
      <c r="E51" s="778" cm="1">
        <f t="array" ref="E51">SUMPRODUCT('W3'!$K$18:$AJ$1670*('W3'!$A$18:$A$1670='W5'!E$47)*('W3'!$E$18:$E$1670='W5'!$C51)*('W3'!$K$14:$AJ$14='W5'!$Y$1))*$AS$1</f>
        <v>28.744258064516178</v>
      </c>
      <c r="F51" s="779">
        <f t="shared" si="14"/>
        <v>4.2270967741935554E-2</v>
      </c>
      <c r="G51" s="780" cm="1">
        <f t="array" ref="G51">SUMPRODUCT('W3'!$K$18:$AJ$1670*('W3'!$A$18:$A$1670='W5'!G$47)*('W3'!$E$18:$E$1670='W5'!$C51)*('W3'!$K$14:$AJ$14='W5'!$Y$1))*$AS$1</f>
        <v>28.744258064516178</v>
      </c>
      <c r="H51" s="781">
        <f t="shared" ref="H51:X51" si="19">IFERROR(G51/G$64,0)</f>
        <v>4.2270967741935554E-2</v>
      </c>
      <c r="I51" s="782" cm="1">
        <f t="array" ref="I51">SUMPRODUCT('W3'!$K$18:$AJ$1670*('W3'!$A$18:$A$1670='W5'!I$47)*('W3'!$E$18:$E$1670='W5'!$C51)*('W3'!$K$14:$AJ$14='W5'!$Y$1))*$AS$1</f>
        <v>28.744258064516178</v>
      </c>
      <c r="J51" s="783">
        <f t="shared" si="15"/>
        <v>4.4221935483871044E-2</v>
      </c>
      <c r="K51" s="780" cm="1">
        <f t="array" ref="K51">SUMPRODUCT('W3'!$K$18:$AJ$1670*('W3'!$A$18:$A$1670='W5'!K$47)*('W3'!$E$18:$E$1670='W5'!$C51)*('W3'!$K$14:$AJ$14='W5'!$Y$1))*$AS$1</f>
        <v>28.744258064516178</v>
      </c>
      <c r="L51" s="781">
        <f t="shared" si="16"/>
        <v>4.4221935483871044E-2</v>
      </c>
      <c r="M51" s="782" cm="1">
        <f t="array" ref="M51">SUMPRODUCT('W3'!$K$18:$AJ$1670*('W3'!$A$18:$A$1670='W5'!M$47)*('W3'!$E$18:$E$1670='W5'!$C51)*('W3'!$K$14:$AJ$14='W5'!$Y$1))*$AS$1</f>
        <v>28.744258064516178</v>
      </c>
      <c r="N51" s="783">
        <f t="shared" si="17"/>
        <v>4.7121734531993732E-2</v>
      </c>
      <c r="O51" s="784" cm="1">
        <f t="array" ref="O51">SUMPRODUCT('W3'!$K$18:$AJ$1670*('W3'!$A$18:$A$1670='W5'!O$47)*('W3'!$E$18:$E$1670='W5'!$C51)*('W3'!$K$14:$AJ$14='W5'!$Y$1))*$AS$1</f>
        <v>28.744258064516178</v>
      </c>
      <c r="P51" s="785">
        <f t="shared" si="19"/>
        <v>4.7121734531993732E-2</v>
      </c>
      <c r="Q51" s="782" cm="1">
        <f t="array" ref="Q51">SUMPRODUCT('W3'!$K$18:$AJ$1670*('W3'!$A$18:$A$1670='W5'!Q$47)*('W3'!$E$18:$E$1670='W5'!$C51)*('W3'!$K$14:$AJ$14='W5'!$Y$1))*$AS$1</f>
        <v>28.744258064516178</v>
      </c>
      <c r="R51" s="783">
        <f t="shared" si="19"/>
        <v>4.9053709554680552E-2</v>
      </c>
      <c r="S51" s="782" cm="1">
        <f t="array" ref="S51">SUMPRODUCT('W3'!$K$18:$AJ$1670*('W3'!$A$18:$A$1670='W5'!S$47)*('W3'!$E$18:$E$1670='W5'!$C51)*('W3'!$K$14:$AJ$14='W5'!$Y$1))*$AS$1</f>
        <v>28.744258064516178</v>
      </c>
      <c r="T51" s="783">
        <f t="shared" si="19"/>
        <v>4.6418319272671191E-2</v>
      </c>
      <c r="U51" s="782" cm="1">
        <f t="array" ref="U51">SUMPRODUCT('W3'!$K$18:$AJ$1670*('W3'!$A$18:$A$1670='W5'!U$47)*('W3'!$E$18:$E$1670='W5'!$C51)*('W3'!$K$14:$AJ$14='W5'!$Y$1))*$AS$1</f>
        <v>28.744258064516178</v>
      </c>
      <c r="V51" s="783">
        <f t="shared" si="19"/>
        <v>4.2270967741935554E-2</v>
      </c>
      <c r="W51" s="782" cm="1">
        <f t="array" ref="W51">SUMPRODUCT('W3'!$K$18:$AJ$1670*('W3'!$A$18:$A$1670='W5'!W$47)*('W3'!$E$18:$E$1670='W5'!$C51)*('W3'!$K$14:$AJ$14='W5'!$Y$1))*$AS$1</f>
        <v>28.744258064516178</v>
      </c>
      <c r="X51" s="785">
        <f t="shared" si="19"/>
        <v>4.2270967741935554E-2</v>
      </c>
      <c r="Y51" s="113"/>
    </row>
    <row r="52" spans="2:35" ht="15" customHeight="1" x14ac:dyDescent="0.2">
      <c r="B52" s="108" t="s">
        <v>179</v>
      </c>
      <c r="C52" s="108"/>
      <c r="D52" s="428" t="s">
        <v>302</v>
      </c>
      <c r="E52" s="778">
        <f>SUM(E53:E60)</f>
        <v>197.7268952967712</v>
      </c>
      <c r="F52" s="779">
        <f t="shared" si="14"/>
        <v>0.29077484602466352</v>
      </c>
      <c r="G52" s="780">
        <f>SUM(G53:G60)</f>
        <v>229.92620690971106</v>
      </c>
      <c r="H52" s="781">
        <f t="shared" ref="H52:X52" si="20">IFERROR(G52/G$64,0)</f>
        <v>0.33812677486722215</v>
      </c>
      <c r="I52" s="782">
        <f>SUM(I53:I60)</f>
        <v>197.7268952967712</v>
      </c>
      <c r="J52" s="783">
        <f t="shared" si="15"/>
        <v>0.30419522353349415</v>
      </c>
      <c r="K52" s="780">
        <f>SUM(K53:K60)</f>
        <v>229.92620690971106</v>
      </c>
      <c r="L52" s="781">
        <f t="shared" si="16"/>
        <v>0.3537326260149401</v>
      </c>
      <c r="M52" s="782">
        <f>SUM(M53:M60)</f>
        <v>197.7268952967712</v>
      </c>
      <c r="N52" s="783">
        <f t="shared" si="17"/>
        <v>0.3241424513061823</v>
      </c>
      <c r="O52" s="784">
        <f>SUM(O53:O60)</f>
        <v>229.92620690971106</v>
      </c>
      <c r="P52" s="785">
        <f t="shared" si="20"/>
        <v>0.37692820804870664</v>
      </c>
      <c r="Q52" s="782">
        <f>SUM(Q53:Q60)</f>
        <v>197.7268952967712</v>
      </c>
      <c r="R52" s="783">
        <f t="shared" si="20"/>
        <v>0.33743218110784812</v>
      </c>
      <c r="S52" s="782">
        <f>SUM(S53:S60)</f>
        <v>229.92620690971106</v>
      </c>
      <c r="T52" s="783">
        <f t="shared" si="20"/>
        <v>0.37130156769168532</v>
      </c>
      <c r="U52" s="782">
        <f>SUM(U53:U60)</f>
        <v>197.7268952967712</v>
      </c>
      <c r="V52" s="783">
        <f t="shared" si="20"/>
        <v>0.29077484602466352</v>
      </c>
      <c r="W52" s="782">
        <f>SUM(W53:W60)</f>
        <v>229.92620690971106</v>
      </c>
      <c r="X52" s="785">
        <f t="shared" si="20"/>
        <v>0.33812677486722215</v>
      </c>
      <c r="Y52" s="109"/>
      <c r="Z52" s="356"/>
      <c r="AI52" s="124"/>
    </row>
    <row r="53" spans="2:35" ht="15" customHeight="1" x14ac:dyDescent="0.2">
      <c r="B53" s="110">
        <v>1</v>
      </c>
      <c r="C53" s="332" t="s">
        <v>171</v>
      </c>
      <c r="D53" s="429" t="s">
        <v>303</v>
      </c>
      <c r="E53" s="425" cm="1">
        <f t="array" ref="E53">SUMPRODUCT('W3'!$K$18:$AJ$1670*('W3'!$A$18:$A$1670='W5'!E$47)*('W3'!$E$18:$E$1670='W5'!$C53)*('W3'!$K$14:$AJ$14='W5'!$Y$1))*$AS$1</f>
        <v>15.285408527665071</v>
      </c>
      <c r="F53" s="787">
        <f t="shared" si="14"/>
        <v>2.2478541952448635E-2</v>
      </c>
      <c r="G53" s="684" cm="1">
        <f t="array" ref="G53">SUMPRODUCT('W3'!$K$18:$AJ$1670*('W3'!$A$18:$A$1670='W5'!G$47)*('W3'!$E$18:$E$1670='W5'!$C53)*('W3'!$K$14:$AJ$14='W5'!$Y$1))*$AS$1</f>
        <v>15.285408527665071</v>
      </c>
      <c r="H53" s="789">
        <f t="shared" ref="H53:X53" si="21">IFERROR(G53/G$64,0)</f>
        <v>2.2478541952448635E-2</v>
      </c>
      <c r="I53" s="704" cm="1">
        <f t="array" ref="I53">SUMPRODUCT('W3'!$K$18:$AJ$1670*('W3'!$A$18:$A$1670='W5'!I$47)*('W3'!$E$18:$E$1670='W5'!$C53)*('W3'!$K$14:$AJ$14='W5'!$Y$1))*$AS$1</f>
        <v>15.285408527665071</v>
      </c>
      <c r="J53" s="791">
        <f t="shared" si="15"/>
        <v>2.3516013119484723E-2</v>
      </c>
      <c r="K53" s="684" cm="1">
        <f t="array" ref="K53">SUMPRODUCT('W3'!$K$18:$AJ$1670*('W3'!$A$18:$A$1670='W5'!K$47)*('W3'!$E$18:$E$1670='W5'!$C53)*('W3'!$K$14:$AJ$14='W5'!$Y$1))*$AS$1</f>
        <v>15.285408527665071</v>
      </c>
      <c r="L53" s="789">
        <f t="shared" si="16"/>
        <v>2.3516013119484723E-2</v>
      </c>
      <c r="M53" s="704" cm="1">
        <f t="array" ref="M53">SUMPRODUCT('W3'!$K$18:$AJ$1670*('W3'!$A$18:$A$1670='W5'!M$47)*('W3'!$E$18:$E$1670='W5'!$C53)*('W3'!$K$14:$AJ$14='W5'!$Y$1))*$AS$1</f>
        <v>15.285408527665071</v>
      </c>
      <c r="N53" s="791">
        <f t="shared" si="17"/>
        <v>2.5058046766664052E-2</v>
      </c>
      <c r="O53" s="333" cm="1">
        <f t="array" ref="O53">SUMPRODUCT('W3'!$K$18:$AJ$1670*('W3'!$A$18:$A$1670='W5'!O$47)*('W3'!$E$18:$E$1670='W5'!$C53)*('W3'!$K$14:$AJ$14='W5'!$Y$1))*$AS$1</f>
        <v>15.285408527665071</v>
      </c>
      <c r="P53" s="793">
        <f t="shared" si="21"/>
        <v>2.5058046766664052E-2</v>
      </c>
      <c r="Q53" s="704" cm="1">
        <f t="array" ref="Q53">SUMPRODUCT('W3'!$K$18:$AJ$1670*('W3'!$A$18:$A$1670='W5'!Q$47)*('W3'!$E$18:$E$1670='W5'!$C53)*('W3'!$K$14:$AJ$14='W5'!$Y$1))*$AS$1</f>
        <v>15.285408527665071</v>
      </c>
      <c r="R53" s="791">
        <f t="shared" si="21"/>
        <v>2.6085418126214573E-2</v>
      </c>
      <c r="S53" s="704" cm="1">
        <f t="array" ref="S53">SUMPRODUCT('W3'!$K$18:$AJ$1670*('W3'!$A$18:$A$1670='W5'!S$47)*('W3'!$E$18:$E$1670='W5'!$C53)*('W3'!$K$14:$AJ$14='W5'!$Y$1))*$AS$1</f>
        <v>15.285408527665071</v>
      </c>
      <c r="T53" s="791">
        <f t="shared" si="21"/>
        <v>2.4683989813125511E-2</v>
      </c>
      <c r="U53" s="704" cm="1">
        <f t="array" ref="U53">SUMPRODUCT('W3'!$K$18:$AJ$1670*('W3'!$A$18:$A$1670='W5'!U$47)*('W3'!$E$18:$E$1670='W5'!$C53)*('W3'!$K$14:$AJ$14='W5'!$Y$1))*$AS$1</f>
        <v>15.285408527665071</v>
      </c>
      <c r="V53" s="791">
        <f t="shared" si="21"/>
        <v>2.2478541952448635E-2</v>
      </c>
      <c r="W53" s="704" cm="1">
        <f t="array" ref="W53">SUMPRODUCT('W3'!$K$18:$AJ$1670*('W3'!$A$18:$A$1670='W5'!W$47)*('W3'!$E$18:$E$1670='W5'!$C53)*('W3'!$K$14:$AJ$14='W5'!$Y$1))*$AS$1</f>
        <v>15.285408527665071</v>
      </c>
      <c r="X53" s="793">
        <f t="shared" si="21"/>
        <v>2.2478541952448635E-2</v>
      </c>
      <c r="Y53" s="111"/>
    </row>
    <row r="54" spans="2:35" ht="15" customHeight="1" x14ac:dyDescent="0.2">
      <c r="B54" s="110">
        <v>2</v>
      </c>
      <c r="C54" s="332" t="s">
        <v>173</v>
      </c>
      <c r="D54" s="429" t="s">
        <v>190</v>
      </c>
      <c r="E54" s="425" cm="1">
        <f t="array" ref="E54">SUMPRODUCT('W3'!$K$18:$AJ$1670*('W3'!$A$18:$A$1670='W5'!E$47)*('W3'!$E$18:$E$1670='W5'!$C54)*('W3'!$K$14:$AJ$14='W5'!$Y$1))*$AS$1</f>
        <v>60.692061728415723</v>
      </c>
      <c r="F54" s="787">
        <f t="shared" si="14"/>
        <v>8.9253031953552539E-2</v>
      </c>
      <c r="G54" s="684" cm="1">
        <f t="array" ref="G54">SUMPRODUCT('W3'!$K$18:$AJ$1670*('W3'!$A$18:$A$1670='W5'!G$47)*('W3'!$E$18:$E$1670='W5'!$C54)*('W3'!$K$14:$AJ$14='W5'!$Y$1))*$AS$1</f>
        <v>75.221841779627511</v>
      </c>
      <c r="H54" s="789">
        <f t="shared" ref="H54:X54" si="22">IFERROR(G54/G$64,0)</f>
        <v>0.11062035555827575</v>
      </c>
      <c r="I54" s="704" cm="1">
        <f t="array" ref="I54">SUMPRODUCT('W3'!$K$18:$AJ$1670*('W3'!$A$18:$A$1670='W5'!I$47)*('W3'!$E$18:$E$1670='W5'!$C54)*('W3'!$K$14:$AJ$14='W5'!$Y$1))*$AS$1</f>
        <v>60.692061728415723</v>
      </c>
      <c r="J54" s="791">
        <f t="shared" si="15"/>
        <v>9.3372402659101114E-2</v>
      </c>
      <c r="K54" s="684" cm="1">
        <f t="array" ref="K54">SUMPRODUCT('W3'!$K$18:$AJ$1670*('W3'!$A$18:$A$1670='W5'!K$47)*('W3'!$E$18:$E$1670='W5'!$C54)*('W3'!$K$14:$AJ$14='W5'!$Y$1))*$AS$1</f>
        <v>75.221841779627511</v>
      </c>
      <c r="L54" s="789">
        <f t="shared" si="16"/>
        <v>0.11572591043019617</v>
      </c>
      <c r="M54" s="704" cm="1">
        <f t="array" ref="M54">SUMPRODUCT('W3'!$K$18:$AJ$1670*('W3'!$A$18:$A$1670='W5'!M$47)*('W3'!$E$18:$E$1670='W5'!$C54)*('W3'!$K$14:$AJ$14='W5'!$Y$1))*$AS$1</f>
        <v>60.692061728415723</v>
      </c>
      <c r="N54" s="791">
        <f t="shared" si="17"/>
        <v>9.949518316133725E-2</v>
      </c>
      <c r="O54" s="333" cm="1">
        <f t="array" ref="O54">SUMPRODUCT('W3'!$K$18:$AJ$1670*('W3'!$A$18:$A$1670='W5'!O$47)*('W3'!$E$18:$E$1670='W5'!$C54)*('W3'!$K$14:$AJ$14='W5'!$Y$1))*$AS$1</f>
        <v>75.221841779627511</v>
      </c>
      <c r="P54" s="793">
        <f t="shared" si="22"/>
        <v>0.12331449472070084</v>
      </c>
      <c r="Q54" s="704" cm="1">
        <f t="array" ref="Q54">SUMPRODUCT('W3'!$K$18:$AJ$1670*('W3'!$A$18:$A$1670='W5'!Q$47)*('W3'!$E$18:$E$1670='W5'!$C54)*('W3'!$K$14:$AJ$14='W5'!$Y$1))*$AS$1</f>
        <v>60.692061728415723</v>
      </c>
      <c r="R54" s="791">
        <f t="shared" si="22"/>
        <v>0.10357445169112456</v>
      </c>
      <c r="S54" s="704" cm="1">
        <f t="array" ref="S54">SUMPRODUCT('W3'!$K$18:$AJ$1670*('W3'!$A$18:$A$1670='W5'!S$47)*('W3'!$E$18:$E$1670='W5'!$C54)*('W3'!$K$14:$AJ$14='W5'!$Y$1))*$AS$1</f>
        <v>75.221841779627511</v>
      </c>
      <c r="T54" s="791">
        <f t="shared" si="22"/>
        <v>0.12147370303203123</v>
      </c>
      <c r="U54" s="704" cm="1">
        <f t="array" ref="U54">SUMPRODUCT('W3'!$K$18:$AJ$1670*('W3'!$A$18:$A$1670='W5'!U$47)*('W3'!$E$18:$E$1670='W5'!$C54)*('W3'!$K$14:$AJ$14='W5'!$Y$1))*$AS$1</f>
        <v>60.692061728415723</v>
      </c>
      <c r="V54" s="791">
        <f t="shared" si="22"/>
        <v>8.9253031953552539E-2</v>
      </c>
      <c r="W54" s="704" cm="1">
        <f t="array" ref="W54">SUMPRODUCT('W3'!$K$18:$AJ$1670*('W3'!$A$18:$A$1670='W5'!W$47)*('W3'!$E$18:$E$1670='W5'!$C54)*('W3'!$K$14:$AJ$14='W5'!$Y$1))*$AS$1</f>
        <v>75.221841779627511</v>
      </c>
      <c r="X54" s="793">
        <f t="shared" si="22"/>
        <v>0.11062035555827575</v>
      </c>
      <c r="Y54" s="111"/>
    </row>
    <row r="55" spans="2:35" ht="15" customHeight="1" x14ac:dyDescent="0.2">
      <c r="B55" s="110">
        <v>3</v>
      </c>
      <c r="C55" s="332" t="s">
        <v>182</v>
      </c>
      <c r="D55" s="429" t="s">
        <v>181</v>
      </c>
      <c r="E55" s="425" cm="1">
        <f t="array" ref="E55">SUMPRODUCT('W3'!$K$18:$AJ$1670*('W3'!$A$18:$A$1670='W5'!E$47)*('W3'!$E$18:$E$1670='W5'!$C55)*('W3'!$K$14:$AJ$14='W5'!$Y$1))*$AS$1</f>
        <v>32.74722577596247</v>
      </c>
      <c r="F55" s="787">
        <f t="shared" si="14"/>
        <v>4.8157684964650692E-2</v>
      </c>
      <c r="G55" s="684" cm="1">
        <f t="array" ref="G55">SUMPRODUCT('W3'!$K$18:$AJ$1670*('W3'!$A$18:$A$1670='W5'!G$47)*('W3'!$E$18:$E$1670='W5'!$C55)*('W3'!$K$14:$AJ$14='W5'!$Y$1))*$AS$1</f>
        <v>49.080017572979045</v>
      </c>
      <c r="H55" s="789">
        <f t="shared" ref="H55:X55" si="23">IFERROR(G55/G$64,0)</f>
        <v>7.2176496430851542E-2</v>
      </c>
      <c r="I55" s="704" cm="1">
        <f t="array" ref="I55">SUMPRODUCT('W3'!$K$18:$AJ$1670*('W3'!$A$18:$A$1670='W5'!I$47)*('W3'!$E$18:$E$1670='W5'!$C55)*('W3'!$K$14:$AJ$14='W5'!$Y$1))*$AS$1</f>
        <v>32.74722577596247</v>
      </c>
      <c r="J55" s="791">
        <f t="shared" si="15"/>
        <v>5.0380347347634566E-2</v>
      </c>
      <c r="K55" s="684" cm="1">
        <f t="array" ref="K55">SUMPRODUCT('W3'!$K$18:$AJ$1670*('W3'!$A$18:$A$1670='W5'!K$47)*('W3'!$E$18:$E$1670='W5'!$C55)*('W3'!$K$14:$AJ$14='W5'!$Y$1))*$AS$1</f>
        <v>49.080017572979045</v>
      </c>
      <c r="L55" s="789">
        <f t="shared" si="16"/>
        <v>7.5507719343044691E-2</v>
      </c>
      <c r="M55" s="704" cm="1">
        <f t="array" ref="M55">SUMPRODUCT('W3'!$K$18:$AJ$1670*('W3'!$A$18:$A$1670='W5'!M$47)*('W3'!$E$18:$E$1670='W5'!$C55)*('W3'!$K$14:$AJ$14='W5'!$Y$1))*$AS$1</f>
        <v>32.74722577596247</v>
      </c>
      <c r="N55" s="791">
        <f t="shared" si="17"/>
        <v>5.3683976681905686E-2</v>
      </c>
      <c r="O55" s="333" cm="1">
        <f t="array" ref="O55">SUMPRODUCT('W3'!$K$18:$AJ$1670*('W3'!$A$18:$A$1670='W5'!O$47)*('W3'!$E$18:$E$1670='W5'!$C55)*('W3'!$K$14:$AJ$14='W5'!$Y$1))*$AS$1</f>
        <v>49.080017572979045</v>
      </c>
      <c r="P55" s="793">
        <f t="shared" si="23"/>
        <v>8.045904520160499E-2</v>
      </c>
      <c r="Q55" s="704" cm="1">
        <f t="array" ref="Q55">SUMPRODUCT('W3'!$K$18:$AJ$1670*('W3'!$A$18:$A$1670='W5'!Q$47)*('W3'!$E$18:$E$1670='W5'!$C55)*('W3'!$K$14:$AJ$14='W5'!$Y$1))*$AS$1</f>
        <v>32.74722577596247</v>
      </c>
      <c r="R55" s="791">
        <f t="shared" si="23"/>
        <v>5.5885001391586621E-2</v>
      </c>
      <c r="S55" s="704" cm="1">
        <f t="array" ref="S55">SUMPRODUCT('W3'!$K$18:$AJ$1670*('W3'!$A$18:$A$1670='W5'!S$47)*('W3'!$E$18:$E$1670='W5'!$C55)*('W3'!$K$14:$AJ$14='W5'!$Y$1))*$AS$1</f>
        <v>49.080017572979045</v>
      </c>
      <c r="T55" s="791">
        <f t="shared" si="23"/>
        <v>7.9257983298696794E-2</v>
      </c>
      <c r="U55" s="704" cm="1">
        <f t="array" ref="U55">SUMPRODUCT('W3'!$K$18:$AJ$1670*('W3'!$A$18:$A$1670='W5'!U$47)*('W3'!$E$18:$E$1670='W5'!$C55)*('W3'!$K$14:$AJ$14='W5'!$Y$1))*$AS$1</f>
        <v>32.74722577596247</v>
      </c>
      <c r="V55" s="791">
        <f t="shared" si="23"/>
        <v>4.8157684964650692E-2</v>
      </c>
      <c r="W55" s="704" cm="1">
        <f t="array" ref="W55">SUMPRODUCT('W3'!$K$18:$AJ$1670*('W3'!$A$18:$A$1670='W5'!W$47)*('W3'!$E$18:$E$1670='W5'!$C55)*('W3'!$K$14:$AJ$14='W5'!$Y$1))*$AS$1</f>
        <v>49.080017572979045</v>
      </c>
      <c r="X55" s="793">
        <f t="shared" si="23"/>
        <v>7.2176496430851542E-2</v>
      </c>
      <c r="Y55" s="111"/>
    </row>
    <row r="56" spans="2:35" ht="15" customHeight="1" x14ac:dyDescent="0.2">
      <c r="B56" s="110">
        <v>4</v>
      </c>
      <c r="C56" s="332" t="s">
        <v>172</v>
      </c>
      <c r="D56" s="429" t="s">
        <v>304</v>
      </c>
      <c r="E56" s="425" cm="1">
        <f t="array" ref="E56">SUMPRODUCT('W3'!$K$18:$AJ$1670*('W3'!$A$18:$A$1670='W5'!E$47)*('W3'!$E$18:$E$1670='W5'!$C56)*('W3'!$K$14:$AJ$14='W5'!$Y$1))*$AS$1</f>
        <v>51.587503915265557</v>
      </c>
      <c r="F56" s="787">
        <f t="shared" si="14"/>
        <v>7.5863976345978759E-2</v>
      </c>
      <c r="G56" s="684" cm="1">
        <f t="array" ref="G56">SUMPRODUCT('W3'!$K$18:$AJ$1670*('W3'!$A$18:$A$1670='W5'!G$47)*('W3'!$E$18:$E$1670='W5'!$C56)*('W3'!$K$14:$AJ$14='W5'!$Y$1))*$AS$1</f>
        <v>52.924243679977039</v>
      </c>
      <c r="H56" s="789">
        <f t="shared" ref="H56:X56" si="24">IFERROR(G56/G$64,0)</f>
        <v>7.7829770117613287E-2</v>
      </c>
      <c r="I56" s="704" cm="1">
        <f t="array" ref="I56">SUMPRODUCT('W3'!$K$18:$AJ$1670*('W3'!$A$18:$A$1670='W5'!I$47)*('W3'!$E$18:$E$1670='W5'!$C56)*('W3'!$K$14:$AJ$14='W5'!$Y$1))*$AS$1</f>
        <v>51.587503915265557</v>
      </c>
      <c r="J56" s="791">
        <f t="shared" si="15"/>
        <v>7.936539063887009E-2</v>
      </c>
      <c r="K56" s="684" cm="1">
        <f t="array" ref="K56">SUMPRODUCT('W3'!$K$18:$AJ$1670*('W3'!$A$18:$A$1670='W5'!K$47)*('W3'!$E$18:$E$1670='W5'!$C56)*('W3'!$K$14:$AJ$14='W5'!$Y$1))*$AS$1</f>
        <v>52.924243679977039</v>
      </c>
      <c r="L56" s="789">
        <f t="shared" si="16"/>
        <v>8.1421913353810826E-2</v>
      </c>
      <c r="M56" s="704" cm="1">
        <f t="array" ref="M56">SUMPRODUCT('W3'!$K$18:$AJ$1670*('W3'!$A$18:$A$1670='W5'!M$47)*('W3'!$E$18:$E$1670='W5'!$C56)*('W3'!$K$14:$AJ$14='W5'!$Y$1))*$AS$1</f>
        <v>51.587503915265557</v>
      </c>
      <c r="N56" s="791">
        <f t="shared" si="17"/>
        <v>8.4569678549615668E-2</v>
      </c>
      <c r="O56" s="333" cm="1">
        <f t="array" ref="O56">SUMPRODUCT('W3'!$K$18:$AJ$1670*('W3'!$A$18:$A$1670='W5'!O$47)*('W3'!$E$18:$E$1670='W5'!$C56)*('W3'!$K$14:$AJ$14='W5'!$Y$1))*$AS$1</f>
        <v>52.924243679977039</v>
      </c>
      <c r="P56" s="793">
        <f t="shared" si="24"/>
        <v>8.6761055213077115E-2</v>
      </c>
      <c r="Q56" s="704" cm="1">
        <f t="array" ref="Q56">SUMPRODUCT('W3'!$K$18:$AJ$1670*('W3'!$A$18:$A$1670='W5'!Q$47)*('W3'!$E$18:$E$1670='W5'!$C56)*('W3'!$K$14:$AJ$14='W5'!$Y$1))*$AS$1</f>
        <v>51.587503915265557</v>
      </c>
      <c r="R56" s="791">
        <f t="shared" si="24"/>
        <v>8.8037006487715605E-2</v>
      </c>
      <c r="S56" s="704" cm="1">
        <f t="array" ref="S56">SUMPRODUCT('W3'!$K$18:$AJ$1670*('W3'!$A$18:$A$1670='W5'!S$47)*('W3'!$E$18:$E$1670='W5'!$C56)*('W3'!$K$14:$AJ$14='W5'!$Y$1))*$AS$1</f>
        <v>52.924243679977039</v>
      </c>
      <c r="T56" s="791">
        <f t="shared" si="24"/>
        <v>8.5465919311185218E-2</v>
      </c>
      <c r="U56" s="704" cm="1">
        <f t="array" ref="U56">SUMPRODUCT('W3'!$K$18:$AJ$1670*('W3'!$A$18:$A$1670='W5'!U$47)*('W3'!$E$18:$E$1670='W5'!$C56)*('W3'!$K$14:$AJ$14='W5'!$Y$1))*$AS$1</f>
        <v>51.587503915265557</v>
      </c>
      <c r="V56" s="791">
        <f t="shared" si="24"/>
        <v>7.5863976345978759E-2</v>
      </c>
      <c r="W56" s="704" cm="1">
        <f t="array" ref="W56">SUMPRODUCT('W3'!$K$18:$AJ$1670*('W3'!$A$18:$A$1670='W5'!W$47)*('W3'!$E$18:$E$1670='W5'!$C56)*('W3'!$K$14:$AJ$14='W5'!$Y$1))*$AS$1</f>
        <v>52.924243679977039</v>
      </c>
      <c r="X56" s="793">
        <f t="shared" si="24"/>
        <v>7.7829770117613287E-2</v>
      </c>
      <c r="Y56" s="111"/>
    </row>
    <row r="57" spans="2:35" ht="15" customHeight="1" x14ac:dyDescent="0.2">
      <c r="B57" s="110">
        <v>5</v>
      </c>
      <c r="C57" s="332" t="s">
        <v>174</v>
      </c>
      <c r="D57" s="430" t="s">
        <v>305</v>
      </c>
      <c r="E57" s="425" cm="1">
        <f t="array" ref="E57">SUMPRODUCT('W3'!$K$18:$AJ$1670*('W3'!$A$18:$A$1670='W5'!E$47)*('W3'!$E$18:$E$1670='W5'!$C57)*('W3'!$K$14:$AJ$14='W5'!$Y$1))*$AS$1</f>
        <v>29.24017137096774</v>
      </c>
      <c r="F57" s="787">
        <f t="shared" si="14"/>
        <v>4.3000252016129031E-2</v>
      </c>
      <c r="G57" s="684" cm="1">
        <f t="array" ref="G57">SUMPRODUCT('W3'!$K$18:$AJ$1670*('W3'!$A$18:$A$1670='W5'!G$47)*('W3'!$E$18:$E$1670='W5'!$C57)*('W3'!$K$14:$AJ$14='W5'!$Y$1))*$AS$1</f>
        <v>29.24017137096774</v>
      </c>
      <c r="H57" s="789">
        <f t="shared" ref="H57:X57" si="25">IFERROR(G57/G$64,0)</f>
        <v>4.3000252016129031E-2</v>
      </c>
      <c r="I57" s="704" cm="1">
        <f t="array" ref="I57">SUMPRODUCT('W3'!$K$18:$AJ$1670*('W3'!$A$18:$A$1670='W5'!I$47)*('W3'!$E$18:$E$1670='W5'!$C57)*('W3'!$K$14:$AJ$14='W5'!$Y$1))*$AS$1</f>
        <v>29.24017137096774</v>
      </c>
      <c r="J57" s="791">
        <f t="shared" si="15"/>
        <v>4.4984879032258063E-2</v>
      </c>
      <c r="K57" s="684" cm="1">
        <f t="array" ref="K57">SUMPRODUCT('W3'!$K$18:$AJ$1670*('W3'!$A$18:$A$1670='W5'!K$47)*('W3'!$E$18:$E$1670='W5'!$C57)*('W3'!$K$14:$AJ$14='W5'!$Y$1))*$AS$1</f>
        <v>29.24017137096774</v>
      </c>
      <c r="L57" s="789">
        <f t="shared" si="16"/>
        <v>4.4984879032258063E-2</v>
      </c>
      <c r="M57" s="704" cm="1">
        <f t="array" ref="M57">SUMPRODUCT('W3'!$K$18:$AJ$1670*('W3'!$A$18:$A$1670='W5'!M$47)*('W3'!$E$18:$E$1670='W5'!$C57)*('W3'!$K$14:$AJ$14='W5'!$Y$1))*$AS$1</f>
        <v>29.24017137096774</v>
      </c>
      <c r="N57" s="791">
        <f t="shared" si="17"/>
        <v>4.7934707165520889E-2</v>
      </c>
      <c r="O57" s="333" cm="1">
        <f t="array" ref="O57">SUMPRODUCT('W3'!$K$18:$AJ$1670*('W3'!$A$18:$A$1670='W5'!O$47)*('W3'!$E$18:$E$1670='W5'!$C57)*('W3'!$K$14:$AJ$14='W5'!$Y$1))*$AS$1</f>
        <v>29.24017137096774</v>
      </c>
      <c r="P57" s="793">
        <f t="shared" si="25"/>
        <v>4.7934707165520889E-2</v>
      </c>
      <c r="Q57" s="704" cm="1">
        <f t="array" ref="Q57">SUMPRODUCT('W3'!$K$18:$AJ$1670*('W3'!$A$18:$A$1670='W5'!Q$47)*('W3'!$E$18:$E$1670='W5'!$C57)*('W3'!$K$14:$AJ$14='W5'!$Y$1))*$AS$1</f>
        <v>29.24017137096774</v>
      </c>
      <c r="R57" s="791">
        <f t="shared" si="25"/>
        <v>4.9900013788534002E-2</v>
      </c>
      <c r="S57" s="704" cm="1">
        <f t="array" ref="S57">SUMPRODUCT('W3'!$K$18:$AJ$1670*('W3'!$A$18:$A$1670='W5'!S$47)*('W3'!$E$18:$E$1670='W5'!$C57)*('W3'!$K$14:$AJ$14='W5'!$Y$1))*$AS$1</f>
        <v>29.24017137096774</v>
      </c>
      <c r="T57" s="791">
        <f t="shared" si="25"/>
        <v>4.7219156161164462E-2</v>
      </c>
      <c r="U57" s="704" cm="1">
        <f t="array" ref="U57">SUMPRODUCT('W3'!$K$18:$AJ$1670*('W3'!$A$18:$A$1670='W5'!U$47)*('W3'!$E$18:$E$1670='W5'!$C57)*('W3'!$K$14:$AJ$14='W5'!$Y$1))*$AS$1</f>
        <v>29.24017137096774</v>
      </c>
      <c r="V57" s="791">
        <f t="shared" si="25"/>
        <v>4.3000252016129031E-2</v>
      </c>
      <c r="W57" s="704" cm="1">
        <f t="array" ref="W57">SUMPRODUCT('W3'!$K$18:$AJ$1670*('W3'!$A$18:$A$1670='W5'!W$47)*('W3'!$E$18:$E$1670='W5'!$C57)*('W3'!$K$14:$AJ$14='W5'!$Y$1))*$AS$1</f>
        <v>29.24017137096774</v>
      </c>
      <c r="X57" s="793">
        <f t="shared" si="25"/>
        <v>4.3000252016129031E-2</v>
      </c>
      <c r="Y57" s="111"/>
    </row>
    <row r="58" spans="2:35" ht="15" customHeight="1" x14ac:dyDescent="0.2">
      <c r="B58" s="110">
        <v>6</v>
      </c>
      <c r="C58" s="332" t="s">
        <v>306</v>
      </c>
      <c r="D58" s="430" t="s">
        <v>307</v>
      </c>
      <c r="E58" s="425" cm="1">
        <f t="array" ref="E58">SUMPRODUCT('W3'!$K$18:$AJ$1670*('W3'!$A$18:$A$1670='W5'!E$47)*('W3'!$E$18:$E$1670='W5'!$C58)*('W3'!$K$14:$AJ$14='W5'!$Y$1))*$AS$1</f>
        <v>4.958333333333333</v>
      </c>
      <c r="F58" s="787">
        <f t="shared" si="14"/>
        <v>7.2916666666666659E-3</v>
      </c>
      <c r="G58" s="684" cm="1">
        <f t="array" ref="G58">SUMPRODUCT('W3'!$K$18:$AJ$1670*('W3'!$A$18:$A$1670='W5'!G$47)*('W3'!$E$18:$E$1670='W5'!$C58)*('W3'!$K$14:$AJ$14='W5'!$Y$1))*$AS$1</f>
        <v>4.958333333333333</v>
      </c>
      <c r="H58" s="789">
        <f t="shared" ref="H58:X58" si="26">IFERROR(G58/G$64,0)</f>
        <v>7.2916666666666659E-3</v>
      </c>
      <c r="I58" s="704" cm="1">
        <f t="array" ref="I58">SUMPRODUCT('W3'!$K$18:$AJ$1670*('W3'!$A$18:$A$1670='W5'!I$47)*('W3'!$E$18:$E$1670='W5'!$C58)*('W3'!$K$14:$AJ$14='W5'!$Y$1))*$AS$1</f>
        <v>4.958333333333333</v>
      </c>
      <c r="J58" s="791">
        <f t="shared" si="15"/>
        <v>7.6282051282051278E-3</v>
      </c>
      <c r="K58" s="684" cm="1">
        <f t="array" ref="K58">SUMPRODUCT('W3'!$K$18:$AJ$1670*('W3'!$A$18:$A$1670='W5'!K$47)*('W3'!$E$18:$E$1670='W5'!$C58)*('W3'!$K$14:$AJ$14='W5'!$Y$1))*$AS$1</f>
        <v>4.958333333333333</v>
      </c>
      <c r="L58" s="789">
        <f t="shared" si="16"/>
        <v>7.6282051282051278E-3</v>
      </c>
      <c r="M58" s="704" cm="1">
        <f t="array" ref="M58">SUMPRODUCT('W3'!$K$18:$AJ$1670*('W3'!$A$18:$A$1670='W5'!M$47)*('W3'!$E$18:$E$1670='W5'!$C58)*('W3'!$K$14:$AJ$14='W5'!$Y$1))*$AS$1</f>
        <v>4.958333333333333</v>
      </c>
      <c r="N58" s="791">
        <f t="shared" si="17"/>
        <v>8.1284153005464471E-3</v>
      </c>
      <c r="O58" s="333" cm="1">
        <f t="array" ref="O58">SUMPRODUCT('W3'!$K$18:$AJ$1670*('W3'!$A$18:$A$1670='W5'!O$47)*('W3'!$E$18:$E$1670='W5'!$C58)*('W3'!$K$14:$AJ$14='W5'!$Y$1))*$AS$1</f>
        <v>4.958333333333333</v>
      </c>
      <c r="P58" s="793">
        <f t="shared" si="26"/>
        <v>8.1284153005464471E-3</v>
      </c>
      <c r="Q58" s="704" cm="1">
        <f t="array" ref="Q58">SUMPRODUCT('W3'!$K$18:$AJ$1670*('W3'!$A$18:$A$1670='W5'!Q$47)*('W3'!$E$18:$E$1670='W5'!$C58)*('W3'!$K$14:$AJ$14='W5'!$Y$1))*$AS$1</f>
        <v>4.958333333333333</v>
      </c>
      <c r="R58" s="791">
        <f t="shared" si="26"/>
        <v>8.4616775518334582E-3</v>
      </c>
      <c r="S58" s="704" cm="1">
        <f t="array" ref="S58">SUMPRODUCT('W3'!$K$18:$AJ$1670*('W3'!$A$18:$A$1670='W5'!S$47)*('W3'!$E$18:$E$1670='W5'!$C58)*('W3'!$K$14:$AJ$14='W5'!$Y$1))*$AS$1</f>
        <v>4.958333333333333</v>
      </c>
      <c r="T58" s="791">
        <f t="shared" si="26"/>
        <v>8.0070774208333573E-3</v>
      </c>
      <c r="U58" s="704" cm="1">
        <f t="array" ref="U58">SUMPRODUCT('W3'!$K$18:$AJ$1670*('W3'!$A$18:$A$1670='W5'!U$47)*('W3'!$E$18:$E$1670='W5'!$C58)*('W3'!$K$14:$AJ$14='W5'!$Y$1))*$AS$1</f>
        <v>4.958333333333333</v>
      </c>
      <c r="V58" s="791">
        <f t="shared" si="26"/>
        <v>7.2916666666666659E-3</v>
      </c>
      <c r="W58" s="704" cm="1">
        <f t="array" ref="W58">SUMPRODUCT('W3'!$K$18:$AJ$1670*('W3'!$A$18:$A$1670='W5'!W$47)*('W3'!$E$18:$E$1670='W5'!$C58)*('W3'!$K$14:$AJ$14='W5'!$Y$1))*$AS$1</f>
        <v>4.958333333333333</v>
      </c>
      <c r="X58" s="793">
        <f t="shared" si="26"/>
        <v>7.2916666666666659E-3</v>
      </c>
      <c r="Y58" s="111"/>
    </row>
    <row r="59" spans="2:35" ht="15" customHeight="1" x14ac:dyDescent="0.2">
      <c r="B59" s="110">
        <v>7</v>
      </c>
      <c r="C59" s="332" t="s">
        <v>177</v>
      </c>
      <c r="D59" s="430" t="s">
        <v>308</v>
      </c>
      <c r="E59" s="425" cm="1">
        <f t="array" ref="E59">SUMPRODUCT('W3'!$K$18:$AJ$1670*('W3'!$A$18:$A$1670='W5'!E$47)*('W3'!$E$18:$E$1670='W5'!$C59)*('W3'!$K$14:$AJ$14='W5'!$Y$1))*$AS$1</f>
        <v>3.2161906451612912</v>
      </c>
      <c r="F59" s="787">
        <f t="shared" si="14"/>
        <v>4.7296921252371928E-3</v>
      </c>
      <c r="G59" s="684" cm="1">
        <f t="array" ref="G59">SUMPRODUCT('W3'!$K$18:$AJ$1670*('W3'!$A$18:$A$1670='W5'!G$47)*('W3'!$E$18:$E$1670='W5'!$C59)*('W3'!$K$14:$AJ$14='W5'!$Y$1))*$AS$1</f>
        <v>3.2161906451612912</v>
      </c>
      <c r="H59" s="789">
        <f t="shared" ref="H59:X59" si="27">IFERROR(G59/G$64,0)</f>
        <v>4.7296921252371928E-3</v>
      </c>
      <c r="I59" s="704" cm="1">
        <f t="array" ref="I59">SUMPRODUCT('W3'!$K$18:$AJ$1670*('W3'!$A$18:$A$1670='W5'!I$47)*('W3'!$E$18:$E$1670='W5'!$C59)*('W3'!$K$14:$AJ$14='W5'!$Y$1))*$AS$1</f>
        <v>3.2161906451612912</v>
      </c>
      <c r="J59" s="791">
        <f t="shared" si="15"/>
        <v>4.9479856079404482E-3</v>
      </c>
      <c r="K59" s="684" cm="1">
        <f t="array" ref="K59">SUMPRODUCT('W3'!$K$18:$AJ$1670*('W3'!$A$18:$A$1670='W5'!K$47)*('W3'!$E$18:$E$1670='W5'!$C59)*('W3'!$K$14:$AJ$14='W5'!$Y$1))*$AS$1</f>
        <v>3.2161906451612912</v>
      </c>
      <c r="L59" s="789">
        <f t="shared" si="16"/>
        <v>4.9479856079404482E-3</v>
      </c>
      <c r="M59" s="704" cm="1">
        <f t="array" ref="M59">SUMPRODUCT('W3'!$K$18:$AJ$1670*('W3'!$A$18:$A$1670='W5'!M$47)*('W3'!$E$18:$E$1670='W5'!$C59)*('W3'!$K$14:$AJ$14='W5'!$Y$1))*$AS$1</f>
        <v>3.2161906451612912</v>
      </c>
      <c r="N59" s="791">
        <f t="shared" si="17"/>
        <v>5.2724436805922804E-3</v>
      </c>
      <c r="O59" s="333" cm="1">
        <f t="array" ref="O59">SUMPRODUCT('W3'!$K$18:$AJ$1670*('W3'!$A$18:$A$1670='W5'!O$47)*('W3'!$E$18:$E$1670='W5'!$C59)*('W3'!$K$14:$AJ$14='W5'!$Y$1))*$AS$1</f>
        <v>3.2161906451612912</v>
      </c>
      <c r="P59" s="793">
        <f t="shared" si="27"/>
        <v>5.2724436805922804E-3</v>
      </c>
      <c r="Q59" s="704" cm="1">
        <f t="array" ref="Q59">SUMPRODUCT('W3'!$K$18:$AJ$1670*('W3'!$A$18:$A$1670='W5'!Q$47)*('W3'!$E$18:$E$1670='W5'!$C59)*('W3'!$K$14:$AJ$14='W5'!$Y$1))*$AS$1</f>
        <v>3.2161906451612912</v>
      </c>
      <c r="R59" s="791">
        <f t="shared" si="27"/>
        <v>5.488612070839274E-3</v>
      </c>
      <c r="S59" s="704" cm="1">
        <f t="array" ref="S59">SUMPRODUCT('W3'!$K$18:$AJ$1670*('W3'!$A$18:$A$1670='W5'!S$47)*('W3'!$E$18:$E$1670='W5'!$C59)*('W3'!$K$14:$AJ$14='W5'!$Y$1))*$AS$1</f>
        <v>3.2161906451612912</v>
      </c>
      <c r="T59" s="791">
        <f t="shared" si="27"/>
        <v>5.1937386546486953E-3</v>
      </c>
      <c r="U59" s="704" cm="1">
        <f t="array" ref="U59">SUMPRODUCT('W3'!$K$18:$AJ$1670*('W3'!$A$18:$A$1670='W5'!U$47)*('W3'!$E$18:$E$1670='W5'!$C59)*('W3'!$K$14:$AJ$14='W5'!$Y$1))*$AS$1</f>
        <v>3.2161906451612912</v>
      </c>
      <c r="V59" s="791">
        <f t="shared" si="27"/>
        <v>4.7296921252371928E-3</v>
      </c>
      <c r="W59" s="704" cm="1">
        <f t="array" ref="W59">SUMPRODUCT('W3'!$K$18:$AJ$1670*('W3'!$A$18:$A$1670='W5'!W$47)*('W3'!$E$18:$E$1670='W5'!$C59)*('W3'!$K$14:$AJ$14='W5'!$Y$1))*$AS$1</f>
        <v>3.2161906451612912</v>
      </c>
      <c r="X59" s="793">
        <f t="shared" si="27"/>
        <v>4.7296921252371928E-3</v>
      </c>
      <c r="Y59" s="111"/>
    </row>
    <row r="60" spans="2:35" ht="15" customHeight="1" x14ac:dyDescent="0.2">
      <c r="B60" s="408">
        <v>8</v>
      </c>
      <c r="C60" s="794" t="s">
        <v>178</v>
      </c>
      <c r="D60" s="431" t="s">
        <v>309</v>
      </c>
      <c r="E60" s="426" cm="1">
        <f t="array" ref="E60">SUMPRODUCT('W3'!$K$18:$AJ$1670*('W3'!$A$18:$A$1670='W5'!E$47)*('W3'!$E$18:$E$1670='W5'!$C60)*('W3'!$K$14:$AJ$14='W5'!$Y$1))*$AS$1</f>
        <v>0</v>
      </c>
      <c r="F60" s="795">
        <f t="shared" si="14"/>
        <v>0</v>
      </c>
      <c r="G60" s="685" cm="1">
        <f t="array" ref="G60">SUMPRODUCT('W3'!$K$18:$AJ$1670*('W3'!$A$18:$A$1670='W5'!G$47)*('W3'!$E$18:$E$1670='W5'!$C60)*('W3'!$K$14:$AJ$14='W5'!$Y$1))*$AS$1</f>
        <v>0</v>
      </c>
      <c r="H60" s="796">
        <f t="shared" ref="H60:X60" si="28">IFERROR(G60/G$64,0)</f>
        <v>0</v>
      </c>
      <c r="I60" s="705" cm="1">
        <f t="array" ref="I60">SUMPRODUCT('W3'!$K$18:$AJ$1670*('W3'!$A$18:$A$1670='W5'!I$47)*('W3'!$E$18:$E$1670='W5'!$C60)*('W3'!$K$14:$AJ$14='W5'!$Y$1))*$AS$1</f>
        <v>0</v>
      </c>
      <c r="J60" s="797">
        <f t="shared" si="15"/>
        <v>0</v>
      </c>
      <c r="K60" s="685" cm="1">
        <f t="array" ref="K60">SUMPRODUCT('W3'!$K$18:$AJ$1670*('W3'!$A$18:$A$1670='W5'!K$47)*('W3'!$E$18:$E$1670='W5'!$C60)*('W3'!$K$14:$AJ$14='W5'!$Y$1))*$AS$1</f>
        <v>0</v>
      </c>
      <c r="L60" s="796">
        <f t="shared" si="16"/>
        <v>0</v>
      </c>
      <c r="M60" s="705" cm="1">
        <f t="array" ref="M60">SUMPRODUCT('W3'!$K$18:$AJ$1670*('W3'!$A$18:$A$1670='W5'!M$47)*('W3'!$E$18:$E$1670='W5'!$C60)*('W3'!$K$14:$AJ$14='W5'!$Y$1))*$AS$1</f>
        <v>0</v>
      </c>
      <c r="N60" s="797">
        <f t="shared" si="17"/>
        <v>0</v>
      </c>
      <c r="O60" s="409" cm="1">
        <f t="array" ref="O60">SUMPRODUCT('W3'!$K$18:$AJ$1670*('W3'!$A$18:$A$1670='W5'!O$47)*('W3'!$E$18:$E$1670='W5'!$C60)*('W3'!$K$14:$AJ$14='W5'!$Y$1))*$AS$1</f>
        <v>0</v>
      </c>
      <c r="P60" s="798">
        <f t="shared" si="28"/>
        <v>0</v>
      </c>
      <c r="Q60" s="705" cm="1">
        <f t="array" ref="Q60">SUMPRODUCT('W3'!$K$18:$AJ$1670*('W3'!$A$18:$A$1670='W5'!Q$47)*('W3'!$E$18:$E$1670='W5'!$C60)*('W3'!$K$14:$AJ$14='W5'!$Y$1))*$AS$1</f>
        <v>0</v>
      </c>
      <c r="R60" s="797">
        <f t="shared" si="28"/>
        <v>0</v>
      </c>
      <c r="S60" s="705" cm="1">
        <f t="array" ref="S60">SUMPRODUCT('W3'!$K$18:$AJ$1670*('W3'!$A$18:$A$1670='W5'!S$47)*('W3'!$E$18:$E$1670='W5'!$C60)*('W3'!$K$14:$AJ$14='W5'!$Y$1))*$AS$1</f>
        <v>0</v>
      </c>
      <c r="T60" s="797">
        <f t="shared" si="28"/>
        <v>0</v>
      </c>
      <c r="U60" s="705" cm="1">
        <f t="array" ref="U60">SUMPRODUCT('W3'!$K$18:$AJ$1670*('W3'!$A$18:$A$1670='W5'!U$47)*('W3'!$E$18:$E$1670='W5'!$C60)*('W3'!$K$14:$AJ$14='W5'!$Y$1))*$AS$1</f>
        <v>0</v>
      </c>
      <c r="V60" s="797">
        <f t="shared" si="28"/>
        <v>0</v>
      </c>
      <c r="W60" s="705" cm="1">
        <f t="array" ref="W60">SUMPRODUCT('W3'!$K$18:$AJ$1670*('W3'!$A$18:$A$1670='W5'!W$47)*('W3'!$E$18:$E$1670='W5'!$C60)*('W3'!$K$14:$AJ$14='W5'!$Y$1))*$AS$1</f>
        <v>0</v>
      </c>
      <c r="X60" s="798">
        <f t="shared" si="28"/>
        <v>0</v>
      </c>
      <c r="Y60" s="410"/>
    </row>
    <row r="61" spans="2:35" ht="15" customHeight="1" x14ac:dyDescent="0.2">
      <c r="B61" s="110">
        <v>9</v>
      </c>
      <c r="C61" s="114"/>
      <c r="D61" s="433" t="s">
        <v>310</v>
      </c>
      <c r="E61" s="799">
        <f>SUM(E50:E52)</f>
        <v>608.35915336128733</v>
      </c>
      <c r="F61" s="800">
        <f t="shared" si="14"/>
        <v>0.89464581376659902</v>
      </c>
      <c r="G61" s="801">
        <f>SUM(G50:G52)</f>
        <v>640.55846497422726</v>
      </c>
      <c r="H61" s="802">
        <f t="shared" ref="H61:X61" si="29">IFERROR(G61/G$64,0)</f>
        <v>0.9419977426091577</v>
      </c>
      <c r="I61" s="803">
        <f>SUM(I50:I52)</f>
        <v>608.35915336128733</v>
      </c>
      <c r="J61" s="804">
        <f t="shared" si="15"/>
        <v>0.93593715901736507</v>
      </c>
      <c r="K61" s="801">
        <f>SUM(K50:K52)</f>
        <v>640.55846497422726</v>
      </c>
      <c r="L61" s="802">
        <f t="shared" si="16"/>
        <v>0.98547456149881119</v>
      </c>
      <c r="M61" s="803">
        <f>SUM(M50:M52)</f>
        <v>608.35915336128733</v>
      </c>
      <c r="N61" s="804">
        <f t="shared" si="17"/>
        <v>0.99731008747752026</v>
      </c>
      <c r="O61" s="805">
        <f>SUM(O50:O52)</f>
        <v>640.55846497422726</v>
      </c>
      <c r="P61" s="806">
        <f t="shared" si="29"/>
        <v>1.0500958442200448</v>
      </c>
      <c r="Q61" s="803">
        <f>SUM(Q50:Q52)</f>
        <v>608.35915336128733</v>
      </c>
      <c r="R61" s="804">
        <f t="shared" si="29"/>
        <v>1.0381994604604263</v>
      </c>
      <c r="S61" s="803">
        <f>SUM(S50:S52)</f>
        <v>640.55846497422726</v>
      </c>
      <c r="T61" s="804">
        <f t="shared" si="29"/>
        <v>1.0344204144441298</v>
      </c>
      <c r="U61" s="803">
        <f>SUM(U50:U52)</f>
        <v>608.35915336128733</v>
      </c>
      <c r="V61" s="804">
        <f t="shared" si="29"/>
        <v>0.89464581376659902</v>
      </c>
      <c r="W61" s="803">
        <f>SUM(W50:W52)</f>
        <v>640.55846497422726</v>
      </c>
      <c r="X61" s="806">
        <f t="shared" si="29"/>
        <v>0.9419977426091577</v>
      </c>
      <c r="Y61" s="115"/>
    </row>
    <row r="62" spans="2:35" ht="15" customHeight="1" x14ac:dyDescent="0.2">
      <c r="B62" s="411">
        <v>10</v>
      </c>
      <c r="C62" s="807" t="s">
        <v>185</v>
      </c>
      <c r="D62" s="432" t="s">
        <v>311</v>
      </c>
      <c r="E62" s="808">
        <f>(E$1-E61)*Tax_rate</f>
        <v>14.328169327742536</v>
      </c>
      <c r="F62" s="809">
        <f t="shared" si="14"/>
        <v>2.1070837246680199E-2</v>
      </c>
      <c r="G62" s="810">
        <f>(G$1-G61)*Tax_rate</f>
        <v>7.8883070051545481</v>
      </c>
      <c r="H62" s="811">
        <f t="shared" ref="H62:X62" si="30">IFERROR(G62/G$64,0)</f>
        <v>1.1600451478168452E-2</v>
      </c>
      <c r="I62" s="812">
        <f>(I$1-I61)*Tax_rate</f>
        <v>8.3281693277425344</v>
      </c>
      <c r="J62" s="813">
        <f t="shared" si="15"/>
        <v>1.2812568196526975E-2</v>
      </c>
      <c r="K62" s="810">
        <f>(K$1-K61)*Tax_rate</f>
        <v>1.8883070051545474</v>
      </c>
      <c r="L62" s="811">
        <f t="shared" si="16"/>
        <v>2.9050877002377651E-3</v>
      </c>
      <c r="M62" s="851">
        <f>(M$1-M61)*Tax_rate</f>
        <v>0.32816932774253477</v>
      </c>
      <c r="N62" s="813">
        <f t="shared" si="17"/>
        <v>5.3798250449595868E-4</v>
      </c>
      <c r="O62" s="814">
        <f>(O$1-O61)*Tax_rate</f>
        <v>-6.1116929948454528</v>
      </c>
      <c r="P62" s="815">
        <f t="shared" si="30"/>
        <v>-1.0019168844008939E-2</v>
      </c>
      <c r="Q62" s="812">
        <f>(Q$1-Q61)*Tax_rate</f>
        <v>-4.4767874208404468</v>
      </c>
      <c r="R62" s="813">
        <f t="shared" si="30"/>
        <v>-7.6398920920852471E-3</v>
      </c>
      <c r="S62" s="812">
        <f>(S$1-S61)*Tax_rate</f>
        <v>-4.2629258920719852</v>
      </c>
      <c r="T62" s="813">
        <f t="shared" si="30"/>
        <v>-6.8840828888259821E-3</v>
      </c>
      <c r="U62" s="812">
        <f>(U$1-U61)*Tax_rate</f>
        <v>14.328169327742536</v>
      </c>
      <c r="V62" s="813">
        <f t="shared" si="30"/>
        <v>2.1070837246680199E-2</v>
      </c>
      <c r="W62" s="812">
        <f>(W$1-W61)*Tax_rate</f>
        <v>7.8883070051545481</v>
      </c>
      <c r="X62" s="815">
        <f t="shared" si="30"/>
        <v>1.1600451478168452E-2</v>
      </c>
      <c r="Y62" s="412"/>
    </row>
    <row r="63" spans="2:35" ht="15" customHeight="1" x14ac:dyDescent="0.2">
      <c r="B63" s="108" t="s">
        <v>312</v>
      </c>
      <c r="C63" s="777" t="s">
        <v>183</v>
      </c>
      <c r="D63" s="428" t="s">
        <v>184</v>
      </c>
      <c r="E63" s="778">
        <f>(E$1-E61)*(1-Tax_rate)</f>
        <v>57.312677310970145</v>
      </c>
      <c r="F63" s="779">
        <f>IFERROR(E63/E$64,0)</f>
        <v>8.4283348986720796E-2</v>
      </c>
      <c r="G63" s="780">
        <f>(G$1-G61)*(1-Tax_rate)</f>
        <v>31.553228020618192</v>
      </c>
      <c r="H63" s="781">
        <f t="shared" ref="H63:X63" si="31">IFERROR(G63/G$64,0)</f>
        <v>4.6401805912673809E-2</v>
      </c>
      <c r="I63" s="782">
        <f>(I$1-I61)*(1-Tax_rate)</f>
        <v>33.312677310970138</v>
      </c>
      <c r="J63" s="783">
        <f t="shared" si="15"/>
        <v>5.12502727861079E-2</v>
      </c>
      <c r="K63" s="780">
        <f>(K$1-K61)*(1-Tax_rate)</f>
        <v>7.5532280206181897</v>
      </c>
      <c r="L63" s="781">
        <f t="shared" si="16"/>
        <v>1.162035080095106E-2</v>
      </c>
      <c r="M63" s="839">
        <f>(M$1-M61)*(1-Tax_rate)</f>
        <v>1.3126773109701391</v>
      </c>
      <c r="N63" s="783">
        <f t="shared" si="17"/>
        <v>2.1519300179838347E-3</v>
      </c>
      <c r="O63" s="784">
        <f>(O$1-O61)*(1-Tax_rate)</f>
        <v>-24.446771979381811</v>
      </c>
      <c r="P63" s="785">
        <f t="shared" si="31"/>
        <v>-4.0076675376035757E-2</v>
      </c>
      <c r="Q63" s="782">
        <f>(Q$1-Q61)*(1-Tax_rate)</f>
        <v>-17.907149683361787</v>
      </c>
      <c r="R63" s="783">
        <f t="shared" si="31"/>
        <v>-3.0559568368340988E-2</v>
      </c>
      <c r="S63" s="782">
        <f>(S$1-S61)*(1-Tax_rate)</f>
        <v>-17.051703568287941</v>
      </c>
      <c r="T63" s="783">
        <f t="shared" si="31"/>
        <v>-2.7536331555303929E-2</v>
      </c>
      <c r="U63" s="782">
        <f>(U$1-U61)*(1-Tax_rate)</f>
        <v>57.312677310970145</v>
      </c>
      <c r="V63" s="783">
        <f t="shared" si="31"/>
        <v>8.4283348986720796E-2</v>
      </c>
      <c r="W63" s="782">
        <f>(W$1-W61)*(1-Tax_rate)</f>
        <v>31.553228020618192</v>
      </c>
      <c r="X63" s="785">
        <f t="shared" si="31"/>
        <v>4.6401805912673809E-2</v>
      </c>
      <c r="Y63" s="109"/>
      <c r="Z63" s="124"/>
    </row>
    <row r="64" spans="2:35" ht="15" customHeight="1" x14ac:dyDescent="0.2">
      <c r="B64" s="116" t="s">
        <v>313</v>
      </c>
      <c r="C64" s="114"/>
      <c r="D64" s="433" t="s">
        <v>78</v>
      </c>
      <c r="E64" s="799">
        <f>+E61+E62+E63</f>
        <v>680</v>
      </c>
      <c r="F64" s="800">
        <f t="shared" si="14"/>
        <v>1</v>
      </c>
      <c r="G64" s="801">
        <f>+G61+G62+G63</f>
        <v>680</v>
      </c>
      <c r="H64" s="802">
        <f t="shared" ref="H64:X64" si="32">IFERROR(G64/G$64,0)</f>
        <v>1</v>
      </c>
      <c r="I64" s="803">
        <f>+I61+I62+I63</f>
        <v>650</v>
      </c>
      <c r="J64" s="804">
        <f t="shared" si="15"/>
        <v>1</v>
      </c>
      <c r="K64" s="801">
        <f>+K61+K62+K63</f>
        <v>650</v>
      </c>
      <c r="L64" s="802">
        <f t="shared" si="16"/>
        <v>1</v>
      </c>
      <c r="M64" s="803">
        <f>+M61+M62+M63</f>
        <v>610</v>
      </c>
      <c r="N64" s="804">
        <f t="shared" si="17"/>
        <v>1</v>
      </c>
      <c r="O64" s="805">
        <f>+O61+O62+O63</f>
        <v>610</v>
      </c>
      <c r="P64" s="806">
        <f t="shared" si="32"/>
        <v>1</v>
      </c>
      <c r="Q64" s="803">
        <f>+Q61+Q62+Q63</f>
        <v>585.97521625708509</v>
      </c>
      <c r="R64" s="804">
        <f t="shared" si="32"/>
        <v>1</v>
      </c>
      <c r="S64" s="803">
        <f>+S61+S62+S63</f>
        <v>619.24383551386734</v>
      </c>
      <c r="T64" s="804">
        <f t="shared" si="32"/>
        <v>1</v>
      </c>
      <c r="U64" s="803">
        <f>+U61+U62+U63</f>
        <v>680</v>
      </c>
      <c r="V64" s="804">
        <f t="shared" si="32"/>
        <v>1</v>
      </c>
      <c r="W64" s="803">
        <f>+W61+W62+W63</f>
        <v>680</v>
      </c>
      <c r="X64" s="806">
        <f t="shared" si="32"/>
        <v>1</v>
      </c>
      <c r="Y64" s="115"/>
      <c r="Z64" s="145"/>
    </row>
    <row r="65" spans="1:27" ht="15" customHeight="1" thickBot="1" x14ac:dyDescent="0.25">
      <c r="B65" s="117"/>
      <c r="C65" s="117"/>
      <c r="D65" s="434" t="s">
        <v>314</v>
      </c>
      <c r="E65" s="816"/>
      <c r="F65" s="817">
        <f>IFERROR(1-F49/F$64,0)</f>
        <v>0.43840000000000001</v>
      </c>
      <c r="G65" s="818"/>
      <c r="H65" s="819">
        <f>IFERROR(1-H49/H$64,0)</f>
        <v>0.43840000000000001</v>
      </c>
      <c r="I65" s="820"/>
      <c r="J65" s="821">
        <f>IFERROR(1-J49/J$64,0)</f>
        <v>0.41248000000000007</v>
      </c>
      <c r="K65" s="818"/>
      <c r="L65" s="819">
        <f>IFERROR(1-L49/L$64,0)</f>
        <v>0.41248000000000007</v>
      </c>
      <c r="M65" s="820"/>
      <c r="N65" s="821">
        <f>IFERROR(1-N49/N$64,0)</f>
        <v>0.37395409836065574</v>
      </c>
      <c r="O65" s="822"/>
      <c r="P65" s="823">
        <f>IFERROR(1-P49/P$64,0)</f>
        <v>0.37395409836065574</v>
      </c>
      <c r="Q65" s="820"/>
      <c r="R65" s="821">
        <f>IFERROR(1-R49/R$64,0)</f>
        <v>0.34828643020210237</v>
      </c>
      <c r="S65" s="820"/>
      <c r="T65" s="821">
        <f>IFERROR(1-T49/T$64,0)</f>
        <v>0.38329947252022667</v>
      </c>
      <c r="U65" s="820"/>
      <c r="V65" s="821">
        <f>IFERROR(1-V49/V$64,0)</f>
        <v>0.43840000000000001</v>
      </c>
      <c r="W65" s="820"/>
      <c r="X65" s="823">
        <f>IFERROR(1-X49/X$64,0)</f>
        <v>0.43840000000000001</v>
      </c>
      <c r="Y65" s="118"/>
      <c r="AA65" s="124"/>
    </row>
    <row r="66" spans="1:27" ht="15" thickTop="1" x14ac:dyDescent="0.2">
      <c r="E66" s="707"/>
      <c r="F66" s="707"/>
      <c r="I66" s="706"/>
      <c r="J66" s="706"/>
      <c r="K66" s="706"/>
      <c r="L66" s="706"/>
      <c r="M66" s="706"/>
      <c r="N66" s="737"/>
      <c r="O66" s="706"/>
      <c r="Y66" s="706"/>
    </row>
    <row r="67" spans="1:27" ht="23.25" x14ac:dyDescent="0.2">
      <c r="A67" s="775" t="s">
        <v>340</v>
      </c>
      <c r="B67" s="775" t="s">
        <v>764</v>
      </c>
    </row>
    <row r="68" spans="1:27" ht="23.25" hidden="1" x14ac:dyDescent="0.25">
      <c r="B68" s="775"/>
      <c r="E68" s="334">
        <f>EXR</f>
        <v>26000</v>
      </c>
      <c r="G68" s="334">
        <f>EXR</f>
        <v>26000</v>
      </c>
      <c r="O68" s="334">
        <f>EXR</f>
        <v>26000</v>
      </c>
    </row>
    <row r="69" spans="1:27" ht="14.25" customHeight="1" thickBot="1" x14ac:dyDescent="0.25">
      <c r="E69" s="772" t="s">
        <v>404</v>
      </c>
      <c r="G69" s="772" t="s">
        <v>405</v>
      </c>
      <c r="I69" s="772" t="s">
        <v>407</v>
      </c>
      <c r="K69" s="772" t="s">
        <v>692</v>
      </c>
      <c r="M69" s="772" t="s">
        <v>693</v>
      </c>
      <c r="O69" s="772" t="s">
        <v>694</v>
      </c>
      <c r="Q69" s="772" t="s">
        <v>855</v>
      </c>
      <c r="S69" s="772" t="s">
        <v>856</v>
      </c>
      <c r="U69" s="772" t="s">
        <v>857</v>
      </c>
      <c r="W69" s="772" t="s">
        <v>858</v>
      </c>
    </row>
    <row r="70" spans="1:27" ht="30" customHeight="1" thickTop="1" x14ac:dyDescent="0.2">
      <c r="B70" s="106" t="s">
        <v>168</v>
      </c>
      <c r="C70" s="106" t="s">
        <v>297</v>
      </c>
      <c r="D70" s="427" t="s">
        <v>169</v>
      </c>
      <c r="E70" s="424" t="s">
        <v>538</v>
      </c>
      <c r="F70" s="435" t="s">
        <v>298</v>
      </c>
      <c r="G70" s="421" t="s">
        <v>538</v>
      </c>
      <c r="H70" s="708" t="s">
        <v>298</v>
      </c>
      <c r="I70" s="703" t="s">
        <v>538</v>
      </c>
      <c r="J70" s="776" t="s">
        <v>298</v>
      </c>
      <c r="K70" s="703" t="s">
        <v>538</v>
      </c>
      <c r="L70" s="708" t="s">
        <v>298</v>
      </c>
      <c r="M70" s="765" t="s">
        <v>538</v>
      </c>
      <c r="N70" s="824" t="s">
        <v>298</v>
      </c>
      <c r="O70" s="421" t="s">
        <v>538</v>
      </c>
      <c r="P70" s="107" t="s">
        <v>298</v>
      </c>
      <c r="Q70" s="703" t="s">
        <v>538</v>
      </c>
      <c r="R70" s="776" t="s">
        <v>298</v>
      </c>
      <c r="S70" s="703" t="s">
        <v>538</v>
      </c>
      <c r="T70" s="776" t="s">
        <v>298</v>
      </c>
      <c r="U70" s="703" t="s">
        <v>538</v>
      </c>
      <c r="V70" s="776" t="s">
        <v>298</v>
      </c>
      <c r="W70" s="107" t="s">
        <v>538</v>
      </c>
      <c r="X70" s="107" t="s">
        <v>298</v>
      </c>
      <c r="Y70" s="107" t="s">
        <v>299</v>
      </c>
    </row>
    <row r="71" spans="1:27" ht="15" customHeight="1" x14ac:dyDescent="0.2">
      <c r="B71" s="108" t="s">
        <v>170</v>
      </c>
      <c r="C71" s="108">
        <v>1521</v>
      </c>
      <c r="D71" s="428" t="s">
        <v>300</v>
      </c>
      <c r="E71" s="778">
        <f>+SUM(E72:E72)</f>
        <v>979.2</v>
      </c>
      <c r="F71" s="779">
        <f>IFERROR(E71/E$86,0)</f>
        <v>0.56159999999999999</v>
      </c>
      <c r="G71" s="780">
        <f>+SUM(G72:G72)</f>
        <v>979.2</v>
      </c>
      <c r="H71" s="781">
        <f>IFERROR(G71/G$86,0)</f>
        <v>0.56159999999999999</v>
      </c>
      <c r="I71" s="782">
        <f>+SUM(I72:I72)</f>
        <v>979.2</v>
      </c>
      <c r="J71" s="783">
        <f>IFERROR(I71/I$86,0)</f>
        <v>0.58752000000000004</v>
      </c>
      <c r="K71" s="782">
        <f>+SUM(K72:K72)</f>
        <v>979.2</v>
      </c>
      <c r="L71" s="781">
        <f>IFERROR(K71/K$86,0)</f>
        <v>0.58752000000000004</v>
      </c>
      <c r="M71" s="825">
        <f>+SUM(M72:M72)</f>
        <v>979.2</v>
      </c>
      <c r="N71" s="826">
        <f>IFERROR(M71/M$86,0)</f>
        <v>0.62604590163934426</v>
      </c>
      <c r="O71" s="780">
        <f>+SUM(O72:O72)</f>
        <v>979.2</v>
      </c>
      <c r="P71" s="785">
        <f>IFERROR(O71/O$86,0)</f>
        <v>0.62604590163934426</v>
      </c>
      <c r="Q71" s="782">
        <f>+SUM(Q72:Q72)</f>
        <v>979.2</v>
      </c>
      <c r="R71" s="783">
        <f>IFERROR(Q71/Q$86,0)</f>
        <v>0.65171356979789763</v>
      </c>
      <c r="S71" s="782">
        <f>+SUM(S72:S72)</f>
        <v>979.2</v>
      </c>
      <c r="T71" s="783">
        <f>IFERROR(S71/S$86,0)</f>
        <v>0.61670052747977333</v>
      </c>
      <c r="U71" s="782">
        <f>+SUM(U72:U72)</f>
        <v>979.2</v>
      </c>
      <c r="V71" s="783">
        <f>IFERROR(U71/U$86,0)</f>
        <v>0.56159999999999999</v>
      </c>
      <c r="W71" s="782">
        <f>+SUM(W72:W72)</f>
        <v>979.2</v>
      </c>
      <c r="X71" s="785">
        <f>IFERROR(W71/W$86,0)</f>
        <v>0.56159999999999999</v>
      </c>
      <c r="Y71" s="109"/>
      <c r="Z71" s="122"/>
    </row>
    <row r="72" spans="1:27" ht="15" customHeight="1" x14ac:dyDescent="0.2">
      <c r="B72" s="110"/>
      <c r="C72" s="110"/>
      <c r="D72" s="420" t="s">
        <v>167</v>
      </c>
      <c r="E72" s="786">
        <f>E50*PHOI_KG*1000/EXR</f>
        <v>979.2</v>
      </c>
      <c r="F72" s="787">
        <f t="shared" ref="F72:H86" si="33">IFERROR(E72/E$86,0)</f>
        <v>0.56159999999999999</v>
      </c>
      <c r="G72" s="788">
        <f>G50*PHOI_KG*1000/EXR</f>
        <v>979.2</v>
      </c>
      <c r="H72" s="789">
        <f t="shared" si="33"/>
        <v>0.56159999999999999</v>
      </c>
      <c r="I72" s="790">
        <f>I50*PHOI_KG*1000/EXR</f>
        <v>979.2</v>
      </c>
      <c r="J72" s="791">
        <f t="shared" ref="J72:J86" si="34">IFERROR(I72/I$86,0)</f>
        <v>0.58752000000000004</v>
      </c>
      <c r="K72" s="790">
        <f>K50*PHOI_KG*1000/EXR</f>
        <v>979.2</v>
      </c>
      <c r="L72" s="789">
        <f t="shared" ref="L72:L86" si="35">IFERROR(K72/K$86,0)</f>
        <v>0.58752000000000004</v>
      </c>
      <c r="M72" s="827">
        <f>M50*PHOI_KG*1000/EXR</f>
        <v>979.2</v>
      </c>
      <c r="N72" s="828">
        <f t="shared" ref="N72:N86" si="36">IFERROR(M72/M$86,0)</f>
        <v>0.62604590163934426</v>
      </c>
      <c r="O72" s="788">
        <f>O50*PHOI_KG*1000/EXR</f>
        <v>979.2</v>
      </c>
      <c r="P72" s="793">
        <f t="shared" ref="P72:R72" si="37">IFERROR(O72/O$86,0)</f>
        <v>0.62604590163934426</v>
      </c>
      <c r="Q72" s="790">
        <f>Q50*PHOI_KG*1000/EXR</f>
        <v>979.2</v>
      </c>
      <c r="R72" s="791">
        <f t="shared" si="37"/>
        <v>0.65171356979789763</v>
      </c>
      <c r="S72" s="790">
        <f>S50*PHOI_KG*1000/EXR</f>
        <v>979.2</v>
      </c>
      <c r="T72" s="791">
        <f t="shared" ref="T72:T86" si="38">IFERROR(S72/S$86,0)</f>
        <v>0.61670052747977333</v>
      </c>
      <c r="U72" s="790">
        <f>U50*PHOI_KG*1000/EXR</f>
        <v>979.2</v>
      </c>
      <c r="V72" s="791">
        <f t="shared" ref="V72:V86" si="39">IFERROR(U72/U$86,0)</f>
        <v>0.56159999999999999</v>
      </c>
      <c r="W72" s="790">
        <f>W50*PHOI_KG*1000/EXR</f>
        <v>979.2</v>
      </c>
      <c r="X72" s="793">
        <f t="shared" ref="X72:X86" si="40">IFERROR(W72/W$86,0)</f>
        <v>0.56159999999999999</v>
      </c>
      <c r="Y72" s="112"/>
    </row>
    <row r="73" spans="1:27" ht="15" customHeight="1" x14ac:dyDescent="0.2">
      <c r="B73" s="108" t="s">
        <v>176</v>
      </c>
      <c r="C73" s="108">
        <v>1522</v>
      </c>
      <c r="D73" s="428" t="s">
        <v>301</v>
      </c>
      <c r="E73" s="778">
        <f>E51*PHOI_KG*1000/EXR</f>
        <v>73.703225806451741</v>
      </c>
      <c r="F73" s="779">
        <f t="shared" si="33"/>
        <v>4.2270967741935554E-2</v>
      </c>
      <c r="G73" s="780">
        <f>G51*PHOI_KG*1000/EXR</f>
        <v>73.703225806451741</v>
      </c>
      <c r="H73" s="781">
        <f t="shared" si="33"/>
        <v>4.2270967741935554E-2</v>
      </c>
      <c r="I73" s="782">
        <f>I51*PHOI_KG*1000/EXR</f>
        <v>73.703225806451741</v>
      </c>
      <c r="J73" s="783">
        <f t="shared" si="34"/>
        <v>4.4221935483871044E-2</v>
      </c>
      <c r="K73" s="782">
        <f>K51*PHOI_KG*1000/EXR</f>
        <v>73.703225806451741</v>
      </c>
      <c r="L73" s="781">
        <f t="shared" si="35"/>
        <v>4.4221935483871044E-2</v>
      </c>
      <c r="M73" s="825">
        <f>M51*PHOI_KG*1000/EXR</f>
        <v>73.703225806451741</v>
      </c>
      <c r="N73" s="826">
        <f t="shared" si="36"/>
        <v>4.7121734531993732E-2</v>
      </c>
      <c r="O73" s="780">
        <f>O51*PHOI_KG*1000/EXR</f>
        <v>73.703225806451741</v>
      </c>
      <c r="P73" s="785">
        <f t="shared" ref="P73:R73" si="41">IFERROR(O73/O$86,0)</f>
        <v>4.7121734531993732E-2</v>
      </c>
      <c r="Q73" s="782">
        <f>Q51*PHOI_KG*1000/EXR</f>
        <v>73.703225806451741</v>
      </c>
      <c r="R73" s="783">
        <f t="shared" si="41"/>
        <v>4.9053709554680545E-2</v>
      </c>
      <c r="S73" s="782">
        <f>S51*PHOI_KG*1000/EXR</f>
        <v>73.703225806451741</v>
      </c>
      <c r="T73" s="783">
        <f t="shared" si="38"/>
        <v>4.6418319272671191E-2</v>
      </c>
      <c r="U73" s="782">
        <f>U51*PHOI_KG*1000/EXR</f>
        <v>73.703225806451741</v>
      </c>
      <c r="V73" s="783">
        <f t="shared" si="39"/>
        <v>4.2270967741935554E-2</v>
      </c>
      <c r="W73" s="782">
        <f>W51*PHOI_KG*1000/EXR</f>
        <v>73.703225806451741</v>
      </c>
      <c r="X73" s="785">
        <f t="shared" si="40"/>
        <v>4.2270967741935554E-2</v>
      </c>
      <c r="Y73" s="113"/>
    </row>
    <row r="74" spans="1:27" ht="15" customHeight="1" x14ac:dyDescent="0.2">
      <c r="B74" s="108" t="s">
        <v>179</v>
      </c>
      <c r="C74" s="108"/>
      <c r="D74" s="428" t="s">
        <v>302</v>
      </c>
      <c r="E74" s="778">
        <f>SUM(E75:E82)</f>
        <v>506.99203922249029</v>
      </c>
      <c r="F74" s="779">
        <f t="shared" si="33"/>
        <v>0.29077484602466352</v>
      </c>
      <c r="G74" s="780">
        <f>SUM(G75:G82)</f>
        <v>589.55437669156674</v>
      </c>
      <c r="H74" s="781">
        <f t="shared" si="33"/>
        <v>0.33812677486722209</v>
      </c>
      <c r="I74" s="782">
        <f>SUM(I75:I82)</f>
        <v>506.99203922249029</v>
      </c>
      <c r="J74" s="783">
        <f t="shared" si="34"/>
        <v>0.30419522353349415</v>
      </c>
      <c r="K74" s="782">
        <f>SUM(K75:K82)</f>
        <v>589.55437669156674</v>
      </c>
      <c r="L74" s="781">
        <f t="shared" si="35"/>
        <v>0.35373262601494004</v>
      </c>
      <c r="M74" s="825">
        <f>SUM(M75:M82)</f>
        <v>506.99203922249029</v>
      </c>
      <c r="N74" s="826">
        <f t="shared" si="36"/>
        <v>0.3241424513061823</v>
      </c>
      <c r="O74" s="780">
        <f>SUM(O75:O82)</f>
        <v>589.55437669156674</v>
      </c>
      <c r="P74" s="785">
        <f t="shared" ref="P74:R74" si="42">IFERROR(O74/O$86,0)</f>
        <v>0.37692820804870658</v>
      </c>
      <c r="Q74" s="782">
        <f>SUM(Q75:Q82)</f>
        <v>506.99203922249029</v>
      </c>
      <c r="R74" s="783">
        <f t="shared" si="42"/>
        <v>0.33743218110784806</v>
      </c>
      <c r="S74" s="782">
        <f>SUM(S75:S82)</f>
        <v>589.55437669156674</v>
      </c>
      <c r="T74" s="783">
        <f t="shared" si="38"/>
        <v>0.37130156769168526</v>
      </c>
      <c r="U74" s="782">
        <f>SUM(U75:U82)</f>
        <v>506.99203922249029</v>
      </c>
      <c r="V74" s="783">
        <f t="shared" si="39"/>
        <v>0.29077484602466352</v>
      </c>
      <c r="W74" s="782">
        <f>SUM(W75:W82)</f>
        <v>589.55437669156674</v>
      </c>
      <c r="X74" s="785">
        <f t="shared" si="40"/>
        <v>0.33812677486722209</v>
      </c>
      <c r="Y74" s="109"/>
    </row>
    <row r="75" spans="1:27" ht="15" customHeight="1" x14ac:dyDescent="0.2">
      <c r="B75" s="110">
        <v>1</v>
      </c>
      <c r="C75" s="110" t="s">
        <v>171</v>
      </c>
      <c r="D75" s="429" t="s">
        <v>303</v>
      </c>
      <c r="E75" s="425">
        <f t="shared" ref="E75:E82" si="43">E53*PHOI_KG*1000/EXR</f>
        <v>39.193355199141216</v>
      </c>
      <c r="F75" s="787">
        <f t="shared" si="33"/>
        <v>2.2478541952448639E-2</v>
      </c>
      <c r="G75" s="422">
        <f t="shared" ref="G75:I82" si="44">G53*PHOI_KG*1000/EXR</f>
        <v>39.193355199141216</v>
      </c>
      <c r="H75" s="789">
        <f t="shared" si="33"/>
        <v>2.2478541952448639E-2</v>
      </c>
      <c r="I75" s="709">
        <f t="shared" si="44"/>
        <v>39.193355199141216</v>
      </c>
      <c r="J75" s="791">
        <f t="shared" si="34"/>
        <v>2.351601311948473E-2</v>
      </c>
      <c r="K75" s="709">
        <f t="shared" ref="K75" si="45">K53*PHOI_KG*1000/EXR</f>
        <v>39.193355199141216</v>
      </c>
      <c r="L75" s="789">
        <f t="shared" si="35"/>
        <v>2.351601311948473E-2</v>
      </c>
      <c r="M75" s="766">
        <f t="shared" ref="M75" si="46">M53*PHOI_KG*1000/EXR</f>
        <v>39.193355199141216</v>
      </c>
      <c r="N75" s="828">
        <f t="shared" si="36"/>
        <v>2.5058046766664056E-2</v>
      </c>
      <c r="O75" s="422">
        <f t="shared" ref="O75:Q82" si="47">O53*PHOI_KG*1000/EXR</f>
        <v>39.193355199141216</v>
      </c>
      <c r="P75" s="793">
        <f t="shared" ref="P75:R75" si="48">IFERROR(O75/O$86,0)</f>
        <v>2.5058046766664056E-2</v>
      </c>
      <c r="Q75" s="704">
        <f t="shared" si="47"/>
        <v>39.193355199141216</v>
      </c>
      <c r="R75" s="791">
        <f t="shared" si="48"/>
        <v>2.6085418126214573E-2</v>
      </c>
      <c r="S75" s="704">
        <f t="shared" ref="S75" si="49">S53*PHOI_KG*1000/EXR</f>
        <v>39.193355199141216</v>
      </c>
      <c r="T75" s="791">
        <f t="shared" si="38"/>
        <v>2.4683989813125515E-2</v>
      </c>
      <c r="U75" s="704">
        <f t="shared" ref="U75" si="50">U53*PHOI_KG*1000/EXR</f>
        <v>39.193355199141216</v>
      </c>
      <c r="V75" s="791">
        <f t="shared" si="39"/>
        <v>2.2478541952448639E-2</v>
      </c>
      <c r="W75" s="704">
        <f t="shared" ref="W75" si="51">W53*PHOI_KG*1000/EXR</f>
        <v>39.193355199141216</v>
      </c>
      <c r="X75" s="793">
        <f t="shared" si="40"/>
        <v>2.2478541952448639E-2</v>
      </c>
      <c r="Y75" s="111"/>
    </row>
    <row r="76" spans="1:27" ht="15" customHeight="1" x14ac:dyDescent="0.2">
      <c r="B76" s="110">
        <v>2</v>
      </c>
      <c r="C76" s="110" t="s">
        <v>173</v>
      </c>
      <c r="D76" s="429" t="s">
        <v>190</v>
      </c>
      <c r="E76" s="425">
        <f t="shared" si="43"/>
        <v>155.62067109850187</v>
      </c>
      <c r="F76" s="787">
        <f t="shared" si="33"/>
        <v>8.9253031953552539E-2</v>
      </c>
      <c r="G76" s="422">
        <f t="shared" si="44"/>
        <v>192.87651738366029</v>
      </c>
      <c r="H76" s="789">
        <f t="shared" si="33"/>
        <v>0.11062035555827575</v>
      </c>
      <c r="I76" s="709">
        <f t="shared" si="44"/>
        <v>155.62067109850187</v>
      </c>
      <c r="J76" s="791">
        <f t="shared" si="34"/>
        <v>9.3372402659101114E-2</v>
      </c>
      <c r="K76" s="709">
        <f t="shared" ref="K76" si="52">K54*PHOI_KG*1000/EXR</f>
        <v>192.87651738366029</v>
      </c>
      <c r="L76" s="789">
        <f t="shared" si="35"/>
        <v>0.11572591043019617</v>
      </c>
      <c r="M76" s="766">
        <f t="shared" ref="M76" si="53">M54*PHOI_KG*1000/EXR</f>
        <v>155.62067109850187</v>
      </c>
      <c r="N76" s="828">
        <f t="shared" si="36"/>
        <v>9.949518316133725E-2</v>
      </c>
      <c r="O76" s="422">
        <f t="shared" si="47"/>
        <v>192.87651738366029</v>
      </c>
      <c r="P76" s="793">
        <f t="shared" ref="P76:R76" si="54">IFERROR(O76/O$86,0)</f>
        <v>0.12331449472070083</v>
      </c>
      <c r="Q76" s="704">
        <f t="shared" si="47"/>
        <v>155.62067109850187</v>
      </c>
      <c r="R76" s="791">
        <f t="shared" si="54"/>
        <v>0.10357445169112456</v>
      </c>
      <c r="S76" s="704">
        <f t="shared" ref="S76" si="55">S54*PHOI_KG*1000/EXR</f>
        <v>192.87651738366029</v>
      </c>
      <c r="T76" s="791">
        <f t="shared" si="38"/>
        <v>0.12147370303203121</v>
      </c>
      <c r="U76" s="704">
        <f t="shared" ref="U76" si="56">U54*PHOI_KG*1000/EXR</f>
        <v>155.62067109850187</v>
      </c>
      <c r="V76" s="791">
        <f t="shared" si="39"/>
        <v>8.9253031953552539E-2</v>
      </c>
      <c r="W76" s="704">
        <f t="shared" ref="W76" si="57">W54*PHOI_KG*1000/EXR</f>
        <v>192.87651738366029</v>
      </c>
      <c r="X76" s="793">
        <f t="shared" si="40"/>
        <v>0.11062035555827575</v>
      </c>
      <c r="Y76" s="111"/>
    </row>
    <row r="77" spans="1:27" ht="15" customHeight="1" x14ac:dyDescent="0.2">
      <c r="B77" s="110">
        <v>3</v>
      </c>
      <c r="C77" s="110" t="s">
        <v>172</v>
      </c>
      <c r="D77" s="429" t="s">
        <v>181</v>
      </c>
      <c r="E77" s="425">
        <f t="shared" si="43"/>
        <v>83.967245579390948</v>
      </c>
      <c r="F77" s="787">
        <f t="shared" si="33"/>
        <v>4.8157684964650692E-2</v>
      </c>
      <c r="G77" s="422">
        <f t="shared" si="44"/>
        <v>125.84619890507449</v>
      </c>
      <c r="H77" s="789">
        <f t="shared" si="33"/>
        <v>7.2176496430851542E-2</v>
      </c>
      <c r="I77" s="709">
        <f t="shared" si="44"/>
        <v>83.967245579390948</v>
      </c>
      <c r="J77" s="791">
        <f t="shared" si="34"/>
        <v>5.0380347347634566E-2</v>
      </c>
      <c r="K77" s="709">
        <f t="shared" ref="K77" si="58">K55*PHOI_KG*1000/EXR</f>
        <v>125.84619890507449</v>
      </c>
      <c r="L77" s="789">
        <f t="shared" si="35"/>
        <v>7.5507719343044691E-2</v>
      </c>
      <c r="M77" s="766">
        <f t="shared" ref="M77" si="59">M55*PHOI_KG*1000/EXR</f>
        <v>83.967245579390948</v>
      </c>
      <c r="N77" s="828">
        <f t="shared" si="36"/>
        <v>5.3683976681905686E-2</v>
      </c>
      <c r="O77" s="422">
        <f t="shared" si="47"/>
        <v>125.84619890507449</v>
      </c>
      <c r="P77" s="793">
        <f t="shared" ref="P77:R77" si="60">IFERROR(O77/O$86,0)</f>
        <v>8.045904520160499E-2</v>
      </c>
      <c r="Q77" s="704">
        <f t="shared" si="47"/>
        <v>83.967245579390948</v>
      </c>
      <c r="R77" s="791">
        <f t="shared" si="60"/>
        <v>5.5885001391586607E-2</v>
      </c>
      <c r="S77" s="704">
        <f t="shared" ref="S77" si="61">S55*PHOI_KG*1000/EXR</f>
        <v>125.84619890507449</v>
      </c>
      <c r="T77" s="791">
        <f t="shared" si="38"/>
        <v>7.9257983298696807E-2</v>
      </c>
      <c r="U77" s="704">
        <f t="shared" ref="U77" si="62">U55*PHOI_KG*1000/EXR</f>
        <v>83.967245579390948</v>
      </c>
      <c r="V77" s="791">
        <f t="shared" si="39"/>
        <v>4.8157684964650692E-2</v>
      </c>
      <c r="W77" s="704">
        <f t="shared" ref="W77" si="63">W55*PHOI_KG*1000/EXR</f>
        <v>125.84619890507449</v>
      </c>
      <c r="X77" s="793">
        <f t="shared" si="40"/>
        <v>7.2176496430851542E-2</v>
      </c>
      <c r="Y77" s="111"/>
    </row>
    <row r="78" spans="1:27" ht="15" customHeight="1" x14ac:dyDescent="0.2">
      <c r="B78" s="110">
        <v>4</v>
      </c>
      <c r="C78" s="110" t="s">
        <v>174</v>
      </c>
      <c r="D78" s="430" t="s">
        <v>304</v>
      </c>
      <c r="E78" s="425">
        <f t="shared" si="43"/>
        <v>132.27565106478349</v>
      </c>
      <c r="F78" s="787">
        <f t="shared" si="33"/>
        <v>7.5863976345978759E-2</v>
      </c>
      <c r="G78" s="422">
        <f t="shared" si="44"/>
        <v>135.70318892301805</v>
      </c>
      <c r="H78" s="789">
        <f t="shared" si="33"/>
        <v>7.7829770117613287E-2</v>
      </c>
      <c r="I78" s="709">
        <f t="shared" si="44"/>
        <v>132.27565106478349</v>
      </c>
      <c r="J78" s="791">
        <f t="shared" si="34"/>
        <v>7.936539063887009E-2</v>
      </c>
      <c r="K78" s="709">
        <f t="shared" ref="K78" si="64">K56*PHOI_KG*1000/EXR</f>
        <v>135.70318892301805</v>
      </c>
      <c r="L78" s="789">
        <f t="shared" si="35"/>
        <v>8.1421913353810826E-2</v>
      </c>
      <c r="M78" s="766">
        <f t="shared" ref="M78" si="65">M56*PHOI_KG*1000/EXR</f>
        <v>132.27565106478349</v>
      </c>
      <c r="N78" s="828">
        <f t="shared" si="36"/>
        <v>8.4569678549615668E-2</v>
      </c>
      <c r="O78" s="422">
        <f t="shared" si="47"/>
        <v>135.70318892301805</v>
      </c>
      <c r="P78" s="793">
        <f t="shared" ref="P78:R78" si="66">IFERROR(O78/O$86,0)</f>
        <v>8.6761055213077101E-2</v>
      </c>
      <c r="Q78" s="704">
        <f t="shared" si="47"/>
        <v>132.27565106478349</v>
      </c>
      <c r="R78" s="791">
        <f t="shared" si="66"/>
        <v>8.8037006487715605E-2</v>
      </c>
      <c r="S78" s="704">
        <f t="shared" ref="S78" si="67">S56*PHOI_KG*1000/EXR</f>
        <v>135.70318892301805</v>
      </c>
      <c r="T78" s="791">
        <f t="shared" si="38"/>
        <v>8.5465919311185218E-2</v>
      </c>
      <c r="U78" s="704">
        <f t="shared" ref="U78" si="68">U56*PHOI_KG*1000/EXR</f>
        <v>132.27565106478349</v>
      </c>
      <c r="V78" s="791">
        <f t="shared" si="39"/>
        <v>7.5863976345978759E-2</v>
      </c>
      <c r="W78" s="704">
        <f t="shared" ref="W78" si="69">W56*PHOI_KG*1000/EXR</f>
        <v>135.70318892301805</v>
      </c>
      <c r="X78" s="793">
        <f t="shared" si="40"/>
        <v>7.7829770117613287E-2</v>
      </c>
      <c r="Y78" s="111"/>
    </row>
    <row r="79" spans="1:27" ht="15" customHeight="1" x14ac:dyDescent="0.2">
      <c r="B79" s="110">
        <v>5</v>
      </c>
      <c r="C79" s="110" t="s">
        <v>182</v>
      </c>
      <c r="D79" s="429" t="s">
        <v>305</v>
      </c>
      <c r="E79" s="425">
        <f t="shared" si="43"/>
        <v>74.974798387096769</v>
      </c>
      <c r="F79" s="787">
        <f t="shared" si="33"/>
        <v>4.3000252016129024E-2</v>
      </c>
      <c r="G79" s="422">
        <f t="shared" si="44"/>
        <v>74.974798387096769</v>
      </c>
      <c r="H79" s="789">
        <f t="shared" si="33"/>
        <v>4.3000252016129024E-2</v>
      </c>
      <c r="I79" s="709">
        <f t="shared" si="44"/>
        <v>74.974798387096769</v>
      </c>
      <c r="J79" s="791">
        <f t="shared" si="34"/>
        <v>4.4984879032258056E-2</v>
      </c>
      <c r="K79" s="709">
        <f t="shared" ref="K79" si="70">K57*PHOI_KG*1000/EXR</f>
        <v>74.974798387096769</v>
      </c>
      <c r="L79" s="789">
        <f t="shared" si="35"/>
        <v>4.4984879032258056E-2</v>
      </c>
      <c r="M79" s="766">
        <f t="shared" ref="M79" si="71">M57*PHOI_KG*1000/EXR</f>
        <v>74.974798387096769</v>
      </c>
      <c r="N79" s="828">
        <f t="shared" si="36"/>
        <v>4.7934707165520882E-2</v>
      </c>
      <c r="O79" s="422">
        <f t="shared" si="47"/>
        <v>74.974798387096769</v>
      </c>
      <c r="P79" s="793">
        <f t="shared" ref="P79:R79" si="72">IFERROR(O79/O$86,0)</f>
        <v>4.7934707165520882E-2</v>
      </c>
      <c r="Q79" s="704">
        <f t="shared" si="47"/>
        <v>74.974798387096769</v>
      </c>
      <c r="R79" s="791">
        <f t="shared" si="72"/>
        <v>4.9900013788533995E-2</v>
      </c>
      <c r="S79" s="704">
        <f t="shared" ref="S79" si="73">S57*PHOI_KG*1000/EXR</f>
        <v>74.974798387096769</v>
      </c>
      <c r="T79" s="791">
        <f t="shared" si="38"/>
        <v>4.7219156161164455E-2</v>
      </c>
      <c r="U79" s="704">
        <f t="shared" ref="U79" si="74">U57*PHOI_KG*1000/EXR</f>
        <v>74.974798387096769</v>
      </c>
      <c r="V79" s="791">
        <f t="shared" si="39"/>
        <v>4.3000252016129024E-2</v>
      </c>
      <c r="W79" s="704">
        <f t="shared" ref="W79" si="75">W57*PHOI_KG*1000/EXR</f>
        <v>74.974798387096769</v>
      </c>
      <c r="X79" s="793">
        <f t="shared" si="40"/>
        <v>4.3000252016129024E-2</v>
      </c>
      <c r="Y79" s="111"/>
    </row>
    <row r="80" spans="1:27" ht="15" customHeight="1" x14ac:dyDescent="0.2">
      <c r="B80" s="110">
        <v>6</v>
      </c>
      <c r="C80" s="110" t="s">
        <v>306</v>
      </c>
      <c r="D80" s="430" t="s">
        <v>307</v>
      </c>
      <c r="E80" s="425">
        <f t="shared" si="43"/>
        <v>12.713675213675215</v>
      </c>
      <c r="F80" s="787">
        <f t="shared" si="33"/>
        <v>7.2916666666666668E-3</v>
      </c>
      <c r="G80" s="422">
        <f t="shared" si="44"/>
        <v>12.713675213675215</v>
      </c>
      <c r="H80" s="789">
        <f t="shared" si="33"/>
        <v>7.2916666666666668E-3</v>
      </c>
      <c r="I80" s="709">
        <f t="shared" si="44"/>
        <v>12.713675213675215</v>
      </c>
      <c r="J80" s="791">
        <f t="shared" si="34"/>
        <v>7.6282051282051287E-3</v>
      </c>
      <c r="K80" s="709">
        <f t="shared" ref="K80" si="76">K58*PHOI_KG*1000/EXR</f>
        <v>12.713675213675215</v>
      </c>
      <c r="L80" s="789">
        <f t="shared" si="35"/>
        <v>7.6282051282051287E-3</v>
      </c>
      <c r="M80" s="766">
        <f t="shared" ref="M80" si="77">M58*PHOI_KG*1000/EXR</f>
        <v>12.713675213675215</v>
      </c>
      <c r="N80" s="828">
        <f t="shared" si="36"/>
        <v>8.1284153005464488E-3</v>
      </c>
      <c r="O80" s="422">
        <f t="shared" si="47"/>
        <v>12.713675213675215</v>
      </c>
      <c r="P80" s="793">
        <f t="shared" ref="P80:R80" si="78">IFERROR(O80/O$86,0)</f>
        <v>8.1284153005464488E-3</v>
      </c>
      <c r="Q80" s="704">
        <f t="shared" si="47"/>
        <v>12.713675213675215</v>
      </c>
      <c r="R80" s="791">
        <f t="shared" si="78"/>
        <v>8.4616775518334582E-3</v>
      </c>
      <c r="S80" s="704">
        <f t="shared" ref="S80" si="79">S58*PHOI_KG*1000/EXR</f>
        <v>12.713675213675215</v>
      </c>
      <c r="T80" s="791">
        <f t="shared" si="38"/>
        <v>8.0070774208333591E-3</v>
      </c>
      <c r="U80" s="704">
        <f t="shared" ref="U80" si="80">U58*PHOI_KG*1000/EXR</f>
        <v>12.713675213675215</v>
      </c>
      <c r="V80" s="791">
        <f t="shared" si="39"/>
        <v>7.2916666666666668E-3</v>
      </c>
      <c r="W80" s="704">
        <f t="shared" ref="W80" si="81">W58*PHOI_KG*1000/EXR</f>
        <v>12.713675213675215</v>
      </c>
      <c r="X80" s="793">
        <f t="shared" si="40"/>
        <v>7.2916666666666668E-3</v>
      </c>
      <c r="Y80" s="111"/>
    </row>
    <row r="81" spans="1:26" ht="15" customHeight="1" x14ac:dyDescent="0.2">
      <c r="B81" s="110">
        <v>7</v>
      </c>
      <c r="C81" s="110" t="s">
        <v>177</v>
      </c>
      <c r="D81" s="430" t="s">
        <v>308</v>
      </c>
      <c r="E81" s="425">
        <f t="shared" si="43"/>
        <v>8.2466426799007468</v>
      </c>
      <c r="F81" s="787">
        <f t="shared" si="33"/>
        <v>4.7296921252371928E-3</v>
      </c>
      <c r="G81" s="422">
        <f t="shared" si="44"/>
        <v>8.2466426799007468</v>
      </c>
      <c r="H81" s="789">
        <f t="shared" si="33"/>
        <v>4.7296921252371928E-3</v>
      </c>
      <c r="I81" s="709">
        <f t="shared" si="44"/>
        <v>8.2466426799007468</v>
      </c>
      <c r="J81" s="791">
        <f t="shared" si="34"/>
        <v>4.9479856079404482E-3</v>
      </c>
      <c r="K81" s="709">
        <f t="shared" ref="K81" si="82">K59*PHOI_KG*1000/EXR</f>
        <v>8.2466426799007468</v>
      </c>
      <c r="L81" s="789">
        <f t="shared" si="35"/>
        <v>4.9479856079404482E-3</v>
      </c>
      <c r="M81" s="766">
        <f t="shared" ref="M81" si="83">M59*PHOI_KG*1000/EXR</f>
        <v>8.2466426799007468</v>
      </c>
      <c r="N81" s="828">
        <f t="shared" si="36"/>
        <v>5.2724436805922804E-3</v>
      </c>
      <c r="O81" s="422">
        <f t="shared" si="47"/>
        <v>8.2466426799007468</v>
      </c>
      <c r="P81" s="793">
        <f t="shared" ref="P81:R81" si="84">IFERROR(O81/O$86,0)</f>
        <v>5.2724436805922804E-3</v>
      </c>
      <c r="Q81" s="704">
        <f t="shared" si="47"/>
        <v>8.2466426799007468</v>
      </c>
      <c r="R81" s="791">
        <f t="shared" si="84"/>
        <v>5.4886120708392732E-3</v>
      </c>
      <c r="S81" s="704">
        <f t="shared" ref="S81" si="85">S59*PHOI_KG*1000/EXR</f>
        <v>8.2466426799007468</v>
      </c>
      <c r="T81" s="791">
        <f t="shared" si="38"/>
        <v>5.1937386546486953E-3</v>
      </c>
      <c r="U81" s="704">
        <f t="shared" ref="U81" si="86">U59*PHOI_KG*1000/EXR</f>
        <v>8.2466426799007468</v>
      </c>
      <c r="V81" s="791">
        <f t="shared" si="39"/>
        <v>4.7296921252371928E-3</v>
      </c>
      <c r="W81" s="704">
        <f t="shared" ref="W81" si="87">W59*PHOI_KG*1000/EXR</f>
        <v>8.2466426799007468</v>
      </c>
      <c r="X81" s="793">
        <f t="shared" si="40"/>
        <v>4.7296921252371928E-3</v>
      </c>
      <c r="Y81" s="111"/>
    </row>
    <row r="82" spans="1:26" ht="15" customHeight="1" x14ac:dyDescent="0.2">
      <c r="B82" s="408">
        <v>8</v>
      </c>
      <c r="C82" s="408" t="s">
        <v>178</v>
      </c>
      <c r="D82" s="431" t="s">
        <v>309</v>
      </c>
      <c r="E82" s="426">
        <f t="shared" si="43"/>
        <v>0</v>
      </c>
      <c r="F82" s="795">
        <f t="shared" si="33"/>
        <v>0</v>
      </c>
      <c r="G82" s="423">
        <f t="shared" si="44"/>
        <v>0</v>
      </c>
      <c r="H82" s="796">
        <f t="shared" si="33"/>
        <v>0</v>
      </c>
      <c r="I82" s="710">
        <f t="shared" si="44"/>
        <v>0</v>
      </c>
      <c r="J82" s="797">
        <f t="shared" si="34"/>
        <v>0</v>
      </c>
      <c r="K82" s="710">
        <f t="shared" ref="K82" si="88">K60*PHOI_KG*1000/EXR</f>
        <v>0</v>
      </c>
      <c r="L82" s="796">
        <f t="shared" si="35"/>
        <v>0</v>
      </c>
      <c r="M82" s="767">
        <f t="shared" ref="M82" si="89">M60*PHOI_KG*1000/EXR</f>
        <v>0</v>
      </c>
      <c r="N82" s="829">
        <f t="shared" si="36"/>
        <v>0</v>
      </c>
      <c r="O82" s="423">
        <f t="shared" si="47"/>
        <v>0</v>
      </c>
      <c r="P82" s="798">
        <f t="shared" ref="P82:R82" si="90">IFERROR(O82/O$86,0)</f>
        <v>0</v>
      </c>
      <c r="Q82" s="705">
        <f t="shared" si="47"/>
        <v>0</v>
      </c>
      <c r="R82" s="797">
        <f t="shared" si="90"/>
        <v>0</v>
      </c>
      <c r="S82" s="705">
        <f t="shared" ref="S82" si="91">S60*PHOI_KG*1000/EXR</f>
        <v>0</v>
      </c>
      <c r="T82" s="797">
        <f t="shared" si="38"/>
        <v>0</v>
      </c>
      <c r="U82" s="705">
        <f t="shared" ref="U82" si="92">U60*PHOI_KG*1000/EXR</f>
        <v>0</v>
      </c>
      <c r="V82" s="797">
        <f t="shared" si="39"/>
        <v>0</v>
      </c>
      <c r="W82" s="705">
        <f t="shared" ref="W82" si="93">W60*PHOI_KG*1000/EXR</f>
        <v>0</v>
      </c>
      <c r="X82" s="798">
        <f t="shared" si="40"/>
        <v>0</v>
      </c>
      <c r="Y82" s="410"/>
    </row>
    <row r="83" spans="1:26" ht="15" customHeight="1" x14ac:dyDescent="0.2">
      <c r="B83" s="110">
        <v>9</v>
      </c>
      <c r="C83" s="114"/>
      <c r="D83" s="433" t="s">
        <v>310</v>
      </c>
      <c r="E83" s="799">
        <f>SUM(E72:E74)</f>
        <v>1559.895265028942</v>
      </c>
      <c r="F83" s="800">
        <f t="shared" si="33"/>
        <v>0.89464581376659913</v>
      </c>
      <c r="G83" s="801">
        <f>SUM(G72:G74)</f>
        <v>1642.4576024980183</v>
      </c>
      <c r="H83" s="802">
        <f t="shared" si="33"/>
        <v>0.94199774260915758</v>
      </c>
      <c r="I83" s="803">
        <f>SUM(I72:I74)</f>
        <v>1559.895265028942</v>
      </c>
      <c r="J83" s="804">
        <f t="shared" si="34"/>
        <v>0.93593715901736518</v>
      </c>
      <c r="K83" s="803">
        <f>SUM(K72:K74)</f>
        <v>1642.4576024980183</v>
      </c>
      <c r="L83" s="802">
        <f t="shared" si="35"/>
        <v>0.98547456149881096</v>
      </c>
      <c r="M83" s="830">
        <f>SUM(M72:M74)</f>
        <v>1559.895265028942</v>
      </c>
      <c r="N83" s="831">
        <f t="shared" si="36"/>
        <v>0.99731008747752026</v>
      </c>
      <c r="O83" s="801">
        <f>SUM(O72:O74)</f>
        <v>1642.4576024980183</v>
      </c>
      <c r="P83" s="806">
        <f t="shared" ref="P83:R83" si="94">IFERROR(O83/O$86,0)</f>
        <v>1.0500958442200445</v>
      </c>
      <c r="Q83" s="803">
        <f>SUM(Q72:Q74)</f>
        <v>1559.895265028942</v>
      </c>
      <c r="R83" s="804">
        <f t="shared" si="94"/>
        <v>1.0381994604604261</v>
      </c>
      <c r="S83" s="803">
        <f>SUM(S72:S74)</f>
        <v>1642.4576024980183</v>
      </c>
      <c r="T83" s="804">
        <f t="shared" si="38"/>
        <v>1.0344204144441298</v>
      </c>
      <c r="U83" s="803">
        <f>SUM(U72:U74)</f>
        <v>1559.895265028942</v>
      </c>
      <c r="V83" s="804">
        <f t="shared" si="39"/>
        <v>0.89464581376659913</v>
      </c>
      <c r="W83" s="803">
        <f>SUM(W72:W74)</f>
        <v>1642.4576024980183</v>
      </c>
      <c r="X83" s="806">
        <f t="shared" si="40"/>
        <v>0.94199774260915758</v>
      </c>
      <c r="Y83" s="115"/>
    </row>
    <row r="84" spans="1:26" ht="15" customHeight="1" x14ac:dyDescent="0.2">
      <c r="B84" s="411">
        <v>10</v>
      </c>
      <c r="C84" s="411" t="s">
        <v>185</v>
      </c>
      <c r="D84" s="432" t="s">
        <v>311</v>
      </c>
      <c r="E84" s="808">
        <f>(E$1*PHOI_KG*1000/EXR-E83)*Tax_rate</f>
        <v>36.738895712160321</v>
      </c>
      <c r="F84" s="809">
        <f t="shared" si="33"/>
        <v>2.1070837246680185E-2</v>
      </c>
      <c r="G84" s="810">
        <f>(G$1*PHOI_KG*1000/EXR-G83)*Tax_rate</f>
        <v>20.226428218345063</v>
      </c>
      <c r="H84" s="811">
        <f t="shared" si="33"/>
        <v>1.1600451478168492E-2</v>
      </c>
      <c r="I84" s="812">
        <f>(I$1*PHOI_KG*1000/EXR-I83)*Tax_rate</f>
        <v>21.354280327544942</v>
      </c>
      <c r="J84" s="813">
        <f t="shared" si="34"/>
        <v>1.2812568196526965E-2</v>
      </c>
      <c r="K84" s="812">
        <f>(K$1*PHOI_KG*1000/EXR-K83)*Tax_rate</f>
        <v>4.8418128337296826</v>
      </c>
      <c r="L84" s="811">
        <f t="shared" si="35"/>
        <v>2.9050877002378094E-3</v>
      </c>
      <c r="M84" s="832">
        <f>(M$1*PHOI_KG*1000/EXR-M83)*Tax_rate</f>
        <v>0.84145981472443054</v>
      </c>
      <c r="N84" s="833">
        <f t="shared" si="36"/>
        <v>5.379825044959474E-4</v>
      </c>
      <c r="O84" s="810">
        <f>(O$1*PHOI_KG*1000/EXR-O83)*Tax_rate</f>
        <v>-15.671007679090827</v>
      </c>
      <c r="P84" s="815">
        <f t="shared" ref="P84:R84" si="95">IFERROR(O84/O$86,0)</f>
        <v>-1.0019168844008889E-2</v>
      </c>
      <c r="Q84" s="812">
        <f>(Q$1*PHOI_KG*1000/EXR-Q83)*Tax_rate</f>
        <v>-11.47894210471909</v>
      </c>
      <c r="R84" s="813">
        <f t="shared" si="95"/>
        <v>-7.6398920920852428E-3</v>
      </c>
      <c r="S84" s="812">
        <f>(S$1*PHOI_KG*1000/EXR-S83)*Tax_rate</f>
        <v>-10.93057921044092</v>
      </c>
      <c r="T84" s="813">
        <f t="shared" si="38"/>
        <v>-6.8840828888259388E-3</v>
      </c>
      <c r="U84" s="812">
        <f>(U$1*PHOI_KG*1000/EXR-U83)*Tax_rate</f>
        <v>36.738895712160321</v>
      </c>
      <c r="V84" s="813">
        <f t="shared" si="39"/>
        <v>2.1070837246680185E-2</v>
      </c>
      <c r="W84" s="812">
        <f>(W$1*PHOI_KG*1000/EXR-W83)*Tax_rate</f>
        <v>20.226428218345063</v>
      </c>
      <c r="X84" s="815">
        <f t="shared" si="40"/>
        <v>1.1600451478168492E-2</v>
      </c>
      <c r="Y84" s="412"/>
    </row>
    <row r="85" spans="1:26" ht="15" customHeight="1" x14ac:dyDescent="0.2">
      <c r="B85" s="108" t="s">
        <v>312</v>
      </c>
      <c r="C85" s="108" t="s">
        <v>183</v>
      </c>
      <c r="D85" s="428" t="s">
        <v>184</v>
      </c>
      <c r="E85" s="778">
        <f>(E$1*PHOI_KG*1000/EXR-E83)*(1-Tax_rate)</f>
        <v>146.95558284864128</v>
      </c>
      <c r="F85" s="779">
        <f t="shared" si="33"/>
        <v>8.4283348986720741E-2</v>
      </c>
      <c r="G85" s="780">
        <f>(G$1*PHOI_KG*1000/EXR-G83)*(1-Tax_rate)</f>
        <v>80.905712873380253</v>
      </c>
      <c r="H85" s="781">
        <f t="shared" si="33"/>
        <v>4.6401805912673968E-2</v>
      </c>
      <c r="I85" s="782">
        <f>(I$1*PHOI_KG*1000/EXR-I83)*(1-Tax_rate)</f>
        <v>85.417121310179766</v>
      </c>
      <c r="J85" s="783">
        <f t="shared" si="34"/>
        <v>5.1250272786107859E-2</v>
      </c>
      <c r="K85" s="782">
        <f>(K$1*PHOI_KG*1000/EXR-K83)*(1-Tax_rate)</f>
        <v>19.367251334918731</v>
      </c>
      <c r="L85" s="781">
        <f t="shared" si="35"/>
        <v>1.1620350800951237E-2</v>
      </c>
      <c r="M85" s="825">
        <f>(M$1*PHOI_KG*1000/EXR-M83)*(1-Tax_rate)</f>
        <v>3.3658392588977222</v>
      </c>
      <c r="N85" s="826">
        <f t="shared" si="36"/>
        <v>2.1519300179837896E-3</v>
      </c>
      <c r="O85" s="780">
        <f>(O$1*PHOI_KG*1000/EXR-O83)*(1-Tax_rate)</f>
        <v>-62.68403071636331</v>
      </c>
      <c r="P85" s="785">
        <f t="shared" ref="P85:R85" si="96">IFERROR(O85/O$86,0)</f>
        <v>-4.0076675376035556E-2</v>
      </c>
      <c r="Q85" s="782">
        <f>(Q$1*PHOI_KG*1000/EXR-Q83)*(1-Tax_rate)</f>
        <v>-45.915768418876361</v>
      </c>
      <c r="R85" s="783">
        <f t="shared" si="96"/>
        <v>-3.0559568368340971E-2</v>
      </c>
      <c r="S85" s="782">
        <f>(S$1*PHOI_KG*1000/EXR-S83)*(1-Tax_rate)</f>
        <v>-43.722316841763678</v>
      </c>
      <c r="T85" s="783">
        <f t="shared" si="38"/>
        <v>-2.7536331555303755E-2</v>
      </c>
      <c r="U85" s="782">
        <f>(U$1*PHOI_KG*1000/EXR-U83)*(1-Tax_rate)</f>
        <v>146.95558284864128</v>
      </c>
      <c r="V85" s="783">
        <f t="shared" si="39"/>
        <v>8.4283348986720741E-2</v>
      </c>
      <c r="W85" s="782">
        <f>(W$1*PHOI_KG*1000/EXR-W83)*(1-Tax_rate)</f>
        <v>80.905712873380253</v>
      </c>
      <c r="X85" s="785">
        <f t="shared" si="40"/>
        <v>4.6401805912673968E-2</v>
      </c>
      <c r="Y85" s="109"/>
    </row>
    <row r="86" spans="1:26" ht="15" customHeight="1" x14ac:dyDescent="0.2">
      <c r="B86" s="116" t="s">
        <v>313</v>
      </c>
      <c r="C86" s="114"/>
      <c r="D86" s="433" t="s">
        <v>78</v>
      </c>
      <c r="E86" s="799">
        <f>+E83+E84+E85</f>
        <v>1743.5897435897436</v>
      </c>
      <c r="F86" s="800">
        <f t="shared" si="33"/>
        <v>1</v>
      </c>
      <c r="G86" s="801">
        <f>+G83+G84+G85</f>
        <v>1743.5897435897436</v>
      </c>
      <c r="H86" s="802">
        <f t="shared" si="33"/>
        <v>1</v>
      </c>
      <c r="I86" s="803">
        <f>+I83+I84+I85</f>
        <v>1666.6666666666667</v>
      </c>
      <c r="J86" s="804">
        <f t="shared" si="34"/>
        <v>1</v>
      </c>
      <c r="K86" s="803">
        <f>+K83+K84+K85</f>
        <v>1666.6666666666667</v>
      </c>
      <c r="L86" s="802">
        <f t="shared" si="35"/>
        <v>1</v>
      </c>
      <c r="M86" s="830">
        <f>+M83+M84+M85</f>
        <v>1564.1025641025642</v>
      </c>
      <c r="N86" s="831">
        <f t="shared" si="36"/>
        <v>1</v>
      </c>
      <c r="O86" s="801">
        <f>+O83+O84+O85</f>
        <v>1564.1025641025642</v>
      </c>
      <c r="P86" s="806">
        <f t="shared" ref="P86:R86" si="97">IFERROR(O86/O$86,0)</f>
        <v>1</v>
      </c>
      <c r="Q86" s="803">
        <f>+Q83+Q84+Q85</f>
        <v>1502.5005545053466</v>
      </c>
      <c r="R86" s="804">
        <f t="shared" si="97"/>
        <v>1</v>
      </c>
      <c r="S86" s="803">
        <f>+S83+S84+S85</f>
        <v>1587.8047064458137</v>
      </c>
      <c r="T86" s="804">
        <f t="shared" si="38"/>
        <v>1</v>
      </c>
      <c r="U86" s="803">
        <f>+U83+U84+U85</f>
        <v>1743.5897435897436</v>
      </c>
      <c r="V86" s="804">
        <f t="shared" si="39"/>
        <v>1</v>
      </c>
      <c r="W86" s="803">
        <f>+W83+W84+W85</f>
        <v>1743.5897435897436</v>
      </c>
      <c r="X86" s="806">
        <f t="shared" si="40"/>
        <v>1</v>
      </c>
      <c r="Y86" s="115"/>
    </row>
    <row r="87" spans="1:26" ht="15" customHeight="1" thickBot="1" x14ac:dyDescent="0.25">
      <c r="B87" s="117"/>
      <c r="C87" s="117"/>
      <c r="D87" s="434" t="s">
        <v>314</v>
      </c>
      <c r="E87" s="816"/>
      <c r="F87" s="817">
        <f>1-IFERROR(F71/F$86,0)</f>
        <v>0.43840000000000001</v>
      </c>
      <c r="G87" s="818"/>
      <c r="H87" s="819">
        <f>1-IFERROR(H71/H$86,0)</f>
        <v>0.43840000000000001</v>
      </c>
      <c r="I87" s="820"/>
      <c r="J87" s="821">
        <f>1-IFERROR(J71/J$86,0)</f>
        <v>0.41247999999999996</v>
      </c>
      <c r="K87" s="820"/>
      <c r="L87" s="819">
        <f>1-IFERROR(L71/L$86,0)</f>
        <v>0.41247999999999996</v>
      </c>
      <c r="M87" s="834"/>
      <c r="N87" s="835">
        <f>1-IFERROR(N71/N$86,0)</f>
        <v>0.37395409836065574</v>
      </c>
      <c r="O87" s="818"/>
      <c r="P87" s="823">
        <f>1-IFERROR(P71/P$86,0)</f>
        <v>0.37395409836065574</v>
      </c>
      <c r="Q87" s="820"/>
      <c r="R87" s="821">
        <f>IFERROR(1-R71/R$86,0)</f>
        <v>0.34828643020210237</v>
      </c>
      <c r="S87" s="820"/>
      <c r="T87" s="821">
        <f>IFERROR(1-T71/T$86,0)</f>
        <v>0.38329947252022667</v>
      </c>
      <c r="U87" s="820"/>
      <c r="V87" s="821">
        <f>IFERROR(1-V71/V$86,0)</f>
        <v>0.43840000000000001</v>
      </c>
      <c r="W87" s="820"/>
      <c r="X87" s="823">
        <f>IFERROR(1-X71/X$86,0)</f>
        <v>0.43840000000000001</v>
      </c>
      <c r="Y87" s="118"/>
    </row>
    <row r="88" spans="1:26" ht="15" thickTop="1" x14ac:dyDescent="0.2">
      <c r="E88" s="123"/>
      <c r="G88" s="123"/>
      <c r="O88" s="123"/>
    </row>
    <row r="89" spans="1:26" ht="23.25" x14ac:dyDescent="0.2">
      <c r="A89" s="775" t="s">
        <v>729</v>
      </c>
      <c r="B89" s="775" t="s">
        <v>736</v>
      </c>
    </row>
    <row r="90" spans="1:26" ht="14.25" customHeight="1" thickBot="1" x14ac:dyDescent="0.25">
      <c r="E90" s="772" t="s">
        <v>732</v>
      </c>
      <c r="G90" s="772" t="s">
        <v>733</v>
      </c>
      <c r="I90" s="772" t="s">
        <v>734</v>
      </c>
      <c r="K90" s="836" t="s">
        <v>692</v>
      </c>
      <c r="L90" s="372"/>
      <c r="M90" s="836" t="s">
        <v>735</v>
      </c>
      <c r="N90" s="372"/>
      <c r="O90" s="772" t="s">
        <v>694</v>
      </c>
      <c r="Q90" s="772" t="s">
        <v>855</v>
      </c>
      <c r="S90" s="772" t="s">
        <v>856</v>
      </c>
      <c r="U90" s="772" t="s">
        <v>857</v>
      </c>
      <c r="W90" s="772" t="s">
        <v>858</v>
      </c>
    </row>
    <row r="91" spans="1:26" ht="30" customHeight="1" thickTop="1" x14ac:dyDescent="0.2">
      <c r="B91" s="106" t="s">
        <v>168</v>
      </c>
      <c r="C91" s="106" t="s">
        <v>297</v>
      </c>
      <c r="D91" s="427" t="s">
        <v>169</v>
      </c>
      <c r="E91" s="424" t="s">
        <v>730</v>
      </c>
      <c r="F91" s="435" t="s">
        <v>298</v>
      </c>
      <c r="G91" s="421" t="s">
        <v>730</v>
      </c>
      <c r="H91" s="708" t="s">
        <v>298</v>
      </c>
      <c r="I91" s="703" t="s">
        <v>730</v>
      </c>
      <c r="J91" s="776" t="s">
        <v>298</v>
      </c>
      <c r="K91" s="703" t="s">
        <v>730</v>
      </c>
      <c r="L91" s="708" t="s">
        <v>298</v>
      </c>
      <c r="M91" s="765" t="s">
        <v>730</v>
      </c>
      <c r="N91" s="824" t="s">
        <v>298</v>
      </c>
      <c r="O91" s="421" t="s">
        <v>730</v>
      </c>
      <c r="P91" s="107" t="s">
        <v>298</v>
      </c>
      <c r="Q91" s="703" t="s">
        <v>730</v>
      </c>
      <c r="R91" s="776" t="s">
        <v>298</v>
      </c>
      <c r="S91" s="703" t="s">
        <v>730</v>
      </c>
      <c r="T91" s="776" t="s">
        <v>298</v>
      </c>
      <c r="U91" s="703" t="s">
        <v>730</v>
      </c>
      <c r="V91" s="776" t="s">
        <v>298</v>
      </c>
      <c r="W91" s="107" t="s">
        <v>730</v>
      </c>
      <c r="X91" s="107" t="s">
        <v>298</v>
      </c>
      <c r="Y91" s="107" t="s">
        <v>299</v>
      </c>
    </row>
    <row r="92" spans="1:26" ht="15" customHeight="1" x14ac:dyDescent="0.2">
      <c r="B92" s="108" t="s">
        <v>170</v>
      </c>
      <c r="C92" s="108">
        <v>1521</v>
      </c>
      <c r="D92" s="428" t="s">
        <v>300</v>
      </c>
      <c r="E92" s="837">
        <f>+SUM(E93:E93)</f>
        <v>25.459199999999999</v>
      </c>
      <c r="F92" s="779">
        <f>IFERROR(E92/E$107,0)</f>
        <v>0.56159999999999999</v>
      </c>
      <c r="G92" s="838">
        <f t="shared" ref="G92" si="98">+SUM(G93:G93)</f>
        <v>25.459199999999999</v>
      </c>
      <c r="H92" s="781">
        <f>IFERROR(G92/G$107,0)</f>
        <v>0.56159999999999988</v>
      </c>
      <c r="I92" s="839">
        <f t="shared" ref="I92" si="99">+SUM(I93:I93)</f>
        <v>25.459199999999999</v>
      </c>
      <c r="J92" s="783">
        <f>IFERROR(I92/I$107,0)</f>
        <v>0.58751999999999993</v>
      </c>
      <c r="K92" s="839">
        <f t="shared" ref="K92" si="100">+SUM(K93:K93)</f>
        <v>25.459199999999999</v>
      </c>
      <c r="L92" s="781">
        <f>IFERROR(K92/K$107,0)</f>
        <v>0.58751999999999982</v>
      </c>
      <c r="M92" s="840">
        <f t="shared" ref="M92" si="101">+SUM(M93:M93)</f>
        <v>25.459199999999999</v>
      </c>
      <c r="N92" s="826">
        <f>IFERROR(M92/M$107,0)</f>
        <v>0.62604590163934415</v>
      </c>
      <c r="O92" s="838">
        <f t="shared" ref="O92:W92" si="102">+SUM(O93:O93)</f>
        <v>25.459199999999999</v>
      </c>
      <c r="P92" s="785">
        <f>IFERROR(O92/O$107,0)</f>
        <v>0.62604590163934404</v>
      </c>
      <c r="Q92" s="782">
        <f t="shared" si="102"/>
        <v>25.459199999999999</v>
      </c>
      <c r="R92" s="783">
        <f>IFERROR(Q92/Q$107,0)</f>
        <v>0.65171356979789752</v>
      </c>
      <c r="S92" s="782">
        <f t="shared" si="102"/>
        <v>25.459199999999999</v>
      </c>
      <c r="T92" s="783">
        <f>IFERROR(S92/S$107,0)</f>
        <v>0.61670052747977322</v>
      </c>
      <c r="U92" s="782">
        <f t="shared" si="102"/>
        <v>25.459199999999999</v>
      </c>
      <c r="V92" s="783">
        <f>IFERROR(U92/U$107,0)</f>
        <v>0.56159999999999999</v>
      </c>
      <c r="W92" s="782">
        <f t="shared" si="102"/>
        <v>25.459199999999999</v>
      </c>
      <c r="X92" s="785">
        <f>IFERROR(W92/W$107,0)</f>
        <v>0.56159999999999988</v>
      </c>
      <c r="Y92" s="109"/>
      <c r="Z92" s="122"/>
    </row>
    <row r="93" spans="1:26" ht="15" customHeight="1" x14ac:dyDescent="0.2">
      <c r="B93" s="110"/>
      <c r="C93" s="110"/>
      <c r="D93" s="420" t="s">
        <v>167</v>
      </c>
      <c r="E93" s="841">
        <f>E72*EXR/10^6</f>
        <v>25.459199999999999</v>
      </c>
      <c r="F93" s="787">
        <f t="shared" ref="F93:H107" si="103">IFERROR(E93/E$107,0)</f>
        <v>0.56159999999999999</v>
      </c>
      <c r="G93" s="842">
        <f>G72*EXR/10^6</f>
        <v>25.459199999999999</v>
      </c>
      <c r="H93" s="789">
        <f t="shared" si="103"/>
        <v>0.56159999999999988</v>
      </c>
      <c r="I93" s="843">
        <f>I72*EXR/10^6</f>
        <v>25.459199999999999</v>
      </c>
      <c r="J93" s="791">
        <f t="shared" ref="J93:L93" si="104">IFERROR(I93/I$107,0)</f>
        <v>0.58751999999999993</v>
      </c>
      <c r="K93" s="843">
        <f>K72*EXR/10^6</f>
        <v>25.459199999999999</v>
      </c>
      <c r="L93" s="789">
        <f t="shared" si="104"/>
        <v>0.58751999999999982</v>
      </c>
      <c r="M93" s="844">
        <f>M72*EXR/10^6</f>
        <v>25.459199999999999</v>
      </c>
      <c r="N93" s="828">
        <f t="shared" ref="N93" si="105">IFERROR(M93/M$107,0)</f>
        <v>0.62604590163934415</v>
      </c>
      <c r="O93" s="842">
        <f>O72*EXR/10^6</f>
        <v>25.459199999999999</v>
      </c>
      <c r="P93" s="793">
        <f t="shared" ref="P93:X93" si="106">IFERROR(O93/O$107,0)</f>
        <v>0.62604590163934404</v>
      </c>
      <c r="Q93" s="790">
        <f>Q72*EXR/10^6</f>
        <v>25.459199999999999</v>
      </c>
      <c r="R93" s="791">
        <f t="shared" si="106"/>
        <v>0.65171356979789752</v>
      </c>
      <c r="S93" s="790">
        <f>S72*EXR/10^6</f>
        <v>25.459199999999999</v>
      </c>
      <c r="T93" s="791">
        <f t="shared" si="106"/>
        <v>0.61670052747977322</v>
      </c>
      <c r="U93" s="790">
        <f>U72*EXR/10^6</f>
        <v>25.459199999999999</v>
      </c>
      <c r="V93" s="791">
        <f t="shared" si="106"/>
        <v>0.56159999999999999</v>
      </c>
      <c r="W93" s="790">
        <f>W72*EXR/10^6</f>
        <v>25.459199999999999</v>
      </c>
      <c r="X93" s="793">
        <f t="shared" si="106"/>
        <v>0.56159999999999988</v>
      </c>
      <c r="Y93" s="112"/>
    </row>
    <row r="94" spans="1:26" ht="15" customHeight="1" x14ac:dyDescent="0.2">
      <c r="B94" s="108" t="s">
        <v>176</v>
      </c>
      <c r="C94" s="108">
        <v>1522</v>
      </c>
      <c r="D94" s="428" t="s">
        <v>301</v>
      </c>
      <c r="E94" s="837">
        <f>E73*EXR/10^6</f>
        <v>1.9162838709677452</v>
      </c>
      <c r="F94" s="779">
        <f t="shared" si="103"/>
        <v>4.2270967741935561E-2</v>
      </c>
      <c r="G94" s="838">
        <f>G73*EXR/10^6</f>
        <v>1.9162838709677452</v>
      </c>
      <c r="H94" s="781">
        <f t="shared" si="103"/>
        <v>4.2270967741935547E-2</v>
      </c>
      <c r="I94" s="839">
        <f>I73*EXR/10^6</f>
        <v>1.9162838709677452</v>
      </c>
      <c r="J94" s="783">
        <f t="shared" ref="J94:L94" si="107">IFERROR(I94/I$107,0)</f>
        <v>4.4221935483871044E-2</v>
      </c>
      <c r="K94" s="839">
        <f>K73*EXR/10^6</f>
        <v>1.9162838709677452</v>
      </c>
      <c r="L94" s="781">
        <f t="shared" si="107"/>
        <v>4.422193548387103E-2</v>
      </c>
      <c r="M94" s="840">
        <f>M73*EXR/10^6</f>
        <v>1.9162838709677452</v>
      </c>
      <c r="N94" s="826">
        <f t="shared" ref="N94" si="108">IFERROR(M94/M$107,0)</f>
        <v>4.7121734531993732E-2</v>
      </c>
      <c r="O94" s="838">
        <f>O73*EXR/10^6</f>
        <v>1.9162838709677452</v>
      </c>
      <c r="P94" s="785">
        <f t="shared" ref="P94:X94" si="109">IFERROR(O94/O$107,0)</f>
        <v>4.7121734531993718E-2</v>
      </c>
      <c r="Q94" s="782">
        <f>Q73*EXR/10^6</f>
        <v>1.9162838709677452</v>
      </c>
      <c r="R94" s="783">
        <f t="shared" si="109"/>
        <v>4.9053709554680545E-2</v>
      </c>
      <c r="S94" s="782">
        <f>S73*EXR/10^6</f>
        <v>1.9162838709677452</v>
      </c>
      <c r="T94" s="783">
        <f t="shared" si="109"/>
        <v>4.6418319272671184E-2</v>
      </c>
      <c r="U94" s="782">
        <f>U73*EXR/10^6</f>
        <v>1.9162838709677452</v>
      </c>
      <c r="V94" s="783">
        <f t="shared" si="109"/>
        <v>4.2270967741935561E-2</v>
      </c>
      <c r="W94" s="782">
        <f>W73*EXR/10^6</f>
        <v>1.9162838709677452</v>
      </c>
      <c r="X94" s="785">
        <f t="shared" si="109"/>
        <v>4.2270967741935547E-2</v>
      </c>
      <c r="Y94" s="113"/>
    </row>
    <row r="95" spans="1:26" ht="15" customHeight="1" x14ac:dyDescent="0.2">
      <c r="B95" s="108" t="s">
        <v>179</v>
      </c>
      <c r="C95" s="108"/>
      <c r="D95" s="428" t="s">
        <v>302</v>
      </c>
      <c r="E95" s="837">
        <f>SUM(E96:E103)</f>
        <v>13.181793019784747</v>
      </c>
      <c r="F95" s="779">
        <f t="shared" si="103"/>
        <v>0.29077484602466358</v>
      </c>
      <c r="G95" s="838">
        <f t="shared" ref="G95" si="110">SUM(G96:G103)</f>
        <v>15.328413793980738</v>
      </c>
      <c r="H95" s="781">
        <f t="shared" si="103"/>
        <v>0.33812677486722209</v>
      </c>
      <c r="I95" s="839">
        <f t="shared" ref="I95" si="111">SUM(I96:I103)</f>
        <v>13.181793019784747</v>
      </c>
      <c r="J95" s="783">
        <f t="shared" ref="J95:L95" si="112">IFERROR(I95/I$107,0)</f>
        <v>0.30419522353349415</v>
      </c>
      <c r="K95" s="839">
        <f t="shared" ref="K95" si="113">SUM(K96:K103)</f>
        <v>15.328413793980738</v>
      </c>
      <c r="L95" s="781">
        <f t="shared" si="112"/>
        <v>0.35373262601494004</v>
      </c>
      <c r="M95" s="840">
        <f t="shared" ref="M95" si="114">SUM(M96:M103)</f>
        <v>13.181793019784747</v>
      </c>
      <c r="N95" s="826">
        <f t="shared" ref="N95" si="115">IFERROR(M95/M$107,0)</f>
        <v>0.32414245130618224</v>
      </c>
      <c r="O95" s="838">
        <f t="shared" ref="O95:Q95" si="116">SUM(O96:O103)</f>
        <v>15.328413793980738</v>
      </c>
      <c r="P95" s="785">
        <f t="shared" ref="P95:X95" si="117">IFERROR(O95/O$107,0)</f>
        <v>0.37692820804870658</v>
      </c>
      <c r="Q95" s="782">
        <f t="shared" si="116"/>
        <v>13.181793019784747</v>
      </c>
      <c r="R95" s="783">
        <f t="shared" si="117"/>
        <v>0.33743218110784806</v>
      </c>
      <c r="S95" s="782">
        <f t="shared" ref="S95" si="118">SUM(S96:S103)</f>
        <v>15.328413793980738</v>
      </c>
      <c r="T95" s="783">
        <f t="shared" si="117"/>
        <v>0.37130156769168526</v>
      </c>
      <c r="U95" s="782">
        <f t="shared" ref="U95" si="119">SUM(U96:U103)</f>
        <v>13.181793019784747</v>
      </c>
      <c r="V95" s="783">
        <f t="shared" si="117"/>
        <v>0.29077484602466358</v>
      </c>
      <c r="W95" s="782">
        <f t="shared" ref="W95" si="120">SUM(W96:W103)</f>
        <v>15.328413793980738</v>
      </c>
      <c r="X95" s="785">
        <f t="shared" si="117"/>
        <v>0.33812677486722209</v>
      </c>
      <c r="Y95" s="109"/>
    </row>
    <row r="96" spans="1:26" ht="15" customHeight="1" x14ac:dyDescent="0.2">
      <c r="B96" s="110">
        <v>19</v>
      </c>
      <c r="C96" s="110" t="s">
        <v>171</v>
      </c>
      <c r="D96" s="429" t="s">
        <v>303</v>
      </c>
      <c r="E96" s="756">
        <f t="shared" ref="E96:E103" si="121">E75*EXR/10^6</f>
        <v>1.0190272351776717</v>
      </c>
      <c r="F96" s="787">
        <f t="shared" si="103"/>
        <v>2.2478541952448642E-2</v>
      </c>
      <c r="G96" s="761">
        <f t="shared" ref="G96:G103" si="122">G75*EXR/10^6</f>
        <v>1.0190272351776717</v>
      </c>
      <c r="H96" s="789">
        <f t="shared" si="103"/>
        <v>2.2478541952448635E-2</v>
      </c>
      <c r="I96" s="763">
        <f t="shared" ref="I96:I103" si="123">I75*EXR/10^6</f>
        <v>1.0190272351776717</v>
      </c>
      <c r="J96" s="791">
        <f t="shared" ref="J96:L96" si="124">IFERROR(I96/I$107,0)</f>
        <v>2.351601311948473E-2</v>
      </c>
      <c r="K96" s="763">
        <f t="shared" ref="K96:K103" si="125">K75*EXR/10^6</f>
        <v>1.0190272351776717</v>
      </c>
      <c r="L96" s="789">
        <f t="shared" si="124"/>
        <v>2.3516013119484726E-2</v>
      </c>
      <c r="M96" s="768">
        <f t="shared" ref="M96:M103" si="126">M75*EXR/10^6</f>
        <v>1.0190272351776717</v>
      </c>
      <c r="N96" s="828">
        <f t="shared" ref="N96" si="127">IFERROR(M96/M$107,0)</f>
        <v>2.5058046766664056E-2</v>
      </c>
      <c r="O96" s="761">
        <f t="shared" ref="O96:Q103" si="128">O75*EXR/10^6</f>
        <v>1.0190272351776717</v>
      </c>
      <c r="P96" s="793">
        <f t="shared" ref="P96:X96" si="129">IFERROR(O96/O$107,0)</f>
        <v>2.5058046766664052E-2</v>
      </c>
      <c r="Q96" s="704">
        <f t="shared" si="128"/>
        <v>1.0190272351776717</v>
      </c>
      <c r="R96" s="791">
        <f t="shared" si="129"/>
        <v>2.6085418126214576E-2</v>
      </c>
      <c r="S96" s="704">
        <f t="shared" ref="S96" si="130">S75*EXR/10^6</f>
        <v>1.0190272351776717</v>
      </c>
      <c r="T96" s="791">
        <f t="shared" si="129"/>
        <v>2.4683989813125515E-2</v>
      </c>
      <c r="U96" s="704">
        <f t="shared" ref="U96" si="131">U75*EXR/10^6</f>
        <v>1.0190272351776717</v>
      </c>
      <c r="V96" s="791">
        <f t="shared" si="129"/>
        <v>2.2478541952448642E-2</v>
      </c>
      <c r="W96" s="704">
        <f t="shared" ref="W96" si="132">W75*EXR/10^6</f>
        <v>1.0190272351776717</v>
      </c>
      <c r="X96" s="793">
        <f t="shared" si="129"/>
        <v>2.2478541952448635E-2</v>
      </c>
      <c r="Y96" s="111"/>
    </row>
    <row r="97" spans="2:25" ht="15" customHeight="1" x14ac:dyDescent="0.2">
      <c r="B97" s="110">
        <v>20</v>
      </c>
      <c r="C97" s="110" t="s">
        <v>173</v>
      </c>
      <c r="D97" s="429" t="s">
        <v>190</v>
      </c>
      <c r="E97" s="756">
        <f t="shared" si="121"/>
        <v>4.0461374485610486</v>
      </c>
      <c r="F97" s="787">
        <f t="shared" si="103"/>
        <v>8.9253031953552553E-2</v>
      </c>
      <c r="G97" s="761">
        <f t="shared" si="122"/>
        <v>5.0147894519751679</v>
      </c>
      <c r="H97" s="789">
        <f t="shared" si="103"/>
        <v>0.11062035555827573</v>
      </c>
      <c r="I97" s="763">
        <f t="shared" si="123"/>
        <v>4.0461374485610486</v>
      </c>
      <c r="J97" s="791">
        <f t="shared" ref="J97:L97" si="133">IFERROR(I97/I$107,0)</f>
        <v>9.3372402659101114E-2</v>
      </c>
      <c r="K97" s="763">
        <f t="shared" si="125"/>
        <v>5.0147894519751679</v>
      </c>
      <c r="L97" s="789">
        <f t="shared" si="133"/>
        <v>0.11572591043019616</v>
      </c>
      <c r="M97" s="768">
        <f t="shared" si="126"/>
        <v>4.0461374485610486</v>
      </c>
      <c r="N97" s="828">
        <f t="shared" ref="N97" si="134">IFERROR(M97/M$107,0)</f>
        <v>9.949518316133725E-2</v>
      </c>
      <c r="O97" s="761">
        <f t="shared" si="128"/>
        <v>5.0147894519751679</v>
      </c>
      <c r="P97" s="793">
        <f t="shared" ref="P97:X97" si="135">IFERROR(O97/O$107,0)</f>
        <v>0.12331449472070082</v>
      </c>
      <c r="Q97" s="704">
        <f t="shared" si="128"/>
        <v>4.0461374485610486</v>
      </c>
      <c r="R97" s="791">
        <f t="shared" si="135"/>
        <v>0.10357445169112456</v>
      </c>
      <c r="S97" s="704">
        <f t="shared" ref="S97" si="136">S76*EXR/10^6</f>
        <v>5.0147894519751679</v>
      </c>
      <c r="T97" s="791">
        <f t="shared" si="135"/>
        <v>0.12147370303203121</v>
      </c>
      <c r="U97" s="704">
        <f t="shared" ref="U97" si="137">U76*EXR/10^6</f>
        <v>4.0461374485610486</v>
      </c>
      <c r="V97" s="791">
        <f t="shared" si="135"/>
        <v>8.9253031953552553E-2</v>
      </c>
      <c r="W97" s="704">
        <f t="shared" ref="W97" si="138">W76*EXR/10^6</f>
        <v>5.0147894519751679</v>
      </c>
      <c r="X97" s="793">
        <f t="shared" si="135"/>
        <v>0.11062035555827573</v>
      </c>
      <c r="Y97" s="111"/>
    </row>
    <row r="98" spans="2:25" ht="15" customHeight="1" x14ac:dyDescent="0.2">
      <c r="B98" s="110">
        <v>21</v>
      </c>
      <c r="C98" s="110" t="s">
        <v>172</v>
      </c>
      <c r="D98" s="429" t="s">
        <v>181</v>
      </c>
      <c r="E98" s="756">
        <f t="shared" si="121"/>
        <v>2.1831483850641646</v>
      </c>
      <c r="F98" s="787">
        <f t="shared" si="103"/>
        <v>4.8157684964650699E-2</v>
      </c>
      <c r="G98" s="761">
        <f t="shared" si="122"/>
        <v>3.2720011715319366</v>
      </c>
      <c r="H98" s="789">
        <f t="shared" si="103"/>
        <v>7.2176496430851528E-2</v>
      </c>
      <c r="I98" s="763">
        <f t="shared" si="123"/>
        <v>2.1831483850641646</v>
      </c>
      <c r="J98" s="791">
        <f t="shared" ref="J98:L98" si="139">IFERROR(I98/I$107,0)</f>
        <v>5.0380347347634566E-2</v>
      </c>
      <c r="K98" s="763">
        <f t="shared" si="125"/>
        <v>3.2720011715319366</v>
      </c>
      <c r="L98" s="789">
        <f t="shared" si="139"/>
        <v>7.5507719343044677E-2</v>
      </c>
      <c r="M98" s="768">
        <f t="shared" si="126"/>
        <v>2.1831483850641646</v>
      </c>
      <c r="N98" s="828">
        <f t="shared" ref="N98" si="140">IFERROR(M98/M$107,0)</f>
        <v>5.3683976681905679E-2</v>
      </c>
      <c r="O98" s="761">
        <f t="shared" si="128"/>
        <v>3.2720011715319366</v>
      </c>
      <c r="P98" s="793">
        <f t="shared" ref="P98:X98" si="141">IFERROR(O98/O$107,0)</f>
        <v>8.0459045201604976E-2</v>
      </c>
      <c r="Q98" s="704">
        <f t="shared" si="128"/>
        <v>2.1831483850641646</v>
      </c>
      <c r="R98" s="791">
        <f t="shared" si="141"/>
        <v>5.5885001391586614E-2</v>
      </c>
      <c r="S98" s="704">
        <f t="shared" ref="S98" si="142">S77*EXR/10^6</f>
        <v>3.2720011715319366</v>
      </c>
      <c r="T98" s="791">
        <f t="shared" si="141"/>
        <v>7.9257983298696794E-2</v>
      </c>
      <c r="U98" s="704">
        <f t="shared" ref="U98" si="143">U77*EXR/10^6</f>
        <v>2.1831483850641646</v>
      </c>
      <c r="V98" s="791">
        <f t="shared" si="141"/>
        <v>4.8157684964650699E-2</v>
      </c>
      <c r="W98" s="704">
        <f t="shared" ref="W98" si="144">W77*EXR/10^6</f>
        <v>3.2720011715319366</v>
      </c>
      <c r="X98" s="793">
        <f t="shared" si="141"/>
        <v>7.2176496430851528E-2</v>
      </c>
      <c r="Y98" s="111"/>
    </row>
    <row r="99" spans="2:25" ht="15" customHeight="1" x14ac:dyDescent="0.2">
      <c r="B99" s="110">
        <v>22</v>
      </c>
      <c r="C99" s="110" t="s">
        <v>174</v>
      </c>
      <c r="D99" s="430" t="s">
        <v>304</v>
      </c>
      <c r="E99" s="756">
        <f t="shared" si="121"/>
        <v>3.4391669276843708</v>
      </c>
      <c r="F99" s="787">
        <f t="shared" si="103"/>
        <v>7.5863976345978773E-2</v>
      </c>
      <c r="G99" s="761">
        <f t="shared" si="122"/>
        <v>3.5282829119984696</v>
      </c>
      <c r="H99" s="789">
        <f t="shared" si="103"/>
        <v>7.7829770117613287E-2</v>
      </c>
      <c r="I99" s="763">
        <f t="shared" si="123"/>
        <v>3.4391669276843708</v>
      </c>
      <c r="J99" s="791">
        <f t="shared" ref="J99:L99" si="145">IFERROR(I99/I$107,0)</f>
        <v>7.936539063887009E-2</v>
      </c>
      <c r="K99" s="763">
        <f t="shared" si="125"/>
        <v>3.5282829119984696</v>
      </c>
      <c r="L99" s="789">
        <f t="shared" si="145"/>
        <v>8.1421913353810813E-2</v>
      </c>
      <c r="M99" s="768">
        <f t="shared" si="126"/>
        <v>3.4391669276843708</v>
      </c>
      <c r="N99" s="828">
        <f t="shared" ref="N99" si="146">IFERROR(M99/M$107,0)</f>
        <v>8.4569678549615668E-2</v>
      </c>
      <c r="O99" s="761">
        <f t="shared" si="128"/>
        <v>3.5282829119984696</v>
      </c>
      <c r="P99" s="793">
        <f t="shared" ref="P99:X99" si="147">IFERROR(O99/O$107,0)</f>
        <v>8.6761055213077101E-2</v>
      </c>
      <c r="Q99" s="704">
        <f t="shared" si="128"/>
        <v>3.4391669276843708</v>
      </c>
      <c r="R99" s="791">
        <f t="shared" si="147"/>
        <v>8.8037006487715605E-2</v>
      </c>
      <c r="S99" s="704">
        <f t="shared" ref="S99" si="148">S78*EXR/10^6</f>
        <v>3.5282829119984696</v>
      </c>
      <c r="T99" s="791">
        <f t="shared" si="147"/>
        <v>8.5465919311185218E-2</v>
      </c>
      <c r="U99" s="704">
        <f t="shared" ref="U99" si="149">U78*EXR/10^6</f>
        <v>3.4391669276843708</v>
      </c>
      <c r="V99" s="791">
        <f t="shared" si="147"/>
        <v>7.5863976345978773E-2</v>
      </c>
      <c r="W99" s="704">
        <f t="shared" ref="W99" si="150">W78*EXR/10^6</f>
        <v>3.5282829119984696</v>
      </c>
      <c r="X99" s="793">
        <f t="shared" si="147"/>
        <v>7.7829770117613287E-2</v>
      </c>
      <c r="Y99" s="111"/>
    </row>
    <row r="100" spans="2:25" ht="15" customHeight="1" x14ac:dyDescent="0.2">
      <c r="B100" s="110">
        <v>23</v>
      </c>
      <c r="C100" s="110" t="s">
        <v>182</v>
      </c>
      <c r="D100" s="429" t="s">
        <v>305</v>
      </c>
      <c r="E100" s="756">
        <f t="shared" si="121"/>
        <v>1.9493447580645158</v>
      </c>
      <c r="F100" s="787">
        <f t="shared" si="103"/>
        <v>4.3000252016129031E-2</v>
      </c>
      <c r="G100" s="761">
        <f t="shared" si="122"/>
        <v>1.9493447580645158</v>
      </c>
      <c r="H100" s="789">
        <f t="shared" si="103"/>
        <v>4.3000252016129017E-2</v>
      </c>
      <c r="I100" s="763">
        <f t="shared" si="123"/>
        <v>1.9493447580645158</v>
      </c>
      <c r="J100" s="791">
        <f t="shared" ref="J100:L100" si="151">IFERROR(I100/I$107,0)</f>
        <v>4.4984879032258056E-2</v>
      </c>
      <c r="K100" s="763">
        <f t="shared" si="125"/>
        <v>1.9493447580645158</v>
      </c>
      <c r="L100" s="789">
        <f t="shared" si="151"/>
        <v>4.4984879032258049E-2</v>
      </c>
      <c r="M100" s="768">
        <f t="shared" si="126"/>
        <v>1.9493447580645158</v>
      </c>
      <c r="N100" s="828">
        <f t="shared" ref="N100" si="152">IFERROR(M100/M$107,0)</f>
        <v>4.7934707165520875E-2</v>
      </c>
      <c r="O100" s="761">
        <f t="shared" si="128"/>
        <v>1.9493447580645158</v>
      </c>
      <c r="P100" s="793">
        <f t="shared" ref="P100:X100" si="153">IFERROR(O100/O$107,0)</f>
        <v>4.7934707165520868E-2</v>
      </c>
      <c r="Q100" s="704">
        <f t="shared" si="128"/>
        <v>1.9493447580645158</v>
      </c>
      <c r="R100" s="791">
        <f t="shared" si="153"/>
        <v>4.9900013788533988E-2</v>
      </c>
      <c r="S100" s="704">
        <f t="shared" ref="S100" si="154">S79*EXR/10^6</f>
        <v>1.9493447580645158</v>
      </c>
      <c r="T100" s="791">
        <f t="shared" si="153"/>
        <v>4.7219156161164448E-2</v>
      </c>
      <c r="U100" s="704">
        <f t="shared" ref="U100" si="155">U79*EXR/10^6</f>
        <v>1.9493447580645158</v>
      </c>
      <c r="V100" s="791">
        <f t="shared" si="153"/>
        <v>4.3000252016129031E-2</v>
      </c>
      <c r="W100" s="704">
        <f t="shared" ref="W100" si="156">W79*EXR/10^6</f>
        <v>1.9493447580645158</v>
      </c>
      <c r="X100" s="793">
        <f t="shared" si="153"/>
        <v>4.3000252016129017E-2</v>
      </c>
      <c r="Y100" s="111"/>
    </row>
    <row r="101" spans="2:25" ht="15" customHeight="1" x14ac:dyDescent="0.2">
      <c r="B101" s="110">
        <v>24</v>
      </c>
      <c r="C101" s="110" t="s">
        <v>306</v>
      </c>
      <c r="D101" s="430" t="s">
        <v>307</v>
      </c>
      <c r="E101" s="756">
        <f t="shared" si="121"/>
        <v>0.33055555555555555</v>
      </c>
      <c r="F101" s="787">
        <f t="shared" si="103"/>
        <v>7.2916666666666676E-3</v>
      </c>
      <c r="G101" s="761">
        <f t="shared" si="122"/>
        <v>0.33055555555555555</v>
      </c>
      <c r="H101" s="789">
        <f t="shared" si="103"/>
        <v>7.291666666666665E-3</v>
      </c>
      <c r="I101" s="763">
        <f t="shared" si="123"/>
        <v>0.33055555555555555</v>
      </c>
      <c r="J101" s="791">
        <f t="shared" ref="J101:L101" si="157">IFERROR(I101/I$107,0)</f>
        <v>7.6282051282051278E-3</v>
      </c>
      <c r="K101" s="763">
        <f t="shared" si="125"/>
        <v>0.33055555555555555</v>
      </c>
      <c r="L101" s="789">
        <f t="shared" si="157"/>
        <v>7.6282051282051261E-3</v>
      </c>
      <c r="M101" s="768">
        <f t="shared" si="126"/>
        <v>0.33055555555555555</v>
      </c>
      <c r="N101" s="828">
        <f t="shared" ref="N101" si="158">IFERROR(M101/M$107,0)</f>
        <v>8.1284153005464471E-3</v>
      </c>
      <c r="O101" s="761">
        <f t="shared" si="128"/>
        <v>0.33055555555555555</v>
      </c>
      <c r="P101" s="793">
        <f t="shared" ref="P101:X101" si="159">IFERROR(O101/O$107,0)</f>
        <v>8.1284153005464453E-3</v>
      </c>
      <c r="Q101" s="704">
        <f t="shared" si="128"/>
        <v>0.33055555555555555</v>
      </c>
      <c r="R101" s="791">
        <f t="shared" si="159"/>
        <v>8.4616775518334582E-3</v>
      </c>
      <c r="S101" s="704">
        <f t="shared" ref="S101" si="160">S80*EXR/10^6</f>
        <v>0.33055555555555555</v>
      </c>
      <c r="T101" s="791">
        <f t="shared" si="159"/>
        <v>8.0070774208333573E-3</v>
      </c>
      <c r="U101" s="704">
        <f t="shared" ref="U101" si="161">U80*EXR/10^6</f>
        <v>0.33055555555555555</v>
      </c>
      <c r="V101" s="791">
        <f t="shared" si="159"/>
        <v>7.2916666666666676E-3</v>
      </c>
      <c r="W101" s="704">
        <f t="shared" ref="W101" si="162">W80*EXR/10^6</f>
        <v>0.33055555555555555</v>
      </c>
      <c r="X101" s="793">
        <f t="shared" si="159"/>
        <v>7.291666666666665E-3</v>
      </c>
      <c r="Y101" s="111"/>
    </row>
    <row r="102" spans="2:25" ht="15" customHeight="1" x14ac:dyDescent="0.2">
      <c r="B102" s="110">
        <v>25</v>
      </c>
      <c r="C102" s="110" t="s">
        <v>177</v>
      </c>
      <c r="D102" s="430" t="s">
        <v>308</v>
      </c>
      <c r="E102" s="756">
        <f t="shared" si="121"/>
        <v>0.21441270967741943</v>
      </c>
      <c r="F102" s="787">
        <f t="shared" si="103"/>
        <v>4.7296921252371936E-3</v>
      </c>
      <c r="G102" s="761">
        <f t="shared" si="122"/>
        <v>0.21441270967741943</v>
      </c>
      <c r="H102" s="789">
        <f t="shared" si="103"/>
        <v>4.7296921252371928E-3</v>
      </c>
      <c r="I102" s="763">
        <f t="shared" si="123"/>
        <v>0.21441270967741943</v>
      </c>
      <c r="J102" s="791">
        <f t="shared" ref="J102:L102" si="163">IFERROR(I102/I$107,0)</f>
        <v>4.9479856079404482E-3</v>
      </c>
      <c r="K102" s="763">
        <f t="shared" si="125"/>
        <v>0.21441270967741943</v>
      </c>
      <c r="L102" s="789">
        <f t="shared" si="163"/>
        <v>4.9479856079404473E-3</v>
      </c>
      <c r="M102" s="768">
        <f t="shared" si="126"/>
        <v>0.21441270967741943</v>
      </c>
      <c r="N102" s="828">
        <f t="shared" ref="N102" si="164">IFERROR(M102/M$107,0)</f>
        <v>5.2724436805922804E-3</v>
      </c>
      <c r="O102" s="761">
        <f t="shared" si="128"/>
        <v>0.21441270967741943</v>
      </c>
      <c r="P102" s="793">
        <f t="shared" ref="P102:X102" si="165">IFERROR(O102/O$107,0)</f>
        <v>5.2724436805922795E-3</v>
      </c>
      <c r="Q102" s="704">
        <f t="shared" si="128"/>
        <v>0.21441270967741943</v>
      </c>
      <c r="R102" s="791">
        <f t="shared" si="165"/>
        <v>5.488612070839274E-3</v>
      </c>
      <c r="S102" s="704">
        <f t="shared" ref="S102" si="166">S81*EXR/10^6</f>
        <v>0.21441270967741943</v>
      </c>
      <c r="T102" s="791">
        <f t="shared" si="165"/>
        <v>5.1937386546486945E-3</v>
      </c>
      <c r="U102" s="704">
        <f t="shared" ref="U102" si="167">U81*EXR/10^6</f>
        <v>0.21441270967741943</v>
      </c>
      <c r="V102" s="791">
        <f t="shared" si="165"/>
        <v>4.7296921252371936E-3</v>
      </c>
      <c r="W102" s="704">
        <f t="shared" ref="W102" si="168">W81*EXR/10^6</f>
        <v>0.21441270967741943</v>
      </c>
      <c r="X102" s="793">
        <f t="shared" si="165"/>
        <v>4.7296921252371928E-3</v>
      </c>
      <c r="Y102" s="111"/>
    </row>
    <row r="103" spans="2:25" ht="15" customHeight="1" x14ac:dyDescent="0.2">
      <c r="B103" s="408">
        <v>26</v>
      </c>
      <c r="C103" s="408" t="s">
        <v>178</v>
      </c>
      <c r="D103" s="431" t="s">
        <v>309</v>
      </c>
      <c r="E103" s="757">
        <f t="shared" si="121"/>
        <v>0</v>
      </c>
      <c r="F103" s="795">
        <f t="shared" si="103"/>
        <v>0</v>
      </c>
      <c r="G103" s="762">
        <f t="shared" si="122"/>
        <v>0</v>
      </c>
      <c r="H103" s="796">
        <f t="shared" si="103"/>
        <v>0</v>
      </c>
      <c r="I103" s="764">
        <f t="shared" si="123"/>
        <v>0</v>
      </c>
      <c r="J103" s="797">
        <f t="shared" ref="J103:L103" si="169">IFERROR(I103/I$107,0)</f>
        <v>0</v>
      </c>
      <c r="K103" s="764">
        <f t="shared" si="125"/>
        <v>0</v>
      </c>
      <c r="L103" s="796">
        <f t="shared" si="169"/>
        <v>0</v>
      </c>
      <c r="M103" s="769">
        <f t="shared" si="126"/>
        <v>0</v>
      </c>
      <c r="N103" s="829">
        <f t="shared" ref="N103" si="170">IFERROR(M103/M$107,0)</f>
        <v>0</v>
      </c>
      <c r="O103" s="762">
        <f t="shared" si="128"/>
        <v>0</v>
      </c>
      <c r="P103" s="798">
        <f t="shared" ref="P103:X103" si="171">IFERROR(O103/O$107,0)</f>
        <v>0</v>
      </c>
      <c r="Q103" s="705">
        <f t="shared" si="128"/>
        <v>0</v>
      </c>
      <c r="R103" s="797">
        <f t="shared" si="171"/>
        <v>0</v>
      </c>
      <c r="S103" s="705">
        <f t="shared" ref="S103" si="172">S82*EXR/10^6</f>
        <v>0</v>
      </c>
      <c r="T103" s="797">
        <f t="shared" si="171"/>
        <v>0</v>
      </c>
      <c r="U103" s="705">
        <f t="shared" ref="U103" si="173">U82*EXR/10^6</f>
        <v>0</v>
      </c>
      <c r="V103" s="797">
        <f t="shared" si="171"/>
        <v>0</v>
      </c>
      <c r="W103" s="705">
        <f t="shared" ref="W103" si="174">W82*EXR/10^6</f>
        <v>0</v>
      </c>
      <c r="X103" s="798">
        <f t="shared" si="171"/>
        <v>0</v>
      </c>
      <c r="Y103" s="410"/>
    </row>
    <row r="104" spans="2:25" ht="15" customHeight="1" x14ac:dyDescent="0.2">
      <c r="B104" s="110">
        <v>27</v>
      </c>
      <c r="C104" s="114"/>
      <c r="D104" s="433" t="s">
        <v>310</v>
      </c>
      <c r="E104" s="845">
        <f>SUM(E93:E95)</f>
        <v>40.55727689075249</v>
      </c>
      <c r="F104" s="800">
        <f t="shared" si="103"/>
        <v>0.89464581376659913</v>
      </c>
      <c r="G104" s="846">
        <f t="shared" ref="G104" si="175">SUM(G93:G95)</f>
        <v>42.703897664948485</v>
      </c>
      <c r="H104" s="802">
        <f t="shared" si="103"/>
        <v>0.94199774260915758</v>
      </c>
      <c r="I104" s="847">
        <f t="shared" ref="I104" si="176">SUM(I93:I95)</f>
        <v>40.55727689075249</v>
      </c>
      <c r="J104" s="804">
        <f t="shared" ref="J104:L104" si="177">IFERROR(I104/I$107,0)</f>
        <v>0.93593715901736507</v>
      </c>
      <c r="K104" s="847">
        <f t="shared" ref="K104" si="178">SUM(K93:K95)</f>
        <v>42.703897664948485</v>
      </c>
      <c r="L104" s="802">
        <f t="shared" si="177"/>
        <v>0.98547456149881096</v>
      </c>
      <c r="M104" s="848">
        <f t="shared" ref="M104" si="179">SUM(M93:M95)</f>
        <v>40.55727689075249</v>
      </c>
      <c r="N104" s="831">
        <f t="shared" ref="N104" si="180">IFERROR(M104/M$107,0)</f>
        <v>0.99731008747752015</v>
      </c>
      <c r="O104" s="846">
        <f t="shared" ref="O104:Q104" si="181">SUM(O93:O95)</f>
        <v>42.703897664948485</v>
      </c>
      <c r="P104" s="806">
        <f t="shared" ref="P104:X104" si="182">IFERROR(O104/O$107,0)</f>
        <v>1.0500958442200443</v>
      </c>
      <c r="Q104" s="803">
        <f t="shared" si="181"/>
        <v>40.55727689075249</v>
      </c>
      <c r="R104" s="804">
        <f t="shared" si="182"/>
        <v>1.0381994604604261</v>
      </c>
      <c r="S104" s="803">
        <f t="shared" ref="S104" si="183">SUM(S93:S95)</f>
        <v>42.703897664948485</v>
      </c>
      <c r="T104" s="804">
        <f t="shared" si="182"/>
        <v>1.0344204144441298</v>
      </c>
      <c r="U104" s="803">
        <f t="shared" ref="U104" si="184">SUM(U93:U95)</f>
        <v>40.55727689075249</v>
      </c>
      <c r="V104" s="804">
        <f t="shared" si="182"/>
        <v>0.89464581376659913</v>
      </c>
      <c r="W104" s="803">
        <f t="shared" ref="W104" si="185">SUM(W93:W95)</f>
        <v>42.703897664948485</v>
      </c>
      <c r="X104" s="806">
        <f t="shared" si="182"/>
        <v>0.94199774260915758</v>
      </c>
      <c r="Y104" s="115"/>
    </row>
    <row r="105" spans="2:25" ht="15" customHeight="1" x14ac:dyDescent="0.2">
      <c r="B105" s="411">
        <v>28</v>
      </c>
      <c r="C105" s="411" t="s">
        <v>185</v>
      </c>
      <c r="D105" s="432" t="s">
        <v>311</v>
      </c>
      <c r="E105" s="849">
        <f>E84*EXR/10^6</f>
        <v>0.95521128851616832</v>
      </c>
      <c r="F105" s="809">
        <f t="shared" si="103"/>
        <v>2.1070837246680185E-2</v>
      </c>
      <c r="G105" s="850">
        <f>G84*EXR/10^6</f>
        <v>0.52588713367697171</v>
      </c>
      <c r="H105" s="811">
        <f t="shared" si="103"/>
        <v>1.160045147816849E-2</v>
      </c>
      <c r="I105" s="851">
        <f>I84*EXR/10^6</f>
        <v>0.55521128851616852</v>
      </c>
      <c r="J105" s="813">
        <f t="shared" ref="J105:L105" si="186">IFERROR(I105/I$107,0)</f>
        <v>1.2812568196526965E-2</v>
      </c>
      <c r="K105" s="851">
        <f>K84*EXR/10^6</f>
        <v>0.12588713367697174</v>
      </c>
      <c r="L105" s="811">
        <f t="shared" si="186"/>
        <v>2.9050877002378089E-3</v>
      </c>
      <c r="M105" s="852">
        <f>M84*EXR/10^6</f>
        <v>2.1877955182835192E-2</v>
      </c>
      <c r="N105" s="833">
        <f t="shared" ref="N105" si="187">IFERROR(M105/M$107,0)</f>
        <v>5.379825044959473E-4</v>
      </c>
      <c r="O105" s="850">
        <f>O84*EXR/10^6</f>
        <v>-0.40744619965636153</v>
      </c>
      <c r="P105" s="815">
        <f t="shared" ref="P105:X105" si="188">IFERROR(O105/O$107,0)</f>
        <v>-1.0019168844008887E-2</v>
      </c>
      <c r="Q105" s="812">
        <f>Q84*EXR/10^6</f>
        <v>-0.29845249472269636</v>
      </c>
      <c r="R105" s="813">
        <f t="shared" si="188"/>
        <v>-7.6398920920852436E-3</v>
      </c>
      <c r="S105" s="812">
        <f>S84*EXR/10^6</f>
        <v>-0.2841950594714639</v>
      </c>
      <c r="T105" s="813">
        <f t="shared" si="188"/>
        <v>-6.8840828888259379E-3</v>
      </c>
      <c r="U105" s="812">
        <f>U84*EXR/10^6</f>
        <v>0.95521128851616832</v>
      </c>
      <c r="V105" s="813">
        <f t="shared" si="188"/>
        <v>2.1070837246680185E-2</v>
      </c>
      <c r="W105" s="812">
        <f>W84*EXR/10^6</f>
        <v>0.52588713367697171</v>
      </c>
      <c r="X105" s="815">
        <f t="shared" si="188"/>
        <v>1.160045147816849E-2</v>
      </c>
      <c r="Y105" s="412"/>
    </row>
    <row r="106" spans="2:25" ht="15" customHeight="1" x14ac:dyDescent="0.2">
      <c r="B106" s="108" t="s">
        <v>312</v>
      </c>
      <c r="C106" s="108" t="s">
        <v>183</v>
      </c>
      <c r="D106" s="428" t="s">
        <v>184</v>
      </c>
      <c r="E106" s="837">
        <f>E85*EXR/10^6</f>
        <v>3.8208451540646733</v>
      </c>
      <c r="F106" s="779">
        <f t="shared" si="103"/>
        <v>8.4283348986720741E-2</v>
      </c>
      <c r="G106" s="838">
        <f>G85*EXR/10^6</f>
        <v>2.1035485347078868</v>
      </c>
      <c r="H106" s="781">
        <f t="shared" si="103"/>
        <v>4.6401805912673962E-2</v>
      </c>
      <c r="I106" s="839">
        <f>I85*EXR/10^6</f>
        <v>2.2208451540646741</v>
      </c>
      <c r="J106" s="783">
        <f t="shared" ref="J106:L106" si="189">IFERROR(I106/I$107,0)</f>
        <v>5.1250272786107859E-2</v>
      </c>
      <c r="K106" s="839">
        <f>K85*EXR/10^6</f>
        <v>0.50354853470788696</v>
      </c>
      <c r="L106" s="781">
        <f t="shared" si="189"/>
        <v>1.1620350800951236E-2</v>
      </c>
      <c r="M106" s="840">
        <f>M85*EXR/10^6</f>
        <v>8.751182073134077E-2</v>
      </c>
      <c r="N106" s="826">
        <f t="shared" ref="N106" si="190">IFERROR(M106/M$107,0)</f>
        <v>2.1519300179837892E-3</v>
      </c>
      <c r="O106" s="838">
        <f>O85*EXR/10^6</f>
        <v>-1.6297847986254461</v>
      </c>
      <c r="P106" s="785">
        <f t="shared" ref="P106:X106" si="191">IFERROR(O106/O$107,0)</f>
        <v>-4.0076675376035549E-2</v>
      </c>
      <c r="Q106" s="782">
        <f>Q85*EXR/10^6</f>
        <v>-1.1938099788907854</v>
      </c>
      <c r="R106" s="783">
        <f t="shared" si="191"/>
        <v>-3.0559568368340975E-2</v>
      </c>
      <c r="S106" s="782">
        <f>S85*EXR/10^6</f>
        <v>-1.1367802378858556</v>
      </c>
      <c r="T106" s="783">
        <f t="shared" si="191"/>
        <v>-2.7536331555303752E-2</v>
      </c>
      <c r="U106" s="782">
        <f>U85*EXR/10^6</f>
        <v>3.8208451540646733</v>
      </c>
      <c r="V106" s="783">
        <f t="shared" si="191"/>
        <v>8.4283348986720741E-2</v>
      </c>
      <c r="W106" s="782">
        <f>W85*EXR/10^6</f>
        <v>2.1035485347078868</v>
      </c>
      <c r="X106" s="785">
        <f t="shared" si="191"/>
        <v>4.6401805912673962E-2</v>
      </c>
      <c r="Y106" s="109"/>
    </row>
    <row r="107" spans="2:25" ht="15" customHeight="1" x14ac:dyDescent="0.2">
      <c r="B107" s="116" t="s">
        <v>313</v>
      </c>
      <c r="C107" s="114"/>
      <c r="D107" s="433" t="s">
        <v>78</v>
      </c>
      <c r="E107" s="845">
        <f>+E104+E105+E106</f>
        <v>45.333333333333329</v>
      </c>
      <c r="F107" s="800">
        <f t="shared" si="103"/>
        <v>1</v>
      </c>
      <c r="G107" s="846">
        <f t="shared" ref="G107" si="192">+G104+G105+G106</f>
        <v>45.333333333333343</v>
      </c>
      <c r="H107" s="802">
        <f t="shared" si="103"/>
        <v>1</v>
      </c>
      <c r="I107" s="847">
        <f t="shared" ref="I107" si="193">+I104+I105+I106</f>
        <v>43.333333333333336</v>
      </c>
      <c r="J107" s="804">
        <f t="shared" ref="J107:L107" si="194">IFERROR(I107/I$107,0)</f>
        <v>1</v>
      </c>
      <c r="K107" s="847">
        <f t="shared" ref="K107" si="195">+K104+K105+K106</f>
        <v>43.333333333333343</v>
      </c>
      <c r="L107" s="802">
        <f t="shared" si="194"/>
        <v>1</v>
      </c>
      <c r="M107" s="848">
        <f t="shared" ref="M107" si="196">+M104+M105+M106</f>
        <v>40.666666666666671</v>
      </c>
      <c r="N107" s="831">
        <f t="shared" ref="N107" si="197">IFERROR(M107/M$107,0)</f>
        <v>1</v>
      </c>
      <c r="O107" s="846">
        <f t="shared" ref="O107:Q107" si="198">+O104+O105+O106</f>
        <v>40.666666666666679</v>
      </c>
      <c r="P107" s="806">
        <f t="shared" ref="P107:X107" si="199">IFERROR(O107/O$107,0)</f>
        <v>1</v>
      </c>
      <c r="Q107" s="803">
        <f t="shared" si="198"/>
        <v>39.065014417139011</v>
      </c>
      <c r="R107" s="804">
        <f t="shared" si="199"/>
        <v>1</v>
      </c>
      <c r="S107" s="803">
        <f t="shared" ref="S107" si="200">+S104+S105+S106</f>
        <v>41.282922367591162</v>
      </c>
      <c r="T107" s="804">
        <f t="shared" si="199"/>
        <v>1</v>
      </c>
      <c r="U107" s="803">
        <f t="shared" ref="U107" si="201">+U104+U105+U106</f>
        <v>45.333333333333329</v>
      </c>
      <c r="V107" s="804">
        <f t="shared" si="199"/>
        <v>1</v>
      </c>
      <c r="W107" s="803">
        <f t="shared" ref="W107" si="202">+W104+W105+W106</f>
        <v>45.333333333333343</v>
      </c>
      <c r="X107" s="806">
        <f t="shared" si="199"/>
        <v>1</v>
      </c>
      <c r="Y107" s="115"/>
    </row>
    <row r="108" spans="2:25" ht="15" customHeight="1" thickBot="1" x14ac:dyDescent="0.25">
      <c r="B108" s="117"/>
      <c r="C108" s="117"/>
      <c r="D108" s="434" t="s">
        <v>314</v>
      </c>
      <c r="E108" s="816"/>
      <c r="F108" s="817">
        <f>1-IFERROR(F92/F$107,0)</f>
        <v>0.43840000000000001</v>
      </c>
      <c r="G108" s="853"/>
      <c r="H108" s="819">
        <f>1-IFERROR(H92/H$107,0)</f>
        <v>0.43840000000000012</v>
      </c>
      <c r="I108" s="854"/>
      <c r="J108" s="821">
        <f>1-IFERROR(J92/J$107,0)</f>
        <v>0.41248000000000007</v>
      </c>
      <c r="K108" s="854"/>
      <c r="L108" s="819">
        <f>1-IFERROR(L92/L$107,0)</f>
        <v>0.41248000000000018</v>
      </c>
      <c r="M108" s="855"/>
      <c r="N108" s="835">
        <f>1-IFERROR(N92/N$107,0)</f>
        <v>0.37395409836065585</v>
      </c>
      <c r="O108" s="853"/>
      <c r="P108" s="823">
        <f>1-IFERROR(P92/P$107,0)</f>
        <v>0.37395409836065596</v>
      </c>
      <c r="Q108" s="820"/>
      <c r="R108" s="821">
        <f>IFERROR(1-R92/R$107,0)</f>
        <v>0.34828643020210248</v>
      </c>
      <c r="S108" s="820"/>
      <c r="T108" s="821">
        <f>IFERROR(1-T92/T$107,0)</f>
        <v>0.38329947252022678</v>
      </c>
      <c r="U108" s="820"/>
      <c r="V108" s="821">
        <f>IFERROR(1-V92/V$107,0)</f>
        <v>0.43840000000000001</v>
      </c>
      <c r="W108" s="820"/>
      <c r="X108" s="823">
        <f>IFERROR(1-X92/X$107,0)</f>
        <v>0.43840000000000012</v>
      </c>
      <c r="Y108" s="118"/>
    </row>
    <row r="109" spans="2:25" s="758" customFormat="1" ht="15" thickTop="1" x14ac:dyDescent="0.2">
      <c r="D109" s="758" t="s">
        <v>731</v>
      </c>
      <c r="E109" s="759">
        <f>E107-E86*EXR/10^6</f>
        <v>0</v>
      </c>
      <c r="G109" s="760">
        <f>G107-G86*EXR/10^6</f>
        <v>0</v>
      </c>
      <c r="H109" s="760"/>
      <c r="I109" s="760">
        <f>I107-I86*EXR/10^6</f>
        <v>0</v>
      </c>
      <c r="J109" s="760"/>
      <c r="K109" s="760">
        <f>K107-K86*EXR/10^6</f>
        <v>0</v>
      </c>
      <c r="L109" s="760"/>
      <c r="M109" s="760">
        <f>M107-M86*EXR/10^6</f>
        <v>0</v>
      </c>
      <c r="N109" s="760"/>
      <c r="O109" s="760">
        <f>O107-O86*EXR/10^6</f>
        <v>0</v>
      </c>
      <c r="P109" s="760"/>
      <c r="Q109" s="760">
        <f>Q107-Q86*EXR/10^6</f>
        <v>0</v>
      </c>
      <c r="R109" s="760"/>
      <c r="S109" s="760">
        <f>S107-S86*EXR/10^6</f>
        <v>0</v>
      </c>
      <c r="T109" s="760"/>
      <c r="U109" s="760">
        <f>U107-U86*EXR/10^6</f>
        <v>0</v>
      </c>
      <c r="V109" s="760"/>
      <c r="W109" s="760">
        <f>W107-W86*EXR/10^6</f>
        <v>0</v>
      </c>
      <c r="X109" s="760"/>
    </row>
    <row r="110" spans="2:25" x14ac:dyDescent="0.2">
      <c r="E110" s="145"/>
    </row>
    <row r="111" spans="2:25" x14ac:dyDescent="0.2">
      <c r="K111" s="145"/>
    </row>
    <row r="119" ht="15" thickBot="1" x14ac:dyDescent="0.25"/>
    <row r="120" s="413" customFormat="1" x14ac:dyDescent="0.2"/>
  </sheetData>
  <phoneticPr fontId="12" type="noConversion"/>
  <printOptions horizontalCentered="1"/>
  <pageMargins left="0.51181102362204722" right="0.31496062992125984" top="0.55118110236220474" bottom="0.35433070866141736" header="0.31496062992125984" footer="0.31496062992125984"/>
  <pageSetup paperSize="9" scale="90" orientation="landscape" r:id="rId1"/>
  <ignoredErrors>
    <ignoredError sqref="H71:S87 T71:X87 E71:F74 F75:F87 E95:E107 F95:G107 F92:R94 H95:R107 Y92:Y94 Y95:Y107 X95:X107 X92:X94 V95:V107 V92:V94 T95:T107 T92:T94 S108:X109 S92:S94 U92:U94 S95:S107 U95:U107 W92:W94 W95:W107 G71:G87 F49:X65" formula="1"/>
  </ignoredErrors>
  <drawing r:id="rId2"/>
  <legacyDrawing r:id="rId3"/>
  <extLst>
    <ext xmlns:x14="http://schemas.microsoft.com/office/spreadsheetml/2009/9/main" uri="{A8765BA9-456A-4dab-B4F3-ACF838C121DE}">
      <x14:slicerList>
        <x14:slicer r:id="rId4"/>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D3B5-8E96-44DC-84EC-AE7109368B93}">
  <sheetPr>
    <tabColor rgb="FFC00000"/>
  </sheetPr>
  <dimension ref="A1:EV75"/>
  <sheetViews>
    <sheetView showGridLines="0" zoomScaleNormal="100" workbookViewId="0">
      <pane xSplit="3" ySplit="3" topLeftCell="D4" activePane="bottomRight" state="frozen"/>
      <selection activeCell="D7" sqref="D7"/>
      <selection pane="topRight" activeCell="D7" sqref="D7"/>
      <selection pane="bottomLeft" activeCell="D7" sqref="D7"/>
      <selection pane="bottomRight" activeCell="D7" sqref="D7"/>
    </sheetView>
  </sheetViews>
  <sheetFormatPr defaultRowHeight="15" x14ac:dyDescent="0.25"/>
  <cols>
    <col min="1" max="1" width="41.25" customWidth="1"/>
    <col min="2" max="2" width="32.75" style="60" customWidth="1"/>
    <col min="3" max="3" width="15.5" bestFit="1" customWidth="1"/>
    <col min="4" max="4" width="21" style="20" customWidth="1"/>
    <col min="5" max="5" width="18.125" bestFit="1" customWidth="1"/>
    <col min="6" max="6" width="16.75" bestFit="1" customWidth="1"/>
    <col min="7" max="7" width="20.125" bestFit="1" customWidth="1"/>
    <col min="8" max="8" width="17" customWidth="1"/>
    <col min="9" max="9" width="1.25" customWidth="1"/>
    <col min="10" max="10" width="19.25" bestFit="1" customWidth="1"/>
    <col min="11" max="11" width="17.25" bestFit="1" customWidth="1"/>
    <col min="12" max="12" width="15" bestFit="1" customWidth="1"/>
    <col min="13" max="13" width="16.125" bestFit="1" customWidth="1"/>
    <col min="14" max="14" width="10.75" bestFit="1" customWidth="1"/>
    <col min="15" max="15" width="1.5" customWidth="1"/>
    <col min="16" max="16" width="19.25" bestFit="1" customWidth="1"/>
    <col min="17" max="17" width="17.25" bestFit="1" customWidth="1"/>
    <col min="18" max="18" width="15" bestFit="1" customWidth="1"/>
    <col min="19" max="19" width="16.125" bestFit="1" customWidth="1"/>
    <col min="20" max="20" width="10.75" bestFit="1" customWidth="1"/>
    <col min="21" max="21" width="1.5" customWidth="1"/>
    <col min="22" max="22" width="19.25" bestFit="1" customWidth="1"/>
    <col min="23" max="23" width="17.25" bestFit="1" customWidth="1"/>
    <col min="24" max="24" width="15" bestFit="1" customWidth="1"/>
    <col min="25" max="25" width="16.125" bestFit="1" customWidth="1"/>
    <col min="26" max="26" width="10.75" bestFit="1" customWidth="1"/>
    <col min="27" max="27" width="1.5" customWidth="1"/>
    <col min="28" max="28" width="19.25" bestFit="1" customWidth="1"/>
    <col min="29" max="29" width="17.25" bestFit="1" customWidth="1"/>
    <col min="30" max="30" width="15" bestFit="1" customWidth="1"/>
    <col min="31" max="31" width="16.125" bestFit="1" customWidth="1"/>
    <col min="32" max="32" width="10.75" bestFit="1" customWidth="1"/>
    <col min="33" max="33" width="1.5" customWidth="1"/>
    <col min="34" max="34" width="19.25" bestFit="1" customWidth="1"/>
    <col min="35" max="35" width="17.25" bestFit="1" customWidth="1"/>
    <col min="36" max="36" width="15" bestFit="1" customWidth="1"/>
    <col min="37" max="37" width="16.125" bestFit="1" customWidth="1"/>
    <col min="38" max="38" width="10.75" bestFit="1" customWidth="1"/>
    <col min="39" max="39" width="1.5" customWidth="1"/>
    <col min="40" max="40" width="19.25" bestFit="1" customWidth="1"/>
    <col min="41" max="41" width="17.25" bestFit="1" customWidth="1"/>
    <col min="42" max="42" width="15" bestFit="1" customWidth="1"/>
    <col min="43" max="43" width="16.125" bestFit="1" customWidth="1"/>
    <col min="44" max="44" width="10.75" bestFit="1" customWidth="1"/>
    <col min="45" max="45" width="1.5" customWidth="1"/>
    <col min="46" max="46" width="19.25" bestFit="1" customWidth="1"/>
    <col min="47" max="47" width="17.25" bestFit="1" customWidth="1"/>
    <col min="48" max="48" width="15" bestFit="1" customWidth="1"/>
    <col min="49" max="49" width="16.125" bestFit="1" customWidth="1"/>
    <col min="50" max="50" width="10.75" bestFit="1" customWidth="1"/>
    <col min="51" max="51" width="1.5" customWidth="1"/>
    <col min="52" max="52" width="19.25" bestFit="1" customWidth="1"/>
    <col min="53" max="53" width="17.25" bestFit="1" customWidth="1"/>
    <col min="54" max="54" width="15" bestFit="1" customWidth="1"/>
    <col min="55" max="55" width="16.125" bestFit="1" customWidth="1"/>
    <col min="56" max="56" width="10.75" bestFit="1" customWidth="1"/>
    <col min="57" max="57" width="1.5" customWidth="1"/>
    <col min="58" max="58" width="19.25" bestFit="1" customWidth="1"/>
    <col min="59" max="59" width="17.25" bestFit="1" customWidth="1"/>
    <col min="60" max="60" width="15" bestFit="1" customWidth="1"/>
    <col min="61" max="61" width="16.125" bestFit="1" customWidth="1"/>
    <col min="62" max="62" width="10.75" bestFit="1" customWidth="1"/>
    <col min="63" max="63" width="1.5" customWidth="1"/>
    <col min="64" max="64" width="19.25" bestFit="1" customWidth="1"/>
    <col min="65" max="65" width="17.25" bestFit="1" customWidth="1"/>
    <col min="66" max="66" width="15" bestFit="1" customWidth="1"/>
    <col min="67" max="67" width="16.125" bestFit="1" customWidth="1"/>
    <col min="68" max="68" width="10.75" bestFit="1" customWidth="1"/>
    <col min="69" max="69" width="1.5" customWidth="1"/>
    <col min="70" max="70" width="19.25" bestFit="1" customWidth="1"/>
    <col min="71" max="71" width="17.25" bestFit="1" customWidth="1"/>
    <col min="72" max="72" width="15" bestFit="1" customWidth="1"/>
    <col min="73" max="73" width="16.125" bestFit="1" customWidth="1"/>
    <col min="74" max="74" width="10.75" bestFit="1" customWidth="1"/>
    <col min="75" max="75" width="1.5" customWidth="1"/>
    <col min="76" max="76" width="19.25" bestFit="1" customWidth="1"/>
    <col min="77" max="77" width="17.25" bestFit="1" customWidth="1"/>
    <col min="78" max="78" width="15" bestFit="1" customWidth="1"/>
    <col min="79" max="79" width="16.125" bestFit="1" customWidth="1"/>
    <col min="80" max="80" width="10.75" bestFit="1" customWidth="1"/>
    <col min="81" max="81" width="1.5" customWidth="1"/>
    <col min="82" max="82" width="19.25" bestFit="1" customWidth="1"/>
    <col min="83" max="83" width="17.25" bestFit="1" customWidth="1"/>
    <col min="84" max="84" width="15" bestFit="1" customWidth="1"/>
    <col min="85" max="85" width="16.125" bestFit="1" customWidth="1"/>
    <col min="86" max="86" width="10.75" bestFit="1" customWidth="1"/>
    <col min="87" max="87" width="1.5" customWidth="1"/>
    <col min="88" max="88" width="19.25" bestFit="1" customWidth="1"/>
    <col min="89" max="89" width="17.25" bestFit="1" customWidth="1"/>
    <col min="90" max="90" width="15" bestFit="1" customWidth="1"/>
    <col min="91" max="91" width="16.125" bestFit="1" customWidth="1"/>
    <col min="92" max="92" width="10.75" bestFit="1" customWidth="1"/>
    <col min="93" max="93" width="1.5" customWidth="1"/>
    <col min="94" max="94" width="19.25" bestFit="1" customWidth="1"/>
    <col min="95" max="95" width="17.25" bestFit="1" customWidth="1"/>
    <col min="96" max="96" width="15" bestFit="1" customWidth="1"/>
    <col min="97" max="97" width="16.125" bestFit="1" customWidth="1"/>
    <col min="98" max="98" width="10.75" bestFit="1" customWidth="1"/>
    <col min="99" max="99" width="1.5" customWidth="1"/>
    <col min="100" max="100" width="19.25" bestFit="1" customWidth="1"/>
    <col min="101" max="101" width="17.25" bestFit="1" customWidth="1"/>
    <col min="102" max="102" width="15" bestFit="1" customWidth="1"/>
    <col min="103" max="103" width="16.125" bestFit="1" customWidth="1"/>
    <col min="104" max="104" width="10.75" bestFit="1" customWidth="1"/>
    <col min="105" max="105" width="1.5" customWidth="1"/>
    <col min="106" max="106" width="19.25" bestFit="1" customWidth="1"/>
    <col min="107" max="107" width="17.25" bestFit="1" customWidth="1"/>
    <col min="108" max="108" width="15" bestFit="1" customWidth="1"/>
    <col min="109" max="109" width="16.125" bestFit="1" customWidth="1"/>
    <col min="110" max="110" width="10.75" bestFit="1" customWidth="1"/>
    <col min="111" max="111" width="1.5" customWidth="1"/>
    <col min="112" max="112" width="19.25" bestFit="1" customWidth="1"/>
    <col min="113" max="113" width="17.25" bestFit="1" customWidth="1"/>
    <col min="114" max="114" width="15" bestFit="1" customWidth="1"/>
    <col min="115" max="115" width="16.125" bestFit="1" customWidth="1"/>
    <col min="116" max="116" width="10.75" bestFit="1" customWidth="1"/>
    <col min="117" max="117" width="1.5" customWidth="1"/>
    <col min="118" max="118" width="19.25" bestFit="1" customWidth="1"/>
    <col min="119" max="119" width="17.25" bestFit="1" customWidth="1"/>
    <col min="120" max="120" width="15" bestFit="1" customWidth="1"/>
    <col min="121" max="121" width="16.125" bestFit="1" customWidth="1"/>
    <col min="122" max="122" width="10.75" bestFit="1" customWidth="1"/>
    <col min="123" max="123" width="1.5" customWidth="1"/>
    <col min="124" max="124" width="19.25" bestFit="1" customWidth="1"/>
    <col min="125" max="125" width="17.25" bestFit="1" customWidth="1"/>
    <col min="126" max="126" width="15" bestFit="1" customWidth="1"/>
    <col min="127" max="127" width="16.125" bestFit="1" customWidth="1"/>
    <col min="128" max="128" width="10.75" bestFit="1" customWidth="1"/>
    <col min="129" max="129" width="1.5" customWidth="1"/>
    <col min="130" max="130" width="19.25" bestFit="1" customWidth="1"/>
    <col min="131" max="131" width="17.25" bestFit="1" customWidth="1"/>
    <col min="132" max="132" width="15" bestFit="1" customWidth="1"/>
    <col min="133" max="133" width="16.125" bestFit="1" customWidth="1"/>
    <col min="134" max="134" width="10.75" bestFit="1" customWidth="1"/>
    <col min="135" max="135" width="1.5" customWidth="1"/>
    <col min="136" max="136" width="19.25" bestFit="1" customWidth="1"/>
    <col min="137" max="137" width="17.25" bestFit="1" customWidth="1"/>
    <col min="138" max="138" width="15" bestFit="1" customWidth="1"/>
    <col min="139" max="139" width="16.125" bestFit="1" customWidth="1"/>
    <col min="140" max="140" width="10.75" bestFit="1" customWidth="1"/>
    <col min="141" max="141" width="1.5" customWidth="1"/>
    <col min="142" max="142" width="19.25" bestFit="1" customWidth="1"/>
    <col min="143" max="143" width="17.25" bestFit="1" customWidth="1"/>
    <col min="144" max="144" width="15" bestFit="1" customWidth="1"/>
    <col min="145" max="145" width="16.125" bestFit="1" customWidth="1"/>
    <col min="146" max="146" width="10.75" bestFit="1" customWidth="1"/>
    <col min="147" max="147" width="1.5" customWidth="1"/>
    <col min="148" max="148" width="19.25" bestFit="1" customWidth="1"/>
    <col min="149" max="149" width="17.25" bestFit="1" customWidth="1"/>
    <col min="150" max="150" width="15" bestFit="1" customWidth="1"/>
    <col min="151" max="151" width="16.125" bestFit="1" customWidth="1"/>
    <col min="152" max="152" width="10.75" bestFit="1" customWidth="1"/>
  </cols>
  <sheetData>
    <row r="1" spans="1:152" x14ac:dyDescent="0.25">
      <c r="B1" s="317" t="s">
        <v>693</v>
      </c>
      <c r="C1" s="321">
        <f>VALUE(RIGHT(B1,1))</f>
        <v>5</v>
      </c>
      <c r="D1" s="319" t="str">
        <f>Currency</f>
        <v>VND</v>
      </c>
      <c r="E1" s="15">
        <f>IF(D1="USD",EXR,1)</f>
        <v>1</v>
      </c>
      <c r="F1" s="127" t="s">
        <v>524</v>
      </c>
      <c r="G1" s="127">
        <v>0</v>
      </c>
      <c r="L1" s="127" t="s">
        <v>524</v>
      </c>
      <c r="M1" s="127">
        <v>0</v>
      </c>
      <c r="R1" s="127" t="s">
        <v>524</v>
      </c>
      <c r="S1" s="127">
        <f>M1+1</f>
        <v>1</v>
      </c>
      <c r="X1" s="127" t="s">
        <v>524</v>
      </c>
      <c r="Y1" s="127">
        <f>S1+1</f>
        <v>2</v>
      </c>
      <c r="AD1" s="127" t="s">
        <v>524</v>
      </c>
      <c r="AE1" s="127">
        <f>Y1+1</f>
        <v>3</v>
      </c>
      <c r="AJ1" s="127" t="s">
        <v>524</v>
      </c>
      <c r="AK1" s="127">
        <f>AE1+1</f>
        <v>4</v>
      </c>
      <c r="AP1" s="127" t="s">
        <v>524</v>
      </c>
      <c r="AQ1" s="127">
        <f>AK1+1</f>
        <v>5</v>
      </c>
      <c r="AV1" s="127" t="s">
        <v>524</v>
      </c>
      <c r="AW1" s="127">
        <f>AQ1+1</f>
        <v>6</v>
      </c>
      <c r="BB1" s="127" t="s">
        <v>524</v>
      </c>
      <c r="BC1" s="127">
        <f>AW1+1</f>
        <v>7</v>
      </c>
      <c r="BH1" s="127" t="s">
        <v>524</v>
      </c>
      <c r="BI1" s="127">
        <f>BC1+1</f>
        <v>8</v>
      </c>
      <c r="BN1" s="127" t="s">
        <v>524</v>
      </c>
      <c r="BO1" s="127">
        <f>BI1+1</f>
        <v>9</v>
      </c>
      <c r="BT1" s="127" t="s">
        <v>524</v>
      </c>
      <c r="BU1" s="127">
        <f>BO1+1</f>
        <v>10</v>
      </c>
      <c r="BZ1" s="127" t="s">
        <v>524</v>
      </c>
      <c r="CA1" s="127">
        <f>BU1+1</f>
        <v>11</v>
      </c>
      <c r="CF1" s="127" t="s">
        <v>524</v>
      </c>
      <c r="CG1" s="127">
        <f>CA1+1</f>
        <v>12</v>
      </c>
      <c r="CL1" s="127" t="s">
        <v>524</v>
      </c>
      <c r="CM1" s="127">
        <f>CG1+1</f>
        <v>13</v>
      </c>
      <c r="CR1" s="127" t="s">
        <v>524</v>
      </c>
      <c r="CS1" s="127">
        <f>CM1+1</f>
        <v>14</v>
      </c>
      <c r="CX1" s="127" t="s">
        <v>524</v>
      </c>
      <c r="CY1" s="127">
        <f>CS1+1</f>
        <v>15</v>
      </c>
      <c r="DD1" s="127" t="s">
        <v>524</v>
      </c>
      <c r="DE1" s="127">
        <f>CY1+1</f>
        <v>16</v>
      </c>
      <c r="DJ1" s="127" t="s">
        <v>524</v>
      </c>
      <c r="DK1" s="127">
        <f>DE1+1</f>
        <v>17</v>
      </c>
      <c r="DP1" s="127" t="s">
        <v>524</v>
      </c>
      <c r="DQ1" s="127">
        <f>DK1+1</f>
        <v>18</v>
      </c>
      <c r="DV1" s="127" t="s">
        <v>524</v>
      </c>
      <c r="DW1" s="127">
        <f>DQ1+1</f>
        <v>19</v>
      </c>
      <c r="EB1" s="127" t="s">
        <v>524</v>
      </c>
      <c r="EC1" s="127">
        <f>DW1+1</f>
        <v>20</v>
      </c>
      <c r="EH1" s="127" t="s">
        <v>524</v>
      </c>
      <c r="EI1" s="127">
        <f>EC1+1</f>
        <v>21</v>
      </c>
      <c r="EN1" s="127" t="s">
        <v>524</v>
      </c>
      <c r="EO1" s="127">
        <f>EI1+1</f>
        <v>22</v>
      </c>
      <c r="ET1" s="127" t="s">
        <v>524</v>
      </c>
      <c r="EU1" s="127">
        <f>EO1+1</f>
        <v>23</v>
      </c>
    </row>
    <row r="2" spans="1:152" ht="17.25" x14ac:dyDescent="0.3">
      <c r="B2" s="50" t="s">
        <v>350</v>
      </c>
      <c r="C2" s="49"/>
      <c r="D2" s="135"/>
      <c r="E2" s="49"/>
      <c r="F2" s="49"/>
      <c r="G2" s="49"/>
      <c r="H2" s="327">
        <v>1</v>
      </c>
      <c r="J2" s="50" t="str">
        <f>"Year "&amp;N2&amp;" - Mass Production"</f>
        <v>Year 2 - Mass Production</v>
      </c>
      <c r="K2" s="49"/>
      <c r="L2" s="49"/>
      <c r="M2" s="49"/>
      <c r="N2" s="328">
        <f>H2+1</f>
        <v>2</v>
      </c>
      <c r="P2" s="50" t="str">
        <f>"Year "&amp;T2&amp;" - Mass Production"</f>
        <v>Year 3 - Mass Production</v>
      </c>
      <c r="Q2" s="49"/>
      <c r="R2" s="49"/>
      <c r="S2" s="49"/>
      <c r="T2" s="328">
        <f>N2+1</f>
        <v>3</v>
      </c>
      <c r="V2" s="50" t="str">
        <f>"Year "&amp;Z2&amp;" - Mass Production"</f>
        <v>Year 4 - Mass Production</v>
      </c>
      <c r="W2" s="49"/>
      <c r="X2" s="49"/>
      <c r="Y2" s="49"/>
      <c r="Z2" s="328">
        <f>T2+1</f>
        <v>4</v>
      </c>
      <c r="AB2" s="50" t="str">
        <f>"Year "&amp;AF2&amp;" - Mass Production"</f>
        <v>Year 5 - Mass Production</v>
      </c>
      <c r="AC2" s="49"/>
      <c r="AD2" s="49"/>
      <c r="AE2" s="49"/>
      <c r="AF2" s="328">
        <f>Z2+1</f>
        <v>5</v>
      </c>
      <c r="AH2" s="50" t="str">
        <f>"Year "&amp;AL2&amp;" - Mass Production"</f>
        <v>Year 6 - Mass Production</v>
      </c>
      <c r="AI2" s="49"/>
      <c r="AJ2" s="49"/>
      <c r="AK2" s="49"/>
      <c r="AL2" s="328">
        <f>AF2+1</f>
        <v>6</v>
      </c>
      <c r="AN2" s="50" t="str">
        <f>"Year "&amp;AR2&amp;" - Mass Production"</f>
        <v>Year 7 - Mass Production</v>
      </c>
      <c r="AO2" s="49"/>
      <c r="AP2" s="49"/>
      <c r="AQ2" s="49"/>
      <c r="AR2" s="328">
        <f>AL2+1</f>
        <v>7</v>
      </c>
      <c r="AT2" s="50" t="str">
        <f>"Year "&amp;AX2&amp;" - Mass Production"</f>
        <v>Year 8 - Mass Production</v>
      </c>
      <c r="AU2" s="49"/>
      <c r="AV2" s="49"/>
      <c r="AW2" s="49"/>
      <c r="AX2" s="328">
        <f>AR2+1</f>
        <v>8</v>
      </c>
      <c r="AZ2" s="50" t="str">
        <f>"Year "&amp;BD2&amp;" - Mass Production"</f>
        <v>Year 9 - Mass Production</v>
      </c>
      <c r="BA2" s="49"/>
      <c r="BB2" s="49"/>
      <c r="BC2" s="49"/>
      <c r="BD2" s="328">
        <f>AX2+1</f>
        <v>9</v>
      </c>
      <c r="BF2" s="50" t="str">
        <f>"Year "&amp;BJ2&amp;" - Mass Production"</f>
        <v>Year 10 - Mass Production</v>
      </c>
      <c r="BG2" s="49"/>
      <c r="BH2" s="49"/>
      <c r="BI2" s="49"/>
      <c r="BJ2" s="328">
        <f>BD2+1</f>
        <v>10</v>
      </c>
      <c r="BL2" s="50" t="str">
        <f>"Year "&amp;BP2&amp;" - Mass Production"</f>
        <v>Year 11 - Mass Production</v>
      </c>
      <c r="BM2" s="49"/>
      <c r="BN2" s="49"/>
      <c r="BO2" s="49"/>
      <c r="BP2" s="328">
        <f>BJ2+1</f>
        <v>11</v>
      </c>
      <c r="BR2" s="50" t="str">
        <f>"Year "&amp;BV2&amp;" - Mass Production"</f>
        <v>Year 12 - Mass Production</v>
      </c>
      <c r="BS2" s="49"/>
      <c r="BT2" s="49"/>
      <c r="BU2" s="49"/>
      <c r="BV2" s="328">
        <f>BP2+1</f>
        <v>12</v>
      </c>
      <c r="BX2" s="50" t="str">
        <f>"Year "&amp;CB2&amp;" - Mass Production"</f>
        <v>Year 13 - Mass Production</v>
      </c>
      <c r="BY2" s="49"/>
      <c r="BZ2" s="49"/>
      <c r="CA2" s="49"/>
      <c r="CB2" s="328">
        <f>BV2+1</f>
        <v>13</v>
      </c>
      <c r="CD2" s="50" t="str">
        <f>"Year "&amp;CH2&amp;" - Mass Production"</f>
        <v>Year 14 - Mass Production</v>
      </c>
      <c r="CE2" s="49"/>
      <c r="CF2" s="49"/>
      <c r="CG2" s="49"/>
      <c r="CH2" s="328">
        <f>CB2+1</f>
        <v>14</v>
      </c>
      <c r="CJ2" s="50" t="str">
        <f>"Year "&amp;CN2&amp;" - Mass Production"</f>
        <v>Year 15 - Mass Production</v>
      </c>
      <c r="CK2" s="49"/>
      <c r="CL2" s="49"/>
      <c r="CM2" s="49"/>
      <c r="CN2" s="328">
        <f>CH2+1</f>
        <v>15</v>
      </c>
      <c r="CP2" s="50" t="str">
        <f>"Year "&amp;CT2&amp;" - Mass Production"</f>
        <v>Year 16 - Mass Production</v>
      </c>
      <c r="CQ2" s="49"/>
      <c r="CR2" s="49"/>
      <c r="CS2" s="49"/>
      <c r="CT2" s="328">
        <f>CN2+1</f>
        <v>16</v>
      </c>
      <c r="CV2" s="50" t="str">
        <f>"Year "&amp;CZ2&amp;" - Mass Production"</f>
        <v>Year 17 - Mass Production</v>
      </c>
      <c r="CW2" s="49"/>
      <c r="CX2" s="49"/>
      <c r="CY2" s="49"/>
      <c r="CZ2" s="328">
        <f>CT2+1</f>
        <v>17</v>
      </c>
      <c r="DB2" s="50" t="str">
        <f>"Year "&amp;DF2&amp;" - Mass Production"</f>
        <v>Year 18 - Mass Production</v>
      </c>
      <c r="DC2" s="49"/>
      <c r="DD2" s="49"/>
      <c r="DE2" s="49"/>
      <c r="DF2" s="328">
        <f>CZ2+1</f>
        <v>18</v>
      </c>
      <c r="DH2" s="50" t="str">
        <f>"Year "&amp;DL2&amp;" - Mass Production"</f>
        <v>Year 19 - Mass Production</v>
      </c>
      <c r="DI2" s="49"/>
      <c r="DJ2" s="49"/>
      <c r="DK2" s="49"/>
      <c r="DL2" s="328">
        <f>DF2+1</f>
        <v>19</v>
      </c>
      <c r="DN2" s="50" t="str">
        <f>"Year "&amp;DR2&amp;" - Mass Production"</f>
        <v>Year 20 - Mass Production</v>
      </c>
      <c r="DO2" s="49"/>
      <c r="DP2" s="49"/>
      <c r="DQ2" s="49"/>
      <c r="DR2" s="328">
        <f>DL2+1</f>
        <v>20</v>
      </c>
      <c r="DT2" s="50" t="str">
        <f>"Year "&amp;DX2&amp;" - Mass Production"</f>
        <v>Year 21 - Mass Production</v>
      </c>
      <c r="DU2" s="49"/>
      <c r="DV2" s="49"/>
      <c r="DW2" s="49"/>
      <c r="DX2" s="328">
        <f>DR2+1</f>
        <v>21</v>
      </c>
      <c r="DZ2" s="50" t="str">
        <f>"Year "&amp;ED2&amp;" - Mass Production"</f>
        <v>Year 22 - Mass Production</v>
      </c>
      <c r="EA2" s="49"/>
      <c r="EB2" s="49"/>
      <c r="EC2" s="49"/>
      <c r="ED2" s="328">
        <f>DX2+1</f>
        <v>22</v>
      </c>
      <c r="EF2" s="50" t="str">
        <f>"Year "&amp;EJ2&amp;" - Mass Production"</f>
        <v>Year 23 - Mass Production</v>
      </c>
      <c r="EG2" s="49"/>
      <c r="EH2" s="49"/>
      <c r="EI2" s="49"/>
      <c r="EJ2" s="328">
        <f>ED2+1</f>
        <v>23</v>
      </c>
      <c r="EL2" s="50" t="str">
        <f>"Year "&amp;EP2&amp;" - Mass Production"</f>
        <v>Year 24 - Mass Production</v>
      </c>
      <c r="EM2" s="49"/>
      <c r="EN2" s="49"/>
      <c r="EO2" s="49"/>
      <c r="EP2" s="328">
        <f>EJ2+1</f>
        <v>24</v>
      </c>
      <c r="ER2" s="50" t="str">
        <f>"Year "&amp;EV2&amp;" - Mass Production"</f>
        <v>Year 25 - Mass Production</v>
      </c>
      <c r="ES2" s="49"/>
      <c r="ET2" s="49"/>
      <c r="EU2" s="49"/>
      <c r="EV2" s="328">
        <f>EP2+1</f>
        <v>25</v>
      </c>
    </row>
    <row r="3" spans="1:152" x14ac:dyDescent="0.25">
      <c r="A3" t="s">
        <v>518</v>
      </c>
      <c r="B3" s="51" t="s">
        <v>80</v>
      </c>
      <c r="C3" s="52" t="s">
        <v>81</v>
      </c>
      <c r="D3" s="52" t="s">
        <v>82</v>
      </c>
      <c r="E3" s="130" t="s">
        <v>83</v>
      </c>
      <c r="F3" s="130" t="s">
        <v>84</v>
      </c>
      <c r="G3" s="130" t="s">
        <v>85</v>
      </c>
      <c r="H3" s="130" t="s">
        <v>86</v>
      </c>
      <c r="J3" s="52" t="s">
        <v>82</v>
      </c>
      <c r="K3" s="52" t="s">
        <v>83</v>
      </c>
      <c r="L3" s="52" t="s">
        <v>84</v>
      </c>
      <c r="M3" s="52" t="s">
        <v>85</v>
      </c>
      <c r="N3" s="52" t="s">
        <v>86</v>
      </c>
      <c r="P3" s="52" t="s">
        <v>82</v>
      </c>
      <c r="Q3" s="52" t="s">
        <v>83</v>
      </c>
      <c r="R3" s="52" t="s">
        <v>84</v>
      </c>
      <c r="S3" s="52" t="s">
        <v>85</v>
      </c>
      <c r="T3" s="52" t="s">
        <v>86</v>
      </c>
      <c r="V3" s="52" t="s">
        <v>82</v>
      </c>
      <c r="W3" s="52" t="s">
        <v>83</v>
      </c>
      <c r="X3" s="52" t="s">
        <v>84</v>
      </c>
      <c r="Y3" s="52" t="s">
        <v>85</v>
      </c>
      <c r="Z3" s="52" t="s">
        <v>86</v>
      </c>
      <c r="AB3" s="52" t="s">
        <v>82</v>
      </c>
      <c r="AC3" s="52" t="s">
        <v>83</v>
      </c>
      <c r="AD3" s="52" t="s">
        <v>84</v>
      </c>
      <c r="AE3" s="52" t="s">
        <v>85</v>
      </c>
      <c r="AF3" s="52" t="s">
        <v>86</v>
      </c>
      <c r="AH3" s="52" t="s">
        <v>82</v>
      </c>
      <c r="AI3" s="52" t="s">
        <v>83</v>
      </c>
      <c r="AJ3" s="52" t="s">
        <v>84</v>
      </c>
      <c r="AK3" s="52" t="s">
        <v>85</v>
      </c>
      <c r="AL3" s="52" t="s">
        <v>86</v>
      </c>
      <c r="AN3" s="52" t="s">
        <v>82</v>
      </c>
      <c r="AO3" s="52" t="s">
        <v>83</v>
      </c>
      <c r="AP3" s="52" t="s">
        <v>84</v>
      </c>
      <c r="AQ3" s="52" t="s">
        <v>85</v>
      </c>
      <c r="AR3" s="52" t="s">
        <v>86</v>
      </c>
      <c r="AT3" s="52" t="s">
        <v>82</v>
      </c>
      <c r="AU3" s="52" t="s">
        <v>83</v>
      </c>
      <c r="AV3" s="52" t="s">
        <v>84</v>
      </c>
      <c r="AW3" s="52" t="s">
        <v>85</v>
      </c>
      <c r="AX3" s="52" t="s">
        <v>86</v>
      </c>
      <c r="AZ3" s="52" t="s">
        <v>82</v>
      </c>
      <c r="BA3" s="52" t="s">
        <v>83</v>
      </c>
      <c r="BB3" s="52" t="s">
        <v>84</v>
      </c>
      <c r="BC3" s="52" t="s">
        <v>85</v>
      </c>
      <c r="BD3" s="52" t="s">
        <v>86</v>
      </c>
      <c r="BF3" s="52" t="s">
        <v>82</v>
      </c>
      <c r="BG3" s="52" t="s">
        <v>83</v>
      </c>
      <c r="BH3" s="52" t="s">
        <v>84</v>
      </c>
      <c r="BI3" s="52" t="s">
        <v>85</v>
      </c>
      <c r="BJ3" s="52" t="s">
        <v>86</v>
      </c>
      <c r="BL3" s="52" t="s">
        <v>82</v>
      </c>
      <c r="BM3" s="52" t="s">
        <v>83</v>
      </c>
      <c r="BN3" s="52" t="s">
        <v>84</v>
      </c>
      <c r="BO3" s="52" t="s">
        <v>85</v>
      </c>
      <c r="BP3" s="52" t="s">
        <v>86</v>
      </c>
      <c r="BR3" s="52" t="s">
        <v>82</v>
      </c>
      <c r="BS3" s="52" t="s">
        <v>83</v>
      </c>
      <c r="BT3" s="52" t="s">
        <v>84</v>
      </c>
      <c r="BU3" s="52" t="s">
        <v>85</v>
      </c>
      <c r="BV3" s="52" t="s">
        <v>86</v>
      </c>
      <c r="BX3" s="52" t="s">
        <v>82</v>
      </c>
      <c r="BY3" s="52" t="s">
        <v>83</v>
      </c>
      <c r="BZ3" s="52" t="s">
        <v>84</v>
      </c>
      <c r="CA3" s="52" t="s">
        <v>85</v>
      </c>
      <c r="CB3" s="52" t="s">
        <v>86</v>
      </c>
      <c r="CD3" s="52" t="s">
        <v>82</v>
      </c>
      <c r="CE3" s="52" t="s">
        <v>83</v>
      </c>
      <c r="CF3" s="52" t="s">
        <v>84</v>
      </c>
      <c r="CG3" s="52" t="s">
        <v>85</v>
      </c>
      <c r="CH3" s="52" t="s">
        <v>86</v>
      </c>
      <c r="CJ3" s="52" t="s">
        <v>82</v>
      </c>
      <c r="CK3" s="52" t="s">
        <v>83</v>
      </c>
      <c r="CL3" s="52" t="s">
        <v>84</v>
      </c>
      <c r="CM3" s="52" t="s">
        <v>85</v>
      </c>
      <c r="CN3" s="52" t="s">
        <v>86</v>
      </c>
      <c r="CP3" s="52" t="s">
        <v>82</v>
      </c>
      <c r="CQ3" s="52" t="s">
        <v>83</v>
      </c>
      <c r="CR3" s="52" t="s">
        <v>84</v>
      </c>
      <c r="CS3" s="52" t="s">
        <v>85</v>
      </c>
      <c r="CT3" s="52" t="s">
        <v>86</v>
      </c>
      <c r="CV3" s="52" t="s">
        <v>82</v>
      </c>
      <c r="CW3" s="52" t="s">
        <v>83</v>
      </c>
      <c r="CX3" s="52" t="s">
        <v>84</v>
      </c>
      <c r="CY3" s="52" t="s">
        <v>85</v>
      </c>
      <c r="CZ3" s="52" t="s">
        <v>86</v>
      </c>
      <c r="DB3" s="52" t="s">
        <v>82</v>
      </c>
      <c r="DC3" s="52" t="s">
        <v>83</v>
      </c>
      <c r="DD3" s="52" t="s">
        <v>84</v>
      </c>
      <c r="DE3" s="52" t="s">
        <v>85</v>
      </c>
      <c r="DF3" s="52" t="s">
        <v>86</v>
      </c>
      <c r="DH3" s="52" t="s">
        <v>82</v>
      </c>
      <c r="DI3" s="52" t="s">
        <v>83</v>
      </c>
      <c r="DJ3" s="52" t="s">
        <v>84</v>
      </c>
      <c r="DK3" s="52" t="s">
        <v>85</v>
      </c>
      <c r="DL3" s="52" t="s">
        <v>86</v>
      </c>
      <c r="DN3" s="52" t="s">
        <v>82</v>
      </c>
      <c r="DO3" s="52" t="s">
        <v>83</v>
      </c>
      <c r="DP3" s="52" t="s">
        <v>84</v>
      </c>
      <c r="DQ3" s="52" t="s">
        <v>85</v>
      </c>
      <c r="DR3" s="52" t="s">
        <v>86</v>
      </c>
      <c r="DT3" s="52" t="s">
        <v>82</v>
      </c>
      <c r="DU3" s="52" t="s">
        <v>83</v>
      </c>
      <c r="DV3" s="52" t="s">
        <v>84</v>
      </c>
      <c r="DW3" s="52" t="s">
        <v>85</v>
      </c>
      <c r="DX3" s="52" t="s">
        <v>86</v>
      </c>
      <c r="DZ3" s="52" t="s">
        <v>82</v>
      </c>
      <c r="EA3" s="52" t="s">
        <v>83</v>
      </c>
      <c r="EB3" s="52" t="s">
        <v>84</v>
      </c>
      <c r="EC3" s="52" t="s">
        <v>85</v>
      </c>
      <c r="ED3" s="52" t="s">
        <v>86</v>
      </c>
      <c r="EF3" s="52" t="s">
        <v>82</v>
      </c>
      <c r="EG3" s="52" t="s">
        <v>83</v>
      </c>
      <c r="EH3" s="52" t="s">
        <v>84</v>
      </c>
      <c r="EI3" s="52" t="s">
        <v>85</v>
      </c>
      <c r="EJ3" s="52" t="s">
        <v>86</v>
      </c>
      <c r="EL3" s="52" t="s">
        <v>82</v>
      </c>
      <c r="EM3" s="52" t="s">
        <v>83</v>
      </c>
      <c r="EN3" s="52" t="s">
        <v>84</v>
      </c>
      <c r="EO3" s="52" t="s">
        <v>85</v>
      </c>
      <c r="EP3" s="52" t="s">
        <v>86</v>
      </c>
      <c r="ER3" s="52" t="s">
        <v>82</v>
      </c>
      <c r="ES3" s="52" t="s">
        <v>83</v>
      </c>
      <c r="ET3" s="52" t="s">
        <v>84</v>
      </c>
      <c r="EU3" s="52" t="s">
        <v>85</v>
      </c>
      <c r="EV3" s="52" t="s">
        <v>86</v>
      </c>
    </row>
    <row r="4" spans="1:152" x14ac:dyDescent="0.25">
      <c r="B4" s="53" t="s">
        <v>87</v>
      </c>
      <c r="C4" s="54"/>
      <c r="D4" s="210">
        <f>SUM(D5:D14)</f>
        <v>32.5</v>
      </c>
      <c r="E4" s="54"/>
      <c r="F4" s="54"/>
      <c r="G4" s="54"/>
      <c r="H4" s="54"/>
      <c r="J4" s="210">
        <f>SUM(J5:J14)</f>
        <v>32.5</v>
      </c>
      <c r="K4" s="54"/>
      <c r="L4" s="54"/>
      <c r="M4" s="54"/>
      <c r="N4" s="54"/>
      <c r="P4" s="210">
        <f>SUM(P5:P14)</f>
        <v>32.5</v>
      </c>
      <c r="Q4" s="54"/>
      <c r="R4" s="54"/>
      <c r="S4" s="54"/>
      <c r="T4" s="54"/>
      <c r="V4" s="210">
        <f>SUM(V5:V14)</f>
        <v>32.5</v>
      </c>
      <c r="W4" s="54"/>
      <c r="X4" s="54"/>
      <c r="Y4" s="54"/>
      <c r="Z4" s="54"/>
      <c r="AB4" s="210">
        <f t="shared" ref="AB4" si="0">SUM(AB5:AB14)</f>
        <v>32.5</v>
      </c>
      <c r="AC4" s="54"/>
      <c r="AD4" s="54"/>
      <c r="AE4" s="54"/>
      <c r="AF4" s="54"/>
      <c r="AH4" s="210">
        <f t="shared" ref="AH4" si="1">SUM(AH5:AH14)</f>
        <v>32.5</v>
      </c>
      <c r="AI4" s="54"/>
      <c r="AJ4" s="54"/>
      <c r="AK4" s="54"/>
      <c r="AL4" s="54"/>
      <c r="AN4" s="210">
        <f t="shared" ref="AN4" si="2">SUM(AN5:AN14)</f>
        <v>32.5</v>
      </c>
      <c r="AO4" s="54"/>
      <c r="AP4" s="54"/>
      <c r="AQ4" s="54"/>
      <c r="AR4" s="54"/>
      <c r="AT4" s="210">
        <f t="shared" ref="AT4" si="3">SUM(AT5:AT14)</f>
        <v>32.5</v>
      </c>
      <c r="AU4" s="54"/>
      <c r="AV4" s="54"/>
      <c r="AW4" s="54"/>
      <c r="AX4" s="54"/>
      <c r="AZ4" s="210">
        <f t="shared" ref="AZ4" si="4">SUM(AZ5:AZ14)</f>
        <v>32.5</v>
      </c>
      <c r="BA4" s="54"/>
      <c r="BB4" s="54"/>
      <c r="BC4" s="54"/>
      <c r="BD4" s="54"/>
      <c r="BF4" s="210">
        <f t="shared" ref="BF4" si="5">SUM(BF5:BF14)</f>
        <v>32.5</v>
      </c>
      <c r="BG4" s="54"/>
      <c r="BH4" s="54"/>
      <c r="BI4" s="54"/>
      <c r="BJ4" s="54"/>
      <c r="BL4" s="210">
        <f t="shared" ref="BL4" si="6">SUM(BL5:BL14)</f>
        <v>32.5</v>
      </c>
      <c r="BM4" s="54"/>
      <c r="BN4" s="54"/>
      <c r="BO4" s="54"/>
      <c r="BP4" s="54"/>
      <c r="BR4" s="210">
        <f t="shared" ref="BR4" si="7">SUM(BR5:BR14)</f>
        <v>32.5</v>
      </c>
      <c r="BS4" s="54"/>
      <c r="BT4" s="54"/>
      <c r="BU4" s="54"/>
      <c r="BV4" s="54"/>
      <c r="BX4" s="210">
        <f t="shared" ref="BX4" si="8">SUM(BX5:BX14)</f>
        <v>32.5</v>
      </c>
      <c r="BY4" s="54"/>
      <c r="BZ4" s="54"/>
      <c r="CA4" s="54"/>
      <c r="CB4" s="54"/>
      <c r="CD4" s="210">
        <f t="shared" ref="CD4" si="9">SUM(CD5:CD14)</f>
        <v>32.5</v>
      </c>
      <c r="CE4" s="54"/>
      <c r="CF4" s="54"/>
      <c r="CG4" s="54"/>
      <c r="CH4" s="54"/>
      <c r="CJ4" s="210">
        <f t="shared" ref="CJ4" si="10">SUM(CJ5:CJ14)</f>
        <v>32.5</v>
      </c>
      <c r="CK4" s="54"/>
      <c r="CL4" s="54"/>
      <c r="CM4" s="54"/>
      <c r="CN4" s="54"/>
      <c r="CP4" s="210">
        <f t="shared" ref="CP4" si="11">SUM(CP5:CP14)</f>
        <v>32.5</v>
      </c>
      <c r="CQ4" s="54"/>
      <c r="CR4" s="54"/>
      <c r="CS4" s="54"/>
      <c r="CT4" s="54"/>
      <c r="CV4" s="210">
        <f t="shared" ref="CV4" si="12">SUM(CV5:CV14)</f>
        <v>32.5</v>
      </c>
      <c r="CW4" s="54"/>
      <c r="CX4" s="54"/>
      <c r="CY4" s="54"/>
      <c r="CZ4" s="54"/>
      <c r="DB4" s="210">
        <f t="shared" ref="DB4" si="13">SUM(DB5:DB14)</f>
        <v>32.5</v>
      </c>
      <c r="DC4" s="54"/>
      <c r="DD4" s="54"/>
      <c r="DE4" s="54"/>
      <c r="DF4" s="54"/>
      <c r="DH4" s="210">
        <f t="shared" ref="DH4" si="14">SUM(DH5:DH14)</f>
        <v>32.5</v>
      </c>
      <c r="DI4" s="54"/>
      <c r="DJ4" s="54"/>
      <c r="DK4" s="54"/>
      <c r="DL4" s="54"/>
      <c r="DN4" s="210">
        <f t="shared" ref="DN4" si="15">SUM(DN5:DN14)</f>
        <v>32.5</v>
      </c>
      <c r="DO4" s="54"/>
      <c r="DP4" s="54"/>
      <c r="DQ4" s="54"/>
      <c r="DR4" s="54"/>
      <c r="DT4" s="210">
        <f t="shared" ref="DT4" si="16">SUM(DT5:DT14)</f>
        <v>32.5</v>
      </c>
      <c r="DU4" s="54"/>
      <c r="DV4" s="54"/>
      <c r="DW4" s="54"/>
      <c r="DX4" s="54"/>
      <c r="DZ4" s="210">
        <f t="shared" ref="DZ4" si="17">SUM(DZ5:DZ14)</f>
        <v>32.5</v>
      </c>
      <c r="EA4" s="54"/>
      <c r="EB4" s="54"/>
      <c r="EC4" s="54"/>
      <c r="ED4" s="54"/>
      <c r="EF4" s="210">
        <f t="shared" ref="EF4" si="18">SUM(EF5:EF14)</f>
        <v>32.5</v>
      </c>
      <c r="EG4" s="54"/>
      <c r="EH4" s="54"/>
      <c r="EI4" s="54"/>
      <c r="EJ4" s="54"/>
      <c r="EL4" s="210">
        <f t="shared" ref="EL4" si="19">SUM(EL5:EL14)</f>
        <v>32.5</v>
      </c>
      <c r="EM4" s="54"/>
      <c r="EN4" s="54"/>
      <c r="EO4" s="54"/>
      <c r="EP4" s="54"/>
      <c r="ER4" s="210">
        <f t="shared" ref="ER4" si="20">SUM(ER5:ER14)</f>
        <v>32.5</v>
      </c>
      <c r="ES4" s="54"/>
      <c r="ET4" s="54"/>
      <c r="EU4" s="54"/>
      <c r="EV4" s="54"/>
    </row>
    <row r="5" spans="1:152" x14ac:dyDescent="0.25">
      <c r="B5" s="56" t="s">
        <v>88</v>
      </c>
      <c r="C5" s="55" t="s">
        <v>89</v>
      </c>
      <c r="D5" s="131">
        <f>SUMIFS('W2'!$K$12:$K$112,'W2'!$B$12:$B$112,'W6 - Operating cost'!$B5)</f>
        <v>6</v>
      </c>
      <c r="E5" s="100">
        <f>D15</f>
        <v>13650000</v>
      </c>
      <c r="F5" s="100">
        <f>D5*E5</f>
        <v>81900000</v>
      </c>
      <c r="G5" s="100">
        <f>F5*12</f>
        <v>982800000</v>
      </c>
      <c r="H5" s="55" t="s">
        <v>193</v>
      </c>
      <c r="J5" s="131">
        <f>SUMIFS('W2'!$K$12:$K$112,'W2'!$B$12:$B$112,'W6 - Operating cost'!$B5)</f>
        <v>6</v>
      </c>
      <c r="K5" s="100">
        <f>J15</f>
        <v>13650000</v>
      </c>
      <c r="L5" s="100">
        <f>J5*K5</f>
        <v>81900000</v>
      </c>
      <c r="M5" s="100">
        <f>L5*12</f>
        <v>982800000</v>
      </c>
      <c r="N5" s="55" t="s">
        <v>193</v>
      </c>
      <c r="P5" s="131">
        <f>SUMIFS('W2'!$K$12:$K$112,'W2'!$B$12:$B$112,'W6 - Operating cost'!$B5)</f>
        <v>6</v>
      </c>
      <c r="Q5" s="100">
        <f>P15</f>
        <v>14332500</v>
      </c>
      <c r="R5" s="100">
        <f>P5*Q5</f>
        <v>85995000</v>
      </c>
      <c r="S5" s="100">
        <f>R5*12</f>
        <v>1031940000</v>
      </c>
      <c r="T5" s="55" t="s">
        <v>193</v>
      </c>
      <c r="V5" s="131">
        <f>SUMIFS('W2'!$K$12:$K$112,'W2'!$B$12:$B$112,'W6 - Operating cost'!$B5)</f>
        <v>6</v>
      </c>
      <c r="W5" s="100">
        <f>V15</f>
        <v>15049125</v>
      </c>
      <c r="X5" s="100">
        <f>V5*W5</f>
        <v>90294750</v>
      </c>
      <c r="Y5" s="100">
        <f>X5*12</f>
        <v>1083537000</v>
      </c>
      <c r="Z5" s="55" t="s">
        <v>193</v>
      </c>
      <c r="AB5" s="131">
        <f>SUMIFS('W2'!$K$12:$K$112,'W2'!$B$12:$B$112,'W6 - Operating cost'!$B5)</f>
        <v>6</v>
      </c>
      <c r="AC5" s="100">
        <f t="shared" ref="AC5" si="21">AB15</f>
        <v>15801581.250000002</v>
      </c>
      <c r="AD5" s="100">
        <f t="shared" ref="AD5" si="22">AB5*AC5</f>
        <v>94809487.500000015</v>
      </c>
      <c r="AE5" s="100">
        <f t="shared" ref="AE5" si="23">AD5*12</f>
        <v>1137713850.0000002</v>
      </c>
      <c r="AF5" s="55" t="s">
        <v>193</v>
      </c>
      <c r="AH5" s="131">
        <f>SUMIFS('W2'!$K$12:$K$112,'W2'!$B$12:$B$112,'W6 - Operating cost'!$B5)</f>
        <v>6</v>
      </c>
      <c r="AI5" s="100">
        <f t="shared" ref="AI5" si="24">AH15</f>
        <v>16591660.3125</v>
      </c>
      <c r="AJ5" s="100">
        <f t="shared" ref="AJ5" si="25">AH5*AI5</f>
        <v>99549961.875</v>
      </c>
      <c r="AK5" s="100">
        <f t="shared" ref="AK5" si="26">AJ5*12</f>
        <v>1194599542.5</v>
      </c>
      <c r="AL5" s="55" t="s">
        <v>193</v>
      </c>
      <c r="AN5" s="131">
        <f>SUMIFS('W2'!$K$12:$K$112,'W2'!$B$12:$B$112,'W6 - Operating cost'!$B5)</f>
        <v>6</v>
      </c>
      <c r="AO5" s="100">
        <f t="shared" ref="AO5" si="27">AN15</f>
        <v>17421243.328125</v>
      </c>
      <c r="AP5" s="100">
        <f t="shared" ref="AP5" si="28">AN5*AO5</f>
        <v>104527459.96875</v>
      </c>
      <c r="AQ5" s="100">
        <f t="shared" ref="AQ5" si="29">AP5*12</f>
        <v>1254329519.625</v>
      </c>
      <c r="AR5" s="55" t="s">
        <v>193</v>
      </c>
      <c r="AT5" s="131">
        <f>SUMIFS('W2'!$K$12:$K$112,'W2'!$B$12:$B$112,'W6 - Operating cost'!$B5)</f>
        <v>6</v>
      </c>
      <c r="AU5" s="100">
        <f t="shared" ref="AU5" si="30">AT15</f>
        <v>18292305.494531251</v>
      </c>
      <c r="AV5" s="100">
        <f t="shared" ref="AV5" si="31">AT5*AU5</f>
        <v>109753832.96718751</v>
      </c>
      <c r="AW5" s="100">
        <f t="shared" ref="AW5" si="32">AV5*12</f>
        <v>1317045995.60625</v>
      </c>
      <c r="AX5" s="55" t="s">
        <v>193</v>
      </c>
      <c r="AZ5" s="131">
        <f>SUMIFS('W2'!$K$12:$K$112,'W2'!$B$12:$B$112,'W6 - Operating cost'!$B5)</f>
        <v>6</v>
      </c>
      <c r="BA5" s="100">
        <f t="shared" ref="BA5" si="33">AZ15</f>
        <v>19206920.769257817</v>
      </c>
      <c r="BB5" s="100">
        <f t="shared" ref="BB5" si="34">AZ5*BA5</f>
        <v>115241524.61554691</v>
      </c>
      <c r="BC5" s="100">
        <f t="shared" ref="BC5" si="35">BB5*12</f>
        <v>1382898295.3865628</v>
      </c>
      <c r="BD5" s="55" t="s">
        <v>193</v>
      </c>
      <c r="BF5" s="131">
        <f>SUMIFS('W2'!$K$12:$K$112,'W2'!$B$12:$B$112,'W6 - Operating cost'!$B5)</f>
        <v>6</v>
      </c>
      <c r="BG5" s="100">
        <f t="shared" ref="BG5" si="36">BF15</f>
        <v>20167266.807720706</v>
      </c>
      <c r="BH5" s="100">
        <f t="shared" ref="BH5" si="37">BF5*BG5</f>
        <v>121003600.84632424</v>
      </c>
      <c r="BI5" s="100">
        <f t="shared" ref="BI5" si="38">BH5*12</f>
        <v>1452043210.1558909</v>
      </c>
      <c r="BJ5" s="55" t="s">
        <v>193</v>
      </c>
      <c r="BL5" s="131">
        <f>SUMIFS('W2'!$K$12:$K$112,'W2'!$B$12:$B$112,'W6 - Operating cost'!$B5)</f>
        <v>6</v>
      </c>
      <c r="BM5" s="100">
        <f t="shared" ref="BM5" si="39">BL15</f>
        <v>21175630.148106739</v>
      </c>
      <c r="BN5" s="100">
        <f t="shared" ref="BN5" si="40">BL5*BM5</f>
        <v>127053780.88864043</v>
      </c>
      <c r="BO5" s="100">
        <f t="shared" ref="BO5" si="41">BN5*12</f>
        <v>1524645370.6636853</v>
      </c>
      <c r="BP5" s="55" t="s">
        <v>193</v>
      </c>
      <c r="BR5" s="131">
        <f>SUMIFS('W2'!$K$12:$K$112,'W2'!$B$12:$B$112,'W6 - Operating cost'!$B5)</f>
        <v>6</v>
      </c>
      <c r="BS5" s="100">
        <f t="shared" ref="BS5" si="42">BR15</f>
        <v>22234411.655512076</v>
      </c>
      <c r="BT5" s="100">
        <f t="shared" ref="BT5" si="43">BR5*BS5</f>
        <v>133406469.93307245</v>
      </c>
      <c r="BU5" s="100">
        <f t="shared" ref="BU5" si="44">BT5*12</f>
        <v>1600877639.1968694</v>
      </c>
      <c r="BV5" s="55" t="s">
        <v>193</v>
      </c>
      <c r="BX5" s="131">
        <f>SUMIFS('W2'!$K$12:$K$112,'W2'!$B$12:$B$112,'W6 - Operating cost'!$B5)</f>
        <v>6</v>
      </c>
      <c r="BY5" s="100">
        <f t="shared" ref="BY5" si="45">BX15</f>
        <v>23346132.238287684</v>
      </c>
      <c r="BZ5" s="100">
        <f t="shared" ref="BZ5" si="46">BX5*BY5</f>
        <v>140076793.42972609</v>
      </c>
      <c r="CA5" s="100">
        <f t="shared" ref="CA5" si="47">BZ5*12</f>
        <v>1680921521.156713</v>
      </c>
      <c r="CB5" s="55" t="s">
        <v>193</v>
      </c>
      <c r="CD5" s="131">
        <f>SUMIFS('W2'!$K$12:$K$112,'W2'!$B$12:$B$112,'W6 - Operating cost'!$B5)</f>
        <v>6</v>
      </c>
      <c r="CE5" s="100">
        <f t="shared" ref="CE5" si="48">CD15</f>
        <v>24513438.850202065</v>
      </c>
      <c r="CF5" s="100">
        <f t="shared" ref="CF5" si="49">CD5*CE5</f>
        <v>147080633.10121238</v>
      </c>
      <c r="CG5" s="100">
        <f t="shared" ref="CG5" si="50">CF5*12</f>
        <v>1764967597.2145486</v>
      </c>
      <c r="CH5" s="55" t="s">
        <v>193</v>
      </c>
      <c r="CJ5" s="131">
        <f>SUMIFS('W2'!$K$12:$K$112,'W2'!$B$12:$B$112,'W6 - Operating cost'!$B5)</f>
        <v>6</v>
      </c>
      <c r="CK5" s="100">
        <f t="shared" ref="CK5" si="51">CJ15</f>
        <v>25739110.792712171</v>
      </c>
      <c r="CL5" s="100">
        <f t="shared" ref="CL5" si="52">CJ5*CK5</f>
        <v>154434664.75627303</v>
      </c>
      <c r="CM5" s="100">
        <f t="shared" ref="CM5" si="53">CL5*12</f>
        <v>1853215977.0752764</v>
      </c>
      <c r="CN5" s="55" t="s">
        <v>193</v>
      </c>
      <c r="CP5" s="131">
        <f>SUMIFS('W2'!$K$12:$K$112,'W2'!$B$12:$B$112,'W6 - Operating cost'!$B5)</f>
        <v>6</v>
      </c>
      <c r="CQ5" s="100">
        <f t="shared" ref="CQ5" si="54">CP15</f>
        <v>27026066.332347773</v>
      </c>
      <c r="CR5" s="100">
        <f t="shared" ref="CR5" si="55">CP5*CQ5</f>
        <v>162156397.99408662</v>
      </c>
      <c r="CS5" s="100">
        <f t="shared" ref="CS5" si="56">CR5*12</f>
        <v>1945876775.9290395</v>
      </c>
      <c r="CT5" s="55" t="s">
        <v>193</v>
      </c>
      <c r="CV5" s="131">
        <f>SUMIFS('W2'!$K$12:$K$112,'W2'!$B$12:$B$112,'W6 - Operating cost'!$B5)</f>
        <v>6</v>
      </c>
      <c r="CW5" s="100">
        <f t="shared" ref="CW5" si="57">CV15</f>
        <v>28377369.648965172</v>
      </c>
      <c r="CX5" s="100">
        <f t="shared" ref="CX5" si="58">CV5*CW5</f>
        <v>170264217.89379102</v>
      </c>
      <c r="CY5" s="100">
        <f t="shared" ref="CY5" si="59">CX5*12</f>
        <v>2043170614.7254922</v>
      </c>
      <c r="CZ5" s="55" t="s">
        <v>193</v>
      </c>
      <c r="DB5" s="131">
        <f>SUMIFS('W2'!$K$12:$K$112,'W2'!$B$12:$B$112,'W6 - Operating cost'!$B5)</f>
        <v>6</v>
      </c>
      <c r="DC5" s="100">
        <f t="shared" ref="DC5" si="60">DB15</f>
        <v>29796238.131413426</v>
      </c>
      <c r="DD5" s="100">
        <f t="shared" ref="DD5" si="61">DB5*DC5</f>
        <v>178777428.78848055</v>
      </c>
      <c r="DE5" s="100">
        <f t="shared" ref="DE5" si="62">DD5*12</f>
        <v>2145329145.4617667</v>
      </c>
      <c r="DF5" s="55" t="s">
        <v>193</v>
      </c>
      <c r="DH5" s="131">
        <f>SUMIFS('W2'!$K$12:$K$112,'W2'!$B$12:$B$112,'W6 - Operating cost'!$B5)</f>
        <v>6</v>
      </c>
      <c r="DI5" s="100">
        <f t="shared" ref="DI5" si="63">DH15</f>
        <v>31286050.037984103</v>
      </c>
      <c r="DJ5" s="100">
        <f t="shared" ref="DJ5" si="64">DH5*DI5</f>
        <v>187716300.22790462</v>
      </c>
      <c r="DK5" s="100">
        <f t="shared" ref="DK5" si="65">DJ5*12</f>
        <v>2252595602.7348557</v>
      </c>
      <c r="DL5" s="55" t="s">
        <v>193</v>
      </c>
      <c r="DN5" s="131">
        <f>SUMIFS('W2'!$K$12:$K$112,'W2'!$B$12:$B$112,'W6 - Operating cost'!$B5)</f>
        <v>6</v>
      </c>
      <c r="DO5" s="100">
        <f t="shared" ref="DO5" si="66">DN15</f>
        <v>32850352.539883308</v>
      </c>
      <c r="DP5" s="100">
        <f t="shared" ref="DP5" si="67">DN5*DO5</f>
        <v>197102115.23929983</v>
      </c>
      <c r="DQ5" s="100">
        <f t="shared" ref="DQ5" si="68">DP5*12</f>
        <v>2365225382.8715982</v>
      </c>
      <c r="DR5" s="55" t="s">
        <v>193</v>
      </c>
      <c r="DT5" s="131">
        <f>SUMIFS('W2'!$K$12:$K$112,'W2'!$B$12:$B$112,'W6 - Operating cost'!$B5)</f>
        <v>6</v>
      </c>
      <c r="DU5" s="100">
        <f t="shared" ref="DU5" si="69">DT15</f>
        <v>34492870.166877471</v>
      </c>
      <c r="DV5" s="100">
        <f t="shared" ref="DV5" si="70">DT5*DU5</f>
        <v>206957221.00126481</v>
      </c>
      <c r="DW5" s="100">
        <f t="shared" ref="DW5" si="71">DV5*12</f>
        <v>2483486652.0151777</v>
      </c>
      <c r="DX5" s="55" t="s">
        <v>193</v>
      </c>
      <c r="DZ5" s="131">
        <f>SUMIFS('W2'!$K$12:$K$112,'W2'!$B$12:$B$112,'W6 - Operating cost'!$B5)</f>
        <v>6</v>
      </c>
      <c r="EA5" s="100">
        <f t="shared" ref="EA5" si="72">DZ15</f>
        <v>36217513.675221346</v>
      </c>
      <c r="EB5" s="100">
        <f t="shared" ref="EB5" si="73">DZ5*EA5</f>
        <v>217305082.05132806</v>
      </c>
      <c r="EC5" s="100">
        <f t="shared" ref="EC5" si="74">EB5*12</f>
        <v>2607660984.6159368</v>
      </c>
      <c r="ED5" s="55" t="s">
        <v>193</v>
      </c>
      <c r="EF5" s="131">
        <f>SUMIFS('W2'!$K$12:$K$112,'W2'!$B$12:$B$112,'W6 - Operating cost'!$B5)</f>
        <v>6</v>
      </c>
      <c r="EG5" s="100">
        <f t="shared" ref="EG5" si="75">EF15</f>
        <v>38028389.358982414</v>
      </c>
      <c r="EH5" s="100">
        <f t="shared" ref="EH5" si="76">EF5*EG5</f>
        <v>228170336.15389448</v>
      </c>
      <c r="EI5" s="100">
        <f t="shared" ref="EI5" si="77">EH5*12</f>
        <v>2738044033.846734</v>
      </c>
      <c r="EJ5" s="55" t="s">
        <v>193</v>
      </c>
      <c r="EL5" s="131">
        <f>SUMIFS('W2'!$K$12:$K$112,'W2'!$B$12:$B$112,'W6 - Operating cost'!$B5)</f>
        <v>6</v>
      </c>
      <c r="EM5" s="100">
        <f t="shared" ref="EM5" si="78">EL15</f>
        <v>39929808.826931529</v>
      </c>
      <c r="EN5" s="100">
        <f t="shared" ref="EN5" si="79">EL5*EM5</f>
        <v>239578852.96158916</v>
      </c>
      <c r="EO5" s="100">
        <f t="shared" ref="EO5" si="80">EN5*12</f>
        <v>2874946235.5390701</v>
      </c>
      <c r="EP5" s="55" t="s">
        <v>193</v>
      </c>
      <c r="ER5" s="131">
        <f>SUMIFS('W2'!$K$12:$K$112,'W2'!$B$12:$B$112,'W6 - Operating cost'!$B5)</f>
        <v>6</v>
      </c>
      <c r="ES5" s="100">
        <f t="shared" ref="ES5" si="81">ER15</f>
        <v>41926299.268278114</v>
      </c>
      <c r="ET5" s="100">
        <f t="shared" ref="ET5" si="82">ER5*ES5</f>
        <v>251557795.60966867</v>
      </c>
      <c r="EU5" s="100">
        <f t="shared" ref="EU5" si="83">ET5*12</f>
        <v>3018693547.3160238</v>
      </c>
      <c r="EV5" s="55" t="s">
        <v>193</v>
      </c>
    </row>
    <row r="6" spans="1:152" x14ac:dyDescent="0.25">
      <c r="B6" s="56" t="s">
        <v>90</v>
      </c>
      <c r="C6" s="55" t="s">
        <v>89</v>
      </c>
      <c r="D6" s="131">
        <f>SUMIFS('W2'!$K$12:$K$112,'W2'!$B$12:$B$112,'W6 - Operating cost'!$B6)</f>
        <v>0</v>
      </c>
      <c r="E6" s="55"/>
      <c r="F6" s="55"/>
      <c r="G6" s="55"/>
      <c r="H6" s="55"/>
      <c r="J6" s="131">
        <f>SUMIFS('W2'!$K$12:$K$112,'W2'!$B$12:$B$112,'W6 - Operating cost'!$B6)</f>
        <v>0</v>
      </c>
      <c r="K6" s="55"/>
      <c r="L6" s="55"/>
      <c r="M6" s="55"/>
      <c r="N6" s="55"/>
      <c r="P6" s="131">
        <f>SUMIFS('W2'!$K$12:$K$112,'W2'!$B$12:$B$112,'W6 - Operating cost'!$B6)</f>
        <v>0</v>
      </c>
      <c r="Q6" s="55"/>
      <c r="R6" s="55"/>
      <c r="S6" s="55"/>
      <c r="T6" s="55"/>
      <c r="V6" s="131">
        <f>SUMIFS('W2'!$K$12:$K$112,'W2'!$B$12:$B$112,'W6 - Operating cost'!$B6)</f>
        <v>0</v>
      </c>
      <c r="W6" s="55"/>
      <c r="X6" s="55"/>
      <c r="Y6" s="55"/>
      <c r="Z6" s="55"/>
      <c r="AB6" s="131">
        <f>SUMIFS('W2'!$K$12:$K$112,'W2'!$B$12:$B$112,'W6 - Operating cost'!$B6)</f>
        <v>0</v>
      </c>
      <c r="AC6" s="55"/>
      <c r="AD6" s="55"/>
      <c r="AE6" s="55"/>
      <c r="AF6" s="55"/>
      <c r="AH6" s="131">
        <f>SUMIFS('W2'!$K$12:$K$112,'W2'!$B$12:$B$112,'W6 - Operating cost'!$B6)</f>
        <v>0</v>
      </c>
      <c r="AI6" s="55"/>
      <c r="AJ6" s="55"/>
      <c r="AK6" s="55"/>
      <c r="AL6" s="55"/>
      <c r="AN6" s="131">
        <f>SUMIFS('W2'!$K$12:$K$112,'W2'!$B$12:$B$112,'W6 - Operating cost'!$B6)</f>
        <v>0</v>
      </c>
      <c r="AO6" s="55"/>
      <c r="AP6" s="55"/>
      <c r="AQ6" s="55"/>
      <c r="AR6" s="55"/>
      <c r="AT6" s="131">
        <f>SUMIFS('W2'!$K$12:$K$112,'W2'!$B$12:$B$112,'W6 - Operating cost'!$B6)</f>
        <v>0</v>
      </c>
      <c r="AU6" s="55"/>
      <c r="AV6" s="55"/>
      <c r="AW6" s="55"/>
      <c r="AX6" s="55"/>
      <c r="AZ6" s="131">
        <f>SUMIFS('W2'!$K$12:$K$112,'W2'!$B$12:$B$112,'W6 - Operating cost'!$B6)</f>
        <v>0</v>
      </c>
      <c r="BA6" s="55"/>
      <c r="BB6" s="55"/>
      <c r="BC6" s="55"/>
      <c r="BD6" s="55"/>
      <c r="BF6" s="131">
        <f>SUMIFS('W2'!$K$12:$K$112,'W2'!$B$12:$B$112,'W6 - Operating cost'!$B6)</f>
        <v>0</v>
      </c>
      <c r="BG6" s="55"/>
      <c r="BH6" s="55"/>
      <c r="BI6" s="55"/>
      <c r="BJ6" s="55"/>
      <c r="BL6" s="131">
        <f>SUMIFS('W2'!$K$12:$K$112,'W2'!$B$12:$B$112,'W6 - Operating cost'!$B6)</f>
        <v>0</v>
      </c>
      <c r="BM6" s="55"/>
      <c r="BN6" s="55"/>
      <c r="BO6" s="55"/>
      <c r="BP6" s="55"/>
      <c r="BR6" s="131">
        <f>SUMIFS('W2'!$K$12:$K$112,'W2'!$B$12:$B$112,'W6 - Operating cost'!$B6)</f>
        <v>0</v>
      </c>
      <c r="BS6" s="55"/>
      <c r="BT6" s="55"/>
      <c r="BU6" s="55"/>
      <c r="BV6" s="55"/>
      <c r="BX6" s="131">
        <f>SUMIFS('W2'!$K$12:$K$112,'W2'!$B$12:$B$112,'W6 - Operating cost'!$B6)</f>
        <v>0</v>
      </c>
      <c r="BY6" s="55"/>
      <c r="BZ6" s="55"/>
      <c r="CA6" s="55"/>
      <c r="CB6" s="55"/>
      <c r="CD6" s="131">
        <f>SUMIFS('W2'!$K$12:$K$112,'W2'!$B$12:$B$112,'W6 - Operating cost'!$B6)</f>
        <v>0</v>
      </c>
      <c r="CE6" s="55"/>
      <c r="CF6" s="55"/>
      <c r="CG6" s="55"/>
      <c r="CH6" s="55"/>
      <c r="CJ6" s="131">
        <f>SUMIFS('W2'!$K$12:$K$112,'W2'!$B$12:$B$112,'W6 - Operating cost'!$B6)</f>
        <v>0</v>
      </c>
      <c r="CK6" s="55"/>
      <c r="CL6" s="55"/>
      <c r="CM6" s="55"/>
      <c r="CN6" s="55"/>
      <c r="CP6" s="131">
        <f>SUMIFS('W2'!$K$12:$K$112,'W2'!$B$12:$B$112,'W6 - Operating cost'!$B6)</f>
        <v>0</v>
      </c>
      <c r="CQ6" s="55"/>
      <c r="CR6" s="55"/>
      <c r="CS6" s="55"/>
      <c r="CT6" s="55"/>
      <c r="CV6" s="131">
        <f>SUMIFS('W2'!$K$12:$K$112,'W2'!$B$12:$B$112,'W6 - Operating cost'!$B6)</f>
        <v>0</v>
      </c>
      <c r="CW6" s="55"/>
      <c r="CX6" s="55"/>
      <c r="CY6" s="55"/>
      <c r="CZ6" s="55"/>
      <c r="DB6" s="131">
        <f>SUMIFS('W2'!$K$12:$K$112,'W2'!$B$12:$B$112,'W6 - Operating cost'!$B6)</f>
        <v>0</v>
      </c>
      <c r="DC6" s="55"/>
      <c r="DD6" s="55"/>
      <c r="DE6" s="55"/>
      <c r="DF6" s="55"/>
      <c r="DH6" s="131">
        <f>SUMIFS('W2'!$K$12:$K$112,'W2'!$B$12:$B$112,'W6 - Operating cost'!$B6)</f>
        <v>0</v>
      </c>
      <c r="DI6" s="55"/>
      <c r="DJ6" s="55"/>
      <c r="DK6" s="55"/>
      <c r="DL6" s="55"/>
      <c r="DN6" s="131">
        <f>SUMIFS('W2'!$K$12:$K$112,'W2'!$B$12:$B$112,'W6 - Operating cost'!$B6)</f>
        <v>0</v>
      </c>
      <c r="DO6" s="55"/>
      <c r="DP6" s="55"/>
      <c r="DQ6" s="55"/>
      <c r="DR6" s="55"/>
      <c r="DT6" s="131">
        <f>SUMIFS('W2'!$K$12:$K$112,'W2'!$B$12:$B$112,'W6 - Operating cost'!$B6)</f>
        <v>0</v>
      </c>
      <c r="DU6" s="55"/>
      <c r="DV6" s="55"/>
      <c r="DW6" s="55"/>
      <c r="DX6" s="55"/>
      <c r="DZ6" s="131">
        <f>SUMIFS('W2'!$K$12:$K$112,'W2'!$B$12:$B$112,'W6 - Operating cost'!$B6)</f>
        <v>0</v>
      </c>
      <c r="EA6" s="55"/>
      <c r="EB6" s="55"/>
      <c r="EC6" s="55"/>
      <c r="ED6" s="55"/>
      <c r="EF6" s="131">
        <f>SUMIFS('W2'!$K$12:$K$112,'W2'!$B$12:$B$112,'W6 - Operating cost'!$B6)</f>
        <v>0</v>
      </c>
      <c r="EG6" s="55"/>
      <c r="EH6" s="55"/>
      <c r="EI6" s="55"/>
      <c r="EJ6" s="55"/>
      <c r="EL6" s="131">
        <f>SUMIFS('W2'!$K$12:$K$112,'W2'!$B$12:$B$112,'W6 - Operating cost'!$B6)</f>
        <v>0</v>
      </c>
      <c r="EM6" s="55"/>
      <c r="EN6" s="55"/>
      <c r="EO6" s="55"/>
      <c r="EP6" s="55"/>
      <c r="ER6" s="131">
        <f>SUMIFS('W2'!$K$12:$K$112,'W2'!$B$12:$B$112,'W6 - Operating cost'!$B6)</f>
        <v>0</v>
      </c>
      <c r="ES6" s="55"/>
      <c r="ET6" s="55"/>
      <c r="EU6" s="55"/>
      <c r="EV6" s="55"/>
    </row>
    <row r="7" spans="1:152" x14ac:dyDescent="0.25">
      <c r="B7" s="56" t="s">
        <v>91</v>
      </c>
      <c r="C7" s="55" t="s">
        <v>89</v>
      </c>
      <c r="D7" s="131">
        <f>SUMIFS('W2'!$K$12:$K$112,'W2'!$B$12:$B$112,'W6 - Operating cost'!$B7)</f>
        <v>3</v>
      </c>
      <c r="E7" s="100">
        <f>D18</f>
        <v>15813396.226415096</v>
      </c>
      <c r="F7" s="100">
        <f>D7*E7</f>
        <v>47440188.679245286</v>
      </c>
      <c r="G7" s="100">
        <f>F7*12</f>
        <v>569282264.1509434</v>
      </c>
      <c r="H7" s="55" t="s">
        <v>193</v>
      </c>
      <c r="J7" s="131">
        <f>SUMIFS('W2'!$K$12:$K$112,'W2'!$B$12:$B$112,'W6 - Operating cost'!$B7)</f>
        <v>3</v>
      </c>
      <c r="K7" s="100">
        <f>J18</f>
        <v>15813396.226415096</v>
      </c>
      <c r="L7" s="100">
        <f>J7*K7</f>
        <v>47440188.679245286</v>
      </c>
      <c r="M7" s="100">
        <f>L7*12</f>
        <v>569282264.1509434</v>
      </c>
      <c r="N7" s="55" t="s">
        <v>193</v>
      </c>
      <c r="P7" s="131">
        <f>SUMIFS('W2'!$K$12:$K$112,'W2'!$B$12:$B$112,'W6 - Operating cost'!$B7)</f>
        <v>3</v>
      </c>
      <c r="Q7" s="100">
        <f>P18</f>
        <v>16604066.037735851</v>
      </c>
      <c r="R7" s="100">
        <f>P7*Q7</f>
        <v>49812198.113207556</v>
      </c>
      <c r="S7" s="100">
        <f>R7*12</f>
        <v>597746377.35849071</v>
      </c>
      <c r="T7" s="55" t="s">
        <v>193</v>
      </c>
      <c r="V7" s="131">
        <f>SUMIFS('W2'!$K$12:$K$112,'W2'!$B$12:$B$112,'W6 - Operating cost'!$B7)</f>
        <v>3</v>
      </c>
      <c r="W7" s="100">
        <f>V18</f>
        <v>17434269.339622643</v>
      </c>
      <c r="X7" s="100">
        <f>V7*W7</f>
        <v>52302808.018867925</v>
      </c>
      <c r="Y7" s="100">
        <f>X7*12</f>
        <v>627633696.22641516</v>
      </c>
      <c r="Z7" s="55" t="s">
        <v>193</v>
      </c>
      <c r="AB7" s="131">
        <f>SUMIFS('W2'!$K$12:$K$112,'W2'!$B$12:$B$112,'W6 - Operating cost'!$B7)</f>
        <v>3</v>
      </c>
      <c r="AC7" s="100">
        <f t="shared" ref="AC7" si="84">AB18</f>
        <v>18305982.806603778</v>
      </c>
      <c r="AD7" s="100">
        <f t="shared" ref="AD7:AD8" si="85">AB7*AC7</f>
        <v>54917948.419811338</v>
      </c>
      <c r="AE7" s="100">
        <f t="shared" ref="AE7" si="86">AD7*12</f>
        <v>659015381.03773606</v>
      </c>
      <c r="AF7" s="55" t="s">
        <v>193</v>
      </c>
      <c r="AH7" s="131">
        <f>SUMIFS('W2'!$K$12:$K$112,'W2'!$B$12:$B$112,'W6 - Operating cost'!$B7)</f>
        <v>3</v>
      </c>
      <c r="AI7" s="100">
        <f t="shared" ref="AI7" si="87">AH18</f>
        <v>19221281.946933962</v>
      </c>
      <c r="AJ7" s="100">
        <f t="shared" ref="AJ7:AJ8" si="88">AH7*AI7</f>
        <v>57663845.840801887</v>
      </c>
      <c r="AK7" s="100">
        <f t="shared" ref="AK7" si="89">AJ7*12</f>
        <v>691966150.08962262</v>
      </c>
      <c r="AL7" s="55" t="s">
        <v>193</v>
      </c>
      <c r="AN7" s="131">
        <f>SUMIFS('W2'!$K$12:$K$112,'W2'!$B$12:$B$112,'W6 - Operating cost'!$B7)</f>
        <v>3</v>
      </c>
      <c r="AO7" s="100">
        <f t="shared" ref="AO7" si="90">AN18</f>
        <v>20182346.044280663</v>
      </c>
      <c r="AP7" s="100">
        <f t="shared" ref="AP7:AP8" si="91">AN7*AO7</f>
        <v>60547038.132841989</v>
      </c>
      <c r="AQ7" s="100">
        <f t="shared" ref="AQ7" si="92">AP7*12</f>
        <v>726564457.59410381</v>
      </c>
      <c r="AR7" s="55" t="s">
        <v>193</v>
      </c>
      <c r="AT7" s="131">
        <f>SUMIFS('W2'!$K$12:$K$112,'W2'!$B$12:$B$112,'W6 - Operating cost'!$B7)</f>
        <v>3</v>
      </c>
      <c r="AU7" s="100">
        <f t="shared" ref="AU7" si="93">AT18</f>
        <v>21191463.346494693</v>
      </c>
      <c r="AV7" s="100">
        <f t="shared" ref="AV7:AV8" si="94">AT7*AU7</f>
        <v>63574390.039484084</v>
      </c>
      <c r="AW7" s="100">
        <f t="shared" ref="AW7" si="95">AV7*12</f>
        <v>762892680.473809</v>
      </c>
      <c r="AX7" s="55" t="s">
        <v>193</v>
      </c>
      <c r="AZ7" s="131">
        <f>SUMIFS('W2'!$K$12:$K$112,'W2'!$B$12:$B$112,'W6 - Operating cost'!$B7)</f>
        <v>3</v>
      </c>
      <c r="BA7" s="100">
        <f t="shared" ref="BA7" si="96">AZ18</f>
        <v>22251036.513819434</v>
      </c>
      <c r="BB7" s="100">
        <f t="shared" ref="BB7:BB8" si="97">AZ7*BA7</f>
        <v>66753109.541458301</v>
      </c>
      <c r="BC7" s="100">
        <f t="shared" ref="BC7" si="98">BB7*12</f>
        <v>801037314.49749959</v>
      </c>
      <c r="BD7" s="55" t="s">
        <v>193</v>
      </c>
      <c r="BF7" s="131">
        <f>SUMIFS('W2'!$K$12:$K$112,'W2'!$B$12:$B$112,'W6 - Operating cost'!$B7)</f>
        <v>3</v>
      </c>
      <c r="BG7" s="100">
        <f t="shared" ref="BG7" si="99">BF18</f>
        <v>23363588.339510404</v>
      </c>
      <c r="BH7" s="100">
        <f t="shared" ref="BH7:BH8" si="100">BF7*BG7</f>
        <v>70090765.018531203</v>
      </c>
      <c r="BI7" s="100">
        <f t="shared" ref="BI7" si="101">BH7*12</f>
        <v>841089180.22237444</v>
      </c>
      <c r="BJ7" s="55" t="s">
        <v>193</v>
      </c>
      <c r="BL7" s="131">
        <f>SUMIFS('W2'!$K$12:$K$112,'W2'!$B$12:$B$112,'W6 - Operating cost'!$B7)</f>
        <v>3</v>
      </c>
      <c r="BM7" s="100">
        <f t="shared" ref="BM7" si="102">BL18</f>
        <v>24531767.756485924</v>
      </c>
      <c r="BN7" s="100">
        <f t="shared" ref="BN7:BN8" si="103">BL7*BM7</f>
        <v>73595303.269457772</v>
      </c>
      <c r="BO7" s="100">
        <f t="shared" ref="BO7" si="104">BN7*12</f>
        <v>883143639.23349333</v>
      </c>
      <c r="BP7" s="55" t="s">
        <v>193</v>
      </c>
      <c r="BR7" s="131">
        <f>SUMIFS('W2'!$K$12:$K$112,'W2'!$B$12:$B$112,'W6 - Operating cost'!$B7)</f>
        <v>3</v>
      </c>
      <c r="BS7" s="100">
        <f t="shared" ref="BS7" si="105">BR18</f>
        <v>25758356.144310221</v>
      </c>
      <c r="BT7" s="100">
        <f t="shared" ref="BT7:BT8" si="106">BR7*BS7</f>
        <v>77275068.432930663</v>
      </c>
      <c r="BU7" s="100">
        <f t="shared" ref="BU7" si="107">BT7*12</f>
        <v>927300821.19516802</v>
      </c>
      <c r="BV7" s="55" t="s">
        <v>193</v>
      </c>
      <c r="BX7" s="131">
        <f>SUMIFS('W2'!$K$12:$K$112,'W2'!$B$12:$B$112,'W6 - Operating cost'!$B7)</f>
        <v>3</v>
      </c>
      <c r="BY7" s="100">
        <f t="shared" ref="BY7" si="108">BX18</f>
        <v>27046273.951525733</v>
      </c>
      <c r="BZ7" s="100">
        <f t="shared" ref="BZ7:BZ8" si="109">BX7*BY7</f>
        <v>81138821.854577199</v>
      </c>
      <c r="CA7" s="100">
        <f t="shared" ref="CA7" si="110">BZ7*12</f>
        <v>973665862.25492644</v>
      </c>
      <c r="CB7" s="55" t="s">
        <v>193</v>
      </c>
      <c r="CD7" s="131">
        <f>SUMIFS('W2'!$K$12:$K$112,'W2'!$B$12:$B$112,'W6 - Operating cost'!$B7)</f>
        <v>3</v>
      </c>
      <c r="CE7" s="100">
        <f t="shared" ref="CE7" si="111">CD18</f>
        <v>28398587.649102017</v>
      </c>
      <c r="CF7" s="100">
        <f t="shared" ref="CF7:CF8" si="112">CD7*CE7</f>
        <v>85195762.947306052</v>
      </c>
      <c r="CG7" s="100">
        <f t="shared" ref="CG7" si="113">CF7*12</f>
        <v>1022349155.3676727</v>
      </c>
      <c r="CH7" s="55" t="s">
        <v>193</v>
      </c>
      <c r="CJ7" s="131">
        <f>SUMIFS('W2'!$K$12:$K$112,'W2'!$B$12:$B$112,'W6 - Operating cost'!$B7)</f>
        <v>3</v>
      </c>
      <c r="CK7" s="100">
        <f t="shared" ref="CK7" si="114">CJ18</f>
        <v>29818517.03155712</v>
      </c>
      <c r="CL7" s="100">
        <f t="shared" ref="CL7:CL8" si="115">CJ7*CK7</f>
        <v>89455551.094671369</v>
      </c>
      <c r="CM7" s="100">
        <f t="shared" ref="CM7" si="116">CL7*12</f>
        <v>1073466613.1360564</v>
      </c>
      <c r="CN7" s="55" t="s">
        <v>193</v>
      </c>
      <c r="CP7" s="131">
        <f>SUMIFS('W2'!$K$12:$K$112,'W2'!$B$12:$B$112,'W6 - Operating cost'!$B7)</f>
        <v>3</v>
      </c>
      <c r="CQ7" s="100">
        <f t="shared" ref="CQ7" si="117">CP18</f>
        <v>31309442.883134972</v>
      </c>
      <c r="CR7" s="100">
        <f t="shared" ref="CR7:CR8" si="118">CP7*CQ7</f>
        <v>93928328.649404913</v>
      </c>
      <c r="CS7" s="100">
        <f t="shared" ref="CS7" si="119">CR7*12</f>
        <v>1127139943.7928591</v>
      </c>
      <c r="CT7" s="55" t="s">
        <v>193</v>
      </c>
      <c r="CV7" s="131">
        <f>SUMIFS('W2'!$K$12:$K$112,'W2'!$B$12:$B$112,'W6 - Operating cost'!$B7)</f>
        <v>3</v>
      </c>
      <c r="CW7" s="100">
        <f t="shared" ref="CW7" si="120">CV18</f>
        <v>32874915.02729173</v>
      </c>
      <c r="CX7" s="100">
        <f t="shared" ref="CX7:CX8" si="121">CV7*CW7</f>
        <v>98624745.08187519</v>
      </c>
      <c r="CY7" s="100">
        <f t="shared" ref="CY7" si="122">CX7*12</f>
        <v>1183496940.9825022</v>
      </c>
      <c r="CZ7" s="55" t="s">
        <v>193</v>
      </c>
      <c r="DB7" s="131">
        <f>SUMIFS('W2'!$K$12:$K$112,'W2'!$B$12:$B$112,'W6 - Operating cost'!$B7)</f>
        <v>3</v>
      </c>
      <c r="DC7" s="100">
        <f t="shared" ref="DC7" si="123">DB18</f>
        <v>34518660.778656311</v>
      </c>
      <c r="DD7" s="100">
        <f t="shared" ref="DD7:DD8" si="124">DB7*DC7</f>
        <v>103555982.33596894</v>
      </c>
      <c r="DE7" s="100">
        <f t="shared" ref="DE7" si="125">DD7*12</f>
        <v>1242671788.0316272</v>
      </c>
      <c r="DF7" s="55" t="s">
        <v>193</v>
      </c>
      <c r="DH7" s="131">
        <f>SUMIFS('W2'!$K$12:$K$112,'W2'!$B$12:$B$112,'W6 - Operating cost'!$B7)</f>
        <v>3</v>
      </c>
      <c r="DI7" s="100">
        <f t="shared" ref="DI7" si="126">DH18</f>
        <v>36244593.817589134</v>
      </c>
      <c r="DJ7" s="100">
        <f t="shared" ref="DJ7:DJ8" si="127">DH7*DI7</f>
        <v>108733781.4527674</v>
      </c>
      <c r="DK7" s="100">
        <f t="shared" ref="DK7" si="128">DJ7*12</f>
        <v>1304805377.4332089</v>
      </c>
      <c r="DL7" s="55" t="s">
        <v>193</v>
      </c>
      <c r="DN7" s="131">
        <f>SUMIFS('W2'!$K$12:$K$112,'W2'!$B$12:$B$112,'W6 - Operating cost'!$B7)</f>
        <v>3</v>
      </c>
      <c r="DO7" s="100">
        <f t="shared" ref="DO7" si="129">DN18</f>
        <v>38056823.508468591</v>
      </c>
      <c r="DP7" s="100">
        <f t="shared" ref="DP7:DP8" si="130">DN7*DO7</f>
        <v>114170470.52540576</v>
      </c>
      <c r="DQ7" s="100">
        <f t="shared" ref="DQ7" si="131">DP7*12</f>
        <v>1370045646.3048692</v>
      </c>
      <c r="DR7" s="55" t="s">
        <v>193</v>
      </c>
      <c r="DT7" s="131">
        <f>SUMIFS('W2'!$K$12:$K$112,'W2'!$B$12:$B$112,'W6 - Operating cost'!$B7)</f>
        <v>3</v>
      </c>
      <c r="DU7" s="100">
        <f t="shared" ref="DU7" si="132">DT18</f>
        <v>39959664.683892019</v>
      </c>
      <c r="DV7" s="100">
        <f t="shared" ref="DV7:DV8" si="133">DT7*DU7</f>
        <v>119878994.05167606</v>
      </c>
      <c r="DW7" s="100">
        <f t="shared" ref="DW7" si="134">DV7*12</f>
        <v>1438547928.6201129</v>
      </c>
      <c r="DX7" s="55" t="s">
        <v>193</v>
      </c>
      <c r="DZ7" s="131">
        <f>SUMIFS('W2'!$K$12:$K$112,'W2'!$B$12:$B$112,'W6 - Operating cost'!$B7)</f>
        <v>3</v>
      </c>
      <c r="EA7" s="100">
        <f t="shared" ref="EA7" si="135">DZ18</f>
        <v>41957647.918086618</v>
      </c>
      <c r="EB7" s="100">
        <f t="shared" ref="EB7:EB8" si="136">DZ7*EA7</f>
        <v>125872943.75425985</v>
      </c>
      <c r="EC7" s="100">
        <f t="shared" ref="EC7" si="137">EB7*12</f>
        <v>1510475325.0511184</v>
      </c>
      <c r="ED7" s="55" t="s">
        <v>193</v>
      </c>
      <c r="EF7" s="131">
        <f>SUMIFS('W2'!$K$12:$K$112,'W2'!$B$12:$B$112,'W6 - Operating cost'!$B7)</f>
        <v>3</v>
      </c>
      <c r="EG7" s="100">
        <f t="shared" ref="EG7" si="138">EF18</f>
        <v>44055530.313990951</v>
      </c>
      <c r="EH7" s="100">
        <f t="shared" ref="EH7:EH8" si="139">EF7*EG7</f>
        <v>132166590.94197285</v>
      </c>
      <c r="EI7" s="100">
        <f t="shared" ref="EI7" si="140">EH7*12</f>
        <v>1585999091.3036742</v>
      </c>
      <c r="EJ7" s="55" t="s">
        <v>193</v>
      </c>
      <c r="EL7" s="131">
        <f>SUMIFS('W2'!$K$12:$K$112,'W2'!$B$12:$B$112,'W6 - Operating cost'!$B7)</f>
        <v>3</v>
      </c>
      <c r="EM7" s="100">
        <f t="shared" ref="EM7" si="141">EL18</f>
        <v>46258306.829690494</v>
      </c>
      <c r="EN7" s="100">
        <f t="shared" ref="EN7:EN8" si="142">EL7*EM7</f>
        <v>138774920.48907149</v>
      </c>
      <c r="EO7" s="100">
        <f t="shared" ref="EO7" si="143">EN7*12</f>
        <v>1665299045.8688579</v>
      </c>
      <c r="EP7" s="55" t="s">
        <v>193</v>
      </c>
      <c r="ER7" s="131">
        <f>SUMIFS('W2'!$K$12:$K$112,'W2'!$B$12:$B$112,'W6 - Operating cost'!$B7)</f>
        <v>3</v>
      </c>
      <c r="ES7" s="100">
        <f t="shared" ref="ES7" si="144">ER18</f>
        <v>48571222.171175025</v>
      </c>
      <c r="ET7" s="100">
        <f t="shared" ref="ET7:ET8" si="145">ER7*ES7</f>
        <v>145713666.51352507</v>
      </c>
      <c r="EU7" s="100">
        <f t="shared" ref="EU7" si="146">ET7*12</f>
        <v>1748563998.1623008</v>
      </c>
      <c r="EV7" s="55" t="s">
        <v>193</v>
      </c>
    </row>
    <row r="8" spans="1:152" x14ac:dyDescent="0.25">
      <c r="B8" s="56" t="s">
        <v>92</v>
      </c>
      <c r="C8" s="55" t="s">
        <v>89</v>
      </c>
      <c r="D8" s="131">
        <f>SUMIFS('W2'!$K$12:$K$112,'W2'!$B$12:$B$112,'W6 - Operating cost'!$B8)</f>
        <v>4.5</v>
      </c>
      <c r="E8" s="100">
        <f>D18</f>
        <v>15813396.226415096</v>
      </c>
      <c r="F8" s="100">
        <f>D8*E8</f>
        <v>71160283.018867925</v>
      </c>
      <c r="G8" s="100">
        <f>F8*12</f>
        <v>853923396.22641516</v>
      </c>
      <c r="H8" s="55" t="s">
        <v>193</v>
      </c>
      <c r="J8" s="131">
        <f>SUMIFS('W2'!$K$12:$K$112,'W2'!$B$12:$B$112,'W6 - Operating cost'!$B8)</f>
        <v>4.5</v>
      </c>
      <c r="K8" s="100">
        <f>J18</f>
        <v>15813396.226415096</v>
      </c>
      <c r="L8" s="100">
        <f>J8*K8</f>
        <v>71160283.018867925</v>
      </c>
      <c r="M8" s="100">
        <f>L8*12</f>
        <v>853923396.22641516</v>
      </c>
      <c r="N8" s="55" t="s">
        <v>193</v>
      </c>
      <c r="P8" s="131">
        <f>SUMIFS('W2'!$K$12:$K$112,'W2'!$B$12:$B$112,'W6 - Operating cost'!$B8)</f>
        <v>4.5</v>
      </c>
      <c r="Q8" s="100">
        <f>P18</f>
        <v>16604066.037735851</v>
      </c>
      <c r="R8" s="100">
        <f>P8*Q8</f>
        <v>74718297.169811338</v>
      </c>
      <c r="S8" s="100">
        <f>R8*12</f>
        <v>896619566.03773606</v>
      </c>
      <c r="T8" s="55" t="s">
        <v>193</v>
      </c>
      <c r="V8" s="131">
        <f>SUMIFS('W2'!$K$12:$K$112,'W2'!$B$12:$B$112,'W6 - Operating cost'!$B8)</f>
        <v>4.5</v>
      </c>
      <c r="W8" s="100">
        <f>V18</f>
        <v>17434269.339622643</v>
      </c>
      <c r="X8" s="100">
        <f>V8*W8</f>
        <v>78454212.028301895</v>
      </c>
      <c r="Y8" s="100">
        <f>X8*12</f>
        <v>941450544.33962274</v>
      </c>
      <c r="Z8" s="55" t="s">
        <v>193</v>
      </c>
      <c r="AB8" s="131">
        <f>SUMIFS('W2'!$K$12:$K$112,'W2'!$B$12:$B$112,'W6 - Operating cost'!$B8)</f>
        <v>4.5</v>
      </c>
      <c r="AC8" s="100">
        <f t="shared" ref="AC8" si="147">AB18</f>
        <v>18305982.806603778</v>
      </c>
      <c r="AD8" s="100">
        <f t="shared" si="85"/>
        <v>82376922.629717007</v>
      </c>
      <c r="AE8" s="100">
        <f t="shared" ref="AE8" si="148">AD8*12</f>
        <v>988523071.55660415</v>
      </c>
      <c r="AF8" s="55" t="s">
        <v>193</v>
      </c>
      <c r="AH8" s="131">
        <f>SUMIFS('W2'!$K$12:$K$112,'W2'!$B$12:$B$112,'W6 - Operating cost'!$B8)</f>
        <v>4.5</v>
      </c>
      <c r="AI8" s="100">
        <f t="shared" ref="AI8" si="149">AH18</f>
        <v>19221281.946933962</v>
      </c>
      <c r="AJ8" s="100">
        <f t="shared" si="88"/>
        <v>86495768.761202827</v>
      </c>
      <c r="AK8" s="100">
        <f t="shared" ref="AK8" si="150">AJ8*12</f>
        <v>1037949225.134434</v>
      </c>
      <c r="AL8" s="55" t="s">
        <v>193</v>
      </c>
      <c r="AN8" s="131">
        <f>SUMIFS('W2'!$K$12:$K$112,'W2'!$B$12:$B$112,'W6 - Operating cost'!$B8)</f>
        <v>4.5</v>
      </c>
      <c r="AO8" s="100">
        <f t="shared" ref="AO8" si="151">AN18</f>
        <v>20182346.044280663</v>
      </c>
      <c r="AP8" s="100">
        <f t="shared" si="91"/>
        <v>90820557.199262977</v>
      </c>
      <c r="AQ8" s="100">
        <f t="shared" ref="AQ8" si="152">AP8*12</f>
        <v>1089846686.3911557</v>
      </c>
      <c r="AR8" s="55" t="s">
        <v>193</v>
      </c>
      <c r="AT8" s="131">
        <f>SUMIFS('W2'!$K$12:$K$112,'W2'!$B$12:$B$112,'W6 - Operating cost'!$B8)</f>
        <v>4.5</v>
      </c>
      <c r="AU8" s="100">
        <f t="shared" ref="AU8" si="153">AT18</f>
        <v>21191463.346494693</v>
      </c>
      <c r="AV8" s="100">
        <f t="shared" si="94"/>
        <v>95361585.059226125</v>
      </c>
      <c r="AW8" s="100">
        <f t="shared" ref="AW8" si="154">AV8*12</f>
        <v>1144339020.7107134</v>
      </c>
      <c r="AX8" s="55" t="s">
        <v>193</v>
      </c>
      <c r="AZ8" s="131">
        <f>SUMIFS('W2'!$K$12:$K$112,'W2'!$B$12:$B$112,'W6 - Operating cost'!$B8)</f>
        <v>4.5</v>
      </c>
      <c r="BA8" s="100">
        <f t="shared" ref="BA8" si="155">AZ18</f>
        <v>22251036.513819434</v>
      </c>
      <c r="BB8" s="100">
        <f t="shared" si="97"/>
        <v>100129664.31218745</v>
      </c>
      <c r="BC8" s="100">
        <f t="shared" ref="BC8" si="156">BB8*12</f>
        <v>1201555971.7462494</v>
      </c>
      <c r="BD8" s="55" t="s">
        <v>193</v>
      </c>
      <c r="BF8" s="131">
        <f>SUMIFS('W2'!$K$12:$K$112,'W2'!$B$12:$B$112,'W6 - Operating cost'!$B8)</f>
        <v>4.5</v>
      </c>
      <c r="BG8" s="100">
        <f t="shared" ref="BG8" si="157">BF18</f>
        <v>23363588.339510404</v>
      </c>
      <c r="BH8" s="100">
        <f t="shared" si="100"/>
        <v>105136147.52779682</v>
      </c>
      <c r="BI8" s="100">
        <f t="shared" ref="BI8" si="158">BH8*12</f>
        <v>1261633770.3335619</v>
      </c>
      <c r="BJ8" s="55" t="s">
        <v>193</v>
      </c>
      <c r="BL8" s="131">
        <f>SUMIFS('W2'!$K$12:$K$112,'W2'!$B$12:$B$112,'W6 - Operating cost'!$B8)</f>
        <v>4.5</v>
      </c>
      <c r="BM8" s="100">
        <f t="shared" ref="BM8" si="159">BL18</f>
        <v>24531767.756485924</v>
      </c>
      <c r="BN8" s="100">
        <f t="shared" si="103"/>
        <v>110392954.90418667</v>
      </c>
      <c r="BO8" s="100">
        <f t="shared" ref="BO8" si="160">BN8*12</f>
        <v>1324715458.85024</v>
      </c>
      <c r="BP8" s="55" t="s">
        <v>193</v>
      </c>
      <c r="BR8" s="131">
        <f>SUMIFS('W2'!$K$12:$K$112,'W2'!$B$12:$B$112,'W6 - Operating cost'!$B8)</f>
        <v>4.5</v>
      </c>
      <c r="BS8" s="100">
        <f t="shared" ref="BS8" si="161">BR18</f>
        <v>25758356.144310221</v>
      </c>
      <c r="BT8" s="100">
        <f t="shared" si="106"/>
        <v>115912602.649396</v>
      </c>
      <c r="BU8" s="100">
        <f t="shared" ref="BU8" si="162">BT8*12</f>
        <v>1390951231.792752</v>
      </c>
      <c r="BV8" s="55" t="s">
        <v>193</v>
      </c>
      <c r="BX8" s="131">
        <f>SUMIFS('W2'!$K$12:$K$112,'W2'!$B$12:$B$112,'W6 - Operating cost'!$B8)</f>
        <v>4.5</v>
      </c>
      <c r="BY8" s="100">
        <f t="shared" ref="BY8" si="163">BX18</f>
        <v>27046273.951525733</v>
      </c>
      <c r="BZ8" s="100">
        <f t="shared" si="109"/>
        <v>121708232.78186581</v>
      </c>
      <c r="CA8" s="100">
        <f t="shared" ref="CA8" si="164">BZ8*12</f>
        <v>1460498793.3823895</v>
      </c>
      <c r="CB8" s="55" t="s">
        <v>193</v>
      </c>
      <c r="CD8" s="131">
        <f>SUMIFS('W2'!$K$12:$K$112,'W2'!$B$12:$B$112,'W6 - Operating cost'!$B8)</f>
        <v>4.5</v>
      </c>
      <c r="CE8" s="100">
        <f t="shared" ref="CE8" si="165">CD18</f>
        <v>28398587.649102017</v>
      </c>
      <c r="CF8" s="100">
        <f t="shared" si="112"/>
        <v>127793644.42095909</v>
      </c>
      <c r="CG8" s="100">
        <f t="shared" ref="CG8" si="166">CF8*12</f>
        <v>1533523733.0515089</v>
      </c>
      <c r="CH8" s="55" t="s">
        <v>193</v>
      </c>
      <c r="CJ8" s="131">
        <f>SUMIFS('W2'!$K$12:$K$112,'W2'!$B$12:$B$112,'W6 - Operating cost'!$B8)</f>
        <v>4.5</v>
      </c>
      <c r="CK8" s="100">
        <f t="shared" ref="CK8" si="167">CJ18</f>
        <v>29818517.03155712</v>
      </c>
      <c r="CL8" s="100">
        <f t="shared" si="115"/>
        <v>134183326.64200704</v>
      </c>
      <c r="CM8" s="100">
        <f t="shared" ref="CM8" si="168">CL8*12</f>
        <v>1610199919.7040844</v>
      </c>
      <c r="CN8" s="55" t="s">
        <v>193</v>
      </c>
      <c r="CP8" s="131">
        <f>SUMIFS('W2'!$K$12:$K$112,'W2'!$B$12:$B$112,'W6 - Operating cost'!$B8)</f>
        <v>4.5</v>
      </c>
      <c r="CQ8" s="100">
        <f t="shared" ref="CQ8" si="169">CP18</f>
        <v>31309442.883134972</v>
      </c>
      <c r="CR8" s="100">
        <f t="shared" si="118"/>
        <v>140892492.97410738</v>
      </c>
      <c r="CS8" s="100">
        <f t="shared" ref="CS8" si="170">CR8*12</f>
        <v>1690709915.6892886</v>
      </c>
      <c r="CT8" s="55" t="s">
        <v>193</v>
      </c>
      <c r="CV8" s="131">
        <f>SUMIFS('W2'!$K$12:$K$112,'W2'!$B$12:$B$112,'W6 - Operating cost'!$B8)</f>
        <v>4.5</v>
      </c>
      <c r="CW8" s="100">
        <f t="shared" ref="CW8" si="171">CV18</f>
        <v>32874915.02729173</v>
      </c>
      <c r="CX8" s="100">
        <f t="shared" si="121"/>
        <v>147937117.62281278</v>
      </c>
      <c r="CY8" s="100">
        <f t="shared" ref="CY8" si="172">CX8*12</f>
        <v>1775245411.4737535</v>
      </c>
      <c r="CZ8" s="55" t="s">
        <v>193</v>
      </c>
      <c r="DB8" s="131">
        <f>SUMIFS('W2'!$K$12:$K$112,'W2'!$B$12:$B$112,'W6 - Operating cost'!$B8)</f>
        <v>4.5</v>
      </c>
      <c r="DC8" s="100">
        <f t="shared" ref="DC8" si="173">DB18</f>
        <v>34518660.778656311</v>
      </c>
      <c r="DD8" s="100">
        <f t="shared" si="124"/>
        <v>155333973.5039534</v>
      </c>
      <c r="DE8" s="100">
        <f t="shared" ref="DE8" si="174">DD8*12</f>
        <v>1864007682.0474408</v>
      </c>
      <c r="DF8" s="55" t="s">
        <v>193</v>
      </c>
      <c r="DH8" s="131">
        <f>SUMIFS('W2'!$K$12:$K$112,'W2'!$B$12:$B$112,'W6 - Operating cost'!$B8)</f>
        <v>4.5</v>
      </c>
      <c r="DI8" s="100">
        <f t="shared" ref="DI8" si="175">DH18</f>
        <v>36244593.817589134</v>
      </c>
      <c r="DJ8" s="100">
        <f t="shared" si="127"/>
        <v>163100672.17915112</v>
      </c>
      <c r="DK8" s="100">
        <f t="shared" ref="DK8" si="176">DJ8*12</f>
        <v>1957208066.1498134</v>
      </c>
      <c r="DL8" s="55" t="s">
        <v>193</v>
      </c>
      <c r="DN8" s="131">
        <f>SUMIFS('W2'!$K$12:$K$112,'W2'!$B$12:$B$112,'W6 - Operating cost'!$B8)</f>
        <v>4.5</v>
      </c>
      <c r="DO8" s="100">
        <f t="shared" ref="DO8" si="177">DN18</f>
        <v>38056823.508468591</v>
      </c>
      <c r="DP8" s="100">
        <f t="shared" si="130"/>
        <v>171255705.78810865</v>
      </c>
      <c r="DQ8" s="100">
        <f t="shared" ref="DQ8" si="178">DP8*12</f>
        <v>2055068469.4573038</v>
      </c>
      <c r="DR8" s="55" t="s">
        <v>193</v>
      </c>
      <c r="DT8" s="131">
        <f>SUMIFS('W2'!$K$12:$K$112,'W2'!$B$12:$B$112,'W6 - Operating cost'!$B8)</f>
        <v>4.5</v>
      </c>
      <c r="DU8" s="100">
        <f t="shared" ref="DU8" si="179">DT18</f>
        <v>39959664.683892019</v>
      </c>
      <c r="DV8" s="100">
        <f t="shared" si="133"/>
        <v>179818491.07751408</v>
      </c>
      <c r="DW8" s="100">
        <f t="shared" ref="DW8" si="180">DV8*12</f>
        <v>2157821892.9301691</v>
      </c>
      <c r="DX8" s="55" t="s">
        <v>193</v>
      </c>
      <c r="DZ8" s="131">
        <f>SUMIFS('W2'!$K$12:$K$112,'W2'!$B$12:$B$112,'W6 - Operating cost'!$B8)</f>
        <v>4.5</v>
      </c>
      <c r="EA8" s="100">
        <f t="shared" ref="EA8" si="181">DZ18</f>
        <v>41957647.918086618</v>
      </c>
      <c r="EB8" s="100">
        <f t="shared" si="136"/>
        <v>188809415.6313898</v>
      </c>
      <c r="EC8" s="100">
        <f t="shared" ref="EC8" si="182">EB8*12</f>
        <v>2265712987.5766773</v>
      </c>
      <c r="ED8" s="55" t="s">
        <v>193</v>
      </c>
      <c r="EF8" s="131">
        <f>SUMIFS('W2'!$K$12:$K$112,'W2'!$B$12:$B$112,'W6 - Operating cost'!$B8)</f>
        <v>4.5</v>
      </c>
      <c r="EG8" s="100">
        <f t="shared" ref="EG8" si="183">EF18</f>
        <v>44055530.313990951</v>
      </c>
      <c r="EH8" s="100">
        <f t="shared" si="139"/>
        <v>198249886.41295928</v>
      </c>
      <c r="EI8" s="100">
        <f t="shared" ref="EI8" si="184">EH8*12</f>
        <v>2378998636.9555111</v>
      </c>
      <c r="EJ8" s="55" t="s">
        <v>193</v>
      </c>
      <c r="EL8" s="131">
        <f>SUMIFS('W2'!$K$12:$K$112,'W2'!$B$12:$B$112,'W6 - Operating cost'!$B8)</f>
        <v>4.5</v>
      </c>
      <c r="EM8" s="100">
        <f t="shared" ref="EM8" si="185">EL18</f>
        <v>46258306.829690494</v>
      </c>
      <c r="EN8" s="100">
        <f t="shared" si="142"/>
        <v>208162380.73360723</v>
      </c>
      <c r="EO8" s="100">
        <f t="shared" ref="EO8" si="186">EN8*12</f>
        <v>2497948568.8032866</v>
      </c>
      <c r="EP8" s="55" t="s">
        <v>193</v>
      </c>
      <c r="ER8" s="131">
        <f>SUMIFS('W2'!$K$12:$K$112,'W2'!$B$12:$B$112,'W6 - Operating cost'!$B8)</f>
        <v>4.5</v>
      </c>
      <c r="ES8" s="100">
        <f t="shared" ref="ES8" si="187">ER18</f>
        <v>48571222.171175025</v>
      </c>
      <c r="ET8" s="100">
        <f t="shared" si="145"/>
        <v>218570499.7702876</v>
      </c>
      <c r="EU8" s="100">
        <f t="shared" ref="EU8" si="188">ET8*12</f>
        <v>2622845997.2434511</v>
      </c>
      <c r="EV8" s="55" t="s">
        <v>193</v>
      </c>
    </row>
    <row r="9" spans="1:152" x14ac:dyDescent="0.25">
      <c r="B9" s="56" t="s">
        <v>93</v>
      </c>
      <c r="C9" s="55" t="s">
        <v>89</v>
      </c>
      <c r="D9" s="131">
        <f>SUMIFS('W2'!$K$12:$K$112,'W2'!$B$12:$B$112,'W6 - Operating cost'!$B9)</f>
        <v>0</v>
      </c>
      <c r="E9" s="55"/>
      <c r="F9" s="55"/>
      <c r="G9" s="55"/>
      <c r="H9" s="55"/>
      <c r="J9" s="131">
        <f>SUMIFS('W2'!$K$12:$K$112,'W2'!$B$12:$B$112,'W6 - Operating cost'!$B9)</f>
        <v>0</v>
      </c>
      <c r="K9" s="55"/>
      <c r="L9" s="55"/>
      <c r="M9" s="55"/>
      <c r="N9" s="55"/>
      <c r="P9" s="131">
        <f>SUMIFS('W2'!$K$12:$K$112,'W2'!$B$12:$B$112,'W6 - Operating cost'!$B9)</f>
        <v>0</v>
      </c>
      <c r="Q9" s="55"/>
      <c r="R9" s="55"/>
      <c r="S9" s="55"/>
      <c r="T9" s="55"/>
      <c r="V9" s="131">
        <f>SUMIFS('W2'!$K$12:$K$112,'W2'!$B$12:$B$112,'W6 - Operating cost'!$B9)</f>
        <v>0</v>
      </c>
      <c r="W9" s="55"/>
      <c r="X9" s="55"/>
      <c r="Y9" s="55"/>
      <c r="Z9" s="55"/>
      <c r="AB9" s="131">
        <f>SUMIFS('W2'!$K$12:$K$112,'W2'!$B$12:$B$112,'W6 - Operating cost'!$B9)</f>
        <v>0</v>
      </c>
      <c r="AC9" s="55"/>
      <c r="AD9" s="55"/>
      <c r="AE9" s="55"/>
      <c r="AF9" s="55"/>
      <c r="AH9" s="131">
        <f>SUMIFS('W2'!$K$12:$K$112,'W2'!$B$12:$B$112,'W6 - Operating cost'!$B9)</f>
        <v>0</v>
      </c>
      <c r="AI9" s="55"/>
      <c r="AJ9" s="55"/>
      <c r="AK9" s="55"/>
      <c r="AL9" s="55"/>
      <c r="AN9" s="131">
        <f>SUMIFS('W2'!$K$12:$K$112,'W2'!$B$12:$B$112,'W6 - Operating cost'!$B9)</f>
        <v>0</v>
      </c>
      <c r="AO9" s="55"/>
      <c r="AP9" s="55"/>
      <c r="AQ9" s="55"/>
      <c r="AR9" s="55"/>
      <c r="AT9" s="131">
        <f>SUMIFS('W2'!$K$12:$K$112,'W2'!$B$12:$B$112,'W6 - Operating cost'!$B9)</f>
        <v>0</v>
      </c>
      <c r="AU9" s="55"/>
      <c r="AV9" s="55"/>
      <c r="AW9" s="55"/>
      <c r="AX9" s="55"/>
      <c r="AZ9" s="131">
        <f>SUMIFS('W2'!$K$12:$K$112,'W2'!$B$12:$B$112,'W6 - Operating cost'!$B9)</f>
        <v>0</v>
      </c>
      <c r="BA9" s="55"/>
      <c r="BB9" s="55"/>
      <c r="BC9" s="55"/>
      <c r="BD9" s="55"/>
      <c r="BF9" s="131">
        <f>SUMIFS('W2'!$K$12:$K$112,'W2'!$B$12:$B$112,'W6 - Operating cost'!$B9)</f>
        <v>0</v>
      </c>
      <c r="BG9" s="55"/>
      <c r="BH9" s="55"/>
      <c r="BI9" s="55"/>
      <c r="BJ9" s="55"/>
      <c r="BL9" s="131">
        <f>SUMIFS('W2'!$K$12:$K$112,'W2'!$B$12:$B$112,'W6 - Operating cost'!$B9)</f>
        <v>0</v>
      </c>
      <c r="BM9" s="55"/>
      <c r="BN9" s="55"/>
      <c r="BO9" s="55"/>
      <c r="BP9" s="55"/>
      <c r="BR9" s="131">
        <f>SUMIFS('W2'!$K$12:$K$112,'W2'!$B$12:$B$112,'W6 - Operating cost'!$B9)</f>
        <v>0</v>
      </c>
      <c r="BS9" s="55"/>
      <c r="BT9" s="55"/>
      <c r="BU9" s="55"/>
      <c r="BV9" s="55"/>
      <c r="BX9" s="131">
        <f>SUMIFS('W2'!$K$12:$K$112,'W2'!$B$12:$B$112,'W6 - Operating cost'!$B9)</f>
        <v>0</v>
      </c>
      <c r="BY9" s="55"/>
      <c r="BZ9" s="55"/>
      <c r="CA9" s="55"/>
      <c r="CB9" s="55"/>
      <c r="CD9" s="131">
        <f>SUMIFS('W2'!$K$12:$K$112,'W2'!$B$12:$B$112,'W6 - Operating cost'!$B9)</f>
        <v>0</v>
      </c>
      <c r="CE9" s="55"/>
      <c r="CF9" s="55"/>
      <c r="CG9" s="55"/>
      <c r="CH9" s="55"/>
      <c r="CJ9" s="131">
        <f>SUMIFS('W2'!$K$12:$K$112,'W2'!$B$12:$B$112,'W6 - Operating cost'!$B9)</f>
        <v>0</v>
      </c>
      <c r="CK9" s="55"/>
      <c r="CL9" s="55"/>
      <c r="CM9" s="55"/>
      <c r="CN9" s="55"/>
      <c r="CP9" s="131">
        <f>SUMIFS('W2'!$K$12:$K$112,'W2'!$B$12:$B$112,'W6 - Operating cost'!$B9)</f>
        <v>0</v>
      </c>
      <c r="CQ9" s="55"/>
      <c r="CR9" s="55"/>
      <c r="CS9" s="55"/>
      <c r="CT9" s="55"/>
      <c r="CV9" s="131">
        <f>SUMIFS('W2'!$K$12:$K$112,'W2'!$B$12:$B$112,'W6 - Operating cost'!$B9)</f>
        <v>0</v>
      </c>
      <c r="CW9" s="55"/>
      <c r="CX9" s="55"/>
      <c r="CY9" s="55"/>
      <c r="CZ9" s="55"/>
      <c r="DB9" s="131">
        <f>SUMIFS('W2'!$K$12:$K$112,'W2'!$B$12:$B$112,'W6 - Operating cost'!$B9)</f>
        <v>0</v>
      </c>
      <c r="DC9" s="55"/>
      <c r="DD9" s="55"/>
      <c r="DE9" s="55"/>
      <c r="DF9" s="55"/>
      <c r="DH9" s="131">
        <f>SUMIFS('W2'!$K$12:$K$112,'W2'!$B$12:$B$112,'W6 - Operating cost'!$B9)</f>
        <v>0</v>
      </c>
      <c r="DI9" s="55"/>
      <c r="DJ9" s="55"/>
      <c r="DK9" s="55"/>
      <c r="DL9" s="55"/>
      <c r="DN9" s="131">
        <f>SUMIFS('W2'!$K$12:$K$112,'W2'!$B$12:$B$112,'W6 - Operating cost'!$B9)</f>
        <v>0</v>
      </c>
      <c r="DO9" s="55"/>
      <c r="DP9" s="55"/>
      <c r="DQ9" s="55"/>
      <c r="DR9" s="55"/>
      <c r="DT9" s="131">
        <f>SUMIFS('W2'!$K$12:$K$112,'W2'!$B$12:$B$112,'W6 - Operating cost'!$B9)</f>
        <v>0</v>
      </c>
      <c r="DU9" s="55"/>
      <c r="DV9" s="55"/>
      <c r="DW9" s="55"/>
      <c r="DX9" s="55"/>
      <c r="DZ9" s="131">
        <f>SUMIFS('W2'!$K$12:$K$112,'W2'!$B$12:$B$112,'W6 - Operating cost'!$B9)</f>
        <v>0</v>
      </c>
      <c r="EA9" s="55"/>
      <c r="EB9" s="55"/>
      <c r="EC9" s="55"/>
      <c r="ED9" s="55"/>
      <c r="EF9" s="131">
        <f>SUMIFS('W2'!$K$12:$K$112,'W2'!$B$12:$B$112,'W6 - Operating cost'!$B9)</f>
        <v>0</v>
      </c>
      <c r="EG9" s="55"/>
      <c r="EH9" s="55"/>
      <c r="EI9" s="55"/>
      <c r="EJ9" s="55"/>
      <c r="EL9" s="131">
        <f>SUMIFS('W2'!$K$12:$K$112,'W2'!$B$12:$B$112,'W6 - Operating cost'!$B9)</f>
        <v>0</v>
      </c>
      <c r="EM9" s="55"/>
      <c r="EN9" s="55"/>
      <c r="EO9" s="55"/>
      <c r="EP9" s="55"/>
      <c r="ER9" s="131">
        <f>SUMIFS('W2'!$K$12:$K$112,'W2'!$B$12:$B$112,'W6 - Operating cost'!$B9)</f>
        <v>0</v>
      </c>
      <c r="ES9" s="55"/>
      <c r="ET9" s="55"/>
      <c r="EU9" s="55"/>
      <c r="EV9" s="55"/>
    </row>
    <row r="10" spans="1:152" x14ac:dyDescent="0.25">
      <c r="B10" s="56" t="s">
        <v>94</v>
      </c>
      <c r="C10" s="55" t="s">
        <v>89</v>
      </c>
      <c r="D10" s="131">
        <f>SUMIFS('W2'!$K$12:$K$112,'W2'!$B$12:$B$112,'W6 - Operating cost'!$B10)</f>
        <v>0</v>
      </c>
      <c r="E10" s="100"/>
      <c r="F10" s="55"/>
      <c r="G10" s="55"/>
      <c r="H10" s="55"/>
      <c r="J10" s="131">
        <f>SUMIFS('W2'!$K$12:$K$112,'W2'!$B$12:$B$112,'W6 - Operating cost'!$B10)</f>
        <v>0</v>
      </c>
      <c r="K10" s="100"/>
      <c r="L10" s="55"/>
      <c r="M10" s="55"/>
      <c r="N10" s="55"/>
      <c r="P10" s="131">
        <f>SUMIFS('W2'!$K$12:$K$112,'W2'!$B$12:$B$112,'W6 - Operating cost'!$B10)</f>
        <v>0</v>
      </c>
      <c r="Q10" s="100"/>
      <c r="R10" s="55"/>
      <c r="S10" s="55"/>
      <c r="T10" s="55"/>
      <c r="V10" s="131">
        <f>SUMIFS('W2'!$K$12:$K$112,'W2'!$B$12:$B$112,'W6 - Operating cost'!$B10)</f>
        <v>0</v>
      </c>
      <c r="W10" s="100"/>
      <c r="X10" s="55"/>
      <c r="Y10" s="55"/>
      <c r="Z10" s="55"/>
      <c r="AB10" s="131">
        <f>SUMIFS('W2'!$K$12:$K$112,'W2'!$B$12:$B$112,'W6 - Operating cost'!$B10)</f>
        <v>0</v>
      </c>
      <c r="AC10" s="100"/>
      <c r="AD10" s="55"/>
      <c r="AE10" s="55"/>
      <c r="AF10" s="55"/>
      <c r="AH10" s="131">
        <f>SUMIFS('W2'!$K$12:$K$112,'W2'!$B$12:$B$112,'W6 - Operating cost'!$B10)</f>
        <v>0</v>
      </c>
      <c r="AI10" s="100"/>
      <c r="AJ10" s="55"/>
      <c r="AK10" s="55"/>
      <c r="AL10" s="55"/>
      <c r="AN10" s="131">
        <f>SUMIFS('W2'!$K$12:$K$112,'W2'!$B$12:$B$112,'W6 - Operating cost'!$B10)</f>
        <v>0</v>
      </c>
      <c r="AO10" s="100"/>
      <c r="AP10" s="55"/>
      <c r="AQ10" s="55"/>
      <c r="AR10" s="55"/>
      <c r="AT10" s="131">
        <f>SUMIFS('W2'!$K$12:$K$112,'W2'!$B$12:$B$112,'W6 - Operating cost'!$B10)</f>
        <v>0</v>
      </c>
      <c r="AU10" s="100"/>
      <c r="AV10" s="55"/>
      <c r="AW10" s="55"/>
      <c r="AX10" s="55"/>
      <c r="AZ10" s="131">
        <f>SUMIFS('W2'!$K$12:$K$112,'W2'!$B$12:$B$112,'W6 - Operating cost'!$B10)</f>
        <v>0</v>
      </c>
      <c r="BA10" s="100"/>
      <c r="BB10" s="55"/>
      <c r="BC10" s="55"/>
      <c r="BD10" s="55"/>
      <c r="BF10" s="131">
        <f>SUMIFS('W2'!$K$12:$K$112,'W2'!$B$12:$B$112,'W6 - Operating cost'!$B10)</f>
        <v>0</v>
      </c>
      <c r="BG10" s="100"/>
      <c r="BH10" s="55"/>
      <c r="BI10" s="55"/>
      <c r="BJ10" s="55"/>
      <c r="BL10" s="131">
        <f>SUMIFS('W2'!$K$12:$K$112,'W2'!$B$12:$B$112,'W6 - Operating cost'!$B10)</f>
        <v>0</v>
      </c>
      <c r="BM10" s="100"/>
      <c r="BN10" s="55"/>
      <c r="BO10" s="55"/>
      <c r="BP10" s="55"/>
      <c r="BR10" s="131">
        <f>SUMIFS('W2'!$K$12:$K$112,'W2'!$B$12:$B$112,'W6 - Operating cost'!$B10)</f>
        <v>0</v>
      </c>
      <c r="BS10" s="100"/>
      <c r="BT10" s="55"/>
      <c r="BU10" s="55"/>
      <c r="BV10" s="55"/>
      <c r="BX10" s="131">
        <f>SUMIFS('W2'!$K$12:$K$112,'W2'!$B$12:$B$112,'W6 - Operating cost'!$B10)</f>
        <v>0</v>
      </c>
      <c r="BY10" s="100"/>
      <c r="BZ10" s="55"/>
      <c r="CA10" s="55"/>
      <c r="CB10" s="55"/>
      <c r="CD10" s="131">
        <f>SUMIFS('W2'!$K$12:$K$112,'W2'!$B$12:$B$112,'W6 - Operating cost'!$B10)</f>
        <v>0</v>
      </c>
      <c r="CE10" s="100"/>
      <c r="CF10" s="55"/>
      <c r="CG10" s="55"/>
      <c r="CH10" s="55"/>
      <c r="CJ10" s="131">
        <f>SUMIFS('W2'!$K$12:$K$112,'W2'!$B$12:$B$112,'W6 - Operating cost'!$B10)</f>
        <v>0</v>
      </c>
      <c r="CK10" s="100"/>
      <c r="CL10" s="55"/>
      <c r="CM10" s="55"/>
      <c r="CN10" s="55"/>
      <c r="CP10" s="131">
        <f>SUMIFS('W2'!$K$12:$K$112,'W2'!$B$12:$B$112,'W6 - Operating cost'!$B10)</f>
        <v>0</v>
      </c>
      <c r="CQ10" s="100"/>
      <c r="CR10" s="55"/>
      <c r="CS10" s="55"/>
      <c r="CT10" s="55"/>
      <c r="CV10" s="131">
        <f>SUMIFS('W2'!$K$12:$K$112,'W2'!$B$12:$B$112,'W6 - Operating cost'!$B10)</f>
        <v>0</v>
      </c>
      <c r="CW10" s="100"/>
      <c r="CX10" s="55"/>
      <c r="CY10" s="55"/>
      <c r="CZ10" s="55"/>
      <c r="DB10" s="131">
        <f>SUMIFS('W2'!$K$12:$K$112,'W2'!$B$12:$B$112,'W6 - Operating cost'!$B10)</f>
        <v>0</v>
      </c>
      <c r="DC10" s="100"/>
      <c r="DD10" s="55"/>
      <c r="DE10" s="55"/>
      <c r="DF10" s="55"/>
      <c r="DH10" s="131">
        <f>SUMIFS('W2'!$K$12:$K$112,'W2'!$B$12:$B$112,'W6 - Operating cost'!$B10)</f>
        <v>0</v>
      </c>
      <c r="DI10" s="100"/>
      <c r="DJ10" s="55"/>
      <c r="DK10" s="55"/>
      <c r="DL10" s="55"/>
      <c r="DN10" s="131">
        <f>SUMIFS('W2'!$K$12:$K$112,'W2'!$B$12:$B$112,'W6 - Operating cost'!$B10)</f>
        <v>0</v>
      </c>
      <c r="DO10" s="100"/>
      <c r="DP10" s="55"/>
      <c r="DQ10" s="55"/>
      <c r="DR10" s="55"/>
      <c r="DT10" s="131">
        <f>SUMIFS('W2'!$K$12:$K$112,'W2'!$B$12:$B$112,'W6 - Operating cost'!$B10)</f>
        <v>0</v>
      </c>
      <c r="DU10" s="100"/>
      <c r="DV10" s="55"/>
      <c r="DW10" s="55"/>
      <c r="DX10" s="55"/>
      <c r="DZ10" s="131">
        <f>SUMIFS('W2'!$K$12:$K$112,'W2'!$B$12:$B$112,'W6 - Operating cost'!$B10)</f>
        <v>0</v>
      </c>
      <c r="EA10" s="100"/>
      <c r="EB10" s="55"/>
      <c r="EC10" s="55"/>
      <c r="ED10" s="55"/>
      <c r="EF10" s="131">
        <f>SUMIFS('W2'!$K$12:$K$112,'W2'!$B$12:$B$112,'W6 - Operating cost'!$B10)</f>
        <v>0</v>
      </c>
      <c r="EG10" s="100"/>
      <c r="EH10" s="55"/>
      <c r="EI10" s="55"/>
      <c r="EJ10" s="55"/>
      <c r="EL10" s="131">
        <f>SUMIFS('W2'!$K$12:$K$112,'W2'!$B$12:$B$112,'W6 - Operating cost'!$B10)</f>
        <v>0</v>
      </c>
      <c r="EM10" s="100"/>
      <c r="EN10" s="55"/>
      <c r="EO10" s="55"/>
      <c r="EP10" s="55"/>
      <c r="ER10" s="131">
        <f>SUMIFS('W2'!$K$12:$K$112,'W2'!$B$12:$B$112,'W6 - Operating cost'!$B10)</f>
        <v>0</v>
      </c>
      <c r="ES10" s="100"/>
      <c r="ET10" s="55"/>
      <c r="EU10" s="55"/>
      <c r="EV10" s="55"/>
    </row>
    <row r="11" spans="1:152" x14ac:dyDescent="0.25">
      <c r="B11" s="56" t="s">
        <v>342</v>
      </c>
      <c r="C11" s="55" t="s">
        <v>89</v>
      </c>
      <c r="D11" s="131">
        <f>SUMIFS('W2'!$K$12:$K$112,'W2'!$B$12:$B$112,'W6 - Operating cost'!$B11)</f>
        <v>4</v>
      </c>
      <c r="E11" s="100">
        <f>D18</f>
        <v>15813396.226415096</v>
      </c>
      <c r="F11" s="100">
        <f>D11*E11</f>
        <v>63253584.905660383</v>
      </c>
      <c r="G11" s="100">
        <f>F11*12</f>
        <v>759043018.86792457</v>
      </c>
      <c r="H11" s="55" t="s">
        <v>193</v>
      </c>
      <c r="J11" s="131">
        <f>SUMIFS('W2'!$K$12:$K$112,'W2'!$B$12:$B$112,'W6 - Operating cost'!$B11)</f>
        <v>4</v>
      </c>
      <c r="K11" s="100">
        <f>J18</f>
        <v>15813396.226415096</v>
      </c>
      <c r="L11" s="100">
        <f>J11*K11</f>
        <v>63253584.905660383</v>
      </c>
      <c r="M11" s="100">
        <f>L11*12</f>
        <v>759043018.86792457</v>
      </c>
      <c r="N11" s="55" t="s">
        <v>193</v>
      </c>
      <c r="P11" s="131">
        <f>SUMIFS('W2'!$K$12:$K$112,'W2'!$B$12:$B$112,'W6 - Operating cost'!$B11)</f>
        <v>4</v>
      </c>
      <c r="Q11" s="100">
        <f>P18</f>
        <v>16604066.037735851</v>
      </c>
      <c r="R11" s="100">
        <f>P11*Q11</f>
        <v>66416264.150943406</v>
      </c>
      <c r="S11" s="100">
        <f>R11*12</f>
        <v>796995169.8113209</v>
      </c>
      <c r="T11" s="55" t="s">
        <v>193</v>
      </c>
      <c r="V11" s="131">
        <f>SUMIFS('W2'!$K$12:$K$112,'W2'!$B$12:$B$112,'W6 - Operating cost'!$B11)</f>
        <v>4</v>
      </c>
      <c r="W11" s="100">
        <f>V18</f>
        <v>17434269.339622643</v>
      </c>
      <c r="X11" s="100">
        <f>V11*W11</f>
        <v>69737077.358490571</v>
      </c>
      <c r="Y11" s="100">
        <f>X11*12</f>
        <v>836844928.3018868</v>
      </c>
      <c r="Z11" s="55" t="s">
        <v>193</v>
      </c>
      <c r="AB11" s="131">
        <f>SUMIFS('W2'!$K$12:$K$112,'W2'!$B$12:$B$112,'W6 - Operating cost'!$B11)</f>
        <v>4</v>
      </c>
      <c r="AC11" s="100">
        <f t="shared" ref="AC11" si="189">AB18</f>
        <v>18305982.806603778</v>
      </c>
      <c r="AD11" s="100">
        <f t="shared" ref="AD11:AD12" si="190">AB11*AC11</f>
        <v>73223931.226415113</v>
      </c>
      <c r="AE11" s="100">
        <f t="shared" ref="AE11" si="191">AD11*12</f>
        <v>878687174.71698141</v>
      </c>
      <c r="AF11" s="55" t="s">
        <v>193</v>
      </c>
      <c r="AH11" s="131">
        <f>SUMIFS('W2'!$K$12:$K$112,'W2'!$B$12:$B$112,'W6 - Operating cost'!$B11)</f>
        <v>4</v>
      </c>
      <c r="AI11" s="100">
        <f t="shared" ref="AI11" si="192">AH18</f>
        <v>19221281.946933962</v>
      </c>
      <c r="AJ11" s="100">
        <f t="shared" ref="AJ11:AJ12" si="193">AH11*AI11</f>
        <v>76885127.78773585</v>
      </c>
      <c r="AK11" s="100">
        <f t="shared" ref="AK11" si="194">AJ11*12</f>
        <v>922621533.4528302</v>
      </c>
      <c r="AL11" s="55" t="s">
        <v>193</v>
      </c>
      <c r="AN11" s="131">
        <f>SUMIFS('W2'!$K$12:$K$112,'W2'!$B$12:$B$112,'W6 - Operating cost'!$B11)</f>
        <v>4</v>
      </c>
      <c r="AO11" s="100">
        <f t="shared" ref="AO11" si="195">AN18</f>
        <v>20182346.044280663</v>
      </c>
      <c r="AP11" s="100">
        <f t="shared" ref="AP11:AP12" si="196">AN11*AO11</f>
        <v>80729384.177122653</v>
      </c>
      <c r="AQ11" s="100">
        <f t="shared" ref="AQ11" si="197">AP11*12</f>
        <v>968752610.12547183</v>
      </c>
      <c r="AR11" s="55" t="s">
        <v>193</v>
      </c>
      <c r="AT11" s="131">
        <f>SUMIFS('W2'!$K$12:$K$112,'W2'!$B$12:$B$112,'W6 - Operating cost'!$B11)</f>
        <v>4</v>
      </c>
      <c r="AU11" s="100">
        <f t="shared" ref="AU11" si="198">AT18</f>
        <v>21191463.346494693</v>
      </c>
      <c r="AV11" s="100">
        <f t="shared" ref="AV11:AV12" si="199">AT11*AU11</f>
        <v>84765853.385978773</v>
      </c>
      <c r="AW11" s="100">
        <f t="shared" ref="AW11" si="200">AV11*12</f>
        <v>1017190240.6317453</v>
      </c>
      <c r="AX11" s="55" t="s">
        <v>193</v>
      </c>
      <c r="AZ11" s="131">
        <f>SUMIFS('W2'!$K$12:$K$112,'W2'!$B$12:$B$112,'W6 - Operating cost'!$B11)</f>
        <v>4</v>
      </c>
      <c r="BA11" s="100">
        <f t="shared" ref="BA11" si="201">AZ18</f>
        <v>22251036.513819434</v>
      </c>
      <c r="BB11" s="100">
        <f t="shared" ref="BB11:BB12" si="202">AZ11*BA11</f>
        <v>89004146.055277735</v>
      </c>
      <c r="BC11" s="100">
        <f t="shared" ref="BC11" si="203">BB11*12</f>
        <v>1068049752.6633328</v>
      </c>
      <c r="BD11" s="55" t="s">
        <v>193</v>
      </c>
      <c r="BF11" s="131">
        <f>SUMIFS('W2'!$K$12:$K$112,'W2'!$B$12:$B$112,'W6 - Operating cost'!$B11)</f>
        <v>4</v>
      </c>
      <c r="BG11" s="100">
        <f t="shared" ref="BG11" si="204">BF18</f>
        <v>23363588.339510404</v>
      </c>
      <c r="BH11" s="100">
        <f t="shared" ref="BH11:BH12" si="205">BF11*BG11</f>
        <v>93454353.358041614</v>
      </c>
      <c r="BI11" s="100">
        <f t="shared" ref="BI11" si="206">BH11*12</f>
        <v>1121452240.2964993</v>
      </c>
      <c r="BJ11" s="55" t="s">
        <v>193</v>
      </c>
      <c r="BL11" s="131">
        <f>SUMIFS('W2'!$K$12:$K$112,'W2'!$B$12:$B$112,'W6 - Operating cost'!$B11)</f>
        <v>4</v>
      </c>
      <c r="BM11" s="100">
        <f t="shared" ref="BM11" si="207">BL18</f>
        <v>24531767.756485924</v>
      </c>
      <c r="BN11" s="100">
        <f t="shared" ref="BN11:BN12" si="208">BL11*BM11</f>
        <v>98127071.025943696</v>
      </c>
      <c r="BO11" s="100">
        <f t="shared" ref="BO11" si="209">BN11*12</f>
        <v>1177524852.3113244</v>
      </c>
      <c r="BP11" s="55" t="s">
        <v>193</v>
      </c>
      <c r="BR11" s="131">
        <f>SUMIFS('W2'!$K$12:$K$112,'W2'!$B$12:$B$112,'W6 - Operating cost'!$B11)</f>
        <v>4</v>
      </c>
      <c r="BS11" s="100">
        <f t="shared" ref="BS11" si="210">BR18</f>
        <v>25758356.144310221</v>
      </c>
      <c r="BT11" s="100">
        <f t="shared" ref="BT11:BT12" si="211">BR11*BS11</f>
        <v>103033424.57724088</v>
      </c>
      <c r="BU11" s="100">
        <f t="shared" ref="BU11" si="212">BT11*12</f>
        <v>1236401094.9268906</v>
      </c>
      <c r="BV11" s="55" t="s">
        <v>193</v>
      </c>
      <c r="BX11" s="131">
        <f>SUMIFS('W2'!$K$12:$K$112,'W2'!$B$12:$B$112,'W6 - Operating cost'!$B11)</f>
        <v>4</v>
      </c>
      <c r="BY11" s="100">
        <f t="shared" ref="BY11" si="213">BX18</f>
        <v>27046273.951525733</v>
      </c>
      <c r="BZ11" s="100">
        <f t="shared" ref="BZ11:BZ12" si="214">BX11*BY11</f>
        <v>108185095.80610293</v>
      </c>
      <c r="CA11" s="100">
        <f t="shared" ref="CA11" si="215">BZ11*12</f>
        <v>1298221149.6732352</v>
      </c>
      <c r="CB11" s="55" t="s">
        <v>193</v>
      </c>
      <c r="CD11" s="131">
        <f>SUMIFS('W2'!$K$12:$K$112,'W2'!$B$12:$B$112,'W6 - Operating cost'!$B11)</f>
        <v>4</v>
      </c>
      <c r="CE11" s="100">
        <f t="shared" ref="CE11" si="216">CD18</f>
        <v>28398587.649102017</v>
      </c>
      <c r="CF11" s="100">
        <f t="shared" ref="CF11:CF12" si="217">CD11*CE11</f>
        <v>113594350.59640807</v>
      </c>
      <c r="CG11" s="100">
        <f t="shared" ref="CG11" si="218">CF11*12</f>
        <v>1363132207.1568968</v>
      </c>
      <c r="CH11" s="55" t="s">
        <v>193</v>
      </c>
      <c r="CJ11" s="131">
        <f>SUMIFS('W2'!$K$12:$K$112,'W2'!$B$12:$B$112,'W6 - Operating cost'!$B11)</f>
        <v>4</v>
      </c>
      <c r="CK11" s="100">
        <f t="shared" ref="CK11" si="219">CJ18</f>
        <v>29818517.03155712</v>
      </c>
      <c r="CL11" s="100">
        <f t="shared" ref="CL11:CL12" si="220">CJ11*CK11</f>
        <v>119274068.12622848</v>
      </c>
      <c r="CM11" s="100">
        <f t="shared" ref="CM11" si="221">CL11*12</f>
        <v>1431288817.5147419</v>
      </c>
      <c r="CN11" s="55" t="s">
        <v>193</v>
      </c>
      <c r="CP11" s="131">
        <f>SUMIFS('W2'!$K$12:$K$112,'W2'!$B$12:$B$112,'W6 - Operating cost'!$B11)</f>
        <v>4</v>
      </c>
      <c r="CQ11" s="100">
        <f t="shared" ref="CQ11" si="222">CP18</f>
        <v>31309442.883134972</v>
      </c>
      <c r="CR11" s="100">
        <f t="shared" ref="CR11:CR12" si="223">CP11*CQ11</f>
        <v>125237771.53253989</v>
      </c>
      <c r="CS11" s="100">
        <f t="shared" ref="CS11" si="224">CR11*12</f>
        <v>1502853258.3904786</v>
      </c>
      <c r="CT11" s="55" t="s">
        <v>193</v>
      </c>
      <c r="CV11" s="131">
        <f>SUMIFS('W2'!$K$12:$K$112,'W2'!$B$12:$B$112,'W6 - Operating cost'!$B11)</f>
        <v>4</v>
      </c>
      <c r="CW11" s="100">
        <f t="shared" ref="CW11" si="225">CV18</f>
        <v>32874915.02729173</v>
      </c>
      <c r="CX11" s="100">
        <f t="shared" ref="CX11:CX12" si="226">CV11*CW11</f>
        <v>131499660.10916692</v>
      </c>
      <c r="CY11" s="100">
        <f t="shared" ref="CY11" si="227">CX11*12</f>
        <v>1577995921.310003</v>
      </c>
      <c r="CZ11" s="55" t="s">
        <v>193</v>
      </c>
      <c r="DB11" s="131">
        <f>SUMIFS('W2'!$K$12:$K$112,'W2'!$B$12:$B$112,'W6 - Operating cost'!$B11)</f>
        <v>4</v>
      </c>
      <c r="DC11" s="100">
        <f t="shared" ref="DC11" si="228">DB18</f>
        <v>34518660.778656311</v>
      </c>
      <c r="DD11" s="100">
        <f t="shared" ref="DD11:DD12" si="229">DB11*DC11</f>
        <v>138074643.11462525</v>
      </c>
      <c r="DE11" s="100">
        <f t="shared" ref="DE11" si="230">DD11*12</f>
        <v>1656895717.3755031</v>
      </c>
      <c r="DF11" s="55" t="s">
        <v>193</v>
      </c>
      <c r="DH11" s="131">
        <f>SUMIFS('W2'!$K$12:$K$112,'W2'!$B$12:$B$112,'W6 - Operating cost'!$B11)</f>
        <v>4</v>
      </c>
      <c r="DI11" s="100">
        <f t="shared" ref="DI11" si="231">DH18</f>
        <v>36244593.817589134</v>
      </c>
      <c r="DJ11" s="100">
        <f t="shared" ref="DJ11:DJ12" si="232">DH11*DI11</f>
        <v>144978375.27035654</v>
      </c>
      <c r="DK11" s="100">
        <f t="shared" ref="DK11" si="233">DJ11*12</f>
        <v>1739740503.2442784</v>
      </c>
      <c r="DL11" s="55" t="s">
        <v>193</v>
      </c>
      <c r="DN11" s="131">
        <f>SUMIFS('W2'!$K$12:$K$112,'W2'!$B$12:$B$112,'W6 - Operating cost'!$B11)</f>
        <v>4</v>
      </c>
      <c r="DO11" s="100">
        <f t="shared" ref="DO11" si="234">DN18</f>
        <v>38056823.508468591</v>
      </c>
      <c r="DP11" s="100">
        <f t="shared" ref="DP11:DP12" si="235">DN11*DO11</f>
        <v>152227294.03387436</v>
      </c>
      <c r="DQ11" s="100">
        <f t="shared" ref="DQ11" si="236">DP11*12</f>
        <v>1826727528.4064922</v>
      </c>
      <c r="DR11" s="55" t="s">
        <v>193</v>
      </c>
      <c r="DT11" s="131">
        <f>SUMIFS('W2'!$K$12:$K$112,'W2'!$B$12:$B$112,'W6 - Operating cost'!$B11)</f>
        <v>4</v>
      </c>
      <c r="DU11" s="100">
        <f t="shared" ref="DU11" si="237">DT18</f>
        <v>39959664.683892019</v>
      </c>
      <c r="DV11" s="100">
        <f t="shared" ref="DV11:DV12" si="238">DT11*DU11</f>
        <v>159838658.73556808</v>
      </c>
      <c r="DW11" s="100">
        <f t="shared" ref="DW11" si="239">DV11*12</f>
        <v>1918063904.826817</v>
      </c>
      <c r="DX11" s="55" t="s">
        <v>193</v>
      </c>
      <c r="DZ11" s="131">
        <f>SUMIFS('W2'!$K$12:$K$112,'W2'!$B$12:$B$112,'W6 - Operating cost'!$B11)</f>
        <v>4</v>
      </c>
      <c r="EA11" s="100">
        <f t="shared" ref="EA11" si="240">DZ18</f>
        <v>41957647.918086618</v>
      </c>
      <c r="EB11" s="100">
        <f t="shared" ref="EB11:EB12" si="241">DZ11*EA11</f>
        <v>167830591.67234647</v>
      </c>
      <c r="EC11" s="100">
        <f t="shared" ref="EC11" si="242">EB11*12</f>
        <v>2013967100.0681577</v>
      </c>
      <c r="ED11" s="55" t="s">
        <v>193</v>
      </c>
      <c r="EF11" s="131">
        <f>SUMIFS('W2'!$K$12:$K$112,'W2'!$B$12:$B$112,'W6 - Operating cost'!$B11)</f>
        <v>4</v>
      </c>
      <c r="EG11" s="100">
        <f t="shared" ref="EG11" si="243">EF18</f>
        <v>44055530.313990951</v>
      </c>
      <c r="EH11" s="100">
        <f t="shared" ref="EH11:EH12" si="244">EF11*EG11</f>
        <v>176222121.2559638</v>
      </c>
      <c r="EI11" s="100">
        <f t="shared" ref="EI11" si="245">EH11*12</f>
        <v>2114665455.0715656</v>
      </c>
      <c r="EJ11" s="55" t="s">
        <v>193</v>
      </c>
      <c r="EL11" s="131">
        <f>SUMIFS('W2'!$K$12:$K$112,'W2'!$B$12:$B$112,'W6 - Operating cost'!$B11)</f>
        <v>4</v>
      </c>
      <c r="EM11" s="100">
        <f t="shared" ref="EM11" si="246">EL18</f>
        <v>46258306.829690494</v>
      </c>
      <c r="EN11" s="100">
        <f t="shared" ref="EN11:EN12" si="247">EL11*EM11</f>
        <v>185033227.31876197</v>
      </c>
      <c r="EO11" s="100">
        <f t="shared" ref="EO11" si="248">EN11*12</f>
        <v>2220398727.8251438</v>
      </c>
      <c r="EP11" s="55" t="s">
        <v>193</v>
      </c>
      <c r="ER11" s="131">
        <f>SUMIFS('W2'!$K$12:$K$112,'W2'!$B$12:$B$112,'W6 - Operating cost'!$B11)</f>
        <v>4</v>
      </c>
      <c r="ES11" s="100">
        <f t="shared" ref="ES11" si="249">ER18</f>
        <v>48571222.171175025</v>
      </c>
      <c r="ET11" s="100">
        <f t="shared" ref="ET11:ET12" si="250">ER11*ES11</f>
        <v>194284888.6847001</v>
      </c>
      <c r="EU11" s="100">
        <f t="shared" ref="EU11" si="251">ET11*12</f>
        <v>2331418664.2164011</v>
      </c>
      <c r="EV11" s="55" t="s">
        <v>193</v>
      </c>
    </row>
    <row r="12" spans="1:152" x14ac:dyDescent="0.25">
      <c r="B12" s="56" t="s">
        <v>95</v>
      </c>
      <c r="C12" s="55" t="s">
        <v>89</v>
      </c>
      <c r="D12" s="131">
        <f>SUMIFS('W2'!$K$12:$K$112,'W2'!$B$12:$B$112,'W6 - Operating cost'!$B12)</f>
        <v>3</v>
      </c>
      <c r="E12" s="100">
        <f>D18</f>
        <v>15813396.226415096</v>
      </c>
      <c r="F12" s="100">
        <f>D12*E12</f>
        <v>47440188.679245286</v>
      </c>
      <c r="G12" s="100">
        <f>F12*12</f>
        <v>569282264.1509434</v>
      </c>
      <c r="H12" s="55" t="s">
        <v>193</v>
      </c>
      <c r="J12" s="131">
        <f>SUMIFS('W2'!$K$12:$K$112,'W2'!$B$12:$B$112,'W6 - Operating cost'!$B12)</f>
        <v>3</v>
      </c>
      <c r="K12" s="100">
        <f>J18</f>
        <v>15813396.226415096</v>
      </c>
      <c r="L12" s="100">
        <f>J12*K12</f>
        <v>47440188.679245286</v>
      </c>
      <c r="M12" s="100">
        <f>L12*12</f>
        <v>569282264.1509434</v>
      </c>
      <c r="N12" s="55" t="s">
        <v>193</v>
      </c>
      <c r="P12" s="131">
        <f>SUMIFS('W2'!$K$12:$K$112,'W2'!$B$12:$B$112,'W6 - Operating cost'!$B12)</f>
        <v>3</v>
      </c>
      <c r="Q12" s="100">
        <f>P18</f>
        <v>16604066.037735851</v>
      </c>
      <c r="R12" s="100">
        <f>P12*Q12</f>
        <v>49812198.113207556</v>
      </c>
      <c r="S12" s="100">
        <f>R12*12</f>
        <v>597746377.35849071</v>
      </c>
      <c r="T12" s="55" t="s">
        <v>193</v>
      </c>
      <c r="V12" s="131">
        <f>SUMIFS('W2'!$K$12:$K$112,'W2'!$B$12:$B$112,'W6 - Operating cost'!$B12)</f>
        <v>3</v>
      </c>
      <c r="W12" s="100">
        <f>V18</f>
        <v>17434269.339622643</v>
      </c>
      <c r="X12" s="100">
        <f>V12*W12</f>
        <v>52302808.018867925</v>
      </c>
      <c r="Y12" s="100">
        <f>X12*12</f>
        <v>627633696.22641516</v>
      </c>
      <c r="Z12" s="55" t="s">
        <v>193</v>
      </c>
      <c r="AB12" s="131">
        <f>SUMIFS('W2'!$K$12:$K$112,'W2'!$B$12:$B$112,'W6 - Operating cost'!$B12)</f>
        <v>3</v>
      </c>
      <c r="AC12" s="100">
        <f t="shared" ref="AC12" si="252">AB18</f>
        <v>18305982.806603778</v>
      </c>
      <c r="AD12" s="100">
        <f t="shared" si="190"/>
        <v>54917948.419811338</v>
      </c>
      <c r="AE12" s="100">
        <f t="shared" ref="AE12" si="253">AD12*12</f>
        <v>659015381.03773606</v>
      </c>
      <c r="AF12" s="55" t="s">
        <v>193</v>
      </c>
      <c r="AH12" s="131">
        <f>SUMIFS('W2'!$K$12:$K$112,'W2'!$B$12:$B$112,'W6 - Operating cost'!$B12)</f>
        <v>3</v>
      </c>
      <c r="AI12" s="100">
        <f t="shared" ref="AI12" si="254">AH18</f>
        <v>19221281.946933962</v>
      </c>
      <c r="AJ12" s="100">
        <f t="shared" si="193"/>
        <v>57663845.840801887</v>
      </c>
      <c r="AK12" s="100">
        <f t="shared" ref="AK12" si="255">AJ12*12</f>
        <v>691966150.08962262</v>
      </c>
      <c r="AL12" s="55" t="s">
        <v>193</v>
      </c>
      <c r="AN12" s="131">
        <f>SUMIFS('W2'!$K$12:$K$112,'W2'!$B$12:$B$112,'W6 - Operating cost'!$B12)</f>
        <v>3</v>
      </c>
      <c r="AO12" s="100">
        <f t="shared" ref="AO12" si="256">AN18</f>
        <v>20182346.044280663</v>
      </c>
      <c r="AP12" s="100">
        <f t="shared" si="196"/>
        <v>60547038.132841989</v>
      </c>
      <c r="AQ12" s="100">
        <f t="shared" ref="AQ12" si="257">AP12*12</f>
        <v>726564457.59410381</v>
      </c>
      <c r="AR12" s="55" t="s">
        <v>193</v>
      </c>
      <c r="AT12" s="131">
        <f>SUMIFS('W2'!$K$12:$K$112,'W2'!$B$12:$B$112,'W6 - Operating cost'!$B12)</f>
        <v>3</v>
      </c>
      <c r="AU12" s="100">
        <f t="shared" ref="AU12" si="258">AT18</f>
        <v>21191463.346494693</v>
      </c>
      <c r="AV12" s="100">
        <f t="shared" si="199"/>
        <v>63574390.039484084</v>
      </c>
      <c r="AW12" s="100">
        <f t="shared" ref="AW12" si="259">AV12*12</f>
        <v>762892680.473809</v>
      </c>
      <c r="AX12" s="55" t="s">
        <v>193</v>
      </c>
      <c r="AZ12" s="131">
        <f>SUMIFS('W2'!$K$12:$K$112,'W2'!$B$12:$B$112,'W6 - Operating cost'!$B12)</f>
        <v>3</v>
      </c>
      <c r="BA12" s="100">
        <f t="shared" ref="BA12" si="260">AZ18</f>
        <v>22251036.513819434</v>
      </c>
      <c r="BB12" s="100">
        <f t="shared" si="202"/>
        <v>66753109.541458301</v>
      </c>
      <c r="BC12" s="100">
        <f t="shared" ref="BC12" si="261">BB12*12</f>
        <v>801037314.49749959</v>
      </c>
      <c r="BD12" s="55" t="s">
        <v>193</v>
      </c>
      <c r="BF12" s="131">
        <f>SUMIFS('W2'!$K$12:$K$112,'W2'!$B$12:$B$112,'W6 - Operating cost'!$B12)</f>
        <v>3</v>
      </c>
      <c r="BG12" s="100">
        <f t="shared" ref="BG12" si="262">BF18</f>
        <v>23363588.339510404</v>
      </c>
      <c r="BH12" s="100">
        <f t="shared" si="205"/>
        <v>70090765.018531203</v>
      </c>
      <c r="BI12" s="100">
        <f t="shared" ref="BI12" si="263">BH12*12</f>
        <v>841089180.22237444</v>
      </c>
      <c r="BJ12" s="55" t="s">
        <v>193</v>
      </c>
      <c r="BL12" s="131">
        <f>SUMIFS('W2'!$K$12:$K$112,'W2'!$B$12:$B$112,'W6 - Operating cost'!$B12)</f>
        <v>3</v>
      </c>
      <c r="BM12" s="100">
        <f t="shared" ref="BM12" si="264">BL18</f>
        <v>24531767.756485924</v>
      </c>
      <c r="BN12" s="100">
        <f t="shared" si="208"/>
        <v>73595303.269457772</v>
      </c>
      <c r="BO12" s="100">
        <f t="shared" ref="BO12" si="265">BN12*12</f>
        <v>883143639.23349333</v>
      </c>
      <c r="BP12" s="55" t="s">
        <v>193</v>
      </c>
      <c r="BR12" s="131">
        <f>SUMIFS('W2'!$K$12:$K$112,'W2'!$B$12:$B$112,'W6 - Operating cost'!$B12)</f>
        <v>3</v>
      </c>
      <c r="BS12" s="100">
        <f t="shared" ref="BS12" si="266">BR18</f>
        <v>25758356.144310221</v>
      </c>
      <c r="BT12" s="100">
        <f t="shared" si="211"/>
        <v>77275068.432930663</v>
      </c>
      <c r="BU12" s="100">
        <f t="shared" ref="BU12" si="267">BT12*12</f>
        <v>927300821.19516802</v>
      </c>
      <c r="BV12" s="55" t="s">
        <v>193</v>
      </c>
      <c r="BX12" s="131">
        <f>SUMIFS('W2'!$K$12:$K$112,'W2'!$B$12:$B$112,'W6 - Operating cost'!$B12)</f>
        <v>3</v>
      </c>
      <c r="BY12" s="100">
        <f t="shared" ref="BY12" si="268">BX18</f>
        <v>27046273.951525733</v>
      </c>
      <c r="BZ12" s="100">
        <f t="shared" si="214"/>
        <v>81138821.854577199</v>
      </c>
      <c r="CA12" s="100">
        <f t="shared" ref="CA12" si="269">BZ12*12</f>
        <v>973665862.25492644</v>
      </c>
      <c r="CB12" s="55" t="s">
        <v>193</v>
      </c>
      <c r="CD12" s="131">
        <f>SUMIFS('W2'!$K$12:$K$112,'W2'!$B$12:$B$112,'W6 - Operating cost'!$B12)</f>
        <v>3</v>
      </c>
      <c r="CE12" s="100">
        <f t="shared" ref="CE12" si="270">CD18</f>
        <v>28398587.649102017</v>
      </c>
      <c r="CF12" s="100">
        <f t="shared" si="217"/>
        <v>85195762.947306052</v>
      </c>
      <c r="CG12" s="100">
        <f t="shared" ref="CG12" si="271">CF12*12</f>
        <v>1022349155.3676727</v>
      </c>
      <c r="CH12" s="55" t="s">
        <v>193</v>
      </c>
      <c r="CJ12" s="131">
        <f>SUMIFS('W2'!$K$12:$K$112,'W2'!$B$12:$B$112,'W6 - Operating cost'!$B12)</f>
        <v>3</v>
      </c>
      <c r="CK12" s="100">
        <f t="shared" ref="CK12" si="272">CJ18</f>
        <v>29818517.03155712</v>
      </c>
      <c r="CL12" s="100">
        <f t="shared" si="220"/>
        <v>89455551.094671369</v>
      </c>
      <c r="CM12" s="100">
        <f t="shared" ref="CM12" si="273">CL12*12</f>
        <v>1073466613.1360564</v>
      </c>
      <c r="CN12" s="55" t="s">
        <v>193</v>
      </c>
      <c r="CP12" s="131">
        <f>SUMIFS('W2'!$K$12:$K$112,'W2'!$B$12:$B$112,'W6 - Operating cost'!$B12)</f>
        <v>3</v>
      </c>
      <c r="CQ12" s="100">
        <f t="shared" ref="CQ12" si="274">CP18</f>
        <v>31309442.883134972</v>
      </c>
      <c r="CR12" s="100">
        <f t="shared" si="223"/>
        <v>93928328.649404913</v>
      </c>
      <c r="CS12" s="100">
        <f t="shared" ref="CS12" si="275">CR12*12</f>
        <v>1127139943.7928591</v>
      </c>
      <c r="CT12" s="55" t="s">
        <v>193</v>
      </c>
      <c r="CV12" s="131">
        <f>SUMIFS('W2'!$K$12:$K$112,'W2'!$B$12:$B$112,'W6 - Operating cost'!$B12)</f>
        <v>3</v>
      </c>
      <c r="CW12" s="100">
        <f t="shared" ref="CW12" si="276">CV18</f>
        <v>32874915.02729173</v>
      </c>
      <c r="CX12" s="100">
        <f t="shared" si="226"/>
        <v>98624745.08187519</v>
      </c>
      <c r="CY12" s="100">
        <f t="shared" ref="CY12" si="277">CX12*12</f>
        <v>1183496940.9825022</v>
      </c>
      <c r="CZ12" s="55" t="s">
        <v>193</v>
      </c>
      <c r="DB12" s="131">
        <f>SUMIFS('W2'!$K$12:$K$112,'W2'!$B$12:$B$112,'W6 - Operating cost'!$B12)</f>
        <v>3</v>
      </c>
      <c r="DC12" s="100">
        <f t="shared" ref="DC12" si="278">DB18</f>
        <v>34518660.778656311</v>
      </c>
      <c r="DD12" s="100">
        <f t="shared" si="229"/>
        <v>103555982.33596894</v>
      </c>
      <c r="DE12" s="100">
        <f t="shared" ref="DE12" si="279">DD12*12</f>
        <v>1242671788.0316272</v>
      </c>
      <c r="DF12" s="55" t="s">
        <v>193</v>
      </c>
      <c r="DH12" s="131">
        <f>SUMIFS('W2'!$K$12:$K$112,'W2'!$B$12:$B$112,'W6 - Operating cost'!$B12)</f>
        <v>3</v>
      </c>
      <c r="DI12" s="100">
        <f t="shared" ref="DI12" si="280">DH18</f>
        <v>36244593.817589134</v>
      </c>
      <c r="DJ12" s="100">
        <f t="shared" si="232"/>
        <v>108733781.4527674</v>
      </c>
      <c r="DK12" s="100">
        <f t="shared" ref="DK12" si="281">DJ12*12</f>
        <v>1304805377.4332089</v>
      </c>
      <c r="DL12" s="55" t="s">
        <v>193</v>
      </c>
      <c r="DN12" s="131">
        <f>SUMIFS('W2'!$K$12:$K$112,'W2'!$B$12:$B$112,'W6 - Operating cost'!$B12)</f>
        <v>3</v>
      </c>
      <c r="DO12" s="100">
        <f t="shared" ref="DO12" si="282">DN18</f>
        <v>38056823.508468591</v>
      </c>
      <c r="DP12" s="100">
        <f t="shared" si="235"/>
        <v>114170470.52540576</v>
      </c>
      <c r="DQ12" s="100">
        <f t="shared" ref="DQ12" si="283">DP12*12</f>
        <v>1370045646.3048692</v>
      </c>
      <c r="DR12" s="55" t="s">
        <v>193</v>
      </c>
      <c r="DT12" s="131">
        <f>SUMIFS('W2'!$K$12:$K$112,'W2'!$B$12:$B$112,'W6 - Operating cost'!$B12)</f>
        <v>3</v>
      </c>
      <c r="DU12" s="100">
        <f t="shared" ref="DU12" si="284">DT18</f>
        <v>39959664.683892019</v>
      </c>
      <c r="DV12" s="100">
        <f t="shared" si="238"/>
        <v>119878994.05167606</v>
      </c>
      <c r="DW12" s="100">
        <f t="shared" ref="DW12" si="285">DV12*12</f>
        <v>1438547928.6201129</v>
      </c>
      <c r="DX12" s="55" t="s">
        <v>193</v>
      </c>
      <c r="DZ12" s="131">
        <f>SUMIFS('W2'!$K$12:$K$112,'W2'!$B$12:$B$112,'W6 - Operating cost'!$B12)</f>
        <v>3</v>
      </c>
      <c r="EA12" s="100">
        <f t="shared" ref="EA12" si="286">DZ18</f>
        <v>41957647.918086618</v>
      </c>
      <c r="EB12" s="100">
        <f t="shared" si="241"/>
        <v>125872943.75425985</v>
      </c>
      <c r="EC12" s="100">
        <f t="shared" ref="EC12" si="287">EB12*12</f>
        <v>1510475325.0511184</v>
      </c>
      <c r="ED12" s="55" t="s">
        <v>193</v>
      </c>
      <c r="EF12" s="131">
        <f>SUMIFS('W2'!$K$12:$K$112,'W2'!$B$12:$B$112,'W6 - Operating cost'!$B12)</f>
        <v>3</v>
      </c>
      <c r="EG12" s="100">
        <f t="shared" ref="EG12" si="288">EF18</f>
        <v>44055530.313990951</v>
      </c>
      <c r="EH12" s="100">
        <f t="shared" si="244"/>
        <v>132166590.94197285</v>
      </c>
      <c r="EI12" s="100">
        <f t="shared" ref="EI12" si="289">EH12*12</f>
        <v>1585999091.3036742</v>
      </c>
      <c r="EJ12" s="55" t="s">
        <v>193</v>
      </c>
      <c r="EL12" s="131">
        <f>SUMIFS('W2'!$K$12:$K$112,'W2'!$B$12:$B$112,'W6 - Operating cost'!$B12)</f>
        <v>3</v>
      </c>
      <c r="EM12" s="100">
        <f t="shared" ref="EM12" si="290">EL18</f>
        <v>46258306.829690494</v>
      </c>
      <c r="EN12" s="100">
        <f t="shared" si="247"/>
        <v>138774920.48907149</v>
      </c>
      <c r="EO12" s="100">
        <f t="shared" ref="EO12" si="291">EN12*12</f>
        <v>1665299045.8688579</v>
      </c>
      <c r="EP12" s="55" t="s">
        <v>193</v>
      </c>
      <c r="ER12" s="131">
        <f>SUMIFS('W2'!$K$12:$K$112,'W2'!$B$12:$B$112,'W6 - Operating cost'!$B12)</f>
        <v>3</v>
      </c>
      <c r="ES12" s="100">
        <f t="shared" ref="ES12" si="292">ER18</f>
        <v>48571222.171175025</v>
      </c>
      <c r="ET12" s="100">
        <f t="shared" si="250"/>
        <v>145713666.51352507</v>
      </c>
      <c r="EU12" s="100">
        <f t="shared" ref="EU12" si="293">ET12*12</f>
        <v>1748563998.1623008</v>
      </c>
      <c r="EV12" s="55" t="s">
        <v>193</v>
      </c>
    </row>
    <row r="13" spans="1:152" x14ac:dyDescent="0.25">
      <c r="B13" s="56" t="s">
        <v>96</v>
      </c>
      <c r="C13" s="55" t="s">
        <v>89</v>
      </c>
      <c r="D13" s="131">
        <f>SUMIFS('W2'!$K$12:$K$112,'W2'!$B$12:$B$112,'W6 - Operating cost'!$B13)</f>
        <v>0</v>
      </c>
      <c r="E13" s="55"/>
      <c r="F13" s="55"/>
      <c r="G13" s="55"/>
      <c r="H13" s="55"/>
      <c r="J13" s="131">
        <f>SUMIFS('W2'!$K$12:$K$112,'W2'!$B$12:$B$112,'W6 - Operating cost'!$B13)</f>
        <v>0</v>
      </c>
      <c r="K13" s="55"/>
      <c r="L13" s="55"/>
      <c r="M13" s="55"/>
      <c r="N13" s="55"/>
      <c r="P13" s="131">
        <f>SUMIFS('W2'!$K$12:$K$112,'W2'!$B$12:$B$112,'W6 - Operating cost'!$B13)</f>
        <v>0</v>
      </c>
      <c r="Q13" s="55"/>
      <c r="R13" s="55"/>
      <c r="S13" s="55"/>
      <c r="T13" s="55"/>
      <c r="V13" s="131">
        <f>SUMIFS('W2'!$K$12:$K$112,'W2'!$B$12:$B$112,'W6 - Operating cost'!$B13)</f>
        <v>0</v>
      </c>
      <c r="W13" s="55"/>
      <c r="X13" s="55"/>
      <c r="Y13" s="55"/>
      <c r="Z13" s="55"/>
      <c r="AB13" s="131">
        <f>SUMIFS('W2'!$K$12:$K$112,'W2'!$B$12:$B$112,'W6 - Operating cost'!$B13)</f>
        <v>0</v>
      </c>
      <c r="AC13" s="55"/>
      <c r="AD13" s="55"/>
      <c r="AE13" s="55"/>
      <c r="AF13" s="55"/>
      <c r="AH13" s="131">
        <f>SUMIFS('W2'!$K$12:$K$112,'W2'!$B$12:$B$112,'W6 - Operating cost'!$B13)</f>
        <v>0</v>
      </c>
      <c r="AI13" s="55"/>
      <c r="AJ13" s="55"/>
      <c r="AK13" s="55"/>
      <c r="AL13" s="55"/>
      <c r="AN13" s="131">
        <f>SUMIFS('W2'!$K$12:$K$112,'W2'!$B$12:$B$112,'W6 - Operating cost'!$B13)</f>
        <v>0</v>
      </c>
      <c r="AO13" s="55"/>
      <c r="AP13" s="55"/>
      <c r="AQ13" s="55"/>
      <c r="AR13" s="55"/>
      <c r="AT13" s="131">
        <f>SUMIFS('W2'!$K$12:$K$112,'W2'!$B$12:$B$112,'W6 - Operating cost'!$B13)</f>
        <v>0</v>
      </c>
      <c r="AU13" s="55"/>
      <c r="AV13" s="55"/>
      <c r="AW13" s="55"/>
      <c r="AX13" s="55"/>
      <c r="AZ13" s="131">
        <f>SUMIFS('W2'!$K$12:$K$112,'W2'!$B$12:$B$112,'W6 - Operating cost'!$B13)</f>
        <v>0</v>
      </c>
      <c r="BA13" s="55"/>
      <c r="BB13" s="55"/>
      <c r="BC13" s="55"/>
      <c r="BD13" s="55"/>
      <c r="BF13" s="131">
        <f>SUMIFS('W2'!$K$12:$K$112,'W2'!$B$12:$B$112,'W6 - Operating cost'!$B13)</f>
        <v>0</v>
      </c>
      <c r="BG13" s="55"/>
      <c r="BH13" s="55"/>
      <c r="BI13" s="55"/>
      <c r="BJ13" s="55"/>
      <c r="BL13" s="131">
        <f>SUMIFS('W2'!$K$12:$K$112,'W2'!$B$12:$B$112,'W6 - Operating cost'!$B13)</f>
        <v>0</v>
      </c>
      <c r="BM13" s="55"/>
      <c r="BN13" s="55"/>
      <c r="BO13" s="55"/>
      <c r="BP13" s="55"/>
      <c r="BR13" s="131">
        <f>SUMIFS('W2'!$K$12:$K$112,'W2'!$B$12:$B$112,'W6 - Operating cost'!$B13)</f>
        <v>0</v>
      </c>
      <c r="BS13" s="55"/>
      <c r="BT13" s="55"/>
      <c r="BU13" s="55"/>
      <c r="BV13" s="55"/>
      <c r="BX13" s="131">
        <f>SUMIFS('W2'!$K$12:$K$112,'W2'!$B$12:$B$112,'W6 - Operating cost'!$B13)</f>
        <v>0</v>
      </c>
      <c r="BY13" s="55"/>
      <c r="BZ13" s="55"/>
      <c r="CA13" s="55"/>
      <c r="CB13" s="55"/>
      <c r="CD13" s="131">
        <f>SUMIFS('W2'!$K$12:$K$112,'W2'!$B$12:$B$112,'W6 - Operating cost'!$B13)</f>
        <v>0</v>
      </c>
      <c r="CE13" s="55"/>
      <c r="CF13" s="55"/>
      <c r="CG13" s="55"/>
      <c r="CH13" s="55"/>
      <c r="CJ13" s="131">
        <f>SUMIFS('W2'!$K$12:$K$112,'W2'!$B$12:$B$112,'W6 - Operating cost'!$B13)</f>
        <v>0</v>
      </c>
      <c r="CK13" s="55"/>
      <c r="CL13" s="55"/>
      <c r="CM13" s="55"/>
      <c r="CN13" s="55"/>
      <c r="CP13" s="131">
        <f>SUMIFS('W2'!$K$12:$K$112,'W2'!$B$12:$B$112,'W6 - Operating cost'!$B13)</f>
        <v>0</v>
      </c>
      <c r="CQ13" s="55"/>
      <c r="CR13" s="55"/>
      <c r="CS13" s="55"/>
      <c r="CT13" s="55"/>
      <c r="CV13" s="131">
        <f>SUMIFS('W2'!$K$12:$K$112,'W2'!$B$12:$B$112,'W6 - Operating cost'!$B13)</f>
        <v>0</v>
      </c>
      <c r="CW13" s="55"/>
      <c r="CX13" s="55"/>
      <c r="CY13" s="55"/>
      <c r="CZ13" s="55"/>
      <c r="DB13" s="131">
        <f>SUMIFS('W2'!$K$12:$K$112,'W2'!$B$12:$B$112,'W6 - Operating cost'!$B13)</f>
        <v>0</v>
      </c>
      <c r="DC13" s="55"/>
      <c r="DD13" s="55"/>
      <c r="DE13" s="55"/>
      <c r="DF13" s="55"/>
      <c r="DH13" s="131">
        <f>SUMIFS('W2'!$K$12:$K$112,'W2'!$B$12:$B$112,'W6 - Operating cost'!$B13)</f>
        <v>0</v>
      </c>
      <c r="DI13" s="55"/>
      <c r="DJ13" s="55"/>
      <c r="DK13" s="55"/>
      <c r="DL13" s="55"/>
      <c r="DN13" s="131">
        <f>SUMIFS('W2'!$K$12:$K$112,'W2'!$B$12:$B$112,'W6 - Operating cost'!$B13)</f>
        <v>0</v>
      </c>
      <c r="DO13" s="55"/>
      <c r="DP13" s="55"/>
      <c r="DQ13" s="55"/>
      <c r="DR13" s="55"/>
      <c r="DT13" s="131">
        <f>SUMIFS('W2'!$K$12:$K$112,'W2'!$B$12:$B$112,'W6 - Operating cost'!$B13)</f>
        <v>0</v>
      </c>
      <c r="DU13" s="55"/>
      <c r="DV13" s="55"/>
      <c r="DW13" s="55"/>
      <c r="DX13" s="55"/>
      <c r="DZ13" s="131">
        <f>SUMIFS('W2'!$K$12:$K$112,'W2'!$B$12:$B$112,'W6 - Operating cost'!$B13)</f>
        <v>0</v>
      </c>
      <c r="EA13" s="55"/>
      <c r="EB13" s="55"/>
      <c r="EC13" s="55"/>
      <c r="ED13" s="55"/>
      <c r="EF13" s="131">
        <f>SUMIFS('W2'!$K$12:$K$112,'W2'!$B$12:$B$112,'W6 - Operating cost'!$B13)</f>
        <v>0</v>
      </c>
      <c r="EG13" s="55"/>
      <c r="EH13" s="55"/>
      <c r="EI13" s="55"/>
      <c r="EJ13" s="55"/>
      <c r="EL13" s="131">
        <f>SUMIFS('W2'!$K$12:$K$112,'W2'!$B$12:$B$112,'W6 - Operating cost'!$B13)</f>
        <v>0</v>
      </c>
      <c r="EM13" s="55"/>
      <c r="EN13" s="55"/>
      <c r="EO13" s="55"/>
      <c r="EP13" s="55"/>
      <c r="ER13" s="131">
        <f>SUMIFS('W2'!$K$12:$K$112,'W2'!$B$12:$B$112,'W6 - Operating cost'!$B13)</f>
        <v>0</v>
      </c>
      <c r="ES13" s="55"/>
      <c r="ET13" s="55"/>
      <c r="EU13" s="55"/>
      <c r="EV13" s="55"/>
    </row>
    <row r="14" spans="1:152" x14ac:dyDescent="0.25">
      <c r="B14" s="56" t="s">
        <v>97</v>
      </c>
      <c r="C14" s="55" t="s">
        <v>89</v>
      </c>
      <c r="D14" s="131">
        <f>SUMIFS('W2'!$K$12:$K$112,'W2'!$B$12:$B$112,'W6 - Operating cost'!$B14)</f>
        <v>12</v>
      </c>
      <c r="E14" s="100">
        <f>D18</f>
        <v>15813396.226415096</v>
      </c>
      <c r="F14" s="100">
        <f>D14*E14</f>
        <v>189760754.71698114</v>
      </c>
      <c r="G14" s="100">
        <f>F14*12</f>
        <v>2277129056.6037736</v>
      </c>
      <c r="H14" s="55" t="s">
        <v>193</v>
      </c>
      <c r="J14" s="131">
        <f>SUMIFS('W2'!$K$12:$K$112,'W2'!$B$12:$B$112,'W6 - Operating cost'!$B14)</f>
        <v>12</v>
      </c>
      <c r="K14" s="100">
        <f>J18</f>
        <v>15813396.226415096</v>
      </c>
      <c r="L14" s="100">
        <f>J14*K14</f>
        <v>189760754.71698114</v>
      </c>
      <c r="M14" s="100">
        <f>L14*12</f>
        <v>2277129056.6037736</v>
      </c>
      <c r="N14" s="55" t="s">
        <v>193</v>
      </c>
      <c r="P14" s="131">
        <f>SUMIFS('W2'!$K$12:$K$112,'W2'!$B$12:$B$112,'W6 - Operating cost'!$B14)</f>
        <v>12</v>
      </c>
      <c r="Q14" s="100">
        <f>P18</f>
        <v>16604066.037735851</v>
      </c>
      <c r="R14" s="100">
        <f>P14*Q14</f>
        <v>199248792.45283023</v>
      </c>
      <c r="S14" s="100">
        <f>R14*12</f>
        <v>2390985509.4339628</v>
      </c>
      <c r="T14" s="55" t="s">
        <v>193</v>
      </c>
      <c r="V14" s="131">
        <f>SUMIFS('W2'!$K$12:$K$112,'W2'!$B$12:$B$112,'W6 - Operating cost'!$B14)</f>
        <v>12</v>
      </c>
      <c r="W14" s="100">
        <f>V18</f>
        <v>17434269.339622643</v>
      </c>
      <c r="X14" s="100">
        <f>V14*W14</f>
        <v>209211232.0754717</v>
      </c>
      <c r="Y14" s="100">
        <f>X14*12</f>
        <v>2510534784.9056606</v>
      </c>
      <c r="Z14" s="55" t="s">
        <v>193</v>
      </c>
      <c r="AB14" s="131">
        <f>SUMIFS('W2'!$K$12:$K$112,'W2'!$B$12:$B$112,'W6 - Operating cost'!$B14)</f>
        <v>12</v>
      </c>
      <c r="AC14" s="100">
        <f t="shared" ref="AC14" si="294">AB18</f>
        <v>18305982.806603778</v>
      </c>
      <c r="AD14" s="100">
        <f t="shared" ref="AD14" si="295">AB14*AC14</f>
        <v>219671793.67924535</v>
      </c>
      <c r="AE14" s="100">
        <f t="shared" ref="AE14" si="296">AD14*12</f>
        <v>2636061524.1509442</v>
      </c>
      <c r="AF14" s="55" t="s">
        <v>193</v>
      </c>
      <c r="AH14" s="131">
        <f>SUMIFS('W2'!$K$12:$K$112,'W2'!$B$12:$B$112,'W6 - Operating cost'!$B14)</f>
        <v>12</v>
      </c>
      <c r="AI14" s="100">
        <f t="shared" ref="AI14" si="297">AH18</f>
        <v>19221281.946933962</v>
      </c>
      <c r="AJ14" s="100">
        <f t="shared" ref="AJ14" si="298">AH14*AI14</f>
        <v>230655383.36320755</v>
      </c>
      <c r="AK14" s="100">
        <f t="shared" ref="AK14" si="299">AJ14*12</f>
        <v>2767864600.3584905</v>
      </c>
      <c r="AL14" s="55" t="s">
        <v>193</v>
      </c>
      <c r="AN14" s="131">
        <f>SUMIFS('W2'!$K$12:$K$112,'W2'!$B$12:$B$112,'W6 - Operating cost'!$B14)</f>
        <v>12</v>
      </c>
      <c r="AO14" s="100">
        <f t="shared" ref="AO14" si="300">AN18</f>
        <v>20182346.044280663</v>
      </c>
      <c r="AP14" s="100">
        <f t="shared" ref="AP14" si="301">AN14*AO14</f>
        <v>242188152.53136796</v>
      </c>
      <c r="AQ14" s="100">
        <f t="shared" ref="AQ14" si="302">AP14*12</f>
        <v>2906257830.3764153</v>
      </c>
      <c r="AR14" s="55" t="s">
        <v>193</v>
      </c>
      <c r="AT14" s="131">
        <f>SUMIFS('W2'!$K$12:$K$112,'W2'!$B$12:$B$112,'W6 - Operating cost'!$B14)</f>
        <v>12</v>
      </c>
      <c r="AU14" s="100">
        <f t="shared" ref="AU14" si="303">AT18</f>
        <v>21191463.346494693</v>
      </c>
      <c r="AV14" s="100">
        <f t="shared" ref="AV14" si="304">AT14*AU14</f>
        <v>254297560.15793633</v>
      </c>
      <c r="AW14" s="100">
        <f t="shared" ref="AW14" si="305">AV14*12</f>
        <v>3051570721.895236</v>
      </c>
      <c r="AX14" s="55" t="s">
        <v>193</v>
      </c>
      <c r="AZ14" s="131">
        <f>SUMIFS('W2'!$K$12:$K$112,'W2'!$B$12:$B$112,'W6 - Operating cost'!$B14)</f>
        <v>12</v>
      </c>
      <c r="BA14" s="100">
        <f t="shared" ref="BA14" si="306">AZ18</f>
        <v>22251036.513819434</v>
      </c>
      <c r="BB14" s="100">
        <f t="shared" ref="BB14" si="307">AZ14*BA14</f>
        <v>267012438.1658332</v>
      </c>
      <c r="BC14" s="100">
        <f t="shared" ref="BC14" si="308">BB14*12</f>
        <v>3204149257.9899983</v>
      </c>
      <c r="BD14" s="55" t="s">
        <v>193</v>
      </c>
      <c r="BF14" s="131">
        <f>SUMIFS('W2'!$K$12:$K$112,'W2'!$B$12:$B$112,'W6 - Operating cost'!$B14)</f>
        <v>12</v>
      </c>
      <c r="BG14" s="100">
        <f t="shared" ref="BG14" si="309">BF18</f>
        <v>23363588.339510404</v>
      </c>
      <c r="BH14" s="100">
        <f t="shared" ref="BH14" si="310">BF14*BG14</f>
        <v>280363060.07412481</v>
      </c>
      <c r="BI14" s="100">
        <f t="shared" ref="BI14" si="311">BH14*12</f>
        <v>3364356720.8894978</v>
      </c>
      <c r="BJ14" s="55" t="s">
        <v>193</v>
      </c>
      <c r="BL14" s="131">
        <f>SUMIFS('W2'!$K$12:$K$112,'W2'!$B$12:$B$112,'W6 - Operating cost'!$B14)</f>
        <v>12</v>
      </c>
      <c r="BM14" s="100">
        <f t="shared" ref="BM14" si="312">BL18</f>
        <v>24531767.756485924</v>
      </c>
      <c r="BN14" s="100">
        <f t="shared" ref="BN14" si="313">BL14*BM14</f>
        <v>294381213.07783109</v>
      </c>
      <c r="BO14" s="100">
        <f t="shared" ref="BO14" si="314">BN14*12</f>
        <v>3532574556.9339733</v>
      </c>
      <c r="BP14" s="55" t="s">
        <v>193</v>
      </c>
      <c r="BR14" s="131">
        <f>SUMIFS('W2'!$K$12:$K$112,'W2'!$B$12:$B$112,'W6 - Operating cost'!$B14)</f>
        <v>12</v>
      </c>
      <c r="BS14" s="100">
        <f t="shared" ref="BS14" si="315">BR18</f>
        <v>25758356.144310221</v>
      </c>
      <c r="BT14" s="100">
        <f t="shared" ref="BT14" si="316">BR14*BS14</f>
        <v>309100273.73172265</v>
      </c>
      <c r="BU14" s="100">
        <f t="shared" ref="BU14" si="317">BT14*12</f>
        <v>3709203284.7806721</v>
      </c>
      <c r="BV14" s="55" t="s">
        <v>193</v>
      </c>
      <c r="BX14" s="131">
        <f>SUMIFS('W2'!$K$12:$K$112,'W2'!$B$12:$B$112,'W6 - Operating cost'!$B14)</f>
        <v>12</v>
      </c>
      <c r="BY14" s="100">
        <f t="shared" ref="BY14" si="318">BX18</f>
        <v>27046273.951525733</v>
      </c>
      <c r="BZ14" s="100">
        <f t="shared" ref="BZ14" si="319">BX14*BY14</f>
        <v>324555287.41830879</v>
      </c>
      <c r="CA14" s="100">
        <f t="shared" ref="CA14" si="320">BZ14*12</f>
        <v>3894663449.0197058</v>
      </c>
      <c r="CB14" s="55" t="s">
        <v>193</v>
      </c>
      <c r="CD14" s="131">
        <f>SUMIFS('W2'!$K$12:$K$112,'W2'!$B$12:$B$112,'W6 - Operating cost'!$B14)</f>
        <v>12</v>
      </c>
      <c r="CE14" s="100">
        <f t="shared" ref="CE14" si="321">CD18</f>
        <v>28398587.649102017</v>
      </c>
      <c r="CF14" s="100">
        <f t="shared" ref="CF14" si="322">CD14*CE14</f>
        <v>340783051.78922421</v>
      </c>
      <c r="CG14" s="100">
        <f t="shared" ref="CG14" si="323">CF14*12</f>
        <v>4089396621.4706907</v>
      </c>
      <c r="CH14" s="55" t="s">
        <v>193</v>
      </c>
      <c r="CJ14" s="131">
        <f>SUMIFS('W2'!$K$12:$K$112,'W2'!$B$12:$B$112,'W6 - Operating cost'!$B14)</f>
        <v>12</v>
      </c>
      <c r="CK14" s="100">
        <f t="shared" ref="CK14" si="324">CJ18</f>
        <v>29818517.03155712</v>
      </c>
      <c r="CL14" s="100">
        <f t="shared" ref="CL14" si="325">CJ14*CK14</f>
        <v>357822204.37868547</v>
      </c>
      <c r="CM14" s="100">
        <f t="shared" ref="CM14" si="326">CL14*12</f>
        <v>4293866452.5442257</v>
      </c>
      <c r="CN14" s="55" t="s">
        <v>193</v>
      </c>
      <c r="CP14" s="131">
        <f>SUMIFS('W2'!$K$12:$K$112,'W2'!$B$12:$B$112,'W6 - Operating cost'!$B14)</f>
        <v>12</v>
      </c>
      <c r="CQ14" s="100">
        <f t="shared" ref="CQ14" si="327">CP18</f>
        <v>31309442.883134972</v>
      </c>
      <c r="CR14" s="100">
        <f t="shared" ref="CR14" si="328">CP14*CQ14</f>
        <v>375713314.59761965</v>
      </c>
      <c r="CS14" s="100">
        <f t="shared" ref="CS14" si="329">CR14*12</f>
        <v>4508559775.1714363</v>
      </c>
      <c r="CT14" s="55" t="s">
        <v>193</v>
      </c>
      <c r="CV14" s="131">
        <f>SUMIFS('W2'!$K$12:$K$112,'W2'!$B$12:$B$112,'W6 - Operating cost'!$B14)</f>
        <v>12</v>
      </c>
      <c r="CW14" s="100">
        <f t="shared" ref="CW14" si="330">CV18</f>
        <v>32874915.02729173</v>
      </c>
      <c r="CX14" s="100">
        <f t="shared" ref="CX14" si="331">CV14*CW14</f>
        <v>394498980.32750076</v>
      </c>
      <c r="CY14" s="100">
        <f t="shared" ref="CY14" si="332">CX14*12</f>
        <v>4733987763.9300089</v>
      </c>
      <c r="CZ14" s="55" t="s">
        <v>193</v>
      </c>
      <c r="DB14" s="131">
        <f>SUMIFS('W2'!$K$12:$K$112,'W2'!$B$12:$B$112,'W6 - Operating cost'!$B14)</f>
        <v>12</v>
      </c>
      <c r="DC14" s="100">
        <f t="shared" ref="DC14" si="333">DB18</f>
        <v>34518660.778656311</v>
      </c>
      <c r="DD14" s="100">
        <f t="shared" ref="DD14" si="334">DB14*DC14</f>
        <v>414223929.34387577</v>
      </c>
      <c r="DE14" s="100">
        <f t="shared" ref="DE14" si="335">DD14*12</f>
        <v>4970687152.1265087</v>
      </c>
      <c r="DF14" s="55" t="s">
        <v>193</v>
      </c>
      <c r="DH14" s="131">
        <f>SUMIFS('W2'!$K$12:$K$112,'W2'!$B$12:$B$112,'W6 - Operating cost'!$B14)</f>
        <v>12</v>
      </c>
      <c r="DI14" s="100">
        <f t="shared" ref="DI14" si="336">DH18</f>
        <v>36244593.817589134</v>
      </c>
      <c r="DJ14" s="100">
        <f t="shared" ref="DJ14" si="337">DH14*DI14</f>
        <v>434935125.81106961</v>
      </c>
      <c r="DK14" s="100">
        <f t="shared" ref="DK14" si="338">DJ14*12</f>
        <v>5219221509.7328358</v>
      </c>
      <c r="DL14" s="55" t="s">
        <v>193</v>
      </c>
      <c r="DN14" s="131">
        <f>SUMIFS('W2'!$K$12:$K$112,'W2'!$B$12:$B$112,'W6 - Operating cost'!$B14)</f>
        <v>12</v>
      </c>
      <c r="DO14" s="100">
        <f t="shared" ref="DO14" si="339">DN18</f>
        <v>38056823.508468591</v>
      </c>
      <c r="DP14" s="100">
        <f t="shared" ref="DP14" si="340">DN14*DO14</f>
        <v>456681882.10162306</v>
      </c>
      <c r="DQ14" s="100">
        <f t="shared" ref="DQ14" si="341">DP14*12</f>
        <v>5480182585.2194767</v>
      </c>
      <c r="DR14" s="55" t="s">
        <v>193</v>
      </c>
      <c r="DT14" s="131">
        <f>SUMIFS('W2'!$K$12:$K$112,'W2'!$B$12:$B$112,'W6 - Operating cost'!$B14)</f>
        <v>12</v>
      </c>
      <c r="DU14" s="100">
        <f t="shared" ref="DU14" si="342">DT18</f>
        <v>39959664.683892019</v>
      </c>
      <c r="DV14" s="100">
        <f t="shared" ref="DV14" si="343">DT14*DU14</f>
        <v>479515976.20670426</v>
      </c>
      <c r="DW14" s="100">
        <f t="shared" ref="DW14" si="344">DV14*12</f>
        <v>5754191714.4804516</v>
      </c>
      <c r="DX14" s="55" t="s">
        <v>193</v>
      </c>
      <c r="DZ14" s="131">
        <f>SUMIFS('W2'!$K$12:$K$112,'W2'!$B$12:$B$112,'W6 - Operating cost'!$B14)</f>
        <v>12</v>
      </c>
      <c r="EA14" s="100">
        <f t="shared" ref="EA14" si="345">DZ18</f>
        <v>41957647.918086618</v>
      </c>
      <c r="EB14" s="100">
        <f t="shared" ref="EB14" si="346">DZ14*EA14</f>
        <v>503491775.01703942</v>
      </c>
      <c r="EC14" s="100">
        <f t="shared" ref="EC14" si="347">EB14*12</f>
        <v>6041901300.2044735</v>
      </c>
      <c r="ED14" s="55" t="s">
        <v>193</v>
      </c>
      <c r="EF14" s="131">
        <f>SUMIFS('W2'!$K$12:$K$112,'W2'!$B$12:$B$112,'W6 - Operating cost'!$B14)</f>
        <v>12</v>
      </c>
      <c r="EG14" s="100">
        <f t="shared" ref="EG14" si="348">EF18</f>
        <v>44055530.313990951</v>
      </c>
      <c r="EH14" s="100">
        <f t="shared" ref="EH14" si="349">EF14*EG14</f>
        <v>528666363.76789141</v>
      </c>
      <c r="EI14" s="100">
        <f t="shared" ref="EI14" si="350">EH14*12</f>
        <v>6343996365.2146969</v>
      </c>
      <c r="EJ14" s="55" t="s">
        <v>193</v>
      </c>
      <c r="EL14" s="131">
        <f>SUMIFS('W2'!$K$12:$K$112,'W2'!$B$12:$B$112,'W6 - Operating cost'!$B14)</f>
        <v>12</v>
      </c>
      <c r="EM14" s="100">
        <f t="shared" ref="EM14" si="351">EL18</f>
        <v>46258306.829690494</v>
      </c>
      <c r="EN14" s="100">
        <f t="shared" ref="EN14" si="352">EL14*EM14</f>
        <v>555099681.95628595</v>
      </c>
      <c r="EO14" s="100">
        <f t="shared" ref="EO14" si="353">EN14*12</f>
        <v>6661196183.4754314</v>
      </c>
      <c r="EP14" s="55" t="s">
        <v>193</v>
      </c>
      <c r="ER14" s="131">
        <f>SUMIFS('W2'!$K$12:$K$112,'W2'!$B$12:$B$112,'W6 - Operating cost'!$B14)</f>
        <v>12</v>
      </c>
      <c r="ES14" s="100">
        <f t="shared" ref="ES14" si="354">ER18</f>
        <v>48571222.171175025</v>
      </c>
      <c r="ET14" s="100">
        <f t="shared" ref="ET14" si="355">ER14*ES14</f>
        <v>582854666.05410028</v>
      </c>
      <c r="EU14" s="100">
        <f t="shared" ref="EU14" si="356">ET14*12</f>
        <v>6994255992.6492033</v>
      </c>
      <c r="EV14" s="55" t="s">
        <v>193</v>
      </c>
    </row>
    <row r="15" spans="1:152" x14ac:dyDescent="0.25">
      <c r="B15" s="56" t="s">
        <v>98</v>
      </c>
      <c r="C15" s="55" t="s">
        <v>99</v>
      </c>
      <c r="D15" s="100" cm="1">
        <f t="array" ref="D15">'W2'!$L$14*$E$1
*_xlfn.SWITCH($C$1,1,1,2,1+Opt2_CPSX,3,1+Opt3_CPSX,4,1+Opt4_CPSX,5,1+Opt5_CPSX,6,1+Opt6_CPSX)
*POWER(1+$C$72,G$1)</f>
        <v>13650000</v>
      </c>
      <c r="E15" s="55"/>
      <c r="F15" s="55"/>
      <c r="G15" s="55"/>
      <c r="H15" s="55"/>
      <c r="J15" s="100" cm="1">
        <f t="array" ref="J15">'W2'!$L$14*$E$1
*_xlfn.SWITCH($C$1,1,1,2,1+Opt2_CPSX,3,1+Opt3_CPSX,4,1+Opt4_CPSX,5,1+Opt5_CPSX,6,1+Opt6_CPSX)
*POWER(1+$C$72,M$1)</f>
        <v>13650000</v>
      </c>
      <c r="K15" s="55"/>
      <c r="L15" s="55"/>
      <c r="M15" s="55"/>
      <c r="N15" s="55"/>
      <c r="P15" s="100" cm="1">
        <f t="array" ref="P15">'W2'!$L$14*$E$1
*_xlfn.SWITCH($C$1,1,1,2,1+Opt2_CPSX,3,1+Opt3_CPSX,4,1+Opt4_CPSX,5,1+Opt5_CPSX,6,1+Opt6_CPSX)
*POWER(1+$C$72,S$1)</f>
        <v>14332500</v>
      </c>
      <c r="Q15" s="55"/>
      <c r="R15" s="55"/>
      <c r="S15" s="55"/>
      <c r="T15" s="55"/>
      <c r="V15" s="100" cm="1">
        <f t="array" ref="V15">'W2'!$L$14*$E$1
*_xlfn.SWITCH($C$1,1,1,2,1+Opt2_CPSX,3,1+Opt3_CPSX,4,1+Opt4_CPSX,5,1+Opt5_CPSX,6,1+Opt6_CPSX)
*POWER(1+$C$72,Y$1)</f>
        <v>15049125</v>
      </c>
      <c r="W15" s="55"/>
      <c r="X15" s="55"/>
      <c r="Y15" s="55"/>
      <c r="Z15" s="55"/>
      <c r="AB15" s="100" cm="1">
        <f t="array" ref="AB15">'W2'!$L$14*$E$1
*_xlfn.SWITCH($C$1,1,1,2,1+Opt2_CPSX,3,1+Opt3_CPSX,4,1+Opt4_CPSX,5,1+Opt5_CPSX,6,1+Opt6_CPSX)
*POWER(1+$C$72,AE$1)</f>
        <v>15801581.250000002</v>
      </c>
      <c r="AC15" s="55"/>
      <c r="AD15" s="55"/>
      <c r="AE15" s="55"/>
      <c r="AF15" s="55"/>
      <c r="AH15" s="100" cm="1">
        <f t="array" ref="AH15">'W2'!$L$14*$E$1
*_xlfn.SWITCH($C$1,1,1,2,1+Opt2_CPSX,3,1+Opt3_CPSX,4,1+Opt4_CPSX,5,1+Opt5_CPSX,6,1+Opt6_CPSX)
*POWER(1+$C$72,AK$1)</f>
        <v>16591660.3125</v>
      </c>
      <c r="AI15" s="55"/>
      <c r="AJ15" s="55"/>
      <c r="AK15" s="55"/>
      <c r="AL15" s="55"/>
      <c r="AN15" s="100" cm="1">
        <f t="array" ref="AN15">'W2'!$L$14*$E$1
*_xlfn.SWITCH($C$1,1,1,2,1+Opt2_CPSX,3,1+Opt3_CPSX,4,1+Opt4_CPSX,5,1+Opt5_CPSX,6,1+Opt6_CPSX)
*POWER(1+$C$72,AQ$1)</f>
        <v>17421243.328125</v>
      </c>
      <c r="AO15" s="55"/>
      <c r="AP15" s="55"/>
      <c r="AQ15" s="55"/>
      <c r="AR15" s="55"/>
      <c r="AT15" s="100" cm="1">
        <f t="array" ref="AT15">'W2'!$L$14*$E$1
*_xlfn.SWITCH($C$1,1,1,2,1+Opt2_CPSX,3,1+Opt3_CPSX,4,1+Opt4_CPSX,5,1+Opt5_CPSX,6,1+Opt6_CPSX)
*POWER(1+$C$72,AW$1)</f>
        <v>18292305.494531251</v>
      </c>
      <c r="AU15" s="55"/>
      <c r="AV15" s="55"/>
      <c r="AW15" s="55"/>
      <c r="AX15" s="55"/>
      <c r="AZ15" s="100" cm="1">
        <f t="array" ref="AZ15">'W2'!$L$14*$E$1
*_xlfn.SWITCH($C$1,1,1,2,1+Opt2_CPSX,3,1+Opt3_CPSX,4,1+Opt4_CPSX,5,1+Opt5_CPSX,6,1+Opt6_CPSX)
*POWER(1+$C$72,BC$1)</f>
        <v>19206920.769257817</v>
      </c>
      <c r="BA15" s="55"/>
      <c r="BB15" s="55"/>
      <c r="BC15" s="55"/>
      <c r="BD15" s="55"/>
      <c r="BF15" s="100" cm="1">
        <f t="array" ref="BF15">'W2'!$L$14*$E$1
*_xlfn.SWITCH($C$1,1,1,2,1+Opt2_CPSX,3,1+Opt3_CPSX,4,1+Opt4_CPSX,5,1+Opt5_CPSX,6,1+Opt6_CPSX)
*POWER(1+$C$72,BI$1)</f>
        <v>20167266.807720706</v>
      </c>
      <c r="BG15" s="55"/>
      <c r="BH15" s="55"/>
      <c r="BI15" s="55"/>
      <c r="BJ15" s="55"/>
      <c r="BL15" s="100" cm="1">
        <f t="array" ref="BL15">'W2'!$L$14*$E$1
*_xlfn.SWITCH($C$1,1,1,2,1+Opt2_CPSX,3,1+Opt3_CPSX,4,1+Opt4_CPSX,5,1+Opt5_CPSX,6,1+Opt6_CPSX)
*POWER(1+$C$72,BO$1)</f>
        <v>21175630.148106739</v>
      </c>
      <c r="BM15" s="55"/>
      <c r="BN15" s="55"/>
      <c r="BO15" s="55"/>
      <c r="BP15" s="55"/>
      <c r="BR15" s="100" cm="1">
        <f t="array" ref="BR15">'W2'!$L$14*$E$1
*_xlfn.SWITCH($C$1,1,1,2,1+Opt2_CPSX,3,1+Opt3_CPSX,4,1+Opt4_CPSX,5,1+Opt5_CPSX,6,1+Opt6_CPSX)
*POWER(1+$C$72,BU$1)</f>
        <v>22234411.655512076</v>
      </c>
      <c r="BS15" s="55"/>
      <c r="BT15" s="55"/>
      <c r="BU15" s="55"/>
      <c r="BV15" s="55"/>
      <c r="BX15" s="100" cm="1">
        <f t="array" ref="BX15">'W2'!$L$14*$E$1
*_xlfn.SWITCH($C$1,1,1,2,1+Opt2_CPSX,3,1+Opt3_CPSX,4,1+Opt4_CPSX,5,1+Opt5_CPSX,6,1+Opt6_CPSX)
*POWER(1+$C$72,CA$1)</f>
        <v>23346132.238287684</v>
      </c>
      <c r="BY15" s="55"/>
      <c r="BZ15" s="55"/>
      <c r="CA15" s="55"/>
      <c r="CB15" s="55"/>
      <c r="CD15" s="100" cm="1">
        <f t="array" ref="CD15">'W2'!$L$14*$E$1
*_xlfn.SWITCH($C$1,1,1,2,1+Opt2_CPSX,3,1+Opt3_CPSX,4,1+Opt4_CPSX,5,1+Opt5_CPSX,6,1+Opt6_CPSX)
*POWER(1+$C$72,CG$1)</f>
        <v>24513438.850202065</v>
      </c>
      <c r="CE15" s="55"/>
      <c r="CF15" s="55"/>
      <c r="CG15" s="55"/>
      <c r="CH15" s="55"/>
      <c r="CJ15" s="100" cm="1">
        <f t="array" ref="CJ15">'W2'!$L$14*$E$1
*_xlfn.SWITCH($C$1,1,1,2,1+Opt2_CPSX,3,1+Opt3_CPSX,4,1+Opt4_CPSX,5,1+Opt5_CPSX,6,1+Opt6_CPSX)
*POWER(1+$C$72,CM$1)</f>
        <v>25739110.792712171</v>
      </c>
      <c r="CK15" s="55"/>
      <c r="CL15" s="55"/>
      <c r="CM15" s="55"/>
      <c r="CN15" s="55"/>
      <c r="CP15" s="100" cm="1">
        <f t="array" ref="CP15">'W2'!$L$14*$E$1
*_xlfn.SWITCH($C$1,1,1,2,1+Opt2_CPSX,3,1+Opt3_CPSX,4,1+Opt4_CPSX,5,1+Opt5_CPSX,6,1+Opt6_CPSX)
*POWER(1+$C$72,CS$1)</f>
        <v>27026066.332347773</v>
      </c>
      <c r="CQ15" s="55"/>
      <c r="CR15" s="55"/>
      <c r="CS15" s="55"/>
      <c r="CT15" s="55"/>
      <c r="CV15" s="100" cm="1">
        <f t="array" ref="CV15">'W2'!$L$14*$E$1
*_xlfn.SWITCH($C$1,1,1,2,1+Opt2_CPSX,3,1+Opt3_CPSX,4,1+Opt4_CPSX,5,1+Opt5_CPSX,6,1+Opt6_CPSX)
*POWER(1+$C$72,CY$1)</f>
        <v>28377369.648965172</v>
      </c>
      <c r="CW15" s="55"/>
      <c r="CX15" s="55"/>
      <c r="CY15" s="55"/>
      <c r="CZ15" s="55"/>
      <c r="DB15" s="100" cm="1">
        <f t="array" ref="DB15">'W2'!$L$14*$E$1
*_xlfn.SWITCH($C$1,1,1,2,1+Opt2_CPSX,3,1+Opt3_CPSX,4,1+Opt4_CPSX,5,1+Opt5_CPSX,6,1+Opt6_CPSX)
*POWER(1+$C$72,DE$1)</f>
        <v>29796238.131413426</v>
      </c>
      <c r="DC15" s="55"/>
      <c r="DD15" s="55"/>
      <c r="DE15" s="55"/>
      <c r="DF15" s="55"/>
      <c r="DH15" s="100" cm="1">
        <f t="array" ref="DH15">'W2'!$L$14*$E$1
*_xlfn.SWITCH($C$1,1,1,2,1+Opt2_CPSX,3,1+Opt3_CPSX,4,1+Opt4_CPSX,5,1+Opt5_CPSX,6,1+Opt6_CPSX)
*POWER(1+$C$72,DK$1)</f>
        <v>31286050.037984103</v>
      </c>
      <c r="DI15" s="55"/>
      <c r="DJ15" s="55"/>
      <c r="DK15" s="55"/>
      <c r="DL15" s="55"/>
      <c r="DN15" s="100" cm="1">
        <f t="array" ref="DN15">'W2'!$L$14*$E$1
*_xlfn.SWITCH($C$1,1,1,2,1+Opt2_CPSX,3,1+Opt3_CPSX,4,1+Opt4_CPSX,5,1+Opt5_CPSX,6,1+Opt6_CPSX)
*POWER(1+$C$72,DQ$1)</f>
        <v>32850352.539883308</v>
      </c>
      <c r="DO15" s="55"/>
      <c r="DP15" s="55"/>
      <c r="DQ15" s="55"/>
      <c r="DR15" s="55"/>
      <c r="DT15" s="100" cm="1">
        <f t="array" ref="DT15">'W2'!$L$14*$E$1
*_xlfn.SWITCH($C$1,1,1,2,1+Opt2_CPSX,3,1+Opt3_CPSX,4,1+Opt4_CPSX,5,1+Opt5_CPSX,6,1+Opt6_CPSX)
*POWER(1+$C$72,DW$1)</f>
        <v>34492870.166877471</v>
      </c>
      <c r="DU15" s="55"/>
      <c r="DV15" s="55"/>
      <c r="DW15" s="55"/>
      <c r="DX15" s="55"/>
      <c r="DZ15" s="100" cm="1">
        <f t="array" ref="DZ15">'W2'!$L$14*$E$1
*_xlfn.SWITCH($C$1,1,1,2,1+Opt2_CPSX,3,1+Opt3_CPSX,4,1+Opt4_CPSX,5,1+Opt5_CPSX,6,1+Opt6_CPSX)
*POWER(1+$C$72,EC$1)</f>
        <v>36217513.675221346</v>
      </c>
      <c r="EA15" s="55"/>
      <c r="EB15" s="55"/>
      <c r="EC15" s="55"/>
      <c r="ED15" s="55"/>
      <c r="EF15" s="100" cm="1">
        <f t="array" ref="EF15">'W2'!$L$14*$E$1
*_xlfn.SWITCH($C$1,1,1,2,1+Opt2_CPSX,3,1+Opt3_CPSX,4,1+Opt4_CPSX,5,1+Opt5_CPSX,6,1+Opt6_CPSX)
*POWER(1+$C$72,EI$1)</f>
        <v>38028389.358982414</v>
      </c>
      <c r="EG15" s="55"/>
      <c r="EH15" s="55"/>
      <c r="EI15" s="55"/>
      <c r="EJ15" s="55"/>
      <c r="EL15" s="100" cm="1">
        <f t="array" ref="EL15">'W2'!$L$14*$E$1
*_xlfn.SWITCH($C$1,1,1,2,1+Opt2_CPSX,3,1+Opt3_CPSX,4,1+Opt4_CPSX,5,1+Opt5_CPSX,6,1+Opt6_CPSX)
*POWER(1+$C$72,EO$1)</f>
        <v>39929808.826931529</v>
      </c>
      <c r="EM15" s="55"/>
      <c r="EN15" s="55"/>
      <c r="EO15" s="55"/>
      <c r="EP15" s="55"/>
      <c r="ER15" s="100" cm="1">
        <f t="array" ref="ER15">'W2'!$L$14*$E$1
*_xlfn.SWITCH($C$1,1,1,2,1+Opt2_CPSX,3,1+Opt3_CPSX,4,1+Opt4_CPSX,5,1+Opt5_CPSX,6,1+Opt6_CPSX)
*POWER(1+$C$72,EU$1)</f>
        <v>41926299.268278114</v>
      </c>
      <c r="ES15" s="55"/>
      <c r="ET15" s="55"/>
      <c r="EU15" s="55"/>
      <c r="EV15" s="55"/>
    </row>
    <row r="16" spans="1:152" x14ac:dyDescent="0.25">
      <c r="B16" s="56" t="s">
        <v>100</v>
      </c>
      <c r="C16" s="55" t="s">
        <v>101</v>
      </c>
      <c r="D16" s="100">
        <f>'W2'!K13/D17</f>
        <v>2</v>
      </c>
      <c r="E16" s="55"/>
      <c r="F16" s="55"/>
      <c r="G16" s="55"/>
      <c r="H16" s="55"/>
      <c r="J16" s="100">
        <f>D16</f>
        <v>2</v>
      </c>
      <c r="K16" s="55"/>
      <c r="L16" s="55"/>
      <c r="M16" s="55"/>
      <c r="N16" s="55"/>
      <c r="P16" s="100">
        <f>J16</f>
        <v>2</v>
      </c>
      <c r="Q16" s="55"/>
      <c r="R16" s="55"/>
      <c r="S16" s="55"/>
      <c r="T16" s="55"/>
      <c r="V16" s="100">
        <f>P16</f>
        <v>2</v>
      </c>
      <c r="W16" s="55"/>
      <c r="X16" s="55"/>
      <c r="Y16" s="55"/>
      <c r="Z16" s="55"/>
      <c r="AB16" s="100">
        <f t="shared" ref="AB16" si="357">V16</f>
        <v>2</v>
      </c>
      <c r="AC16" s="55"/>
      <c r="AD16" s="55"/>
      <c r="AE16" s="55"/>
      <c r="AF16" s="55"/>
      <c r="AH16" s="100">
        <f t="shared" ref="AH16" si="358">AB16</f>
        <v>2</v>
      </c>
      <c r="AI16" s="55"/>
      <c r="AJ16" s="55"/>
      <c r="AK16" s="55"/>
      <c r="AL16" s="55"/>
      <c r="AN16" s="100">
        <f t="shared" ref="AN16" si="359">AH16</f>
        <v>2</v>
      </c>
      <c r="AO16" s="55"/>
      <c r="AP16" s="55"/>
      <c r="AQ16" s="55"/>
      <c r="AR16" s="55"/>
      <c r="AT16" s="100">
        <f t="shared" ref="AT16" si="360">AN16</f>
        <v>2</v>
      </c>
      <c r="AU16" s="55"/>
      <c r="AV16" s="55"/>
      <c r="AW16" s="55"/>
      <c r="AX16" s="55"/>
      <c r="AZ16" s="100">
        <f t="shared" ref="AZ16" si="361">AT16</f>
        <v>2</v>
      </c>
      <c r="BA16" s="55"/>
      <c r="BB16" s="55"/>
      <c r="BC16" s="55"/>
      <c r="BD16" s="55"/>
      <c r="BF16" s="100">
        <f t="shared" ref="BF16" si="362">AZ16</f>
        <v>2</v>
      </c>
      <c r="BG16" s="55"/>
      <c r="BH16" s="55"/>
      <c r="BI16" s="55"/>
      <c r="BJ16" s="55"/>
      <c r="BL16" s="100">
        <f t="shared" ref="BL16" si="363">BF16</f>
        <v>2</v>
      </c>
      <c r="BM16" s="55"/>
      <c r="BN16" s="55"/>
      <c r="BO16" s="55"/>
      <c r="BP16" s="55"/>
      <c r="BR16" s="100">
        <f t="shared" ref="BR16" si="364">BL16</f>
        <v>2</v>
      </c>
      <c r="BS16" s="55"/>
      <c r="BT16" s="55"/>
      <c r="BU16" s="55"/>
      <c r="BV16" s="55"/>
      <c r="BX16" s="100">
        <f t="shared" ref="BX16" si="365">BR16</f>
        <v>2</v>
      </c>
      <c r="BY16" s="55"/>
      <c r="BZ16" s="55"/>
      <c r="CA16" s="55"/>
      <c r="CB16" s="55"/>
      <c r="CD16" s="100">
        <f t="shared" ref="CD16" si="366">BX16</f>
        <v>2</v>
      </c>
      <c r="CE16" s="55"/>
      <c r="CF16" s="55"/>
      <c r="CG16" s="55"/>
      <c r="CH16" s="55"/>
      <c r="CJ16" s="100">
        <f t="shared" ref="CJ16" si="367">CD16</f>
        <v>2</v>
      </c>
      <c r="CK16" s="55"/>
      <c r="CL16" s="55"/>
      <c r="CM16" s="55"/>
      <c r="CN16" s="55"/>
      <c r="CP16" s="100">
        <f t="shared" ref="CP16" si="368">CJ16</f>
        <v>2</v>
      </c>
      <c r="CQ16" s="55"/>
      <c r="CR16" s="55"/>
      <c r="CS16" s="55"/>
      <c r="CT16" s="55"/>
      <c r="CV16" s="100">
        <f t="shared" ref="CV16" si="369">CP16</f>
        <v>2</v>
      </c>
      <c r="CW16" s="55"/>
      <c r="CX16" s="55"/>
      <c r="CY16" s="55"/>
      <c r="CZ16" s="55"/>
      <c r="DB16" s="100">
        <f t="shared" ref="DB16" si="370">CV16</f>
        <v>2</v>
      </c>
      <c r="DC16" s="55"/>
      <c r="DD16" s="55"/>
      <c r="DE16" s="55"/>
      <c r="DF16" s="55"/>
      <c r="DH16" s="100">
        <f t="shared" ref="DH16" si="371">DB16</f>
        <v>2</v>
      </c>
      <c r="DI16" s="55"/>
      <c r="DJ16" s="55"/>
      <c r="DK16" s="55"/>
      <c r="DL16" s="55"/>
      <c r="DN16" s="100">
        <f t="shared" ref="DN16" si="372">DH16</f>
        <v>2</v>
      </c>
      <c r="DO16" s="55"/>
      <c r="DP16" s="55"/>
      <c r="DQ16" s="55"/>
      <c r="DR16" s="55"/>
      <c r="DT16" s="100">
        <f t="shared" ref="DT16" si="373">DN16</f>
        <v>2</v>
      </c>
      <c r="DU16" s="55"/>
      <c r="DV16" s="55"/>
      <c r="DW16" s="55"/>
      <c r="DX16" s="55"/>
      <c r="DZ16" s="100">
        <f t="shared" ref="DZ16" si="374">DT16</f>
        <v>2</v>
      </c>
      <c r="EA16" s="55"/>
      <c r="EB16" s="55"/>
      <c r="EC16" s="55"/>
      <c r="ED16" s="55"/>
      <c r="EF16" s="100">
        <f t="shared" ref="EF16" si="375">DZ16</f>
        <v>2</v>
      </c>
      <c r="EG16" s="55"/>
      <c r="EH16" s="55"/>
      <c r="EI16" s="55"/>
      <c r="EJ16" s="55"/>
      <c r="EL16" s="100">
        <f t="shared" ref="EL16" si="376">EF16</f>
        <v>2</v>
      </c>
      <c r="EM16" s="55"/>
      <c r="EN16" s="55"/>
      <c r="EO16" s="55"/>
      <c r="EP16" s="55"/>
      <c r="ER16" s="100">
        <f t="shared" ref="ER16" si="377">EL16</f>
        <v>2</v>
      </c>
      <c r="ES16" s="55"/>
      <c r="ET16" s="55"/>
      <c r="EU16" s="55"/>
      <c r="EV16" s="55"/>
    </row>
    <row r="17" spans="1:152" x14ac:dyDescent="0.25">
      <c r="B17" s="56" t="s">
        <v>102</v>
      </c>
      <c r="C17" s="55" t="s">
        <v>103</v>
      </c>
      <c r="D17" s="100">
        <v>3</v>
      </c>
      <c r="E17" s="55"/>
      <c r="F17" s="55"/>
      <c r="G17" s="55"/>
      <c r="H17" s="55"/>
      <c r="J17" s="100">
        <v>3</v>
      </c>
      <c r="K17" s="55"/>
      <c r="L17" s="55"/>
      <c r="M17" s="55"/>
      <c r="N17" s="55"/>
      <c r="P17" s="100">
        <v>3</v>
      </c>
      <c r="Q17" s="55"/>
      <c r="R17" s="55"/>
      <c r="S17" s="55"/>
      <c r="T17" s="55"/>
      <c r="V17" s="100">
        <v>3</v>
      </c>
      <c r="W17" s="55"/>
      <c r="X17" s="55"/>
      <c r="Y17" s="55"/>
      <c r="Z17" s="55"/>
      <c r="AB17" s="100">
        <v>3</v>
      </c>
      <c r="AC17" s="55"/>
      <c r="AD17" s="55"/>
      <c r="AE17" s="55"/>
      <c r="AF17" s="55"/>
      <c r="AH17" s="100">
        <v>3</v>
      </c>
      <c r="AI17" s="55"/>
      <c r="AJ17" s="55"/>
      <c r="AK17" s="55"/>
      <c r="AL17" s="55"/>
      <c r="AN17" s="100">
        <v>3</v>
      </c>
      <c r="AO17" s="55"/>
      <c r="AP17" s="55"/>
      <c r="AQ17" s="55"/>
      <c r="AR17" s="55"/>
      <c r="AT17" s="100">
        <v>3</v>
      </c>
      <c r="AU17" s="55"/>
      <c r="AV17" s="55"/>
      <c r="AW17" s="55"/>
      <c r="AX17" s="55"/>
      <c r="AZ17" s="100">
        <v>3</v>
      </c>
      <c r="BA17" s="55"/>
      <c r="BB17" s="55"/>
      <c r="BC17" s="55"/>
      <c r="BD17" s="55"/>
      <c r="BF17" s="100">
        <v>3</v>
      </c>
      <c r="BG17" s="55"/>
      <c r="BH17" s="55"/>
      <c r="BI17" s="55"/>
      <c r="BJ17" s="55"/>
      <c r="BL17" s="100">
        <v>3</v>
      </c>
      <c r="BM17" s="55"/>
      <c r="BN17" s="55"/>
      <c r="BO17" s="55"/>
      <c r="BP17" s="55"/>
      <c r="BR17" s="100">
        <v>3</v>
      </c>
      <c r="BS17" s="55"/>
      <c r="BT17" s="55"/>
      <c r="BU17" s="55"/>
      <c r="BV17" s="55"/>
      <c r="BX17" s="100">
        <v>3</v>
      </c>
      <c r="BY17" s="55"/>
      <c r="BZ17" s="55"/>
      <c r="CA17" s="55"/>
      <c r="CB17" s="55"/>
      <c r="CD17" s="100">
        <v>3</v>
      </c>
      <c r="CE17" s="55"/>
      <c r="CF17" s="55"/>
      <c r="CG17" s="55"/>
      <c r="CH17" s="55"/>
      <c r="CJ17" s="100">
        <v>3</v>
      </c>
      <c r="CK17" s="55"/>
      <c r="CL17" s="55"/>
      <c r="CM17" s="55"/>
      <c r="CN17" s="55"/>
      <c r="CP17" s="100">
        <v>3</v>
      </c>
      <c r="CQ17" s="55"/>
      <c r="CR17" s="55"/>
      <c r="CS17" s="55"/>
      <c r="CT17" s="55"/>
      <c r="CV17" s="100">
        <v>3</v>
      </c>
      <c r="CW17" s="55"/>
      <c r="CX17" s="55"/>
      <c r="CY17" s="55"/>
      <c r="CZ17" s="55"/>
      <c r="DB17" s="100">
        <v>3</v>
      </c>
      <c r="DC17" s="55"/>
      <c r="DD17" s="55"/>
      <c r="DE17" s="55"/>
      <c r="DF17" s="55"/>
      <c r="DH17" s="100">
        <v>3</v>
      </c>
      <c r="DI17" s="55"/>
      <c r="DJ17" s="55"/>
      <c r="DK17" s="55"/>
      <c r="DL17" s="55"/>
      <c r="DN17" s="100">
        <v>3</v>
      </c>
      <c r="DO17" s="55"/>
      <c r="DP17" s="55"/>
      <c r="DQ17" s="55"/>
      <c r="DR17" s="55"/>
      <c r="DT17" s="100">
        <v>3</v>
      </c>
      <c r="DU17" s="55"/>
      <c r="DV17" s="55"/>
      <c r="DW17" s="55"/>
      <c r="DX17" s="55"/>
      <c r="DZ17" s="100">
        <v>3</v>
      </c>
      <c r="EA17" s="55"/>
      <c r="EB17" s="55"/>
      <c r="EC17" s="55"/>
      <c r="ED17" s="55"/>
      <c r="EF17" s="100">
        <v>3</v>
      </c>
      <c r="EG17" s="55"/>
      <c r="EH17" s="55"/>
      <c r="EI17" s="55"/>
      <c r="EJ17" s="55"/>
      <c r="EL17" s="100">
        <v>3</v>
      </c>
      <c r="EM17" s="55"/>
      <c r="EN17" s="55"/>
      <c r="EO17" s="55"/>
      <c r="EP17" s="55"/>
      <c r="ER17" s="100">
        <v>3</v>
      </c>
      <c r="ES17" s="55"/>
      <c r="ET17" s="55"/>
      <c r="EU17" s="55"/>
      <c r="EV17" s="55"/>
    </row>
    <row r="18" spans="1:152" x14ac:dyDescent="0.25">
      <c r="B18" s="56" t="s">
        <v>104</v>
      </c>
      <c r="C18" s="55" t="s">
        <v>99</v>
      </c>
      <c r="D18" s="100">
        <f>INDEX('W2'!$M$17:$R$17,MATCH('W6 - Operating cost'!$B$1,'W2'!$M$7:$R$7,0))*$E$1/'W2'!$K$17/12*POWER(1+$C$72,G$1)</f>
        <v>15813396.226415096</v>
      </c>
      <c r="E18" s="55"/>
      <c r="F18" s="55"/>
      <c r="G18" s="55"/>
      <c r="H18" s="55"/>
      <c r="J18" s="100">
        <f>INDEX('W2'!$M$17:$R$17,MATCH('W6 - Operating cost'!$B$1,'W2'!$M$7:$R$7,0))*$E$1/'W2'!$K$17/12*POWER(1+$C$72,M$1)</f>
        <v>15813396.226415096</v>
      </c>
      <c r="K18" s="55"/>
      <c r="L18" s="55"/>
      <c r="M18" s="55"/>
      <c r="N18" s="55"/>
      <c r="P18" s="100">
        <f>INDEX('W2'!$M$17:$R$17,MATCH('W6 - Operating cost'!$B$1,'W2'!$M$7:$R$7,0))*$E$1/'W2'!$K$17/12*POWER(1+$C$72,S$1)</f>
        <v>16604066.037735851</v>
      </c>
      <c r="Q18" s="55"/>
      <c r="R18" s="55"/>
      <c r="S18" s="55"/>
      <c r="T18" s="55"/>
      <c r="V18" s="100">
        <f>INDEX('W2'!$M$17:$R$17,MATCH('W6 - Operating cost'!$B$1,'W2'!$M$7:$R$7,0))*$E$1/'W2'!$K$17/12*POWER(1+$C$72,Y$1)</f>
        <v>17434269.339622643</v>
      </c>
      <c r="W18" s="55"/>
      <c r="X18" s="55"/>
      <c r="Y18" s="55"/>
      <c r="Z18" s="55"/>
      <c r="AB18" s="100">
        <f>INDEX('W2'!$M$17:$R$17,MATCH('W6 - Operating cost'!$B$1,'W2'!$M$7:$R$7,0))*$E$1/'W2'!$K$17/12*POWER(1+$C$72,AE$1)</f>
        <v>18305982.806603778</v>
      </c>
      <c r="AC18" s="55"/>
      <c r="AD18" s="55"/>
      <c r="AE18" s="55"/>
      <c r="AF18" s="55"/>
      <c r="AH18" s="100">
        <f>INDEX('W2'!$M$17:$R$17,MATCH('W6 - Operating cost'!$B$1,'W2'!$M$7:$R$7,0))*$E$1/'W2'!$K$17/12*POWER(1+$C$72,AK$1)</f>
        <v>19221281.946933962</v>
      </c>
      <c r="AI18" s="55"/>
      <c r="AJ18" s="55"/>
      <c r="AK18" s="55"/>
      <c r="AL18" s="55"/>
      <c r="AN18" s="100">
        <f>INDEX('W2'!$M$17:$R$17,MATCH('W6 - Operating cost'!$B$1,'W2'!$M$7:$R$7,0))*$E$1/'W2'!$K$17/12*POWER(1+$C$72,AQ$1)</f>
        <v>20182346.044280663</v>
      </c>
      <c r="AO18" s="55"/>
      <c r="AP18" s="55"/>
      <c r="AQ18" s="55"/>
      <c r="AR18" s="55"/>
      <c r="AT18" s="100">
        <f>INDEX('W2'!$M$17:$R$17,MATCH('W6 - Operating cost'!$B$1,'W2'!$M$7:$R$7,0))*$E$1/'W2'!$K$17/12*POWER(1+$C$72,AW$1)</f>
        <v>21191463.346494693</v>
      </c>
      <c r="AU18" s="55"/>
      <c r="AV18" s="55"/>
      <c r="AW18" s="55"/>
      <c r="AX18" s="55"/>
      <c r="AZ18" s="100">
        <f>INDEX('W2'!$M$17:$R$17,MATCH('W6 - Operating cost'!$B$1,'W2'!$M$7:$R$7,0))*$E$1/'W2'!$K$17/12*POWER(1+$C$72,BC$1)</f>
        <v>22251036.513819434</v>
      </c>
      <c r="BA18" s="55"/>
      <c r="BB18" s="55"/>
      <c r="BC18" s="55"/>
      <c r="BD18" s="55"/>
      <c r="BF18" s="100">
        <f>INDEX('W2'!$M$17:$R$17,MATCH('W6 - Operating cost'!$B$1,'W2'!$M$7:$R$7,0))*$E$1/'W2'!$K$17/12*POWER(1+$C$72,BI$1)</f>
        <v>23363588.339510404</v>
      </c>
      <c r="BG18" s="55"/>
      <c r="BH18" s="55"/>
      <c r="BI18" s="55"/>
      <c r="BJ18" s="55"/>
      <c r="BL18" s="100">
        <f>INDEX('W2'!$M$17:$R$17,MATCH('W6 - Operating cost'!$B$1,'W2'!$M$7:$R$7,0))*$E$1/'W2'!$K$17/12*POWER(1+$C$72,BO$1)</f>
        <v>24531767.756485924</v>
      </c>
      <c r="BM18" s="55"/>
      <c r="BN18" s="55"/>
      <c r="BO18" s="55"/>
      <c r="BP18" s="55"/>
      <c r="BR18" s="100">
        <f>INDEX('W2'!$M$17:$R$17,MATCH('W6 - Operating cost'!$B$1,'W2'!$M$7:$R$7,0))*$E$1/'W2'!$K$17/12*POWER(1+$C$72,BU$1)</f>
        <v>25758356.144310221</v>
      </c>
      <c r="BS18" s="55"/>
      <c r="BT18" s="55"/>
      <c r="BU18" s="55"/>
      <c r="BV18" s="55"/>
      <c r="BX18" s="100">
        <f>INDEX('W2'!$M$17:$R$17,MATCH('W6 - Operating cost'!$B$1,'W2'!$M$7:$R$7,0))*$E$1/'W2'!$K$17/12*POWER(1+$C$72,CA$1)</f>
        <v>27046273.951525733</v>
      </c>
      <c r="BY18" s="55"/>
      <c r="BZ18" s="55"/>
      <c r="CA18" s="55"/>
      <c r="CB18" s="55"/>
      <c r="CD18" s="100">
        <f>INDEX('W2'!$M$17:$R$17,MATCH('W6 - Operating cost'!$B$1,'W2'!$M$7:$R$7,0))*$E$1/'W2'!$K$17/12*POWER(1+$C$72,CG$1)</f>
        <v>28398587.649102017</v>
      </c>
      <c r="CE18" s="55"/>
      <c r="CF18" s="55"/>
      <c r="CG18" s="55"/>
      <c r="CH18" s="55"/>
      <c r="CJ18" s="100">
        <f>INDEX('W2'!$M$17:$R$17,MATCH('W6 - Operating cost'!$B$1,'W2'!$M$7:$R$7,0))*$E$1/'W2'!$K$17/12*POWER(1+$C$72,CM$1)</f>
        <v>29818517.03155712</v>
      </c>
      <c r="CK18" s="55"/>
      <c r="CL18" s="55"/>
      <c r="CM18" s="55"/>
      <c r="CN18" s="55"/>
      <c r="CP18" s="100">
        <f>INDEX('W2'!$M$17:$R$17,MATCH('W6 - Operating cost'!$B$1,'W2'!$M$7:$R$7,0))*$E$1/'W2'!$K$17/12*POWER(1+$C$72,CS$1)</f>
        <v>31309442.883134972</v>
      </c>
      <c r="CQ18" s="55"/>
      <c r="CR18" s="55"/>
      <c r="CS18" s="55"/>
      <c r="CT18" s="55"/>
      <c r="CV18" s="100">
        <f>INDEX('W2'!$M$17:$R$17,MATCH('W6 - Operating cost'!$B$1,'W2'!$M$7:$R$7,0))*$E$1/'W2'!$K$17/12*POWER(1+$C$72,CY$1)</f>
        <v>32874915.02729173</v>
      </c>
      <c r="CW18" s="55"/>
      <c r="CX18" s="55"/>
      <c r="CY18" s="55"/>
      <c r="CZ18" s="55"/>
      <c r="DB18" s="100">
        <f>INDEX('W2'!$M$17:$R$17,MATCH('W6 - Operating cost'!$B$1,'W2'!$M$7:$R$7,0))*$E$1/'W2'!$K$17/12*POWER(1+$C$72,DE$1)</f>
        <v>34518660.778656311</v>
      </c>
      <c r="DC18" s="55"/>
      <c r="DD18" s="55"/>
      <c r="DE18" s="55"/>
      <c r="DF18" s="55"/>
      <c r="DH18" s="100">
        <f>INDEX('W2'!$M$17:$R$17,MATCH('W6 - Operating cost'!$B$1,'W2'!$M$7:$R$7,0))*$E$1/'W2'!$K$17/12*POWER(1+$C$72,DK$1)</f>
        <v>36244593.817589134</v>
      </c>
      <c r="DI18" s="55"/>
      <c r="DJ18" s="55"/>
      <c r="DK18" s="55"/>
      <c r="DL18" s="55"/>
      <c r="DN18" s="100">
        <f>INDEX('W2'!$M$17:$R$17,MATCH('W6 - Operating cost'!$B$1,'W2'!$M$7:$R$7,0))*$E$1/'W2'!$K$17/12*POWER(1+$C$72,DQ$1)</f>
        <v>38056823.508468591</v>
      </c>
      <c r="DO18" s="55"/>
      <c r="DP18" s="55"/>
      <c r="DQ18" s="55"/>
      <c r="DR18" s="55"/>
      <c r="DT18" s="100">
        <f>INDEX('W2'!$M$17:$R$17,MATCH('W6 - Operating cost'!$B$1,'W2'!$M$7:$R$7,0))*$E$1/'W2'!$K$17/12*POWER(1+$C$72,DW$1)</f>
        <v>39959664.683892019</v>
      </c>
      <c r="DU18" s="55"/>
      <c r="DV18" s="55"/>
      <c r="DW18" s="55"/>
      <c r="DX18" s="55"/>
      <c r="DZ18" s="100">
        <f>INDEX('W2'!$M$17:$R$17,MATCH('W6 - Operating cost'!$B$1,'W2'!$M$7:$R$7,0))*$E$1/'W2'!$K$17/12*POWER(1+$C$72,EC$1)</f>
        <v>41957647.918086618</v>
      </c>
      <c r="EA18" s="55"/>
      <c r="EB18" s="55"/>
      <c r="EC18" s="55"/>
      <c r="ED18" s="55"/>
      <c r="EF18" s="100">
        <f>INDEX('W2'!$M$17:$R$17,MATCH('W6 - Operating cost'!$B$1,'W2'!$M$7:$R$7,0))*$E$1/'W2'!$K$17/12*POWER(1+$C$72,EI$1)</f>
        <v>44055530.313990951</v>
      </c>
      <c r="EG18" s="55"/>
      <c r="EH18" s="55"/>
      <c r="EI18" s="55"/>
      <c r="EJ18" s="55"/>
      <c r="EL18" s="100">
        <f>INDEX('W2'!$M$17:$R$17,MATCH('W6 - Operating cost'!$B$1,'W2'!$M$7:$R$7,0))*$E$1/'W2'!$K$17/12*POWER(1+$C$72,EO$1)</f>
        <v>46258306.829690494</v>
      </c>
      <c r="EM18" s="55"/>
      <c r="EN18" s="55"/>
      <c r="EO18" s="55"/>
      <c r="EP18" s="55"/>
      <c r="ER18" s="100">
        <f>INDEX('W2'!$M$17:$R$17,MATCH('W6 - Operating cost'!$B$1,'W2'!$M$7:$R$7,0))*$E$1/'W2'!$K$17/12*POWER(1+$C$72,EU$1)</f>
        <v>48571222.171175025</v>
      </c>
      <c r="ES18" s="55"/>
      <c r="ET18" s="55"/>
      <c r="EU18" s="55"/>
      <c r="EV18" s="55"/>
    </row>
    <row r="19" spans="1:152" x14ac:dyDescent="0.25">
      <c r="B19" s="57" t="s">
        <v>105</v>
      </c>
      <c r="C19" s="55" t="s">
        <v>106</v>
      </c>
      <c r="D19" s="100">
        <f>'W2'!$K$17/3</f>
        <v>8.8333333333333339</v>
      </c>
      <c r="E19" s="55"/>
      <c r="F19" s="55"/>
      <c r="G19" s="55"/>
      <c r="H19" s="55"/>
      <c r="J19" s="100">
        <f>'W2'!$K$17/3</f>
        <v>8.8333333333333339</v>
      </c>
      <c r="K19" s="55"/>
      <c r="L19" s="55"/>
      <c r="M19" s="55"/>
      <c r="N19" s="55"/>
      <c r="P19" s="100">
        <f>'W2'!$K$17/3</f>
        <v>8.8333333333333339</v>
      </c>
      <c r="Q19" s="55"/>
      <c r="R19" s="55"/>
      <c r="S19" s="55"/>
      <c r="T19" s="55"/>
      <c r="V19" s="100">
        <f>'W2'!$K$17/3</f>
        <v>8.8333333333333339</v>
      </c>
      <c r="W19" s="55"/>
      <c r="X19" s="55"/>
      <c r="Y19" s="55"/>
      <c r="Z19" s="55"/>
      <c r="AB19" s="100">
        <f>'W2'!$K$17/3</f>
        <v>8.8333333333333339</v>
      </c>
      <c r="AC19" s="55"/>
      <c r="AD19" s="55"/>
      <c r="AE19" s="55"/>
      <c r="AF19" s="55"/>
      <c r="AH19" s="100">
        <f>'W2'!$K$17/3</f>
        <v>8.8333333333333339</v>
      </c>
      <c r="AI19" s="55"/>
      <c r="AJ19" s="55"/>
      <c r="AK19" s="55"/>
      <c r="AL19" s="55"/>
      <c r="AN19" s="100">
        <f>'W2'!$K$17/3</f>
        <v>8.8333333333333339</v>
      </c>
      <c r="AO19" s="55"/>
      <c r="AP19" s="55"/>
      <c r="AQ19" s="55"/>
      <c r="AR19" s="55"/>
      <c r="AT19" s="100">
        <f>'W2'!$K$17/3</f>
        <v>8.8333333333333339</v>
      </c>
      <c r="AU19" s="55"/>
      <c r="AV19" s="55"/>
      <c r="AW19" s="55"/>
      <c r="AX19" s="55"/>
      <c r="AZ19" s="100">
        <f>'W2'!$K$17/3</f>
        <v>8.8333333333333339</v>
      </c>
      <c r="BA19" s="55"/>
      <c r="BB19" s="55"/>
      <c r="BC19" s="55"/>
      <c r="BD19" s="55"/>
      <c r="BF19" s="100">
        <f>'W2'!$K$17/3</f>
        <v>8.8333333333333339</v>
      </c>
      <c r="BG19" s="55"/>
      <c r="BH19" s="55"/>
      <c r="BI19" s="55"/>
      <c r="BJ19" s="55"/>
      <c r="BL19" s="100">
        <f>'W2'!$K$17/3</f>
        <v>8.8333333333333339</v>
      </c>
      <c r="BM19" s="55"/>
      <c r="BN19" s="55"/>
      <c r="BO19" s="55"/>
      <c r="BP19" s="55"/>
      <c r="BR19" s="100">
        <f>'W2'!$K$17/3</f>
        <v>8.8333333333333339</v>
      </c>
      <c r="BS19" s="55"/>
      <c r="BT19" s="55"/>
      <c r="BU19" s="55"/>
      <c r="BV19" s="55"/>
      <c r="BX19" s="100">
        <f>'W2'!$K$17/3</f>
        <v>8.8333333333333339</v>
      </c>
      <c r="BY19" s="55"/>
      <c r="BZ19" s="55"/>
      <c r="CA19" s="55"/>
      <c r="CB19" s="55"/>
      <c r="CD19" s="100">
        <f>'W2'!$K$17/3</f>
        <v>8.8333333333333339</v>
      </c>
      <c r="CE19" s="55"/>
      <c r="CF19" s="55"/>
      <c r="CG19" s="55"/>
      <c r="CH19" s="55"/>
      <c r="CJ19" s="100">
        <f>'W2'!$K$17/3</f>
        <v>8.8333333333333339</v>
      </c>
      <c r="CK19" s="55"/>
      <c r="CL19" s="55"/>
      <c r="CM19" s="55"/>
      <c r="CN19" s="55"/>
      <c r="CP19" s="100">
        <f>'W2'!$K$17/3</f>
        <v>8.8333333333333339</v>
      </c>
      <c r="CQ19" s="55"/>
      <c r="CR19" s="55"/>
      <c r="CS19" s="55"/>
      <c r="CT19" s="55"/>
      <c r="CV19" s="100">
        <f>'W2'!$K$17/3</f>
        <v>8.8333333333333339</v>
      </c>
      <c r="CW19" s="55"/>
      <c r="CX19" s="55"/>
      <c r="CY19" s="55"/>
      <c r="CZ19" s="55"/>
      <c r="DB19" s="100">
        <f>'W2'!$K$17/3</f>
        <v>8.8333333333333339</v>
      </c>
      <c r="DC19" s="55"/>
      <c r="DD19" s="55"/>
      <c r="DE19" s="55"/>
      <c r="DF19" s="55"/>
      <c r="DH19" s="100">
        <f>'W2'!$K$17/3</f>
        <v>8.8333333333333339</v>
      </c>
      <c r="DI19" s="55"/>
      <c r="DJ19" s="55"/>
      <c r="DK19" s="55"/>
      <c r="DL19" s="55"/>
      <c r="DN19" s="100">
        <f>'W2'!$K$17/3</f>
        <v>8.8333333333333339</v>
      </c>
      <c r="DO19" s="55"/>
      <c r="DP19" s="55"/>
      <c r="DQ19" s="55"/>
      <c r="DR19" s="55"/>
      <c r="DT19" s="100">
        <f>'W2'!$K$17/3</f>
        <v>8.8333333333333339</v>
      </c>
      <c r="DU19" s="55"/>
      <c r="DV19" s="55"/>
      <c r="DW19" s="55"/>
      <c r="DX19" s="55"/>
      <c r="DZ19" s="100">
        <f>'W2'!$K$17/3</f>
        <v>8.8333333333333339</v>
      </c>
      <c r="EA19" s="55"/>
      <c r="EB19" s="55"/>
      <c r="EC19" s="55"/>
      <c r="ED19" s="55"/>
      <c r="EF19" s="100">
        <f>'W2'!$K$17/3</f>
        <v>8.8333333333333339</v>
      </c>
      <c r="EG19" s="55"/>
      <c r="EH19" s="55"/>
      <c r="EI19" s="55"/>
      <c r="EJ19" s="55"/>
      <c r="EL19" s="100">
        <f>'W2'!$K$17/3</f>
        <v>8.8333333333333339</v>
      </c>
      <c r="EM19" s="55"/>
      <c r="EN19" s="55"/>
      <c r="EO19" s="55"/>
      <c r="EP19" s="55"/>
      <c r="ER19" s="100">
        <f>'W2'!$K$17/3</f>
        <v>8.8333333333333339</v>
      </c>
      <c r="ES19" s="55"/>
      <c r="ET19" s="55"/>
      <c r="EU19" s="55"/>
      <c r="EV19" s="55"/>
    </row>
    <row r="20" spans="1:152" x14ac:dyDescent="0.25">
      <c r="B20" s="57" t="s">
        <v>107</v>
      </c>
      <c r="C20" s="58" t="s">
        <v>108</v>
      </c>
      <c r="D20" s="128">
        <v>24</v>
      </c>
      <c r="E20" s="55"/>
      <c r="F20" s="55"/>
      <c r="G20" s="55"/>
      <c r="H20" s="55"/>
      <c r="J20" s="128">
        <v>24</v>
      </c>
      <c r="K20" s="55"/>
      <c r="L20" s="55"/>
      <c r="M20" s="55"/>
      <c r="N20" s="55"/>
      <c r="P20" s="128">
        <v>24</v>
      </c>
      <c r="Q20" s="55"/>
      <c r="R20" s="55"/>
      <c r="S20" s="55"/>
      <c r="T20" s="55"/>
      <c r="V20" s="128">
        <v>24</v>
      </c>
      <c r="W20" s="55"/>
      <c r="X20" s="55"/>
      <c r="Y20" s="55"/>
      <c r="Z20" s="55"/>
      <c r="AB20" s="128">
        <v>24</v>
      </c>
      <c r="AC20" s="55"/>
      <c r="AD20" s="55"/>
      <c r="AE20" s="55"/>
      <c r="AF20" s="55"/>
      <c r="AH20" s="128">
        <v>24</v>
      </c>
      <c r="AI20" s="55"/>
      <c r="AJ20" s="55"/>
      <c r="AK20" s="55"/>
      <c r="AL20" s="55"/>
      <c r="AN20" s="128">
        <v>24</v>
      </c>
      <c r="AO20" s="55"/>
      <c r="AP20" s="55"/>
      <c r="AQ20" s="55"/>
      <c r="AR20" s="55"/>
      <c r="AT20" s="128">
        <v>24</v>
      </c>
      <c r="AU20" s="55"/>
      <c r="AV20" s="55"/>
      <c r="AW20" s="55"/>
      <c r="AX20" s="55"/>
      <c r="AZ20" s="128">
        <v>24</v>
      </c>
      <c r="BA20" s="55"/>
      <c r="BB20" s="55"/>
      <c r="BC20" s="55"/>
      <c r="BD20" s="55"/>
      <c r="BF20" s="128">
        <v>24</v>
      </c>
      <c r="BG20" s="55"/>
      <c r="BH20" s="55"/>
      <c r="BI20" s="55"/>
      <c r="BJ20" s="55"/>
      <c r="BL20" s="128">
        <v>24</v>
      </c>
      <c r="BM20" s="55"/>
      <c r="BN20" s="55"/>
      <c r="BO20" s="55"/>
      <c r="BP20" s="55"/>
      <c r="BR20" s="128">
        <v>24</v>
      </c>
      <c r="BS20" s="55"/>
      <c r="BT20" s="55"/>
      <c r="BU20" s="55"/>
      <c r="BV20" s="55"/>
      <c r="BX20" s="128">
        <v>24</v>
      </c>
      <c r="BY20" s="55"/>
      <c r="BZ20" s="55"/>
      <c r="CA20" s="55"/>
      <c r="CB20" s="55"/>
      <c r="CD20" s="128">
        <v>24</v>
      </c>
      <c r="CE20" s="55"/>
      <c r="CF20" s="55"/>
      <c r="CG20" s="55"/>
      <c r="CH20" s="55"/>
      <c r="CJ20" s="128">
        <v>24</v>
      </c>
      <c r="CK20" s="55"/>
      <c r="CL20" s="55"/>
      <c r="CM20" s="55"/>
      <c r="CN20" s="55"/>
      <c r="CP20" s="128">
        <v>24</v>
      </c>
      <c r="CQ20" s="55"/>
      <c r="CR20" s="55"/>
      <c r="CS20" s="55"/>
      <c r="CT20" s="55"/>
      <c r="CV20" s="128">
        <v>24</v>
      </c>
      <c r="CW20" s="55"/>
      <c r="CX20" s="55"/>
      <c r="CY20" s="55"/>
      <c r="CZ20" s="55"/>
      <c r="DB20" s="128">
        <v>24</v>
      </c>
      <c r="DC20" s="55"/>
      <c r="DD20" s="55"/>
      <c r="DE20" s="55"/>
      <c r="DF20" s="55"/>
      <c r="DH20" s="128">
        <v>24</v>
      </c>
      <c r="DI20" s="55"/>
      <c r="DJ20" s="55"/>
      <c r="DK20" s="55"/>
      <c r="DL20" s="55"/>
      <c r="DN20" s="128">
        <v>24</v>
      </c>
      <c r="DO20" s="55"/>
      <c r="DP20" s="55"/>
      <c r="DQ20" s="55"/>
      <c r="DR20" s="55"/>
      <c r="DT20" s="128">
        <v>24</v>
      </c>
      <c r="DU20" s="55"/>
      <c r="DV20" s="55"/>
      <c r="DW20" s="55"/>
      <c r="DX20" s="55"/>
      <c r="DZ20" s="128">
        <v>24</v>
      </c>
      <c r="EA20" s="55"/>
      <c r="EB20" s="55"/>
      <c r="EC20" s="55"/>
      <c r="ED20" s="55"/>
      <c r="EF20" s="128">
        <v>24</v>
      </c>
      <c r="EG20" s="55"/>
      <c r="EH20" s="55"/>
      <c r="EI20" s="55"/>
      <c r="EJ20" s="55"/>
      <c r="EL20" s="128">
        <v>24</v>
      </c>
      <c r="EM20" s="55"/>
      <c r="EN20" s="55"/>
      <c r="EO20" s="55"/>
      <c r="EP20" s="55"/>
      <c r="ER20" s="128">
        <v>24</v>
      </c>
      <c r="ES20" s="55"/>
      <c r="ET20" s="55"/>
      <c r="EU20" s="55"/>
      <c r="EV20" s="55"/>
    </row>
    <row r="21" spans="1:152" x14ac:dyDescent="0.25">
      <c r="B21" s="57" t="s">
        <v>109</v>
      </c>
      <c r="C21" s="58" t="s">
        <v>110</v>
      </c>
      <c r="D21" s="128">
        <f>D28*365/12</f>
        <v>26.766666666666666</v>
      </c>
      <c r="E21" s="55"/>
      <c r="F21" s="55"/>
      <c r="G21" s="55"/>
      <c r="H21" s="55"/>
      <c r="J21" s="128">
        <f>J28*365/12</f>
        <v>26.766666666666666</v>
      </c>
      <c r="K21" s="55"/>
      <c r="L21" s="55"/>
      <c r="M21" s="55"/>
      <c r="N21" s="55"/>
      <c r="P21" s="128">
        <f>P28*365/12</f>
        <v>26.766666666666666</v>
      </c>
      <c r="Q21" s="55"/>
      <c r="R21" s="55"/>
      <c r="S21" s="55"/>
      <c r="T21" s="55"/>
      <c r="V21" s="128">
        <f>V28*365/12</f>
        <v>26.766666666666666</v>
      </c>
      <c r="W21" s="55"/>
      <c r="X21" s="55"/>
      <c r="Y21" s="55"/>
      <c r="Z21" s="55"/>
      <c r="AB21" s="128">
        <f t="shared" ref="AB21" si="378">AB28*365/12</f>
        <v>26.766666666666666</v>
      </c>
      <c r="AC21" s="55"/>
      <c r="AD21" s="55"/>
      <c r="AE21" s="55"/>
      <c r="AF21" s="55"/>
      <c r="AH21" s="128">
        <f t="shared" ref="AH21" si="379">AH28*365/12</f>
        <v>26.766666666666666</v>
      </c>
      <c r="AI21" s="55"/>
      <c r="AJ21" s="55"/>
      <c r="AK21" s="55"/>
      <c r="AL21" s="55"/>
      <c r="AN21" s="128">
        <f t="shared" ref="AN21" si="380">AN28*365/12</f>
        <v>26.766666666666666</v>
      </c>
      <c r="AO21" s="55"/>
      <c r="AP21" s="55"/>
      <c r="AQ21" s="55"/>
      <c r="AR21" s="55"/>
      <c r="AT21" s="128">
        <f t="shared" ref="AT21" si="381">AT28*365/12</f>
        <v>26.766666666666666</v>
      </c>
      <c r="AU21" s="55"/>
      <c r="AV21" s="55"/>
      <c r="AW21" s="55"/>
      <c r="AX21" s="55"/>
      <c r="AZ21" s="128">
        <f t="shared" ref="AZ21" si="382">AZ28*365/12</f>
        <v>26.766666666666666</v>
      </c>
      <c r="BA21" s="55"/>
      <c r="BB21" s="55"/>
      <c r="BC21" s="55"/>
      <c r="BD21" s="55"/>
      <c r="BF21" s="128">
        <f t="shared" ref="BF21" si="383">BF28*365/12</f>
        <v>26.766666666666666</v>
      </c>
      <c r="BG21" s="55"/>
      <c r="BH21" s="55"/>
      <c r="BI21" s="55"/>
      <c r="BJ21" s="55"/>
      <c r="BL21" s="128">
        <f t="shared" ref="BL21" si="384">BL28*365/12</f>
        <v>26.766666666666666</v>
      </c>
      <c r="BM21" s="55"/>
      <c r="BN21" s="55"/>
      <c r="BO21" s="55"/>
      <c r="BP21" s="55"/>
      <c r="BR21" s="128">
        <f t="shared" ref="BR21" si="385">BR28*365/12</f>
        <v>26.766666666666666</v>
      </c>
      <c r="BS21" s="55"/>
      <c r="BT21" s="55"/>
      <c r="BU21" s="55"/>
      <c r="BV21" s="55"/>
      <c r="BX21" s="128">
        <f t="shared" ref="BX21" si="386">BX28*365/12</f>
        <v>26.766666666666666</v>
      </c>
      <c r="BY21" s="55"/>
      <c r="BZ21" s="55"/>
      <c r="CA21" s="55"/>
      <c r="CB21" s="55"/>
      <c r="CD21" s="128">
        <f t="shared" ref="CD21" si="387">CD28*365/12</f>
        <v>26.766666666666666</v>
      </c>
      <c r="CE21" s="55"/>
      <c r="CF21" s="55"/>
      <c r="CG21" s="55"/>
      <c r="CH21" s="55"/>
      <c r="CJ21" s="128">
        <f t="shared" ref="CJ21" si="388">CJ28*365/12</f>
        <v>26.766666666666666</v>
      </c>
      <c r="CK21" s="55"/>
      <c r="CL21" s="55"/>
      <c r="CM21" s="55"/>
      <c r="CN21" s="55"/>
      <c r="CP21" s="128">
        <f t="shared" ref="CP21" si="389">CP28*365/12</f>
        <v>26.766666666666666</v>
      </c>
      <c r="CQ21" s="55"/>
      <c r="CR21" s="55"/>
      <c r="CS21" s="55"/>
      <c r="CT21" s="55"/>
      <c r="CV21" s="128">
        <f t="shared" ref="CV21" si="390">CV28*365/12</f>
        <v>26.766666666666666</v>
      </c>
      <c r="CW21" s="55"/>
      <c r="CX21" s="55"/>
      <c r="CY21" s="55"/>
      <c r="CZ21" s="55"/>
      <c r="DB21" s="128">
        <f t="shared" ref="DB21" si="391">DB28*365/12</f>
        <v>26.766666666666666</v>
      </c>
      <c r="DC21" s="55"/>
      <c r="DD21" s="55"/>
      <c r="DE21" s="55"/>
      <c r="DF21" s="55"/>
      <c r="DH21" s="128">
        <f t="shared" ref="DH21" si="392">DH28*365/12</f>
        <v>26.766666666666666</v>
      </c>
      <c r="DI21" s="55"/>
      <c r="DJ21" s="55"/>
      <c r="DK21" s="55"/>
      <c r="DL21" s="55"/>
      <c r="DN21" s="128">
        <f t="shared" ref="DN21" si="393">DN28*365/12</f>
        <v>26.766666666666666</v>
      </c>
      <c r="DO21" s="55"/>
      <c r="DP21" s="55"/>
      <c r="DQ21" s="55"/>
      <c r="DR21" s="55"/>
      <c r="DT21" s="128">
        <f t="shared" ref="DT21" si="394">DT28*365/12</f>
        <v>26.766666666666666</v>
      </c>
      <c r="DU21" s="55"/>
      <c r="DV21" s="55"/>
      <c r="DW21" s="55"/>
      <c r="DX21" s="55"/>
      <c r="DZ21" s="128">
        <f t="shared" ref="DZ21" si="395">DZ28*365/12</f>
        <v>26.766666666666666</v>
      </c>
      <c r="EA21" s="55"/>
      <c r="EB21" s="55"/>
      <c r="EC21" s="55"/>
      <c r="ED21" s="55"/>
      <c r="EF21" s="128">
        <f t="shared" ref="EF21" si="396">EF28*365/12</f>
        <v>26.766666666666666</v>
      </c>
      <c r="EG21" s="55"/>
      <c r="EH21" s="55"/>
      <c r="EI21" s="55"/>
      <c r="EJ21" s="55"/>
      <c r="EL21" s="128">
        <f t="shared" ref="EL21" si="397">EL28*365/12</f>
        <v>26.766666666666666</v>
      </c>
      <c r="EM21" s="55"/>
      <c r="EN21" s="55"/>
      <c r="EO21" s="55"/>
      <c r="EP21" s="55"/>
      <c r="ER21" s="128">
        <f t="shared" ref="ER21" si="398">ER28*365/12</f>
        <v>26.766666666666666</v>
      </c>
      <c r="ES21" s="55"/>
      <c r="ET21" s="55"/>
      <c r="EU21" s="55"/>
      <c r="EV21" s="55"/>
    </row>
    <row r="22" spans="1:152" x14ac:dyDescent="0.25">
      <c r="B22" s="56"/>
      <c r="C22" s="55"/>
      <c r="D22" s="55"/>
      <c r="E22" s="55"/>
      <c r="F22" s="55"/>
      <c r="G22" s="55"/>
      <c r="H22" s="55"/>
      <c r="J22" s="55"/>
      <c r="K22" s="55"/>
      <c r="L22" s="55"/>
      <c r="M22" s="55"/>
      <c r="N22" s="55"/>
      <c r="P22" s="55"/>
      <c r="Q22" s="55"/>
      <c r="R22" s="55"/>
      <c r="S22" s="55"/>
      <c r="T22" s="55"/>
      <c r="V22" s="55"/>
      <c r="W22" s="55"/>
      <c r="X22" s="55"/>
      <c r="Y22" s="55"/>
      <c r="Z22" s="55"/>
      <c r="AB22" s="55"/>
      <c r="AC22" s="55"/>
      <c r="AD22" s="55"/>
      <c r="AE22" s="55"/>
      <c r="AF22" s="55"/>
      <c r="AH22" s="55"/>
      <c r="AI22" s="55"/>
      <c r="AJ22" s="55"/>
      <c r="AK22" s="55"/>
      <c r="AL22" s="55"/>
      <c r="AN22" s="55"/>
      <c r="AO22" s="55"/>
      <c r="AP22" s="55"/>
      <c r="AQ22" s="55"/>
      <c r="AR22" s="55"/>
      <c r="AT22" s="55"/>
      <c r="AU22" s="55"/>
      <c r="AV22" s="55"/>
      <c r="AW22" s="55"/>
      <c r="AX22" s="55"/>
      <c r="AZ22" s="55"/>
      <c r="BA22" s="55"/>
      <c r="BB22" s="55"/>
      <c r="BC22" s="55"/>
      <c r="BD22" s="55"/>
      <c r="BF22" s="55"/>
      <c r="BG22" s="55"/>
      <c r="BH22" s="55"/>
      <c r="BI22" s="55"/>
      <c r="BJ22" s="55"/>
      <c r="BL22" s="55"/>
      <c r="BM22" s="55"/>
      <c r="BN22" s="55"/>
      <c r="BO22" s="55"/>
      <c r="BP22" s="55"/>
      <c r="BR22" s="55"/>
      <c r="BS22" s="55"/>
      <c r="BT22" s="55"/>
      <c r="BU22" s="55"/>
      <c r="BV22" s="55"/>
      <c r="BX22" s="55"/>
      <c r="BY22" s="55"/>
      <c r="BZ22" s="55"/>
      <c r="CA22" s="55"/>
      <c r="CB22" s="55"/>
      <c r="CD22" s="55"/>
      <c r="CE22" s="55"/>
      <c r="CF22" s="55"/>
      <c r="CG22" s="55"/>
      <c r="CH22" s="55"/>
      <c r="CJ22" s="55"/>
      <c r="CK22" s="55"/>
      <c r="CL22" s="55"/>
      <c r="CM22" s="55"/>
      <c r="CN22" s="55"/>
      <c r="CP22" s="55"/>
      <c r="CQ22" s="55"/>
      <c r="CR22" s="55"/>
      <c r="CS22" s="55"/>
      <c r="CT22" s="55"/>
      <c r="CV22" s="55"/>
      <c r="CW22" s="55"/>
      <c r="CX22" s="55"/>
      <c r="CY22" s="55"/>
      <c r="CZ22" s="55"/>
      <c r="DB22" s="55"/>
      <c r="DC22" s="55"/>
      <c r="DD22" s="55"/>
      <c r="DE22" s="55"/>
      <c r="DF22" s="55"/>
      <c r="DH22" s="55"/>
      <c r="DI22" s="55"/>
      <c r="DJ22" s="55"/>
      <c r="DK22" s="55"/>
      <c r="DL22" s="55"/>
      <c r="DN22" s="55"/>
      <c r="DO22" s="55"/>
      <c r="DP22" s="55"/>
      <c r="DQ22" s="55"/>
      <c r="DR22" s="55"/>
      <c r="DT22" s="55"/>
      <c r="DU22" s="55"/>
      <c r="DV22" s="55"/>
      <c r="DW22" s="55"/>
      <c r="DX22" s="55"/>
      <c r="DZ22" s="55"/>
      <c r="EA22" s="55"/>
      <c r="EB22" s="55"/>
      <c r="EC22" s="55"/>
      <c r="ED22" s="55"/>
      <c r="EF22" s="55"/>
      <c r="EG22" s="55"/>
      <c r="EH22" s="55"/>
      <c r="EI22" s="55"/>
      <c r="EJ22" s="55"/>
      <c r="EL22" s="55"/>
      <c r="EM22" s="55"/>
      <c r="EN22" s="55"/>
      <c r="EO22" s="55"/>
      <c r="EP22" s="55"/>
      <c r="ER22" s="55"/>
      <c r="ES22" s="55"/>
      <c r="ET22" s="55"/>
      <c r="EU22" s="55"/>
      <c r="EV22" s="55"/>
    </row>
    <row r="23" spans="1:152" x14ac:dyDescent="0.25">
      <c r="B23" s="53" t="s">
        <v>112</v>
      </c>
      <c r="C23" s="54"/>
      <c r="D23" s="54"/>
      <c r="E23" s="54"/>
      <c r="F23" s="54"/>
      <c r="G23" s="54"/>
      <c r="H23" s="54"/>
      <c r="J23" s="54"/>
      <c r="K23" s="54"/>
      <c r="L23" s="54"/>
      <c r="M23" s="54"/>
      <c r="N23" s="54"/>
      <c r="P23" s="54"/>
      <c r="Q23" s="54"/>
      <c r="R23" s="54"/>
      <c r="S23" s="54"/>
      <c r="T23" s="54"/>
      <c r="V23" s="54"/>
      <c r="W23" s="54"/>
      <c r="X23" s="54"/>
      <c r="Y23" s="54"/>
      <c r="Z23" s="54"/>
      <c r="AB23" s="54"/>
      <c r="AC23" s="54"/>
      <c r="AD23" s="54"/>
      <c r="AE23" s="54"/>
      <c r="AF23" s="54"/>
      <c r="AH23" s="54"/>
      <c r="AI23" s="54"/>
      <c r="AJ23" s="54"/>
      <c r="AK23" s="54"/>
      <c r="AL23" s="54"/>
      <c r="AN23" s="54"/>
      <c r="AO23" s="54"/>
      <c r="AP23" s="54"/>
      <c r="AQ23" s="54"/>
      <c r="AR23" s="54"/>
      <c r="AT23" s="54"/>
      <c r="AU23" s="54"/>
      <c r="AV23" s="54"/>
      <c r="AW23" s="54"/>
      <c r="AX23" s="54"/>
      <c r="AZ23" s="54"/>
      <c r="BA23" s="54"/>
      <c r="BB23" s="54"/>
      <c r="BC23" s="54"/>
      <c r="BD23" s="54"/>
      <c r="BF23" s="54"/>
      <c r="BG23" s="54"/>
      <c r="BH23" s="54"/>
      <c r="BI23" s="54"/>
      <c r="BJ23" s="54"/>
      <c r="BL23" s="54"/>
      <c r="BM23" s="54"/>
      <c r="BN23" s="54"/>
      <c r="BO23" s="54"/>
      <c r="BP23" s="54"/>
      <c r="BR23" s="54"/>
      <c r="BS23" s="54"/>
      <c r="BT23" s="54"/>
      <c r="BU23" s="54"/>
      <c r="BV23" s="54"/>
      <c r="BX23" s="54"/>
      <c r="BY23" s="54"/>
      <c r="BZ23" s="54"/>
      <c r="CA23" s="54"/>
      <c r="CB23" s="54"/>
      <c r="CD23" s="54"/>
      <c r="CE23" s="54"/>
      <c r="CF23" s="54"/>
      <c r="CG23" s="54"/>
      <c r="CH23" s="54"/>
      <c r="CJ23" s="54"/>
      <c r="CK23" s="54"/>
      <c r="CL23" s="54"/>
      <c r="CM23" s="54"/>
      <c r="CN23" s="54"/>
      <c r="CP23" s="54"/>
      <c r="CQ23" s="54"/>
      <c r="CR23" s="54"/>
      <c r="CS23" s="54"/>
      <c r="CT23" s="54"/>
      <c r="CV23" s="54"/>
      <c r="CW23" s="54"/>
      <c r="CX23" s="54"/>
      <c r="CY23" s="54"/>
      <c r="CZ23" s="54"/>
      <c r="DB23" s="54"/>
      <c r="DC23" s="54"/>
      <c r="DD23" s="54"/>
      <c r="DE23" s="54"/>
      <c r="DF23" s="54"/>
      <c r="DH23" s="54"/>
      <c r="DI23" s="54"/>
      <c r="DJ23" s="54"/>
      <c r="DK23" s="54"/>
      <c r="DL23" s="54"/>
      <c r="DN23" s="54"/>
      <c r="DO23" s="54"/>
      <c r="DP23" s="54"/>
      <c r="DQ23" s="54"/>
      <c r="DR23" s="54"/>
      <c r="DT23" s="54"/>
      <c r="DU23" s="54"/>
      <c r="DV23" s="54"/>
      <c r="DW23" s="54"/>
      <c r="DX23" s="54"/>
      <c r="DZ23" s="54"/>
      <c r="EA23" s="54"/>
      <c r="EB23" s="54"/>
      <c r="EC23" s="54"/>
      <c r="ED23" s="54"/>
      <c r="EF23" s="54"/>
      <c r="EG23" s="54"/>
      <c r="EH23" s="54"/>
      <c r="EI23" s="54"/>
      <c r="EJ23" s="54"/>
      <c r="EL23" s="54"/>
      <c r="EM23" s="54"/>
      <c r="EN23" s="54"/>
      <c r="EO23" s="54"/>
      <c r="EP23" s="54"/>
      <c r="ER23" s="54"/>
      <c r="ES23" s="54"/>
      <c r="ET23" s="54"/>
      <c r="EU23" s="54"/>
      <c r="EV23" s="54"/>
    </row>
    <row r="24" spans="1:152" x14ac:dyDescent="0.25">
      <c r="B24" s="56" t="s">
        <v>113</v>
      </c>
      <c r="C24" s="55" t="s">
        <v>71</v>
      </c>
      <c r="D24" s="129">
        <f>INDEX('W3'!$K$24:$AJ$24,MATCH('W6 - Operating cost'!H$2,'W3'!$K$14:$AJ$14,0))</f>
        <v>0.5</v>
      </c>
      <c r="E24" s="55"/>
      <c r="F24" s="55"/>
      <c r="G24" s="136"/>
      <c r="H24" s="55"/>
      <c r="J24" s="129">
        <f>INDEX('W3'!$K$24:$AJ$24,MATCH('W6 - Operating cost'!N$2,'W3'!$K$14:$AJ$14,0))</f>
        <v>0.7</v>
      </c>
      <c r="K24" s="55"/>
      <c r="L24" s="55"/>
      <c r="M24" s="136"/>
      <c r="N24" s="55"/>
      <c r="P24" s="129">
        <f>INDEX('W3'!$K$24:$AJ$24,MATCH('W6 - Operating cost'!T$2,'W3'!$K$14:$AJ$14,0))</f>
        <v>1</v>
      </c>
      <c r="Q24" s="55"/>
      <c r="R24" s="55"/>
      <c r="S24" s="136"/>
      <c r="T24" s="55"/>
      <c r="V24" s="129">
        <f>INDEX('W3'!$K$24:$AJ$24,MATCH('W6 - Operating cost'!Z$2,'W3'!$K$14:$AJ$14,0))</f>
        <v>1</v>
      </c>
      <c r="W24" s="55"/>
      <c r="X24" s="55"/>
      <c r="Y24" s="136"/>
      <c r="Z24" s="55"/>
      <c r="AB24" s="129">
        <f>INDEX('W3'!$K$24:$AJ$24,MATCH('W6 - Operating cost'!AF$2,'W3'!$K$14:$AJ$14,0))</f>
        <v>1</v>
      </c>
      <c r="AC24" s="55"/>
      <c r="AD24" s="55"/>
      <c r="AE24" s="136"/>
      <c r="AF24" s="55"/>
      <c r="AH24" s="129">
        <f>INDEX('W3'!$K$24:$AJ$24,MATCH('W6 - Operating cost'!AL$2,'W3'!$K$14:$AJ$14,0))</f>
        <v>1</v>
      </c>
      <c r="AI24" s="55"/>
      <c r="AJ24" s="55"/>
      <c r="AK24" s="136"/>
      <c r="AL24" s="55"/>
      <c r="AN24" s="129">
        <f>INDEX('W3'!$K$24:$AJ$24,MATCH('W6 - Operating cost'!AR$2,'W3'!$K$14:$AJ$14,0))</f>
        <v>1</v>
      </c>
      <c r="AO24" s="55"/>
      <c r="AP24" s="55"/>
      <c r="AQ24" s="136"/>
      <c r="AR24" s="55"/>
      <c r="AT24" s="129">
        <f>INDEX('W3'!$K$24:$AJ$24,MATCH('W6 - Operating cost'!AX$2,'W3'!$K$14:$AJ$14,0))</f>
        <v>1</v>
      </c>
      <c r="AU24" s="55"/>
      <c r="AV24" s="55"/>
      <c r="AW24" s="136"/>
      <c r="AX24" s="55"/>
      <c r="AZ24" s="129">
        <f>INDEX('W3'!$K$24:$AJ$24,MATCH('W6 - Operating cost'!BD$2,'W3'!$K$14:$AJ$14,0))</f>
        <v>1</v>
      </c>
      <c r="BA24" s="55"/>
      <c r="BB24" s="55"/>
      <c r="BC24" s="136"/>
      <c r="BD24" s="55"/>
      <c r="BF24" s="129">
        <f>INDEX('W3'!$K$24:$AJ$24,MATCH('W6 - Operating cost'!BJ$2,'W3'!$K$14:$AJ$14,0))</f>
        <v>1</v>
      </c>
      <c r="BG24" s="55"/>
      <c r="BH24" s="55"/>
      <c r="BI24" s="136"/>
      <c r="BJ24" s="55"/>
      <c r="BL24" s="129">
        <f>INDEX('W3'!$K$24:$AJ$24,MATCH('W6 - Operating cost'!BP$2,'W3'!$K$14:$AJ$14,0))</f>
        <v>1</v>
      </c>
      <c r="BM24" s="55"/>
      <c r="BN24" s="55"/>
      <c r="BO24" s="136"/>
      <c r="BP24" s="55"/>
      <c r="BR24" s="129">
        <f>INDEX('W3'!$K$24:$AJ$24,MATCH('W6 - Operating cost'!BV$2,'W3'!$K$14:$AJ$14,0))</f>
        <v>1</v>
      </c>
      <c r="BS24" s="55"/>
      <c r="BT24" s="55"/>
      <c r="BU24" s="136"/>
      <c r="BV24" s="55"/>
      <c r="BX24" s="129">
        <f>INDEX('W3'!$K$24:$AJ$24,MATCH('W6 - Operating cost'!CB$2,'W3'!$K$14:$AJ$14,0))</f>
        <v>1</v>
      </c>
      <c r="BY24" s="55"/>
      <c r="BZ24" s="55"/>
      <c r="CA24" s="136"/>
      <c r="CB24" s="55"/>
      <c r="CD24" s="129">
        <f>INDEX('W3'!$K$24:$AJ$24,MATCH('W6 - Operating cost'!CH$2,'W3'!$K$14:$AJ$14,0))</f>
        <v>1</v>
      </c>
      <c r="CE24" s="55"/>
      <c r="CF24" s="55"/>
      <c r="CG24" s="136"/>
      <c r="CH24" s="55"/>
      <c r="CJ24" s="129">
        <f>INDEX('W3'!$K$24:$AJ$24,MATCH('W6 - Operating cost'!CN$2,'W3'!$K$14:$AJ$14,0))</f>
        <v>1</v>
      </c>
      <c r="CK24" s="55"/>
      <c r="CL24" s="55"/>
      <c r="CM24" s="136"/>
      <c r="CN24" s="55"/>
      <c r="CP24" s="129" t="e">
        <f>INDEX('W3'!$K$24:$AJ$24,MATCH('W6 - Operating cost'!CT$2,'W3'!$K$14:$AJ$14,0))</f>
        <v>#N/A</v>
      </c>
      <c r="CQ24" s="55"/>
      <c r="CR24" s="55"/>
      <c r="CS24" s="136"/>
      <c r="CT24" s="55"/>
      <c r="CV24" s="129" t="e">
        <f>INDEX('W3'!$K$24:$AJ$24,MATCH('W6 - Operating cost'!CZ$2,'W3'!$K$14:$AJ$14,0))</f>
        <v>#N/A</v>
      </c>
      <c r="CW24" s="55"/>
      <c r="CX24" s="55"/>
      <c r="CY24" s="136"/>
      <c r="CZ24" s="55"/>
      <c r="DB24" s="129" t="e">
        <f>INDEX('W3'!$K$24:$AJ$24,MATCH('W6 - Operating cost'!DF$2,'W3'!$K$14:$AJ$14,0))</f>
        <v>#N/A</v>
      </c>
      <c r="DC24" s="55"/>
      <c r="DD24" s="55"/>
      <c r="DE24" s="136"/>
      <c r="DF24" s="55"/>
      <c r="DH24" s="129" t="e">
        <f>INDEX('W3'!$K$24:$AJ$24,MATCH('W6 - Operating cost'!DL$2,'W3'!$K$14:$AJ$14,0))</f>
        <v>#N/A</v>
      </c>
      <c r="DI24" s="55"/>
      <c r="DJ24" s="55"/>
      <c r="DK24" s="136"/>
      <c r="DL24" s="55"/>
      <c r="DN24" s="129" t="e">
        <f>INDEX('W3'!$K$24:$AJ$24,MATCH('W6 - Operating cost'!DR$2,'W3'!$K$14:$AJ$14,0))</f>
        <v>#N/A</v>
      </c>
      <c r="DO24" s="55"/>
      <c r="DP24" s="55"/>
      <c r="DQ24" s="136"/>
      <c r="DR24" s="55"/>
      <c r="DT24" s="129" t="e">
        <f>INDEX('W3'!$K$24:$AJ$24,MATCH('W6 - Operating cost'!DX$2,'W3'!$K$14:$AJ$14,0))</f>
        <v>#N/A</v>
      </c>
      <c r="DU24" s="55"/>
      <c r="DV24" s="55"/>
      <c r="DW24" s="136"/>
      <c r="DX24" s="55"/>
      <c r="DZ24" s="129" t="e">
        <f>INDEX('W3'!$K$24:$AJ$24,MATCH('W6 - Operating cost'!ED$2,'W3'!$K$14:$AJ$14,0))</f>
        <v>#N/A</v>
      </c>
      <c r="EA24" s="55"/>
      <c r="EB24" s="55"/>
      <c r="EC24" s="136"/>
      <c r="ED24" s="55"/>
      <c r="EF24" s="129" t="e">
        <f>INDEX('W3'!$K$24:$AJ$24,MATCH('W6 - Operating cost'!EJ$2,'W3'!$K$14:$AJ$14,0))</f>
        <v>#N/A</v>
      </c>
      <c r="EG24" s="55"/>
      <c r="EH24" s="55"/>
      <c r="EI24" s="136"/>
      <c r="EJ24" s="55"/>
      <c r="EL24" s="129" t="e">
        <f>INDEX('W3'!$K$24:$AJ$24,MATCH('W6 - Operating cost'!EP$2,'W3'!$K$14:$AJ$14,0))</f>
        <v>#N/A</v>
      </c>
      <c r="EM24" s="55"/>
      <c r="EN24" s="55"/>
      <c r="EO24" s="136"/>
      <c r="EP24" s="55"/>
      <c r="ER24" s="129" t="e">
        <f>INDEX('W3'!$K$24:$AJ$24,MATCH('W6 - Operating cost'!EV$2,'W3'!$K$14:$AJ$14,0))</f>
        <v>#N/A</v>
      </c>
      <c r="ES24" s="55"/>
      <c r="ET24" s="55"/>
      <c r="EU24" s="136"/>
      <c r="EV24" s="55"/>
    </row>
    <row r="25" spans="1:152" x14ac:dyDescent="0.25">
      <c r="B25" s="56" t="s">
        <v>143</v>
      </c>
      <c r="C25" s="55" t="s">
        <v>71</v>
      </c>
      <c r="D25" s="129">
        <f>INDEX('W2'!$M$41:$R$41,MATCH('W6 - Operating cost'!$B$1,'W2'!$M$7:$R$7,0))</f>
        <v>7.0000000000000007E-2</v>
      </c>
      <c r="E25" s="55"/>
      <c r="F25" s="55"/>
      <c r="G25" s="136"/>
      <c r="H25" s="55"/>
      <c r="J25" s="129">
        <f>INDEX('W2'!$M$41:$R$41,MATCH('W6 - Operating cost'!$B$1,'W2'!$M$7:$R$7,0))</f>
        <v>7.0000000000000007E-2</v>
      </c>
      <c r="K25" s="55"/>
      <c r="L25" s="55"/>
      <c r="M25" s="136"/>
      <c r="N25" s="55"/>
      <c r="P25" s="129">
        <f>INDEX('W2'!$M$41:$R$41,MATCH('W6 - Operating cost'!$B$1,'W2'!$M$7:$R$7,0))</f>
        <v>7.0000000000000007E-2</v>
      </c>
      <c r="Q25" s="55"/>
      <c r="R25" s="55"/>
      <c r="S25" s="136"/>
      <c r="T25" s="55"/>
      <c r="V25" s="129">
        <f>INDEX('W2'!$M$41:$R$41,MATCH('W6 - Operating cost'!$B$1,'W2'!$M$7:$R$7,0))</f>
        <v>7.0000000000000007E-2</v>
      </c>
      <c r="W25" s="55"/>
      <c r="X25" s="55"/>
      <c r="Y25" s="136"/>
      <c r="Z25" s="55"/>
      <c r="AB25" s="129">
        <f>INDEX('W2'!$M$41:$R$41,MATCH('W6 - Operating cost'!$B$1,'W2'!$M$7:$R$7,0))</f>
        <v>7.0000000000000007E-2</v>
      </c>
      <c r="AC25" s="55"/>
      <c r="AD25" s="55"/>
      <c r="AE25" s="136"/>
      <c r="AF25" s="55"/>
      <c r="AH25" s="129">
        <f>INDEX('W2'!$M$41:$R$41,MATCH('W6 - Operating cost'!$B$1,'W2'!$M$7:$R$7,0))</f>
        <v>7.0000000000000007E-2</v>
      </c>
      <c r="AI25" s="55"/>
      <c r="AJ25" s="55"/>
      <c r="AK25" s="136"/>
      <c r="AL25" s="55"/>
      <c r="AN25" s="129">
        <f>INDEX('W2'!$M$41:$R$41,MATCH('W6 - Operating cost'!$B$1,'W2'!$M$7:$R$7,0))</f>
        <v>7.0000000000000007E-2</v>
      </c>
      <c r="AO25" s="55"/>
      <c r="AP25" s="55"/>
      <c r="AQ25" s="136"/>
      <c r="AR25" s="55"/>
      <c r="AT25" s="129">
        <f>INDEX('W2'!$M$41:$R$41,MATCH('W6 - Operating cost'!$B$1,'W2'!$M$7:$R$7,0))</f>
        <v>7.0000000000000007E-2</v>
      </c>
      <c r="AU25" s="55"/>
      <c r="AV25" s="55"/>
      <c r="AW25" s="136"/>
      <c r="AX25" s="55"/>
      <c r="AZ25" s="129">
        <f>INDEX('W2'!$M$41:$R$41,MATCH('W6 - Operating cost'!$B$1,'W2'!$M$7:$R$7,0))</f>
        <v>7.0000000000000007E-2</v>
      </c>
      <c r="BA25" s="55"/>
      <c r="BB25" s="55"/>
      <c r="BC25" s="136"/>
      <c r="BD25" s="55"/>
      <c r="BF25" s="129">
        <f>INDEX('W2'!$M$41:$R$41,MATCH('W6 - Operating cost'!$B$1,'W2'!$M$7:$R$7,0))</f>
        <v>7.0000000000000007E-2</v>
      </c>
      <c r="BG25" s="55"/>
      <c r="BH25" s="55"/>
      <c r="BI25" s="136"/>
      <c r="BJ25" s="55"/>
      <c r="BL25" s="129">
        <f>INDEX('W2'!$M$41:$R$41,MATCH('W6 - Operating cost'!$B$1,'W2'!$M$7:$R$7,0))</f>
        <v>7.0000000000000007E-2</v>
      </c>
      <c r="BM25" s="55"/>
      <c r="BN25" s="55"/>
      <c r="BO25" s="136"/>
      <c r="BP25" s="55"/>
      <c r="BR25" s="129">
        <f>INDEX('W2'!$M$41:$R$41,MATCH('W6 - Operating cost'!$B$1,'W2'!$M$7:$R$7,0))</f>
        <v>7.0000000000000007E-2</v>
      </c>
      <c r="BS25" s="55"/>
      <c r="BT25" s="55"/>
      <c r="BU25" s="136"/>
      <c r="BV25" s="55"/>
      <c r="BX25" s="129">
        <f>INDEX('W2'!$M$41:$R$41,MATCH('W6 - Operating cost'!$B$1,'W2'!$M$7:$R$7,0))</f>
        <v>7.0000000000000007E-2</v>
      </c>
      <c r="BY25" s="55"/>
      <c r="BZ25" s="55"/>
      <c r="CA25" s="136"/>
      <c r="CB25" s="55"/>
      <c r="CD25" s="129">
        <f>INDEX('W2'!$M$41:$R$41,MATCH('W6 - Operating cost'!$B$1,'W2'!$M$7:$R$7,0))</f>
        <v>7.0000000000000007E-2</v>
      </c>
      <c r="CE25" s="55"/>
      <c r="CF25" s="55"/>
      <c r="CG25" s="136"/>
      <c r="CH25" s="55"/>
      <c r="CJ25" s="129">
        <f>INDEX('W2'!$M$41:$R$41,MATCH('W6 - Operating cost'!$B$1,'W2'!$M$7:$R$7,0))</f>
        <v>7.0000000000000007E-2</v>
      </c>
      <c r="CK25" s="55"/>
      <c r="CL25" s="55"/>
      <c r="CM25" s="136"/>
      <c r="CN25" s="55"/>
      <c r="CP25" s="129">
        <f>INDEX('W2'!$M$41:$R$41,MATCH('W6 - Operating cost'!$B$1,'W2'!$M$7:$R$7,0))</f>
        <v>7.0000000000000007E-2</v>
      </c>
      <c r="CQ25" s="55"/>
      <c r="CR25" s="55"/>
      <c r="CS25" s="136"/>
      <c r="CT25" s="55"/>
      <c r="CV25" s="129">
        <f>INDEX('W2'!$M$41:$R$41,MATCH('W6 - Operating cost'!$B$1,'W2'!$M$7:$R$7,0))</f>
        <v>7.0000000000000007E-2</v>
      </c>
      <c r="CW25" s="55"/>
      <c r="CX25" s="55"/>
      <c r="CY25" s="136"/>
      <c r="CZ25" s="55"/>
      <c r="DB25" s="129">
        <f>INDEX('W2'!$M$41:$R$41,MATCH('W6 - Operating cost'!$B$1,'W2'!$M$7:$R$7,0))</f>
        <v>7.0000000000000007E-2</v>
      </c>
      <c r="DC25" s="55"/>
      <c r="DD25" s="55"/>
      <c r="DE25" s="136"/>
      <c r="DF25" s="55"/>
      <c r="DH25" s="129">
        <f>INDEX('W2'!$M$41:$R$41,MATCH('W6 - Operating cost'!$B$1,'W2'!$M$7:$R$7,0))</f>
        <v>7.0000000000000007E-2</v>
      </c>
      <c r="DI25" s="55"/>
      <c r="DJ25" s="55"/>
      <c r="DK25" s="136"/>
      <c r="DL25" s="55"/>
      <c r="DN25" s="129">
        <f>INDEX('W2'!$M$41:$R$41,MATCH('W6 - Operating cost'!$B$1,'W2'!$M$7:$R$7,0))</f>
        <v>7.0000000000000007E-2</v>
      </c>
      <c r="DO25" s="55"/>
      <c r="DP25" s="55"/>
      <c r="DQ25" s="136"/>
      <c r="DR25" s="55"/>
      <c r="DT25" s="129">
        <f>INDEX('W2'!$M$41:$R$41,MATCH('W6 - Operating cost'!$B$1,'W2'!$M$7:$R$7,0))</f>
        <v>7.0000000000000007E-2</v>
      </c>
      <c r="DU25" s="55"/>
      <c r="DV25" s="55"/>
      <c r="DW25" s="136"/>
      <c r="DX25" s="55"/>
      <c r="DZ25" s="129">
        <f>INDEX('W2'!$M$41:$R$41,MATCH('W6 - Operating cost'!$B$1,'W2'!$M$7:$R$7,0))</f>
        <v>7.0000000000000007E-2</v>
      </c>
      <c r="EA25" s="55"/>
      <c r="EB25" s="55"/>
      <c r="EC25" s="136"/>
      <c r="ED25" s="55"/>
      <c r="EF25" s="129">
        <f>INDEX('W2'!$M$41:$R$41,MATCH('W6 - Operating cost'!$B$1,'W2'!$M$7:$R$7,0))</f>
        <v>7.0000000000000007E-2</v>
      </c>
      <c r="EG25" s="55"/>
      <c r="EH25" s="55"/>
      <c r="EI25" s="136"/>
      <c r="EJ25" s="55"/>
      <c r="EL25" s="129">
        <f>INDEX('W2'!$M$41:$R$41,MATCH('W6 - Operating cost'!$B$1,'W2'!$M$7:$R$7,0))</f>
        <v>7.0000000000000007E-2</v>
      </c>
      <c r="EM25" s="55"/>
      <c r="EN25" s="55"/>
      <c r="EO25" s="136"/>
      <c r="EP25" s="55"/>
      <c r="ER25" s="129">
        <f>INDEX('W2'!$M$41:$R$41,MATCH('W6 - Operating cost'!$B$1,'W2'!$M$7:$R$7,0))</f>
        <v>7.0000000000000007E-2</v>
      </c>
      <c r="ES25" s="55"/>
      <c r="ET25" s="55"/>
      <c r="EU25" s="136"/>
      <c r="EV25" s="55"/>
    </row>
    <row r="26" spans="1:152" x14ac:dyDescent="0.25">
      <c r="B26" s="56" t="s">
        <v>114</v>
      </c>
      <c r="C26" s="55" t="s">
        <v>115</v>
      </c>
      <c r="D26" s="55">
        <f>'Cover Page'!$F$26</f>
        <v>128</v>
      </c>
      <c r="E26" s="55"/>
      <c r="F26" s="55"/>
      <c r="G26" s="136"/>
      <c r="H26" s="55"/>
      <c r="J26" s="55">
        <f>'Cover Page'!$F$26</f>
        <v>128</v>
      </c>
      <c r="K26" s="55"/>
      <c r="L26" s="55"/>
      <c r="M26" s="136"/>
      <c r="N26" s="55"/>
      <c r="P26" s="55">
        <f>'Cover Page'!$F$26</f>
        <v>128</v>
      </c>
      <c r="Q26" s="55"/>
      <c r="R26" s="55"/>
      <c r="S26" s="136"/>
      <c r="T26" s="55"/>
      <c r="V26" s="55">
        <f>'Cover Page'!$F$26</f>
        <v>128</v>
      </c>
      <c r="W26" s="55"/>
      <c r="X26" s="55"/>
      <c r="Y26" s="136"/>
      <c r="Z26" s="55"/>
      <c r="AB26" s="55">
        <f>'Cover Page'!$F$26</f>
        <v>128</v>
      </c>
      <c r="AC26" s="55"/>
      <c r="AD26" s="55"/>
      <c r="AE26" s="136"/>
      <c r="AF26" s="55"/>
      <c r="AH26" s="55">
        <f>'Cover Page'!$F$26</f>
        <v>128</v>
      </c>
      <c r="AI26" s="55"/>
      <c r="AJ26" s="55"/>
      <c r="AK26" s="136"/>
      <c r="AL26" s="55"/>
      <c r="AN26" s="55">
        <f>'Cover Page'!$F$26</f>
        <v>128</v>
      </c>
      <c r="AO26" s="55"/>
      <c r="AP26" s="55"/>
      <c r="AQ26" s="136"/>
      <c r="AR26" s="55"/>
      <c r="AT26" s="55">
        <f>'Cover Page'!$F$26</f>
        <v>128</v>
      </c>
      <c r="AU26" s="55"/>
      <c r="AV26" s="55"/>
      <c r="AW26" s="136"/>
      <c r="AX26" s="55"/>
      <c r="AZ26" s="55">
        <f>'Cover Page'!$F$26</f>
        <v>128</v>
      </c>
      <c r="BA26" s="55"/>
      <c r="BB26" s="55"/>
      <c r="BC26" s="136"/>
      <c r="BD26" s="55"/>
      <c r="BF26" s="55">
        <f>'Cover Page'!$F$26</f>
        <v>128</v>
      </c>
      <c r="BG26" s="55"/>
      <c r="BH26" s="55"/>
      <c r="BI26" s="136"/>
      <c r="BJ26" s="55"/>
      <c r="BL26" s="55">
        <f>'Cover Page'!$F$26</f>
        <v>128</v>
      </c>
      <c r="BM26" s="55"/>
      <c r="BN26" s="55"/>
      <c r="BO26" s="136"/>
      <c r="BP26" s="55"/>
      <c r="BR26" s="55">
        <f>'Cover Page'!$F$26</f>
        <v>128</v>
      </c>
      <c r="BS26" s="55"/>
      <c r="BT26" s="55"/>
      <c r="BU26" s="136"/>
      <c r="BV26" s="55"/>
      <c r="BX26" s="55">
        <f>'Cover Page'!$F$26</f>
        <v>128</v>
      </c>
      <c r="BY26" s="55"/>
      <c r="BZ26" s="55"/>
      <c r="CA26" s="136"/>
      <c r="CB26" s="55"/>
      <c r="CD26" s="55">
        <f>'Cover Page'!$F$26</f>
        <v>128</v>
      </c>
      <c r="CE26" s="55"/>
      <c r="CF26" s="55"/>
      <c r="CG26" s="136"/>
      <c r="CH26" s="55"/>
      <c r="CJ26" s="55">
        <f>'Cover Page'!$F$26</f>
        <v>128</v>
      </c>
      <c r="CK26" s="55"/>
      <c r="CL26" s="55"/>
      <c r="CM26" s="136"/>
      <c r="CN26" s="55"/>
      <c r="CP26" s="55">
        <f>'Cover Page'!$F$26</f>
        <v>128</v>
      </c>
      <c r="CQ26" s="55"/>
      <c r="CR26" s="55"/>
      <c r="CS26" s="136"/>
      <c r="CT26" s="55"/>
      <c r="CV26" s="55">
        <f>'Cover Page'!$F$26</f>
        <v>128</v>
      </c>
      <c r="CW26" s="55"/>
      <c r="CX26" s="55"/>
      <c r="CY26" s="136"/>
      <c r="CZ26" s="55"/>
      <c r="DB26" s="55">
        <f>'Cover Page'!$F$26</f>
        <v>128</v>
      </c>
      <c r="DC26" s="55"/>
      <c r="DD26" s="55"/>
      <c r="DE26" s="136"/>
      <c r="DF26" s="55"/>
      <c r="DH26" s="55">
        <f>'Cover Page'!$F$26</f>
        <v>128</v>
      </c>
      <c r="DI26" s="55"/>
      <c r="DJ26" s="55"/>
      <c r="DK26" s="136"/>
      <c r="DL26" s="55"/>
      <c r="DN26" s="55">
        <f>'Cover Page'!$F$26</f>
        <v>128</v>
      </c>
      <c r="DO26" s="55"/>
      <c r="DP26" s="55"/>
      <c r="DQ26" s="136"/>
      <c r="DR26" s="55"/>
      <c r="DT26" s="55">
        <f>'Cover Page'!$F$26</f>
        <v>128</v>
      </c>
      <c r="DU26" s="55"/>
      <c r="DV26" s="55"/>
      <c r="DW26" s="136"/>
      <c r="DX26" s="55"/>
      <c r="DZ26" s="55">
        <f>'Cover Page'!$F$26</f>
        <v>128</v>
      </c>
      <c r="EA26" s="55"/>
      <c r="EB26" s="55"/>
      <c r="EC26" s="136"/>
      <c r="ED26" s="55"/>
      <c r="EF26" s="55">
        <f>'Cover Page'!$F$26</f>
        <v>128</v>
      </c>
      <c r="EG26" s="55"/>
      <c r="EH26" s="55"/>
      <c r="EI26" s="136"/>
      <c r="EJ26" s="55"/>
      <c r="EL26" s="55">
        <f>'Cover Page'!$F$26</f>
        <v>128</v>
      </c>
      <c r="EM26" s="55"/>
      <c r="EN26" s="55"/>
      <c r="EO26" s="136"/>
      <c r="EP26" s="55"/>
      <c r="ER26" s="55">
        <f>'Cover Page'!$F$26</f>
        <v>128</v>
      </c>
      <c r="ES26" s="55"/>
      <c r="ET26" s="55"/>
      <c r="EU26" s="136"/>
      <c r="EV26" s="55"/>
    </row>
    <row r="27" spans="1:152" x14ac:dyDescent="0.25">
      <c r="B27" s="56" t="s">
        <v>116</v>
      </c>
      <c r="C27" s="55" t="s">
        <v>117</v>
      </c>
      <c r="D27" s="55">
        <f>'Cover Page'!$F$27</f>
        <v>8</v>
      </c>
      <c r="E27" s="55"/>
      <c r="F27" s="55"/>
      <c r="G27" s="55"/>
      <c r="H27" s="55"/>
      <c r="J27" s="55">
        <f>'Cover Page'!$F$27</f>
        <v>8</v>
      </c>
      <c r="K27" s="55"/>
      <c r="L27" s="55"/>
      <c r="M27" s="55"/>
      <c r="N27" s="55"/>
      <c r="P27" s="55">
        <f>'Cover Page'!$F$27</f>
        <v>8</v>
      </c>
      <c r="Q27" s="55"/>
      <c r="R27" s="55"/>
      <c r="S27" s="55"/>
      <c r="T27" s="55"/>
      <c r="V27" s="55">
        <f>'Cover Page'!$F$27</f>
        <v>8</v>
      </c>
      <c r="W27" s="55"/>
      <c r="X27" s="55"/>
      <c r="Y27" s="55"/>
      <c r="Z27" s="55"/>
      <c r="AB27" s="55">
        <f>'Cover Page'!$F$27</f>
        <v>8</v>
      </c>
      <c r="AC27" s="55"/>
      <c r="AD27" s="55"/>
      <c r="AE27" s="55"/>
      <c r="AF27" s="55"/>
      <c r="AH27" s="55">
        <f>'Cover Page'!$F$27</f>
        <v>8</v>
      </c>
      <c r="AI27" s="55"/>
      <c r="AJ27" s="55"/>
      <c r="AK27" s="55"/>
      <c r="AL27" s="55"/>
      <c r="AN27" s="55">
        <f>'Cover Page'!$F$27</f>
        <v>8</v>
      </c>
      <c r="AO27" s="55"/>
      <c r="AP27" s="55"/>
      <c r="AQ27" s="55"/>
      <c r="AR27" s="55"/>
      <c r="AT27" s="55">
        <f>'Cover Page'!$F$27</f>
        <v>8</v>
      </c>
      <c r="AU27" s="55"/>
      <c r="AV27" s="55"/>
      <c r="AW27" s="55"/>
      <c r="AX27" s="55"/>
      <c r="AZ27" s="55">
        <f>'Cover Page'!$F$27</f>
        <v>8</v>
      </c>
      <c r="BA27" s="55"/>
      <c r="BB27" s="55"/>
      <c r="BC27" s="55"/>
      <c r="BD27" s="55"/>
      <c r="BF27" s="55">
        <f>'Cover Page'!$F$27</f>
        <v>8</v>
      </c>
      <c r="BG27" s="55"/>
      <c r="BH27" s="55"/>
      <c r="BI27" s="55"/>
      <c r="BJ27" s="55"/>
      <c r="BL27" s="55">
        <f>'Cover Page'!$F$27</f>
        <v>8</v>
      </c>
      <c r="BM27" s="55"/>
      <c r="BN27" s="55"/>
      <c r="BO27" s="55"/>
      <c r="BP27" s="55"/>
      <c r="BR27" s="55">
        <f>'Cover Page'!$F$27</f>
        <v>8</v>
      </c>
      <c r="BS27" s="55"/>
      <c r="BT27" s="55"/>
      <c r="BU27" s="55"/>
      <c r="BV27" s="55"/>
      <c r="BX27" s="55">
        <f>'Cover Page'!$F$27</f>
        <v>8</v>
      </c>
      <c r="BY27" s="55"/>
      <c r="BZ27" s="55"/>
      <c r="CA27" s="55"/>
      <c r="CB27" s="55"/>
      <c r="CD27" s="55">
        <f>'Cover Page'!$F$27</f>
        <v>8</v>
      </c>
      <c r="CE27" s="55"/>
      <c r="CF27" s="55"/>
      <c r="CG27" s="55"/>
      <c r="CH27" s="55"/>
      <c r="CJ27" s="55">
        <f>'Cover Page'!$F$27</f>
        <v>8</v>
      </c>
      <c r="CK27" s="55"/>
      <c r="CL27" s="55"/>
      <c r="CM27" s="55"/>
      <c r="CN27" s="55"/>
      <c r="CP27" s="55">
        <f>'Cover Page'!$F$27</f>
        <v>8</v>
      </c>
      <c r="CQ27" s="55"/>
      <c r="CR27" s="55"/>
      <c r="CS27" s="55"/>
      <c r="CT27" s="55"/>
      <c r="CV27" s="55">
        <f>'Cover Page'!$F$27</f>
        <v>8</v>
      </c>
      <c r="CW27" s="55"/>
      <c r="CX27" s="55"/>
      <c r="CY27" s="55"/>
      <c r="CZ27" s="55"/>
      <c r="DB27" s="55">
        <f>'Cover Page'!$F$27</f>
        <v>8</v>
      </c>
      <c r="DC27" s="55"/>
      <c r="DD27" s="55"/>
      <c r="DE27" s="55"/>
      <c r="DF27" s="55"/>
      <c r="DH27" s="55">
        <f>'Cover Page'!$F$27</f>
        <v>8</v>
      </c>
      <c r="DI27" s="55"/>
      <c r="DJ27" s="55"/>
      <c r="DK27" s="55"/>
      <c r="DL27" s="55"/>
      <c r="DN27" s="55">
        <f>'Cover Page'!$F$27</f>
        <v>8</v>
      </c>
      <c r="DO27" s="55"/>
      <c r="DP27" s="55"/>
      <c r="DQ27" s="55"/>
      <c r="DR27" s="55"/>
      <c r="DT27" s="55">
        <f>'Cover Page'!$F$27</f>
        <v>8</v>
      </c>
      <c r="DU27" s="55"/>
      <c r="DV27" s="55"/>
      <c r="DW27" s="55"/>
      <c r="DX27" s="55"/>
      <c r="DZ27" s="55">
        <f>'Cover Page'!$F$27</f>
        <v>8</v>
      </c>
      <c r="EA27" s="55"/>
      <c r="EB27" s="55"/>
      <c r="EC27" s="55"/>
      <c r="ED27" s="55"/>
      <c r="EF27" s="55">
        <f>'Cover Page'!$F$27</f>
        <v>8</v>
      </c>
      <c r="EG27" s="55"/>
      <c r="EH27" s="55"/>
      <c r="EI27" s="55"/>
      <c r="EJ27" s="55"/>
      <c r="EL27" s="55">
        <f>'Cover Page'!$F$27</f>
        <v>8</v>
      </c>
      <c r="EM27" s="55"/>
      <c r="EN27" s="55"/>
      <c r="EO27" s="55"/>
      <c r="EP27" s="55"/>
      <c r="ER27" s="55">
        <f>'Cover Page'!$F$27</f>
        <v>8</v>
      </c>
      <c r="ES27" s="55"/>
      <c r="ET27" s="55"/>
      <c r="EU27" s="55"/>
      <c r="EV27" s="55"/>
    </row>
    <row r="28" spans="1:152" x14ac:dyDescent="0.25">
      <c r="B28" s="56" t="s">
        <v>118</v>
      </c>
      <c r="C28" s="55" t="s">
        <v>71</v>
      </c>
      <c r="D28" s="129">
        <f>'W3'!$L$23</f>
        <v>0.88</v>
      </c>
      <c r="E28" s="55"/>
      <c r="F28" s="55"/>
      <c r="G28" s="55"/>
      <c r="H28" s="55"/>
      <c r="J28" s="129">
        <f>'W3'!$L$23</f>
        <v>0.88</v>
      </c>
      <c r="K28" s="55"/>
      <c r="L28" s="55"/>
      <c r="M28" s="55"/>
      <c r="N28" s="55"/>
      <c r="P28" s="129">
        <f>'W3'!$L$23</f>
        <v>0.88</v>
      </c>
      <c r="Q28" s="55"/>
      <c r="R28" s="55"/>
      <c r="S28" s="55"/>
      <c r="T28" s="55"/>
      <c r="V28" s="129">
        <f>'W3'!$L$23</f>
        <v>0.88</v>
      </c>
      <c r="W28" s="55"/>
      <c r="X28" s="55"/>
      <c r="Y28" s="55"/>
      <c r="Z28" s="55"/>
      <c r="AB28" s="129">
        <f>'W3'!$L$23</f>
        <v>0.88</v>
      </c>
      <c r="AC28" s="55"/>
      <c r="AD28" s="55"/>
      <c r="AE28" s="55"/>
      <c r="AF28" s="55"/>
      <c r="AH28" s="129">
        <f>'W3'!$L$23</f>
        <v>0.88</v>
      </c>
      <c r="AI28" s="55"/>
      <c r="AJ28" s="55"/>
      <c r="AK28" s="55"/>
      <c r="AL28" s="55"/>
      <c r="AN28" s="129">
        <f>'W3'!$L$23</f>
        <v>0.88</v>
      </c>
      <c r="AO28" s="55"/>
      <c r="AP28" s="55"/>
      <c r="AQ28" s="55"/>
      <c r="AR28" s="55"/>
      <c r="AT28" s="129">
        <f>'W3'!$L$23</f>
        <v>0.88</v>
      </c>
      <c r="AU28" s="55"/>
      <c r="AV28" s="55"/>
      <c r="AW28" s="55"/>
      <c r="AX28" s="55"/>
      <c r="AZ28" s="129">
        <f>'W3'!$L$23</f>
        <v>0.88</v>
      </c>
      <c r="BA28" s="55"/>
      <c r="BB28" s="55"/>
      <c r="BC28" s="55"/>
      <c r="BD28" s="55"/>
      <c r="BF28" s="129">
        <f>'W3'!$L$23</f>
        <v>0.88</v>
      </c>
      <c r="BG28" s="55"/>
      <c r="BH28" s="55"/>
      <c r="BI28" s="55"/>
      <c r="BJ28" s="55"/>
      <c r="BL28" s="129">
        <f>'W3'!$L$23</f>
        <v>0.88</v>
      </c>
      <c r="BM28" s="55"/>
      <c r="BN28" s="55"/>
      <c r="BO28" s="55"/>
      <c r="BP28" s="55"/>
      <c r="BR28" s="129">
        <f>'W3'!$L$23</f>
        <v>0.88</v>
      </c>
      <c r="BS28" s="55"/>
      <c r="BT28" s="55"/>
      <c r="BU28" s="55"/>
      <c r="BV28" s="55"/>
      <c r="BX28" s="129">
        <f>'W3'!$L$23</f>
        <v>0.88</v>
      </c>
      <c r="BY28" s="55"/>
      <c r="BZ28" s="55"/>
      <c r="CA28" s="55"/>
      <c r="CB28" s="55"/>
      <c r="CD28" s="129">
        <f>'W3'!$L$23</f>
        <v>0.88</v>
      </c>
      <c r="CE28" s="55"/>
      <c r="CF28" s="55"/>
      <c r="CG28" s="55"/>
      <c r="CH28" s="55"/>
      <c r="CJ28" s="129">
        <f>'W3'!$L$23</f>
        <v>0.88</v>
      </c>
      <c r="CK28" s="55"/>
      <c r="CL28" s="55"/>
      <c r="CM28" s="55"/>
      <c r="CN28" s="55"/>
      <c r="CP28" s="129">
        <f>'W3'!$L$23</f>
        <v>0.88</v>
      </c>
      <c r="CQ28" s="55"/>
      <c r="CR28" s="55"/>
      <c r="CS28" s="55"/>
      <c r="CT28" s="55"/>
      <c r="CV28" s="129">
        <f>'W3'!$L$23</f>
        <v>0.88</v>
      </c>
      <c r="CW28" s="55"/>
      <c r="CX28" s="55"/>
      <c r="CY28" s="55"/>
      <c r="CZ28" s="55"/>
      <c r="DB28" s="129">
        <f>'W3'!$L$23</f>
        <v>0.88</v>
      </c>
      <c r="DC28" s="55"/>
      <c r="DD28" s="55"/>
      <c r="DE28" s="55"/>
      <c r="DF28" s="55"/>
      <c r="DH28" s="129">
        <f>'W3'!$L$23</f>
        <v>0.88</v>
      </c>
      <c r="DI28" s="55"/>
      <c r="DJ28" s="55"/>
      <c r="DK28" s="55"/>
      <c r="DL28" s="55"/>
      <c r="DN28" s="129">
        <f>'W3'!$L$23</f>
        <v>0.88</v>
      </c>
      <c r="DO28" s="55"/>
      <c r="DP28" s="55"/>
      <c r="DQ28" s="55"/>
      <c r="DR28" s="55"/>
      <c r="DT28" s="129">
        <f>'W3'!$L$23</f>
        <v>0.88</v>
      </c>
      <c r="DU28" s="55"/>
      <c r="DV28" s="55"/>
      <c r="DW28" s="55"/>
      <c r="DX28" s="55"/>
      <c r="DZ28" s="129">
        <f>'W3'!$L$23</f>
        <v>0.88</v>
      </c>
      <c r="EA28" s="55"/>
      <c r="EB28" s="55"/>
      <c r="EC28" s="55"/>
      <c r="ED28" s="55"/>
      <c r="EF28" s="129">
        <f>'W3'!$L$23</f>
        <v>0.88</v>
      </c>
      <c r="EG28" s="55"/>
      <c r="EH28" s="55"/>
      <c r="EI28" s="55"/>
      <c r="EJ28" s="55"/>
      <c r="EL28" s="129">
        <f>'W3'!$L$23</f>
        <v>0.88</v>
      </c>
      <c r="EM28" s="55"/>
      <c r="EN28" s="55"/>
      <c r="EO28" s="55"/>
      <c r="EP28" s="55"/>
      <c r="ER28" s="129">
        <f>'W3'!$L$23</f>
        <v>0.88</v>
      </c>
      <c r="ES28" s="55"/>
      <c r="ET28" s="55"/>
      <c r="EU28" s="55"/>
      <c r="EV28" s="55"/>
    </row>
    <row r="29" spans="1:152" x14ac:dyDescent="0.25">
      <c r="B29" s="56" t="s">
        <v>119</v>
      </c>
      <c r="C29" s="55" t="s">
        <v>120</v>
      </c>
      <c r="D29" s="100">
        <f>60*60/D27*D26*(1-D25)</f>
        <v>53568</v>
      </c>
      <c r="E29" s="55"/>
      <c r="F29" s="55"/>
      <c r="G29" s="55"/>
      <c r="H29" s="55"/>
      <c r="J29" s="100">
        <f>60*60/J27*J26*(1-J25)</f>
        <v>53568</v>
      </c>
      <c r="K29" s="55"/>
      <c r="L29" s="55"/>
      <c r="M29" s="55"/>
      <c r="N29" s="55"/>
      <c r="P29" s="100">
        <f>60*60/P27*P26*(1-P25)</f>
        <v>53568</v>
      </c>
      <c r="Q29" s="55"/>
      <c r="R29" s="55"/>
      <c r="S29" s="55"/>
      <c r="T29" s="55"/>
      <c r="V29" s="100">
        <f>60*60/V27*V26*(1-V25)</f>
        <v>53568</v>
      </c>
      <c r="W29" s="55"/>
      <c r="X29" s="55"/>
      <c r="Y29" s="55"/>
      <c r="Z29" s="55"/>
      <c r="AB29" s="100">
        <f t="shared" ref="AB29" si="399">60*60/AB27*AB26*(1-AB25)</f>
        <v>53568</v>
      </c>
      <c r="AC29" s="55"/>
      <c r="AD29" s="55"/>
      <c r="AE29" s="55"/>
      <c r="AF29" s="55"/>
      <c r="AH29" s="100">
        <f t="shared" ref="AH29" si="400">60*60/AH27*AH26*(1-AH25)</f>
        <v>53568</v>
      </c>
      <c r="AI29" s="55"/>
      <c r="AJ29" s="55"/>
      <c r="AK29" s="55"/>
      <c r="AL29" s="55"/>
      <c r="AN29" s="100">
        <f t="shared" ref="AN29" si="401">60*60/AN27*AN26*(1-AN25)</f>
        <v>53568</v>
      </c>
      <c r="AO29" s="55"/>
      <c r="AP29" s="55"/>
      <c r="AQ29" s="55"/>
      <c r="AR29" s="55"/>
      <c r="AT29" s="100">
        <f t="shared" ref="AT29" si="402">60*60/AT27*AT26*(1-AT25)</f>
        <v>53568</v>
      </c>
      <c r="AU29" s="55"/>
      <c r="AV29" s="55"/>
      <c r="AW29" s="55"/>
      <c r="AX29" s="55"/>
      <c r="AZ29" s="100">
        <f t="shared" ref="AZ29" si="403">60*60/AZ27*AZ26*(1-AZ25)</f>
        <v>53568</v>
      </c>
      <c r="BA29" s="55"/>
      <c r="BB29" s="55"/>
      <c r="BC29" s="55"/>
      <c r="BD29" s="55"/>
      <c r="BF29" s="100">
        <f t="shared" ref="BF29" si="404">60*60/BF27*BF26*(1-BF25)</f>
        <v>53568</v>
      </c>
      <c r="BG29" s="55"/>
      <c r="BH29" s="55"/>
      <c r="BI29" s="55"/>
      <c r="BJ29" s="55"/>
      <c r="BL29" s="100">
        <f t="shared" ref="BL29" si="405">60*60/BL27*BL26*(1-BL25)</f>
        <v>53568</v>
      </c>
      <c r="BM29" s="55"/>
      <c r="BN29" s="55"/>
      <c r="BO29" s="55"/>
      <c r="BP29" s="55"/>
      <c r="BR29" s="100">
        <f t="shared" ref="BR29" si="406">60*60/BR27*BR26*(1-BR25)</f>
        <v>53568</v>
      </c>
      <c r="BS29" s="55"/>
      <c r="BT29" s="55"/>
      <c r="BU29" s="55"/>
      <c r="BV29" s="55"/>
      <c r="BX29" s="100">
        <f t="shared" ref="BX29" si="407">60*60/BX27*BX26*(1-BX25)</f>
        <v>53568</v>
      </c>
      <c r="BY29" s="55"/>
      <c r="BZ29" s="55"/>
      <c r="CA29" s="55"/>
      <c r="CB29" s="55"/>
      <c r="CD29" s="100">
        <f t="shared" ref="CD29" si="408">60*60/CD27*CD26*(1-CD25)</f>
        <v>53568</v>
      </c>
      <c r="CE29" s="55"/>
      <c r="CF29" s="55"/>
      <c r="CG29" s="55"/>
      <c r="CH29" s="55"/>
      <c r="CJ29" s="100">
        <f t="shared" ref="CJ29" si="409">60*60/CJ27*CJ26*(1-CJ25)</f>
        <v>53568</v>
      </c>
      <c r="CK29" s="55"/>
      <c r="CL29" s="55"/>
      <c r="CM29" s="55"/>
      <c r="CN29" s="55"/>
      <c r="CP29" s="100">
        <f t="shared" ref="CP29" si="410">60*60/CP27*CP26*(1-CP25)</f>
        <v>53568</v>
      </c>
      <c r="CQ29" s="55"/>
      <c r="CR29" s="55"/>
      <c r="CS29" s="55"/>
      <c r="CT29" s="55"/>
      <c r="CV29" s="100">
        <f t="shared" ref="CV29" si="411">60*60/CV27*CV26*(1-CV25)</f>
        <v>53568</v>
      </c>
      <c r="CW29" s="55"/>
      <c r="CX29" s="55"/>
      <c r="CY29" s="55"/>
      <c r="CZ29" s="55"/>
      <c r="DB29" s="100">
        <f t="shared" ref="DB29" si="412">60*60/DB27*DB26*(1-DB25)</f>
        <v>53568</v>
      </c>
      <c r="DC29" s="55"/>
      <c r="DD29" s="55"/>
      <c r="DE29" s="55"/>
      <c r="DF29" s="55"/>
      <c r="DH29" s="100">
        <f t="shared" ref="DH29" si="413">60*60/DH27*DH26*(1-DH25)</f>
        <v>53568</v>
      </c>
      <c r="DI29" s="55"/>
      <c r="DJ29" s="55"/>
      <c r="DK29" s="55"/>
      <c r="DL29" s="55"/>
      <c r="DN29" s="100">
        <f t="shared" ref="DN29" si="414">60*60/DN27*DN26*(1-DN25)</f>
        <v>53568</v>
      </c>
      <c r="DO29" s="55"/>
      <c r="DP29" s="55"/>
      <c r="DQ29" s="55"/>
      <c r="DR29" s="55"/>
      <c r="DT29" s="100">
        <f t="shared" ref="DT29" si="415">60*60/DT27*DT26*(1-DT25)</f>
        <v>53568</v>
      </c>
      <c r="DU29" s="55"/>
      <c r="DV29" s="55"/>
      <c r="DW29" s="55"/>
      <c r="DX29" s="55"/>
      <c r="DZ29" s="100">
        <f t="shared" ref="DZ29" si="416">60*60/DZ27*DZ26*(1-DZ25)</f>
        <v>53568</v>
      </c>
      <c r="EA29" s="55"/>
      <c r="EB29" s="55"/>
      <c r="EC29" s="55"/>
      <c r="ED29" s="55"/>
      <c r="EF29" s="100">
        <f t="shared" ref="EF29" si="417">60*60/EF27*EF26*(1-EF25)</f>
        <v>53568</v>
      </c>
      <c r="EG29" s="55"/>
      <c r="EH29" s="55"/>
      <c r="EI29" s="55"/>
      <c r="EJ29" s="55"/>
      <c r="EL29" s="100">
        <f t="shared" ref="EL29" si="418">60*60/EL27*EL26*(1-EL25)</f>
        <v>53568</v>
      </c>
      <c r="EM29" s="55"/>
      <c r="EN29" s="55"/>
      <c r="EO29" s="55"/>
      <c r="EP29" s="55"/>
      <c r="ER29" s="100">
        <f t="shared" ref="ER29" si="419">60*60/ER27*ER26*(1-ER25)</f>
        <v>53568</v>
      </c>
      <c r="ES29" s="55"/>
      <c r="ET29" s="55"/>
      <c r="EU29" s="55"/>
      <c r="EV29" s="55"/>
    </row>
    <row r="30" spans="1:152" x14ac:dyDescent="0.25">
      <c r="B30" s="56" t="s">
        <v>121</v>
      </c>
      <c r="C30" s="55" t="s">
        <v>120</v>
      </c>
      <c r="D30" s="100">
        <f>D29*D28*24*365/12*D24</f>
        <v>17206041.600000001</v>
      </c>
      <c r="E30" s="137"/>
      <c r="F30" s="128"/>
      <c r="G30" s="138"/>
      <c r="H30" s="55"/>
      <c r="J30" s="100">
        <f>J29*J28*24*365/12*J24</f>
        <v>24088458.240000002</v>
      </c>
      <c r="K30" s="137"/>
      <c r="L30" s="128"/>
      <c r="M30" s="138"/>
      <c r="N30" s="55"/>
      <c r="P30" s="100">
        <f>P29*P28*24*365/12*P24</f>
        <v>34412083.200000003</v>
      </c>
      <c r="Q30" s="137"/>
      <c r="R30" s="128"/>
      <c r="S30" s="138"/>
      <c r="T30" s="55"/>
      <c r="V30" s="100">
        <f>V29*V28*24*365/12*V24</f>
        <v>34412083.200000003</v>
      </c>
      <c r="W30" s="137"/>
      <c r="X30" s="128"/>
      <c r="Y30" s="138"/>
      <c r="Z30" s="55"/>
      <c r="AB30" s="100">
        <f t="shared" ref="AB30" si="420">AB29*AB28*24*365/12*AB24</f>
        <v>34412083.200000003</v>
      </c>
      <c r="AC30" s="137"/>
      <c r="AD30" s="128"/>
      <c r="AE30" s="138"/>
      <c r="AF30" s="55"/>
      <c r="AH30" s="100">
        <f t="shared" ref="AH30" si="421">AH29*AH28*24*365/12*AH24</f>
        <v>34412083.200000003</v>
      </c>
      <c r="AI30" s="137"/>
      <c r="AJ30" s="128"/>
      <c r="AK30" s="138"/>
      <c r="AL30" s="55"/>
      <c r="AN30" s="100">
        <f t="shared" ref="AN30" si="422">AN29*AN28*24*365/12*AN24</f>
        <v>34412083.200000003</v>
      </c>
      <c r="AO30" s="137"/>
      <c r="AP30" s="128"/>
      <c r="AQ30" s="138"/>
      <c r="AR30" s="55"/>
      <c r="AT30" s="100">
        <f t="shared" ref="AT30" si="423">AT29*AT28*24*365/12*AT24</f>
        <v>34412083.200000003</v>
      </c>
      <c r="AU30" s="137"/>
      <c r="AV30" s="128"/>
      <c r="AW30" s="138"/>
      <c r="AX30" s="55"/>
      <c r="AZ30" s="100">
        <f t="shared" ref="AZ30" si="424">AZ29*AZ28*24*365/12*AZ24</f>
        <v>34412083.200000003</v>
      </c>
      <c r="BA30" s="137"/>
      <c r="BB30" s="128"/>
      <c r="BC30" s="138"/>
      <c r="BD30" s="55"/>
      <c r="BF30" s="100">
        <f t="shared" ref="BF30" si="425">BF29*BF28*24*365/12*BF24</f>
        <v>34412083.200000003</v>
      </c>
      <c r="BG30" s="137"/>
      <c r="BH30" s="128"/>
      <c r="BI30" s="138"/>
      <c r="BJ30" s="55"/>
      <c r="BL30" s="100">
        <f t="shared" ref="BL30" si="426">BL29*BL28*24*365/12*BL24</f>
        <v>34412083.200000003</v>
      </c>
      <c r="BM30" s="137"/>
      <c r="BN30" s="128"/>
      <c r="BO30" s="138"/>
      <c r="BP30" s="55"/>
      <c r="BR30" s="100">
        <f t="shared" ref="BR30" si="427">BR29*BR28*24*365/12*BR24</f>
        <v>34412083.200000003</v>
      </c>
      <c r="BS30" s="137"/>
      <c r="BT30" s="128"/>
      <c r="BU30" s="138"/>
      <c r="BV30" s="55"/>
      <c r="BX30" s="100">
        <f t="shared" ref="BX30" si="428">BX29*BX28*24*365/12*BX24</f>
        <v>34412083.200000003</v>
      </c>
      <c r="BY30" s="137"/>
      <c r="BZ30" s="128"/>
      <c r="CA30" s="138"/>
      <c r="CB30" s="55"/>
      <c r="CD30" s="100">
        <f t="shared" ref="CD30" si="429">CD29*CD28*24*365/12*CD24</f>
        <v>34412083.200000003</v>
      </c>
      <c r="CE30" s="137"/>
      <c r="CF30" s="128"/>
      <c r="CG30" s="138"/>
      <c r="CH30" s="55"/>
      <c r="CJ30" s="100">
        <f t="shared" ref="CJ30" si="430">CJ29*CJ28*24*365/12*CJ24</f>
        <v>34412083.200000003</v>
      </c>
      <c r="CK30" s="137"/>
      <c r="CL30" s="128"/>
      <c r="CM30" s="138"/>
      <c r="CN30" s="55"/>
      <c r="CP30" s="100" t="e">
        <f t="shared" ref="CP30" si="431">CP29*CP28*24*365/12*CP24</f>
        <v>#N/A</v>
      </c>
      <c r="CQ30" s="137"/>
      <c r="CR30" s="128"/>
      <c r="CS30" s="138"/>
      <c r="CT30" s="55"/>
      <c r="CV30" s="100" t="e">
        <f t="shared" ref="CV30" si="432">CV29*CV28*24*365/12*CV24</f>
        <v>#N/A</v>
      </c>
      <c r="CW30" s="137"/>
      <c r="CX30" s="128"/>
      <c r="CY30" s="138"/>
      <c r="CZ30" s="55"/>
      <c r="DB30" s="100" t="e">
        <f t="shared" ref="DB30" si="433">DB29*DB28*24*365/12*DB24</f>
        <v>#N/A</v>
      </c>
      <c r="DC30" s="137"/>
      <c r="DD30" s="128"/>
      <c r="DE30" s="138"/>
      <c r="DF30" s="55"/>
      <c r="DH30" s="100" t="e">
        <f t="shared" ref="DH30" si="434">DH29*DH28*24*365/12*DH24</f>
        <v>#N/A</v>
      </c>
      <c r="DI30" s="137"/>
      <c r="DJ30" s="128"/>
      <c r="DK30" s="138"/>
      <c r="DL30" s="55"/>
      <c r="DN30" s="100" t="e">
        <f t="shared" ref="DN30" si="435">DN29*DN28*24*365/12*DN24</f>
        <v>#N/A</v>
      </c>
      <c r="DO30" s="137"/>
      <c r="DP30" s="128"/>
      <c r="DQ30" s="138"/>
      <c r="DR30" s="55"/>
      <c r="DT30" s="100" t="e">
        <f t="shared" ref="DT30" si="436">DT29*DT28*24*365/12*DT24</f>
        <v>#N/A</v>
      </c>
      <c r="DU30" s="137"/>
      <c r="DV30" s="128"/>
      <c r="DW30" s="138"/>
      <c r="DX30" s="55"/>
      <c r="DZ30" s="100" t="e">
        <f t="shared" ref="DZ30" si="437">DZ29*DZ28*24*365/12*DZ24</f>
        <v>#N/A</v>
      </c>
      <c r="EA30" s="137"/>
      <c r="EB30" s="128"/>
      <c r="EC30" s="138"/>
      <c r="ED30" s="55"/>
      <c r="EF30" s="100" t="e">
        <f t="shared" ref="EF30" si="438">EF29*EF28*24*365/12*EF24</f>
        <v>#N/A</v>
      </c>
      <c r="EG30" s="137"/>
      <c r="EH30" s="128"/>
      <c r="EI30" s="138"/>
      <c r="EJ30" s="55"/>
      <c r="EL30" s="100" t="e">
        <f t="shared" ref="EL30" si="439">EL29*EL28*24*365/12*EL24</f>
        <v>#N/A</v>
      </c>
      <c r="EM30" s="137"/>
      <c r="EN30" s="128"/>
      <c r="EO30" s="138"/>
      <c r="EP30" s="55"/>
      <c r="ER30" s="100" t="e">
        <f t="shared" ref="ER30" si="440">ER29*ER28*24*365/12*ER24</f>
        <v>#N/A</v>
      </c>
      <c r="ES30" s="137"/>
      <c r="ET30" s="128"/>
      <c r="EU30" s="138"/>
      <c r="EV30" s="55"/>
    </row>
    <row r="31" spans="1:152" x14ac:dyDescent="0.25">
      <c r="B31" s="56" t="s">
        <v>122</v>
      </c>
      <c r="C31" s="55" t="s">
        <v>120</v>
      </c>
      <c r="D31" s="100">
        <f>D30*12</f>
        <v>206472499.20000002</v>
      </c>
      <c r="E31" s="101"/>
      <c r="F31" s="55"/>
      <c r="G31" s="55"/>
      <c r="H31" s="55"/>
      <c r="J31" s="100">
        <f>J30*12</f>
        <v>289061498.88</v>
      </c>
      <c r="K31" s="101"/>
      <c r="L31" s="55"/>
      <c r="M31" s="55"/>
      <c r="N31" s="55"/>
      <c r="P31" s="100">
        <f>P30*12</f>
        <v>412944998.40000004</v>
      </c>
      <c r="Q31" s="101"/>
      <c r="R31" s="55"/>
      <c r="S31" s="55"/>
      <c r="T31" s="55"/>
      <c r="V31" s="100">
        <f>V30*12</f>
        <v>412944998.40000004</v>
      </c>
      <c r="W31" s="101"/>
      <c r="X31" s="55"/>
      <c r="Y31" s="55"/>
      <c r="Z31" s="55"/>
      <c r="AB31" s="100">
        <f t="shared" ref="AB31" si="441">AB30*12</f>
        <v>412944998.40000004</v>
      </c>
      <c r="AC31" s="101"/>
      <c r="AD31" s="55"/>
      <c r="AE31" s="55"/>
      <c r="AF31" s="55"/>
      <c r="AH31" s="100">
        <f t="shared" ref="AH31" si="442">AH30*12</f>
        <v>412944998.40000004</v>
      </c>
      <c r="AI31" s="101"/>
      <c r="AJ31" s="55"/>
      <c r="AK31" s="55"/>
      <c r="AL31" s="55"/>
      <c r="AN31" s="100">
        <f t="shared" ref="AN31" si="443">AN30*12</f>
        <v>412944998.40000004</v>
      </c>
      <c r="AO31" s="101"/>
      <c r="AP31" s="55"/>
      <c r="AQ31" s="55"/>
      <c r="AR31" s="55"/>
      <c r="AT31" s="100">
        <f t="shared" ref="AT31" si="444">AT30*12</f>
        <v>412944998.40000004</v>
      </c>
      <c r="AU31" s="101"/>
      <c r="AV31" s="55"/>
      <c r="AW31" s="55"/>
      <c r="AX31" s="55"/>
      <c r="AZ31" s="100">
        <f t="shared" ref="AZ31" si="445">AZ30*12</f>
        <v>412944998.40000004</v>
      </c>
      <c r="BA31" s="101"/>
      <c r="BB31" s="55"/>
      <c r="BC31" s="55"/>
      <c r="BD31" s="55"/>
      <c r="BF31" s="100">
        <f t="shared" ref="BF31" si="446">BF30*12</f>
        <v>412944998.40000004</v>
      </c>
      <c r="BG31" s="101"/>
      <c r="BH31" s="55"/>
      <c r="BI31" s="55"/>
      <c r="BJ31" s="55"/>
      <c r="BL31" s="100">
        <f t="shared" ref="BL31" si="447">BL30*12</f>
        <v>412944998.40000004</v>
      </c>
      <c r="BM31" s="101"/>
      <c r="BN31" s="55"/>
      <c r="BO31" s="55"/>
      <c r="BP31" s="55"/>
      <c r="BR31" s="100">
        <f t="shared" ref="BR31" si="448">BR30*12</f>
        <v>412944998.40000004</v>
      </c>
      <c r="BS31" s="101"/>
      <c r="BT31" s="55"/>
      <c r="BU31" s="55"/>
      <c r="BV31" s="55"/>
      <c r="BX31" s="100">
        <f t="shared" ref="BX31" si="449">BX30*12</f>
        <v>412944998.40000004</v>
      </c>
      <c r="BY31" s="101"/>
      <c r="BZ31" s="55"/>
      <c r="CA31" s="55"/>
      <c r="CB31" s="55"/>
      <c r="CD31" s="100">
        <f t="shared" ref="CD31" si="450">CD30*12</f>
        <v>412944998.40000004</v>
      </c>
      <c r="CE31" s="101"/>
      <c r="CF31" s="55"/>
      <c r="CG31" s="55"/>
      <c r="CH31" s="55"/>
      <c r="CJ31" s="100">
        <f t="shared" ref="CJ31" si="451">CJ30*12</f>
        <v>412944998.40000004</v>
      </c>
      <c r="CK31" s="101"/>
      <c r="CL31" s="55"/>
      <c r="CM31" s="55"/>
      <c r="CN31" s="55"/>
      <c r="CP31" s="100" t="e">
        <f t="shared" ref="CP31" si="452">CP30*12</f>
        <v>#N/A</v>
      </c>
      <c r="CQ31" s="101"/>
      <c r="CR31" s="55"/>
      <c r="CS31" s="55"/>
      <c r="CT31" s="55"/>
      <c r="CV31" s="100" t="e">
        <f t="shared" ref="CV31" si="453">CV30*12</f>
        <v>#N/A</v>
      </c>
      <c r="CW31" s="101"/>
      <c r="CX31" s="55"/>
      <c r="CY31" s="55"/>
      <c r="CZ31" s="55"/>
      <c r="DB31" s="100" t="e">
        <f t="shared" ref="DB31" si="454">DB30*12</f>
        <v>#N/A</v>
      </c>
      <c r="DC31" s="101"/>
      <c r="DD31" s="55"/>
      <c r="DE31" s="55"/>
      <c r="DF31" s="55"/>
      <c r="DH31" s="100" t="e">
        <f t="shared" ref="DH31" si="455">DH30*12</f>
        <v>#N/A</v>
      </c>
      <c r="DI31" s="101"/>
      <c r="DJ31" s="55"/>
      <c r="DK31" s="55"/>
      <c r="DL31" s="55"/>
      <c r="DN31" s="100" t="e">
        <f t="shared" ref="DN31" si="456">DN30*12</f>
        <v>#N/A</v>
      </c>
      <c r="DO31" s="101"/>
      <c r="DP31" s="55"/>
      <c r="DQ31" s="55"/>
      <c r="DR31" s="55"/>
      <c r="DT31" s="100" t="e">
        <f t="shared" ref="DT31" si="457">DT30*12</f>
        <v>#N/A</v>
      </c>
      <c r="DU31" s="101"/>
      <c r="DV31" s="55"/>
      <c r="DW31" s="55"/>
      <c r="DX31" s="55"/>
      <c r="DZ31" s="100" t="e">
        <f t="shared" ref="DZ31" si="458">DZ30*12</f>
        <v>#N/A</v>
      </c>
      <c r="EA31" s="101"/>
      <c r="EB31" s="55"/>
      <c r="EC31" s="55"/>
      <c r="ED31" s="55"/>
      <c r="EF31" s="100" t="e">
        <f t="shared" ref="EF31" si="459">EF30*12</f>
        <v>#N/A</v>
      </c>
      <c r="EG31" s="101"/>
      <c r="EH31" s="55"/>
      <c r="EI31" s="55"/>
      <c r="EJ31" s="55"/>
      <c r="EL31" s="100" t="e">
        <f t="shared" ref="EL31" si="460">EL30*12</f>
        <v>#N/A</v>
      </c>
      <c r="EM31" s="101"/>
      <c r="EN31" s="55"/>
      <c r="EO31" s="55"/>
      <c r="EP31" s="55"/>
      <c r="ER31" s="100" t="e">
        <f t="shared" ref="ER31" si="461">ER30*12</f>
        <v>#N/A</v>
      </c>
      <c r="ES31" s="101"/>
      <c r="ET31" s="55"/>
      <c r="EU31" s="55"/>
      <c r="EV31" s="55"/>
    </row>
    <row r="32" spans="1:152" x14ac:dyDescent="0.25">
      <c r="A32" t="s">
        <v>149</v>
      </c>
      <c r="B32" s="56" t="s">
        <v>123</v>
      </c>
      <c r="C32" s="55" t="s">
        <v>71</v>
      </c>
      <c r="D32" s="138">
        <f>INDEX('W2'!$M$27:$R$27,MATCH('W6 - Operating cost'!$B$1,'W2'!$M$7:$R$7,0))</f>
        <v>0.03</v>
      </c>
      <c r="E32" s="55"/>
      <c r="F32" s="134">
        <f>D32*SUM(E41:E45)/12*POWER(1+$C$72,G$1)</f>
        <v>751874500</v>
      </c>
      <c r="G32" s="134">
        <f>F32*12</f>
        <v>9022494000</v>
      </c>
      <c r="H32" s="55"/>
      <c r="J32" s="138">
        <f>INDEX('W2'!$M$27:$R$27,MATCH('W6 - Operating cost'!$B$1,'W2'!$M$7:$R$7,0))</f>
        <v>0.03</v>
      </c>
      <c r="K32" s="55"/>
      <c r="L32" s="134">
        <f>J32*SUM(K41:K45)/12*POWER(1+$C$72,M$1)</f>
        <v>751874500</v>
      </c>
      <c r="M32" s="134">
        <f>L32*12</f>
        <v>9022494000</v>
      </c>
      <c r="N32" s="55"/>
      <c r="P32" s="138">
        <f>INDEX('W2'!$M$27:$R$27,MATCH('W6 - Operating cost'!$B$1,'W2'!$M$7:$R$7,0))</f>
        <v>0.03</v>
      </c>
      <c r="Q32" s="55"/>
      <c r="R32" s="134">
        <f>P32*SUM(Q41:Q45)/12*POWER(1+$C$72,S$1)</f>
        <v>789468225</v>
      </c>
      <c r="S32" s="134">
        <f>R32*12</f>
        <v>9473618700</v>
      </c>
      <c r="T32" s="55"/>
      <c r="V32" s="138">
        <f>INDEX('W2'!$M$27:$R$27,MATCH('W6 - Operating cost'!$B$1,'W2'!$M$7:$R$7,0))</f>
        <v>0.03</v>
      </c>
      <c r="W32" s="55"/>
      <c r="X32" s="134">
        <f>V32*SUM(W41:W45)/12*POWER(1+$C$72,Y$1)</f>
        <v>828941636.25</v>
      </c>
      <c r="Y32" s="134">
        <f>X32*12</f>
        <v>9947299635</v>
      </c>
      <c r="Z32" s="55"/>
      <c r="AB32" s="138">
        <f>INDEX('W2'!$M$27:$R$27,MATCH('W6 - Operating cost'!$B$1,'W2'!$M$7:$R$7,0))</f>
        <v>0.03</v>
      </c>
      <c r="AC32" s="55"/>
      <c r="AD32" s="134">
        <f t="shared" ref="AD32" si="462">AB32*SUM(AC41:AC45)/12*POWER(1+$C$72,AE$1)</f>
        <v>870388718.06250012</v>
      </c>
      <c r="AE32" s="134">
        <f t="shared" ref="AE32" si="463">AD32*12</f>
        <v>10444664616.750002</v>
      </c>
      <c r="AF32" s="55"/>
      <c r="AH32" s="138">
        <f>INDEX('W2'!$M$27:$R$27,MATCH('W6 - Operating cost'!$B$1,'W2'!$M$7:$R$7,0))</f>
        <v>0.03</v>
      </c>
      <c r="AI32" s="55"/>
      <c r="AJ32" s="134">
        <f t="shared" ref="AJ32" si="464">AH32*SUM(AI41:AI45)/12*POWER(1+$C$72,AK$1)</f>
        <v>913908153.96562505</v>
      </c>
      <c r="AK32" s="134">
        <f t="shared" ref="AK32" si="465">AJ32*12</f>
        <v>10966897847.587502</v>
      </c>
      <c r="AL32" s="55"/>
      <c r="AN32" s="138">
        <f>INDEX('W2'!$M$27:$R$27,MATCH('W6 - Operating cost'!$B$1,'W2'!$M$7:$R$7,0))</f>
        <v>0.03</v>
      </c>
      <c r="AO32" s="55"/>
      <c r="AP32" s="134">
        <f t="shared" ref="AP32" si="466">AN32*SUM(AO41:AO45)/12*POWER(1+$C$72,AQ$1)</f>
        <v>959603561.66390634</v>
      </c>
      <c r="AQ32" s="134">
        <f t="shared" ref="AQ32" si="467">AP32*12</f>
        <v>11515242739.966877</v>
      </c>
      <c r="AR32" s="55"/>
      <c r="AT32" s="138">
        <f>INDEX('W2'!$M$27:$R$27,MATCH('W6 - Operating cost'!$B$1,'W2'!$M$7:$R$7,0))</f>
        <v>0.03</v>
      </c>
      <c r="AU32" s="55"/>
      <c r="AV32" s="134">
        <f t="shared" ref="AV32" si="468">AT32*SUM(AU41:AU45)/12*POWER(1+$C$72,AW$1)</f>
        <v>1007583739.7471015</v>
      </c>
      <c r="AW32" s="134">
        <f t="shared" ref="AW32" si="469">AV32*12</f>
        <v>12091004876.965218</v>
      </c>
      <c r="AX32" s="55"/>
      <c r="AZ32" s="138">
        <f>INDEX('W2'!$M$27:$R$27,MATCH('W6 - Operating cost'!$B$1,'W2'!$M$7:$R$7,0))</f>
        <v>0.03</v>
      </c>
      <c r="BA32" s="55"/>
      <c r="BB32" s="134">
        <f t="shared" ref="BB32" si="470">AZ32*SUM(BA41:BA45)/12*POWER(1+$C$72,BC$1)</f>
        <v>1057962926.7344568</v>
      </c>
      <c r="BC32" s="134">
        <f t="shared" ref="BC32" si="471">BB32*12</f>
        <v>12695555120.81348</v>
      </c>
      <c r="BD32" s="55"/>
      <c r="BF32" s="138">
        <f>INDEX('W2'!$M$27:$R$27,MATCH('W6 - Operating cost'!$B$1,'W2'!$M$7:$R$7,0))</f>
        <v>0.03</v>
      </c>
      <c r="BG32" s="55"/>
      <c r="BH32" s="134">
        <f t="shared" ref="BH32" si="472">BF32*SUM(BG41:BG45)/12*POWER(1+$C$72,BI$1)</f>
        <v>1110861073.0711796</v>
      </c>
      <c r="BI32" s="134">
        <f t="shared" ref="BI32" si="473">BH32*12</f>
        <v>13330332876.854156</v>
      </c>
      <c r="BJ32" s="55"/>
      <c r="BL32" s="138">
        <f>INDEX('W2'!$M$27:$R$27,MATCH('W6 - Operating cost'!$B$1,'W2'!$M$7:$R$7,0))</f>
        <v>0.03</v>
      </c>
      <c r="BM32" s="55"/>
      <c r="BN32" s="134">
        <f t="shared" ref="BN32" si="474">BL32*SUM(BM41:BM45)/12*POWER(1+$C$72,BO$1)</f>
        <v>1166404126.7247386</v>
      </c>
      <c r="BO32" s="134">
        <f t="shared" ref="BO32" si="475">BN32*12</f>
        <v>13996849520.696863</v>
      </c>
      <c r="BP32" s="55"/>
      <c r="BR32" s="138">
        <f>INDEX('W2'!$M$27:$R$27,MATCH('W6 - Operating cost'!$B$1,'W2'!$M$7:$R$7,0))</f>
        <v>0.03</v>
      </c>
      <c r="BS32" s="55"/>
      <c r="BT32" s="134">
        <f t="shared" ref="BT32" si="476">BR32*SUM(BS41:BS45)/12*POWER(1+$C$72,BU$1)</f>
        <v>1224724333.0609756</v>
      </c>
      <c r="BU32" s="134">
        <f t="shared" ref="BU32" si="477">BT32*12</f>
        <v>14696691996.731707</v>
      </c>
      <c r="BV32" s="55"/>
      <c r="BX32" s="138">
        <f>INDEX('W2'!$M$27:$R$27,MATCH('W6 - Operating cost'!$B$1,'W2'!$M$7:$R$7,0))</f>
        <v>0.03</v>
      </c>
      <c r="BY32" s="55"/>
      <c r="BZ32" s="134">
        <f t="shared" ref="BZ32" si="478">BX32*SUM(BY41:BY45)/12*POWER(1+$C$72,CA$1)</f>
        <v>1285960549.7140243</v>
      </c>
      <c r="CA32" s="134">
        <f t="shared" ref="CA32" si="479">BZ32*12</f>
        <v>15431526596.568291</v>
      </c>
      <c r="CB32" s="55"/>
      <c r="CD32" s="138">
        <f>INDEX('W2'!$M$27:$R$27,MATCH('W6 - Operating cost'!$B$1,'W2'!$M$7:$R$7,0))</f>
        <v>0.03</v>
      </c>
      <c r="CE32" s="55"/>
      <c r="CF32" s="134">
        <f t="shared" ref="CF32" si="480">CD32*SUM(CE41:CE45)/12*POWER(1+$C$72,CG$1)</f>
        <v>1350258577.1997254</v>
      </c>
      <c r="CG32" s="134">
        <f t="shared" ref="CG32" si="481">CF32*12</f>
        <v>16203102926.396706</v>
      </c>
      <c r="CH32" s="55"/>
      <c r="CJ32" s="138">
        <f>INDEX('W2'!$M$27:$R$27,MATCH('W6 - Operating cost'!$B$1,'W2'!$M$7:$R$7,0))</f>
        <v>0.03</v>
      </c>
      <c r="CK32" s="55"/>
      <c r="CL32" s="134">
        <f t="shared" ref="CL32" si="482">CJ32*SUM(CK41:CK45)/12*POWER(1+$C$72,CM$1)</f>
        <v>1417771506.0597119</v>
      </c>
      <c r="CM32" s="134">
        <f t="shared" ref="CM32" si="483">CL32*12</f>
        <v>17013258072.716543</v>
      </c>
      <c r="CN32" s="55"/>
      <c r="CP32" s="138">
        <f>INDEX('W2'!$M$27:$R$27,MATCH('W6 - Operating cost'!$B$1,'W2'!$M$7:$R$7,0))</f>
        <v>0.03</v>
      </c>
      <c r="CQ32" s="55"/>
      <c r="CR32" s="134">
        <f t="shared" ref="CR32" si="484">CP32*SUM(CQ41:CQ45)/12*POWER(1+$C$72,CS$1)</f>
        <v>1488660081.3626971</v>
      </c>
      <c r="CS32" s="134">
        <f t="shared" ref="CS32" si="485">CR32*12</f>
        <v>17863920976.352364</v>
      </c>
      <c r="CT32" s="55"/>
      <c r="CV32" s="138">
        <f>INDEX('W2'!$M$27:$R$27,MATCH('W6 - Operating cost'!$B$1,'W2'!$M$7:$R$7,0))</f>
        <v>0.03</v>
      </c>
      <c r="CW32" s="55"/>
      <c r="CX32" s="134">
        <f t="shared" ref="CX32" si="486">CV32*SUM(CW41:CW45)/12*POWER(1+$C$72,CY$1)</f>
        <v>1563093085.4308326</v>
      </c>
      <c r="CY32" s="134">
        <f t="shared" ref="CY32" si="487">CX32*12</f>
        <v>18757117025.169991</v>
      </c>
      <c r="CZ32" s="55"/>
      <c r="DB32" s="138">
        <f>INDEX('W2'!$M$27:$R$27,MATCH('W6 - Operating cost'!$B$1,'W2'!$M$7:$R$7,0))</f>
        <v>0.03</v>
      </c>
      <c r="DC32" s="55"/>
      <c r="DD32" s="134">
        <f t="shared" ref="DD32" si="488">DB32*SUM(DC41:DC45)/12*POWER(1+$C$72,DE$1)</f>
        <v>1641247739.702374</v>
      </c>
      <c r="DE32" s="134">
        <f t="shared" ref="DE32" si="489">DD32*12</f>
        <v>19694972876.42849</v>
      </c>
      <c r="DF32" s="55"/>
      <c r="DH32" s="138">
        <f>INDEX('W2'!$M$27:$R$27,MATCH('W6 - Operating cost'!$B$1,'W2'!$M$7:$R$7,0))</f>
        <v>0.03</v>
      </c>
      <c r="DI32" s="55"/>
      <c r="DJ32" s="134">
        <f t="shared" ref="DJ32" si="490">DH32*SUM(DI41:DI45)/12*POWER(1+$C$72,DK$1)</f>
        <v>1723310126.6874928</v>
      </c>
      <c r="DK32" s="134">
        <f t="shared" ref="DK32" si="491">DJ32*12</f>
        <v>20679721520.249916</v>
      </c>
      <c r="DL32" s="55"/>
      <c r="DN32" s="138">
        <f>INDEX('W2'!$M$27:$R$27,MATCH('W6 - Operating cost'!$B$1,'W2'!$M$7:$R$7,0))</f>
        <v>0.03</v>
      </c>
      <c r="DO32" s="55"/>
      <c r="DP32" s="134">
        <f t="shared" ref="DP32" si="492">DN32*SUM(DO41:DO45)/12*POWER(1+$C$72,DQ$1)</f>
        <v>1809475633.0218675</v>
      </c>
      <c r="DQ32" s="134">
        <f t="shared" ref="DQ32" si="493">DP32*12</f>
        <v>21713707596.262409</v>
      </c>
      <c r="DR32" s="55"/>
      <c r="DT32" s="138">
        <f>INDEX('W2'!$M$27:$R$27,MATCH('W6 - Operating cost'!$B$1,'W2'!$M$7:$R$7,0))</f>
        <v>0.03</v>
      </c>
      <c r="DU32" s="55"/>
      <c r="DV32" s="134">
        <f t="shared" ref="DV32" si="494">DT32*SUM(DU41:DU45)/12*POWER(1+$C$72,DW$1)</f>
        <v>1899949414.672961</v>
      </c>
      <c r="DW32" s="134">
        <f t="shared" ref="DW32" si="495">DV32*12</f>
        <v>22799392976.075531</v>
      </c>
      <c r="DX32" s="55"/>
      <c r="DZ32" s="138">
        <f>INDEX('W2'!$M$27:$R$27,MATCH('W6 - Operating cost'!$B$1,'W2'!$M$7:$R$7,0))</f>
        <v>0.03</v>
      </c>
      <c r="EA32" s="55"/>
      <c r="EB32" s="134">
        <f t="shared" ref="EB32" si="496">DZ32*SUM(EA41:EA45)/12*POWER(1+$C$72,EC$1)</f>
        <v>1994946885.4066088</v>
      </c>
      <c r="EC32" s="134">
        <f t="shared" ref="EC32" si="497">EB32*12</f>
        <v>23939362624.879307</v>
      </c>
      <c r="ED32" s="55"/>
      <c r="EF32" s="138">
        <f>INDEX('W2'!$M$27:$R$27,MATCH('W6 - Operating cost'!$B$1,'W2'!$M$7:$R$7,0))</f>
        <v>0.03</v>
      </c>
      <c r="EG32" s="55"/>
      <c r="EH32" s="134">
        <f t="shared" ref="EH32" si="498">EF32*SUM(EG41:EG45)/12*POWER(1+$C$72,EI$1)</f>
        <v>2094694229.6769392</v>
      </c>
      <c r="EI32" s="134">
        <f t="shared" ref="EI32" si="499">EH32*12</f>
        <v>25136330756.123272</v>
      </c>
      <c r="EJ32" s="55"/>
      <c r="EL32" s="138">
        <f>INDEX('W2'!$M$27:$R$27,MATCH('W6 - Operating cost'!$B$1,'W2'!$M$7:$R$7,0))</f>
        <v>0.03</v>
      </c>
      <c r="EM32" s="55"/>
      <c r="EN32" s="134">
        <f t="shared" ref="EN32" si="500">EL32*SUM(EM41:EM45)/12*POWER(1+$C$72,EO$1)</f>
        <v>2199428941.1607862</v>
      </c>
      <c r="EO32" s="134">
        <f t="shared" ref="EO32" si="501">EN32*12</f>
        <v>26393147293.929436</v>
      </c>
      <c r="EP32" s="55"/>
      <c r="ER32" s="138">
        <f>INDEX('W2'!$M$27:$R$27,MATCH('W6 - Operating cost'!$B$1,'W2'!$M$7:$R$7,0))</f>
        <v>0.03</v>
      </c>
      <c r="ES32" s="55"/>
      <c r="ET32" s="134">
        <f t="shared" ref="ET32" si="502">ER32*SUM(ES41:ES45)/12*POWER(1+$C$72,EU$1)</f>
        <v>2309400388.2188258</v>
      </c>
      <c r="EU32" s="134">
        <f t="shared" ref="EU32" si="503">ET32*12</f>
        <v>27712804658.625908</v>
      </c>
      <c r="EV32" s="55"/>
    </row>
    <row r="33" spans="1:152" x14ac:dyDescent="0.25">
      <c r="A33" t="s">
        <v>523</v>
      </c>
      <c r="B33" s="56" t="s">
        <v>523</v>
      </c>
      <c r="C33" s="55" t="s">
        <v>71</v>
      </c>
      <c r="D33" s="138">
        <f>'W2'!$L$73</f>
        <v>2E-3</v>
      </c>
      <c r="E33" s="55"/>
      <c r="F33" s="134">
        <f>D33*SUM(E41:E45,E49)/12</f>
        <v>50124966.666666664</v>
      </c>
      <c r="G33" s="134">
        <f>F33*12</f>
        <v>601499600</v>
      </c>
      <c r="H33" s="55"/>
      <c r="J33" s="138">
        <f>'W2'!$L$73</f>
        <v>2E-3</v>
      </c>
      <c r="K33" s="55"/>
      <c r="L33" s="134">
        <f>J33*SUM(K41:K45,K49)/12</f>
        <v>50124966.666666664</v>
      </c>
      <c r="M33" s="134">
        <f>L33*12</f>
        <v>601499600</v>
      </c>
      <c r="N33" s="55"/>
      <c r="P33" s="138">
        <f>'W2'!$L$73</f>
        <v>2E-3</v>
      </c>
      <c r="Q33" s="55"/>
      <c r="R33" s="134">
        <f>P33*SUM(Q41:Q45,Q49)/12</f>
        <v>50124966.666666664</v>
      </c>
      <c r="S33" s="134">
        <f>R33*12</f>
        <v>601499600</v>
      </c>
      <c r="T33" s="55"/>
      <c r="V33" s="138">
        <f>'W2'!$L$73</f>
        <v>2E-3</v>
      </c>
      <c r="W33" s="55"/>
      <c r="X33" s="134">
        <f>V33*SUM(W41:W45,W49)/12</f>
        <v>50124966.666666664</v>
      </c>
      <c r="Y33" s="134">
        <f>X33*12</f>
        <v>601499600</v>
      </c>
      <c r="Z33" s="55"/>
      <c r="AB33" s="138">
        <f>'W2'!$L$73</f>
        <v>2E-3</v>
      </c>
      <c r="AC33" s="55"/>
      <c r="AD33" s="134">
        <f t="shared" ref="AD33" si="504">AB33*SUM(AC41:AC45,AC49)/12</f>
        <v>50124966.666666664</v>
      </c>
      <c r="AE33" s="134">
        <f t="shared" ref="AE33" si="505">AD33*12</f>
        <v>601499600</v>
      </c>
      <c r="AF33" s="55"/>
      <c r="AH33" s="138">
        <f>'W2'!$L$73</f>
        <v>2E-3</v>
      </c>
      <c r="AI33" s="55"/>
      <c r="AJ33" s="134">
        <f t="shared" ref="AJ33" si="506">AH33*SUM(AI41:AI45,AI49)/12</f>
        <v>50124966.666666664</v>
      </c>
      <c r="AK33" s="134">
        <f t="shared" ref="AK33" si="507">AJ33*12</f>
        <v>601499600</v>
      </c>
      <c r="AL33" s="55"/>
      <c r="AN33" s="138">
        <f>'W2'!$L$73</f>
        <v>2E-3</v>
      </c>
      <c r="AO33" s="55"/>
      <c r="AP33" s="134">
        <f t="shared" ref="AP33" si="508">AN33*SUM(AO41:AO45,AO49)/12</f>
        <v>50124966.666666664</v>
      </c>
      <c r="AQ33" s="134">
        <f t="shared" ref="AQ33" si="509">AP33*12</f>
        <v>601499600</v>
      </c>
      <c r="AR33" s="55"/>
      <c r="AT33" s="138">
        <f>'W2'!$L$73</f>
        <v>2E-3</v>
      </c>
      <c r="AU33" s="55"/>
      <c r="AV33" s="134">
        <f t="shared" ref="AV33" si="510">AT33*SUM(AU41:AU45,AU49)/12</f>
        <v>50124966.666666664</v>
      </c>
      <c r="AW33" s="134">
        <f t="shared" ref="AW33" si="511">AV33*12</f>
        <v>601499600</v>
      </c>
      <c r="AX33" s="55"/>
      <c r="AZ33" s="138">
        <f>'W2'!$L$73</f>
        <v>2E-3</v>
      </c>
      <c r="BA33" s="55"/>
      <c r="BB33" s="134">
        <f t="shared" ref="BB33" si="512">AZ33*SUM(BA41:BA45,BA49)/12</f>
        <v>50124966.666666664</v>
      </c>
      <c r="BC33" s="134">
        <f t="shared" ref="BC33" si="513">BB33*12</f>
        <v>601499600</v>
      </c>
      <c r="BD33" s="55"/>
      <c r="BF33" s="138">
        <f>'W2'!$L$73</f>
        <v>2E-3</v>
      </c>
      <c r="BG33" s="55"/>
      <c r="BH33" s="134">
        <f t="shared" ref="BH33" si="514">BF33*SUM(BG41:BG45,BG49)/12</f>
        <v>50124966.666666664</v>
      </c>
      <c r="BI33" s="134">
        <f t="shared" ref="BI33" si="515">BH33*12</f>
        <v>601499600</v>
      </c>
      <c r="BJ33" s="55"/>
      <c r="BL33" s="138">
        <f>'W2'!$L$73</f>
        <v>2E-3</v>
      </c>
      <c r="BM33" s="55"/>
      <c r="BN33" s="134">
        <f t="shared" ref="BN33" si="516">BL33*SUM(BM41:BM45,BM49)/12</f>
        <v>50124966.666666664</v>
      </c>
      <c r="BO33" s="134">
        <f t="shared" ref="BO33" si="517">BN33*12</f>
        <v>601499600</v>
      </c>
      <c r="BP33" s="55"/>
      <c r="BR33" s="138">
        <f>'W2'!$L$73</f>
        <v>2E-3</v>
      </c>
      <c r="BS33" s="55"/>
      <c r="BT33" s="134">
        <f t="shared" ref="BT33" si="518">BR33*SUM(BS41:BS45,BS49)/12</f>
        <v>50124966.666666664</v>
      </c>
      <c r="BU33" s="134">
        <f t="shared" ref="BU33" si="519">BT33*12</f>
        <v>601499600</v>
      </c>
      <c r="BV33" s="55"/>
      <c r="BX33" s="138">
        <f>'W2'!$L$73</f>
        <v>2E-3</v>
      </c>
      <c r="BY33" s="55"/>
      <c r="BZ33" s="134">
        <f t="shared" ref="BZ33" si="520">BX33*SUM(BY41:BY45,BY49)/12</f>
        <v>50124966.666666664</v>
      </c>
      <c r="CA33" s="134">
        <f t="shared" ref="CA33" si="521">BZ33*12</f>
        <v>601499600</v>
      </c>
      <c r="CB33" s="55"/>
      <c r="CD33" s="138">
        <f>'W2'!$L$73</f>
        <v>2E-3</v>
      </c>
      <c r="CE33" s="55"/>
      <c r="CF33" s="134">
        <f t="shared" ref="CF33" si="522">CD33*SUM(CE41:CE45,CE49)/12</f>
        <v>50124966.666666664</v>
      </c>
      <c r="CG33" s="134">
        <f t="shared" ref="CG33" si="523">CF33*12</f>
        <v>601499600</v>
      </c>
      <c r="CH33" s="55"/>
      <c r="CJ33" s="138">
        <f>'W2'!$L$73</f>
        <v>2E-3</v>
      </c>
      <c r="CK33" s="55"/>
      <c r="CL33" s="134">
        <f t="shared" ref="CL33" si="524">CJ33*SUM(CK41:CK45,CK49)/12</f>
        <v>50124966.666666664</v>
      </c>
      <c r="CM33" s="134">
        <f t="shared" ref="CM33" si="525">CL33*12</f>
        <v>601499600</v>
      </c>
      <c r="CN33" s="55"/>
      <c r="CP33" s="138">
        <f>'W2'!$L$73</f>
        <v>2E-3</v>
      </c>
      <c r="CQ33" s="55"/>
      <c r="CR33" s="134">
        <f t="shared" ref="CR33" si="526">CP33*SUM(CQ41:CQ45,CQ49)/12</f>
        <v>50124966.666666664</v>
      </c>
      <c r="CS33" s="134">
        <f t="shared" ref="CS33" si="527">CR33*12</f>
        <v>601499600</v>
      </c>
      <c r="CT33" s="55"/>
      <c r="CV33" s="138">
        <f>'W2'!$L$73</f>
        <v>2E-3</v>
      </c>
      <c r="CW33" s="55"/>
      <c r="CX33" s="134">
        <f t="shared" ref="CX33" si="528">CV33*SUM(CW41:CW45,CW49)/12</f>
        <v>50124966.666666664</v>
      </c>
      <c r="CY33" s="134">
        <f t="shared" ref="CY33" si="529">CX33*12</f>
        <v>601499600</v>
      </c>
      <c r="CZ33" s="55"/>
      <c r="DB33" s="138">
        <f>'W2'!$L$73</f>
        <v>2E-3</v>
      </c>
      <c r="DC33" s="55"/>
      <c r="DD33" s="134">
        <f t="shared" ref="DD33" si="530">DB33*SUM(DC41:DC45,DC49)/12</f>
        <v>50124966.666666664</v>
      </c>
      <c r="DE33" s="134">
        <f t="shared" ref="DE33" si="531">DD33*12</f>
        <v>601499600</v>
      </c>
      <c r="DF33" s="55"/>
      <c r="DH33" s="138">
        <f>'W2'!$L$73</f>
        <v>2E-3</v>
      </c>
      <c r="DI33" s="55"/>
      <c r="DJ33" s="134">
        <f t="shared" ref="DJ33" si="532">DH33*SUM(DI41:DI45,DI49)/12</f>
        <v>50124966.666666664</v>
      </c>
      <c r="DK33" s="134">
        <f t="shared" ref="DK33" si="533">DJ33*12</f>
        <v>601499600</v>
      </c>
      <c r="DL33" s="55"/>
      <c r="DN33" s="138">
        <f>'W2'!$L$73</f>
        <v>2E-3</v>
      </c>
      <c r="DO33" s="55"/>
      <c r="DP33" s="134">
        <f t="shared" ref="DP33" si="534">DN33*SUM(DO41:DO45,DO49)/12</f>
        <v>50124966.666666664</v>
      </c>
      <c r="DQ33" s="134">
        <f t="shared" ref="DQ33" si="535">DP33*12</f>
        <v>601499600</v>
      </c>
      <c r="DR33" s="55"/>
      <c r="DT33" s="138">
        <f>'W2'!$L$73</f>
        <v>2E-3</v>
      </c>
      <c r="DU33" s="55"/>
      <c r="DV33" s="134">
        <f t="shared" ref="DV33" si="536">DT33*SUM(DU41:DU45,DU49)/12</f>
        <v>50124966.666666664</v>
      </c>
      <c r="DW33" s="134">
        <f t="shared" ref="DW33" si="537">DV33*12</f>
        <v>601499600</v>
      </c>
      <c r="DX33" s="55"/>
      <c r="DZ33" s="138">
        <f>'W2'!$L$73</f>
        <v>2E-3</v>
      </c>
      <c r="EA33" s="55"/>
      <c r="EB33" s="134">
        <f t="shared" ref="EB33" si="538">DZ33*SUM(EA41:EA45,EA49)/12</f>
        <v>50124966.666666664</v>
      </c>
      <c r="EC33" s="134">
        <f t="shared" ref="EC33" si="539">EB33*12</f>
        <v>601499600</v>
      </c>
      <c r="ED33" s="55"/>
      <c r="EF33" s="138">
        <f>'W2'!$L$73</f>
        <v>2E-3</v>
      </c>
      <c r="EG33" s="55"/>
      <c r="EH33" s="134">
        <f t="shared" ref="EH33" si="540">EF33*SUM(EG41:EG45,EG49)/12</f>
        <v>50124966.666666664</v>
      </c>
      <c r="EI33" s="134">
        <f t="shared" ref="EI33" si="541">EH33*12</f>
        <v>601499600</v>
      </c>
      <c r="EJ33" s="55"/>
      <c r="EL33" s="138">
        <f>'W2'!$L$73</f>
        <v>2E-3</v>
      </c>
      <c r="EM33" s="55"/>
      <c r="EN33" s="134">
        <f t="shared" ref="EN33" si="542">EL33*SUM(EM41:EM45,EM49)/12</f>
        <v>50124966.666666664</v>
      </c>
      <c r="EO33" s="134">
        <f t="shared" ref="EO33" si="543">EN33*12</f>
        <v>601499600</v>
      </c>
      <c r="EP33" s="55"/>
      <c r="ER33" s="138">
        <f>'W2'!$L$73</f>
        <v>2E-3</v>
      </c>
      <c r="ES33" s="55"/>
      <c r="ET33" s="134">
        <f t="shared" ref="ET33" si="544">ER33*SUM(ES41:ES45,ES49)/12</f>
        <v>50124966.666666664</v>
      </c>
      <c r="EU33" s="134">
        <f t="shared" ref="EU33" si="545">ET33*12</f>
        <v>601499600</v>
      </c>
      <c r="EV33" s="55"/>
    </row>
    <row r="34" spans="1:152" x14ac:dyDescent="0.25">
      <c r="B34" s="56" t="s">
        <v>528</v>
      </c>
      <c r="C34" s="55" t="s">
        <v>531</v>
      </c>
      <c r="D34" s="100">
        <f>'W2'!K38</f>
        <v>2</v>
      </c>
      <c r="E34" s="55"/>
      <c r="F34" s="134">
        <f>D34*(D35+D36)</f>
        <v>46000000</v>
      </c>
      <c r="G34" s="134">
        <f>F34*12</f>
        <v>552000000</v>
      </c>
      <c r="H34" s="55"/>
      <c r="J34" s="100">
        <v>2</v>
      </c>
      <c r="K34" s="55"/>
      <c r="L34" s="134">
        <f>J34*(J35+J36)</f>
        <v>46000000</v>
      </c>
      <c r="M34" s="134">
        <f>L34*12</f>
        <v>552000000</v>
      </c>
      <c r="N34" s="55"/>
      <c r="P34" s="100">
        <v>2</v>
      </c>
      <c r="Q34" s="55"/>
      <c r="R34" s="134">
        <f>P34*(P35+P36)</f>
        <v>48300000</v>
      </c>
      <c r="S34" s="134">
        <f>R34*12</f>
        <v>579600000</v>
      </c>
      <c r="T34" s="55"/>
      <c r="V34" s="100">
        <v>2</v>
      </c>
      <c r="W34" s="55"/>
      <c r="X34" s="134">
        <f>V34*(V35+V36)</f>
        <v>50715000</v>
      </c>
      <c r="Y34" s="134">
        <f>X34*12</f>
        <v>608580000</v>
      </c>
      <c r="Z34" s="55"/>
      <c r="AB34" s="100">
        <v>2</v>
      </c>
      <c r="AC34" s="55"/>
      <c r="AD34" s="134">
        <f t="shared" ref="AD34" si="546">AB34*(AB35+AB36)</f>
        <v>53250750.000000007</v>
      </c>
      <c r="AE34" s="134">
        <f t="shared" ref="AE34" si="547">AD34*12</f>
        <v>639009000.00000012</v>
      </c>
      <c r="AF34" s="55"/>
      <c r="AH34" s="100">
        <v>2</v>
      </c>
      <c r="AI34" s="55"/>
      <c r="AJ34" s="134">
        <f t="shared" ref="AJ34" si="548">AH34*(AH35+AH36)</f>
        <v>55913287.5</v>
      </c>
      <c r="AK34" s="134">
        <f t="shared" ref="AK34" si="549">AJ34*12</f>
        <v>670959450</v>
      </c>
      <c r="AL34" s="55"/>
      <c r="AN34" s="100">
        <v>2</v>
      </c>
      <c r="AO34" s="55"/>
      <c r="AP34" s="134">
        <f t="shared" ref="AP34" si="550">AN34*(AN35+AN36)</f>
        <v>58708951.875000007</v>
      </c>
      <c r="AQ34" s="134">
        <f t="shared" ref="AQ34" si="551">AP34*12</f>
        <v>704507422.50000012</v>
      </c>
      <c r="AR34" s="55"/>
      <c r="AT34" s="100">
        <v>2</v>
      </c>
      <c r="AU34" s="55"/>
      <c r="AV34" s="134">
        <f t="shared" ref="AV34" si="552">AT34*(AT35+AT36)</f>
        <v>61644399.46875</v>
      </c>
      <c r="AW34" s="134">
        <f t="shared" ref="AW34" si="553">AV34*12</f>
        <v>739732793.625</v>
      </c>
      <c r="AX34" s="55"/>
      <c r="AZ34" s="100">
        <v>2</v>
      </c>
      <c r="BA34" s="55"/>
      <c r="BB34" s="134">
        <f t="shared" ref="BB34" si="554">AZ34*(AZ35+AZ36)</f>
        <v>64726619.44218751</v>
      </c>
      <c r="BC34" s="134">
        <f t="shared" ref="BC34" si="555">BB34*12</f>
        <v>776719433.3062501</v>
      </c>
      <c r="BD34" s="55"/>
      <c r="BF34" s="100">
        <v>2</v>
      </c>
      <c r="BG34" s="55"/>
      <c r="BH34" s="134">
        <f t="shared" ref="BH34" si="556">BF34*(BF35+BF36)</f>
        <v>67962950.41429688</v>
      </c>
      <c r="BI34" s="134">
        <f t="shared" ref="BI34" si="557">BH34*12</f>
        <v>815555404.97156262</v>
      </c>
      <c r="BJ34" s="55"/>
      <c r="BL34" s="100">
        <v>2</v>
      </c>
      <c r="BM34" s="55"/>
      <c r="BN34" s="134">
        <f t="shared" ref="BN34" si="558">BL34*(BL35+BL36)</f>
        <v>71361097.935011715</v>
      </c>
      <c r="BO34" s="134">
        <f t="shared" ref="BO34" si="559">BN34*12</f>
        <v>856333175.22014058</v>
      </c>
      <c r="BP34" s="55"/>
      <c r="BR34" s="100">
        <v>2</v>
      </c>
      <c r="BS34" s="55"/>
      <c r="BT34" s="134">
        <f t="shared" ref="BT34" si="560">BR34*(BR35+BR36)</f>
        <v>74929152.831762314</v>
      </c>
      <c r="BU34" s="134">
        <f t="shared" ref="BU34" si="561">BT34*12</f>
        <v>899149833.98114777</v>
      </c>
      <c r="BV34" s="55"/>
      <c r="BX34" s="100">
        <v>2</v>
      </c>
      <c r="BY34" s="55"/>
      <c r="BZ34" s="134">
        <f t="shared" ref="BZ34" si="562">BX34*(BX35+BX36)</f>
        <v>78675610.473350435</v>
      </c>
      <c r="CA34" s="134">
        <f t="shared" ref="CA34" si="563">BZ34*12</f>
        <v>944107325.68020523</v>
      </c>
      <c r="CB34" s="55"/>
      <c r="CD34" s="100">
        <v>2</v>
      </c>
      <c r="CE34" s="55"/>
      <c r="CF34" s="134">
        <f t="shared" ref="CF34" si="564">CD34*(CD35+CD36)</f>
        <v>82609390.997017935</v>
      </c>
      <c r="CG34" s="134">
        <f t="shared" ref="CG34" si="565">CF34*12</f>
        <v>991312691.96421528</v>
      </c>
      <c r="CH34" s="55"/>
      <c r="CJ34" s="100">
        <v>2</v>
      </c>
      <c r="CK34" s="55"/>
      <c r="CL34" s="134">
        <f t="shared" ref="CL34" si="566">CJ34*(CJ35+CJ36)</f>
        <v>86739860.546868861</v>
      </c>
      <c r="CM34" s="134">
        <f t="shared" ref="CM34" si="567">CL34*12</f>
        <v>1040878326.5624263</v>
      </c>
      <c r="CN34" s="55"/>
      <c r="CP34" s="100">
        <v>2</v>
      </c>
      <c r="CQ34" s="55"/>
      <c r="CR34" s="134">
        <f t="shared" ref="CR34" si="568">CP34*(CP35+CP36)</f>
        <v>91076853.574212283</v>
      </c>
      <c r="CS34" s="134">
        <f t="shared" ref="CS34" si="569">CR34*12</f>
        <v>1092922242.8905473</v>
      </c>
      <c r="CT34" s="55"/>
      <c r="CV34" s="100">
        <v>2</v>
      </c>
      <c r="CW34" s="55"/>
      <c r="CX34" s="134">
        <f t="shared" ref="CX34" si="570">CV34*(CV35+CV36)</f>
        <v>95630696.252922922</v>
      </c>
      <c r="CY34" s="134">
        <f t="shared" ref="CY34" si="571">CX34*12</f>
        <v>1147568355.0350752</v>
      </c>
      <c r="CZ34" s="55"/>
      <c r="DB34" s="100">
        <v>2</v>
      </c>
      <c r="DC34" s="55"/>
      <c r="DD34" s="134">
        <f t="shared" ref="DD34" si="572">DB34*(DB35+DB36)</f>
        <v>100412231.06556906</v>
      </c>
      <c r="DE34" s="134">
        <f t="shared" ref="DE34" si="573">DD34*12</f>
        <v>1204946772.7868288</v>
      </c>
      <c r="DF34" s="55"/>
      <c r="DH34" s="100">
        <v>2</v>
      </c>
      <c r="DI34" s="55"/>
      <c r="DJ34" s="134">
        <f t="shared" ref="DJ34" si="574">DH34*(DH35+DH36)</f>
        <v>105432842.61884753</v>
      </c>
      <c r="DK34" s="134">
        <f t="shared" ref="DK34" si="575">DJ34*12</f>
        <v>1265194111.4261703</v>
      </c>
      <c r="DL34" s="55"/>
      <c r="DN34" s="100">
        <v>2</v>
      </c>
      <c r="DO34" s="55"/>
      <c r="DP34" s="134">
        <f t="shared" ref="DP34" si="576">DN34*(DN35+DN36)</f>
        <v>110704484.74978989</v>
      </c>
      <c r="DQ34" s="134">
        <f t="shared" ref="DQ34" si="577">DP34*12</f>
        <v>1328453816.9974787</v>
      </c>
      <c r="DR34" s="55"/>
      <c r="DT34" s="100">
        <v>2</v>
      </c>
      <c r="DU34" s="55"/>
      <c r="DV34" s="134">
        <f t="shared" ref="DV34" si="578">DT34*(DT35+DT36)</f>
        <v>116239708.9872794</v>
      </c>
      <c r="DW34" s="134">
        <f t="shared" ref="DW34" si="579">DV34*12</f>
        <v>1394876507.8473527</v>
      </c>
      <c r="DX34" s="55"/>
      <c r="DZ34" s="100">
        <v>2</v>
      </c>
      <c r="EA34" s="55"/>
      <c r="EB34" s="134">
        <f t="shared" ref="EB34" si="580">DZ34*(DZ35+DZ36)</f>
        <v>122051694.43664336</v>
      </c>
      <c r="EC34" s="134">
        <f t="shared" ref="EC34" si="581">EB34*12</f>
        <v>1464620333.2397203</v>
      </c>
      <c r="ED34" s="55"/>
      <c r="EF34" s="100">
        <v>2</v>
      </c>
      <c r="EG34" s="55"/>
      <c r="EH34" s="134">
        <f t="shared" ref="EH34" si="582">EF34*(EF35+EF36)</f>
        <v>128154279.15847553</v>
      </c>
      <c r="EI34" s="134">
        <f t="shared" ref="EI34" si="583">EH34*12</f>
        <v>1537851349.9017065</v>
      </c>
      <c r="EJ34" s="55"/>
      <c r="EL34" s="100">
        <v>2</v>
      </c>
      <c r="EM34" s="55"/>
      <c r="EN34" s="134">
        <f t="shared" ref="EN34" si="584">EL34*(EL35+EL36)</f>
        <v>134561993.11639929</v>
      </c>
      <c r="EO34" s="134">
        <f t="shared" ref="EO34" si="585">EN34*12</f>
        <v>1614743917.3967915</v>
      </c>
      <c r="EP34" s="55"/>
      <c r="ER34" s="100">
        <v>2</v>
      </c>
      <c r="ES34" s="55"/>
      <c r="ET34" s="134">
        <f t="shared" ref="ET34" si="586">ER34*(ER35+ER36)</f>
        <v>141290092.7722193</v>
      </c>
      <c r="EU34" s="134">
        <f t="shared" ref="EU34" si="587">ET34*12</f>
        <v>1695481113.2666316</v>
      </c>
      <c r="EV34" s="55"/>
    </row>
    <row r="35" spans="1:152" x14ac:dyDescent="0.25">
      <c r="B35" s="56" t="s">
        <v>529</v>
      </c>
      <c r="C35" s="55" t="s">
        <v>530</v>
      </c>
      <c r="D35" s="100" cm="1">
        <f t="array" ref="D35">'W2'!$L$38*$E$1*
_xlfn.SWITCH($C$1,1,1,2,1+Opt2_CPSX,3,1+Opt3_CPSX,4,1+Opt4_CPSX,5,1+Opt5_CPSX,6,1+Opt6_CPSX)
*POWER(1+$C$72,G$1)</f>
        <v>20000000</v>
      </c>
      <c r="E35" s="55"/>
      <c r="F35" s="134"/>
      <c r="G35" s="134"/>
      <c r="H35" s="55"/>
      <c r="J35" s="100" cm="1">
        <f t="array" ref="J35">'W2'!$L$38*$E$1*
_xlfn.SWITCH($C$1,1,1,2,1+Opt2_CPSX,3,1+Opt3_CPSX,4,1+Opt4_CPSX,5,1+Opt5_CPSX,6,1+Opt6_CPSX)
*POWER(1+$C$72,M$1)</f>
        <v>20000000</v>
      </c>
      <c r="K35" s="55"/>
      <c r="L35" s="134"/>
      <c r="M35" s="134"/>
      <c r="N35" s="55"/>
      <c r="P35" s="100" cm="1">
        <f t="array" ref="P35">'W2'!$L$38*$E$1*
_xlfn.SWITCH($C$1,1,1,2,1+Opt2_CPSX,3,1+Opt3_CPSX,4,1+Opt4_CPSX,5,1+Opt5_CPSX,6,1+Opt6_CPSX)
*POWER(1+$C$72,S$1)</f>
        <v>21000000</v>
      </c>
      <c r="Q35" s="55"/>
      <c r="R35" s="134"/>
      <c r="S35" s="134"/>
      <c r="T35" s="55"/>
      <c r="V35" s="100" cm="1">
        <f t="array" ref="V35">'W2'!$L$38*$E$1*
_xlfn.SWITCH($C$1,1,1,2,1+Opt2_CPSX,3,1+Opt3_CPSX,4,1+Opt4_CPSX,5,1+Opt5_CPSX,6,1+Opt6_CPSX)
*POWER(1+$C$72,Y$1)</f>
        <v>22050000</v>
      </c>
      <c r="W35" s="55"/>
      <c r="X35" s="134"/>
      <c r="Y35" s="134"/>
      <c r="Z35" s="55"/>
      <c r="AB35" s="100" cm="1">
        <f t="array" ref="AB35">'W2'!$L$38*$E$1*
_xlfn.SWITCH($C$1,1,1,2,1+Opt2_CPSX,3,1+Opt3_CPSX,4,1+Opt4_CPSX,5,1+Opt5_CPSX,6,1+Opt6_CPSX)
*POWER(1+$C$72,AE$1)</f>
        <v>23152500.000000004</v>
      </c>
      <c r="AC35" s="55"/>
      <c r="AD35" s="134"/>
      <c r="AE35" s="134"/>
      <c r="AF35" s="55"/>
      <c r="AH35" s="100" cm="1">
        <f t="array" ref="AH35">'W2'!$L$38*$E$1*
_xlfn.SWITCH($C$1,1,1,2,1+Opt2_CPSX,3,1+Opt3_CPSX,4,1+Opt4_CPSX,5,1+Opt5_CPSX,6,1+Opt6_CPSX)
*POWER(1+$C$72,AK$1)</f>
        <v>24310125</v>
      </c>
      <c r="AI35" s="55"/>
      <c r="AJ35" s="134"/>
      <c r="AK35" s="134"/>
      <c r="AL35" s="55"/>
      <c r="AN35" s="100" cm="1">
        <f t="array" ref="AN35">'W2'!$L$38*$E$1*
_xlfn.SWITCH($C$1,1,1,2,1+Opt2_CPSX,3,1+Opt3_CPSX,4,1+Opt4_CPSX,5,1+Opt5_CPSX,6,1+Opt6_CPSX)
*POWER(1+$C$72,AQ$1)</f>
        <v>25525631.250000004</v>
      </c>
      <c r="AO35" s="55"/>
      <c r="AP35" s="134"/>
      <c r="AQ35" s="134"/>
      <c r="AR35" s="55"/>
      <c r="AT35" s="100" cm="1">
        <f t="array" ref="AT35">'W2'!$L$38*$E$1*
_xlfn.SWITCH($C$1,1,1,2,1+Opt2_CPSX,3,1+Opt3_CPSX,4,1+Opt4_CPSX,5,1+Opt5_CPSX,6,1+Opt6_CPSX)
*POWER(1+$C$72,AW$1)</f>
        <v>26801912.8125</v>
      </c>
      <c r="AU35" s="55"/>
      <c r="AV35" s="134"/>
      <c r="AW35" s="134"/>
      <c r="AX35" s="55"/>
      <c r="AZ35" s="100" cm="1">
        <f t="array" ref="AZ35">'W2'!$L$38*$E$1*
_xlfn.SWITCH($C$1,1,1,2,1+Opt2_CPSX,3,1+Opt3_CPSX,4,1+Opt4_CPSX,5,1+Opt5_CPSX,6,1+Opt6_CPSX)
*POWER(1+$C$72,BC$1)</f>
        <v>28142008.453125004</v>
      </c>
      <c r="BA35" s="55"/>
      <c r="BB35" s="134"/>
      <c r="BC35" s="134"/>
      <c r="BD35" s="55"/>
      <c r="BF35" s="100" cm="1">
        <f t="array" ref="BF35">'W2'!$L$38*$E$1*
_xlfn.SWITCH($C$1,1,1,2,1+Opt2_CPSX,3,1+Opt3_CPSX,4,1+Opt4_CPSX,5,1+Opt5_CPSX,6,1+Opt6_CPSX)
*POWER(1+$C$72,BI$1)</f>
        <v>29549108.875781253</v>
      </c>
      <c r="BG35" s="55"/>
      <c r="BH35" s="134"/>
      <c r="BI35" s="134"/>
      <c r="BJ35" s="55"/>
      <c r="BL35" s="100" cm="1">
        <f t="array" ref="BL35">'W2'!$L$38*$E$1*
_xlfn.SWITCH($C$1,1,1,2,1+Opt2_CPSX,3,1+Opt3_CPSX,4,1+Opt4_CPSX,5,1+Opt5_CPSX,6,1+Opt6_CPSX)
*POWER(1+$C$72,BO$1)</f>
        <v>31026564.319570314</v>
      </c>
      <c r="BM35" s="55"/>
      <c r="BN35" s="134"/>
      <c r="BO35" s="134"/>
      <c r="BP35" s="55"/>
      <c r="BR35" s="100" cm="1">
        <f t="array" ref="BR35">'W2'!$L$38*$E$1*
_xlfn.SWITCH($C$1,1,1,2,1+Opt2_CPSX,3,1+Opt3_CPSX,4,1+Opt4_CPSX,5,1+Opt5_CPSX,6,1+Opt6_CPSX)
*POWER(1+$C$72,BU$1)</f>
        <v>32577892.535548832</v>
      </c>
      <c r="BS35" s="55"/>
      <c r="BT35" s="134"/>
      <c r="BU35" s="134"/>
      <c r="BV35" s="55"/>
      <c r="BX35" s="100" cm="1">
        <f t="array" ref="BX35">'W2'!$L$38*$E$1*
_xlfn.SWITCH($C$1,1,1,2,1+Opt2_CPSX,3,1+Opt3_CPSX,4,1+Opt4_CPSX,5,1+Opt5_CPSX,6,1+Opt6_CPSX)
*POWER(1+$C$72,CA$1)</f>
        <v>34206787.162326276</v>
      </c>
      <c r="BY35" s="55"/>
      <c r="BZ35" s="134"/>
      <c r="CA35" s="134"/>
      <c r="CB35" s="55"/>
      <c r="CD35" s="100" cm="1">
        <f t="array" ref="CD35">'W2'!$L$38*$E$1*
_xlfn.SWITCH($C$1,1,1,2,1+Opt2_CPSX,3,1+Opt3_CPSX,4,1+Opt4_CPSX,5,1+Opt5_CPSX,6,1+Opt6_CPSX)
*POWER(1+$C$72,CG$1)</f>
        <v>35917126.520442583</v>
      </c>
      <c r="CE35" s="55"/>
      <c r="CF35" s="134"/>
      <c r="CG35" s="134"/>
      <c r="CH35" s="55"/>
      <c r="CJ35" s="100" cm="1">
        <f t="array" ref="CJ35">'W2'!$L$38*$E$1*
_xlfn.SWITCH($C$1,1,1,2,1+Opt2_CPSX,3,1+Opt3_CPSX,4,1+Opt4_CPSX,5,1+Opt5_CPSX,6,1+Opt6_CPSX)
*POWER(1+$C$72,CM$1)</f>
        <v>37712982.846464723</v>
      </c>
      <c r="CK35" s="55"/>
      <c r="CL35" s="134"/>
      <c r="CM35" s="134"/>
      <c r="CN35" s="55"/>
      <c r="CP35" s="100" cm="1">
        <f t="array" ref="CP35">'W2'!$L$38*$E$1*
_xlfn.SWITCH($C$1,1,1,2,1+Opt2_CPSX,3,1+Opt3_CPSX,4,1+Opt4_CPSX,5,1+Opt5_CPSX,6,1+Opt6_CPSX)
*POWER(1+$C$72,CS$1)</f>
        <v>39598631.988787949</v>
      </c>
      <c r="CQ35" s="55"/>
      <c r="CR35" s="134"/>
      <c r="CS35" s="134"/>
      <c r="CT35" s="55"/>
      <c r="CV35" s="100" cm="1">
        <f t="array" ref="CV35">'W2'!$L$38*$E$1*
_xlfn.SWITCH($C$1,1,1,2,1+Opt2_CPSX,3,1+Opt3_CPSX,4,1+Opt4_CPSX,5,1+Opt5_CPSX,6,1+Opt6_CPSX)
*POWER(1+$C$72,CY$1)</f>
        <v>41578563.588227354</v>
      </c>
      <c r="CW35" s="55"/>
      <c r="CX35" s="134"/>
      <c r="CY35" s="134"/>
      <c r="CZ35" s="55"/>
      <c r="DB35" s="100" cm="1">
        <f t="array" ref="DB35">'W2'!$L$38*$E$1*
_xlfn.SWITCH($C$1,1,1,2,1+Opt2_CPSX,3,1+Opt3_CPSX,4,1+Opt4_CPSX,5,1+Opt5_CPSX,6,1+Opt6_CPSX)
*POWER(1+$C$72,DE$1)</f>
        <v>43657491.767638721</v>
      </c>
      <c r="DC35" s="55"/>
      <c r="DD35" s="134"/>
      <c r="DE35" s="134"/>
      <c r="DF35" s="55"/>
      <c r="DH35" s="100" cm="1">
        <f t="array" ref="DH35">'W2'!$L$38*$E$1*
_xlfn.SWITCH($C$1,1,1,2,1+Opt2_CPSX,3,1+Opt3_CPSX,4,1+Opt4_CPSX,5,1+Opt5_CPSX,6,1+Opt6_CPSX)
*POWER(1+$C$72,DK$1)</f>
        <v>45840366.356020667</v>
      </c>
      <c r="DI35" s="55"/>
      <c r="DJ35" s="134"/>
      <c r="DK35" s="134"/>
      <c r="DL35" s="55"/>
      <c r="DN35" s="100" cm="1">
        <f t="array" ref="DN35">'W2'!$L$38*$E$1*
_xlfn.SWITCH($C$1,1,1,2,1+Opt2_CPSX,3,1+Opt3_CPSX,4,1+Opt4_CPSX,5,1+Opt5_CPSX,6,1+Opt6_CPSX)
*POWER(1+$C$72,DQ$1)</f>
        <v>48132384.673821695</v>
      </c>
      <c r="DO35" s="55"/>
      <c r="DP35" s="134"/>
      <c r="DQ35" s="134"/>
      <c r="DR35" s="55"/>
      <c r="DT35" s="100" cm="1">
        <f t="array" ref="DT35">'W2'!$L$38*$E$1*
_xlfn.SWITCH($C$1,1,1,2,1+Opt2_CPSX,3,1+Opt3_CPSX,4,1+Opt4_CPSX,5,1+Opt5_CPSX,6,1+Opt6_CPSX)
*POWER(1+$C$72,DW$1)</f>
        <v>50539003.907512784</v>
      </c>
      <c r="DU35" s="55"/>
      <c r="DV35" s="134"/>
      <c r="DW35" s="134"/>
      <c r="DX35" s="55"/>
      <c r="DZ35" s="100" cm="1">
        <f t="array" ref="DZ35">'W2'!$L$38*$E$1*
_xlfn.SWITCH($C$1,1,1,2,1+Opt2_CPSX,3,1+Opt3_CPSX,4,1+Opt4_CPSX,5,1+Opt5_CPSX,6,1+Opt6_CPSX)
*POWER(1+$C$72,EC$1)</f>
        <v>53065954.10288842</v>
      </c>
      <c r="EA35" s="55"/>
      <c r="EB35" s="134"/>
      <c r="EC35" s="134"/>
      <c r="ED35" s="55"/>
      <c r="EF35" s="100" cm="1">
        <f t="array" ref="EF35">'W2'!$L$38*$E$1*
_xlfn.SWITCH($C$1,1,1,2,1+Opt2_CPSX,3,1+Opt3_CPSX,4,1+Opt4_CPSX,5,1+Opt5_CPSX,6,1+Opt6_CPSX)
*POWER(1+$C$72,EI$1)</f>
        <v>55719251.80803284</v>
      </c>
      <c r="EG35" s="55"/>
      <c r="EH35" s="134"/>
      <c r="EI35" s="134"/>
      <c r="EJ35" s="55"/>
      <c r="EL35" s="100" cm="1">
        <f t="array" ref="EL35">'W2'!$L$38*$E$1*
_xlfn.SWITCH($C$1,1,1,2,1+Opt2_CPSX,3,1+Opt3_CPSX,4,1+Opt4_CPSX,5,1+Opt5_CPSX,6,1+Opt6_CPSX)
*POWER(1+$C$72,EO$1)</f>
        <v>58505214.398434475</v>
      </c>
      <c r="EM35" s="55"/>
      <c r="EN35" s="134"/>
      <c r="EO35" s="134"/>
      <c r="EP35" s="55"/>
      <c r="ER35" s="100" cm="1">
        <f t="array" ref="ER35">'W2'!$L$38*$E$1*
_xlfn.SWITCH($C$1,1,1,2,1+Opt2_CPSX,3,1+Opt3_CPSX,4,1+Opt4_CPSX,5,1+Opt5_CPSX,6,1+Opt6_CPSX)
*POWER(1+$C$72,EU$1)</f>
        <v>61430475.118356213</v>
      </c>
      <c r="ES35" s="55"/>
      <c r="ET35" s="134"/>
      <c r="EU35" s="134"/>
      <c r="EV35" s="55"/>
    </row>
    <row r="36" spans="1:152" x14ac:dyDescent="0.25">
      <c r="B36" s="56" t="s">
        <v>532</v>
      </c>
      <c r="C36" s="55" t="s">
        <v>530</v>
      </c>
      <c r="D36" s="100" cm="1">
        <f t="array" ref="D36">'W2'!$L$39*$E$1
*_xlfn.SWITCH($C$1,1,1,2,1+Opt2_CPSX,3,1+Opt3_CPSX,4,1+Opt4_CPSX,5,1+Opt5_CPSX,6,1+Opt6_CPSX)
*POWER(1+$C$72,G$1)</f>
        <v>3000000</v>
      </c>
      <c r="E36" s="55"/>
      <c r="F36" s="134"/>
      <c r="G36" s="134"/>
      <c r="H36" s="55"/>
      <c r="J36" s="100" cm="1">
        <f t="array" ref="J36">'W2'!$L$39*$E$1
*_xlfn.SWITCH($C$1,1,1,2,1+Opt2_CPSX,3,1+Opt3_CPSX,4,1+Opt4_CPSX,5,1+Opt5_CPSX,6,1+Opt6_CPSX)
*POWER(1+$C$72,M$1)</f>
        <v>3000000</v>
      </c>
      <c r="K36" s="55"/>
      <c r="L36" s="134"/>
      <c r="M36" s="134"/>
      <c r="N36" s="55"/>
      <c r="P36" s="100" cm="1">
        <f t="array" ref="P36">'W2'!$L$39*$E$1
*_xlfn.SWITCH($C$1,1,1,2,1+Opt2_CPSX,3,1+Opt3_CPSX,4,1+Opt4_CPSX,5,1+Opt5_CPSX,6,1+Opt6_CPSX)
*POWER(1+$C$72,S$1)</f>
        <v>3150000</v>
      </c>
      <c r="Q36" s="55"/>
      <c r="R36" s="134"/>
      <c r="S36" s="134"/>
      <c r="T36" s="55"/>
      <c r="V36" s="100" cm="1">
        <f t="array" ref="V36">'W2'!$L$39*$E$1
*_xlfn.SWITCH($C$1,1,1,2,1+Opt2_CPSX,3,1+Opt3_CPSX,4,1+Opt4_CPSX,5,1+Opt5_CPSX,6,1+Opt6_CPSX)
*POWER(1+$C$72,Y$1)</f>
        <v>3307500</v>
      </c>
      <c r="W36" s="55"/>
      <c r="X36" s="134"/>
      <c r="Y36" s="134"/>
      <c r="Z36" s="55"/>
      <c r="AB36" s="100" cm="1">
        <f t="array" ref="AB36">'W2'!$L$39*$E$1
*_xlfn.SWITCH($C$1,1,1,2,1+Opt2_CPSX,3,1+Opt3_CPSX,4,1+Opt4_CPSX,5,1+Opt5_CPSX,6,1+Opt6_CPSX)
*POWER(1+$C$72,AE$1)</f>
        <v>3472875.0000000005</v>
      </c>
      <c r="AC36" s="55"/>
      <c r="AD36" s="134"/>
      <c r="AE36" s="134"/>
      <c r="AF36" s="55"/>
      <c r="AH36" s="100" cm="1">
        <f t="array" ref="AH36">'W2'!$L$39*$E$1
*_xlfn.SWITCH($C$1,1,1,2,1+Opt2_CPSX,3,1+Opt3_CPSX,4,1+Opt4_CPSX,5,1+Opt5_CPSX,6,1+Opt6_CPSX)
*POWER(1+$C$72,AK$1)</f>
        <v>3646518.75</v>
      </c>
      <c r="AI36" s="55"/>
      <c r="AJ36" s="134"/>
      <c r="AK36" s="134"/>
      <c r="AL36" s="55"/>
      <c r="AN36" s="100" cm="1">
        <f t="array" ref="AN36">'W2'!$L$39*$E$1
*_xlfn.SWITCH($C$1,1,1,2,1+Opt2_CPSX,3,1+Opt3_CPSX,4,1+Opt4_CPSX,5,1+Opt5_CPSX,6,1+Opt6_CPSX)
*POWER(1+$C$72,AQ$1)</f>
        <v>3828844.6875000005</v>
      </c>
      <c r="AO36" s="55"/>
      <c r="AP36" s="134"/>
      <c r="AQ36" s="134"/>
      <c r="AR36" s="55"/>
      <c r="AT36" s="100" cm="1">
        <f t="array" ref="AT36">'W2'!$L$39*$E$1
*_xlfn.SWITCH($C$1,1,1,2,1+Opt2_CPSX,3,1+Opt3_CPSX,4,1+Opt4_CPSX,5,1+Opt5_CPSX,6,1+Opt6_CPSX)
*POWER(1+$C$72,AW$1)</f>
        <v>4020286.921875</v>
      </c>
      <c r="AU36" s="55"/>
      <c r="AV36" s="134"/>
      <c r="AW36" s="134"/>
      <c r="AX36" s="55"/>
      <c r="AZ36" s="100" cm="1">
        <f t="array" ref="AZ36">'W2'!$L$39*$E$1
*_xlfn.SWITCH($C$1,1,1,2,1+Opt2_CPSX,3,1+Opt3_CPSX,4,1+Opt4_CPSX,5,1+Opt5_CPSX,6,1+Opt6_CPSX)
*POWER(1+$C$72,BC$1)</f>
        <v>4221301.2679687506</v>
      </c>
      <c r="BA36" s="55"/>
      <c r="BB36" s="134"/>
      <c r="BC36" s="134"/>
      <c r="BD36" s="55"/>
      <c r="BF36" s="100" cm="1">
        <f t="array" ref="BF36">'W2'!$L$39*$E$1
*_xlfn.SWITCH($C$1,1,1,2,1+Opt2_CPSX,3,1+Opt3_CPSX,4,1+Opt4_CPSX,5,1+Opt5_CPSX,6,1+Opt6_CPSX)
*POWER(1+$C$72,BI$1)</f>
        <v>4432366.3313671881</v>
      </c>
      <c r="BG36" s="55"/>
      <c r="BH36" s="134"/>
      <c r="BI36" s="134"/>
      <c r="BJ36" s="55"/>
      <c r="BL36" s="100" cm="1">
        <f t="array" ref="BL36">'W2'!$L$39*$E$1
*_xlfn.SWITCH($C$1,1,1,2,1+Opt2_CPSX,3,1+Opt3_CPSX,4,1+Opt4_CPSX,5,1+Opt5_CPSX,6,1+Opt6_CPSX)
*POWER(1+$C$72,BO$1)</f>
        <v>4653984.6479355469</v>
      </c>
      <c r="BM36" s="55"/>
      <c r="BN36" s="134"/>
      <c r="BO36" s="134"/>
      <c r="BP36" s="55"/>
      <c r="BR36" s="100" cm="1">
        <f t="array" ref="BR36">'W2'!$L$39*$E$1
*_xlfn.SWITCH($C$1,1,1,2,1+Opt2_CPSX,3,1+Opt3_CPSX,4,1+Opt4_CPSX,5,1+Opt5_CPSX,6,1+Opt6_CPSX)
*POWER(1+$C$72,BU$1)</f>
        <v>4886683.8803323247</v>
      </c>
      <c r="BS36" s="55"/>
      <c r="BT36" s="134"/>
      <c r="BU36" s="134"/>
      <c r="BV36" s="55"/>
      <c r="BX36" s="100" cm="1">
        <f t="array" ref="BX36">'W2'!$L$39*$E$1
*_xlfn.SWITCH($C$1,1,1,2,1+Opt2_CPSX,3,1+Opt3_CPSX,4,1+Opt4_CPSX,5,1+Opt5_CPSX,6,1+Opt6_CPSX)
*POWER(1+$C$72,CA$1)</f>
        <v>5131018.0743489414</v>
      </c>
      <c r="BY36" s="55"/>
      <c r="BZ36" s="134"/>
      <c r="CA36" s="134"/>
      <c r="CB36" s="55"/>
      <c r="CD36" s="100" cm="1">
        <f t="array" ref="CD36">'W2'!$L$39*$E$1
*_xlfn.SWITCH($C$1,1,1,2,1+Opt2_CPSX,3,1+Opt3_CPSX,4,1+Opt4_CPSX,5,1+Opt5_CPSX,6,1+Opt6_CPSX)
*POWER(1+$C$72,CG$1)</f>
        <v>5387568.9780663876</v>
      </c>
      <c r="CE36" s="55"/>
      <c r="CF36" s="134"/>
      <c r="CG36" s="134"/>
      <c r="CH36" s="55"/>
      <c r="CJ36" s="100" cm="1">
        <f t="array" ref="CJ36">'W2'!$L$39*$E$1
*_xlfn.SWITCH($C$1,1,1,2,1+Opt2_CPSX,3,1+Opt3_CPSX,4,1+Opt4_CPSX,5,1+Opt5_CPSX,6,1+Opt6_CPSX)
*POWER(1+$C$72,CM$1)</f>
        <v>5656947.4269697079</v>
      </c>
      <c r="CK36" s="55"/>
      <c r="CL36" s="134"/>
      <c r="CM36" s="134"/>
      <c r="CN36" s="55"/>
      <c r="CP36" s="100" cm="1">
        <f t="array" ref="CP36">'W2'!$L$39*$E$1
*_xlfn.SWITCH($C$1,1,1,2,1+Opt2_CPSX,3,1+Opt3_CPSX,4,1+Opt4_CPSX,5,1+Opt5_CPSX,6,1+Opt6_CPSX)
*POWER(1+$C$72,CS$1)</f>
        <v>5939794.7983181924</v>
      </c>
      <c r="CQ36" s="55"/>
      <c r="CR36" s="134"/>
      <c r="CS36" s="134"/>
      <c r="CT36" s="55"/>
      <c r="CV36" s="100" cm="1">
        <f t="array" ref="CV36">'W2'!$L$39*$E$1
*_xlfn.SWITCH($C$1,1,1,2,1+Opt2_CPSX,3,1+Opt3_CPSX,4,1+Opt4_CPSX,5,1+Opt5_CPSX,6,1+Opt6_CPSX)
*POWER(1+$C$72,CY$1)</f>
        <v>6236784.5382341035</v>
      </c>
      <c r="CW36" s="55"/>
      <c r="CX36" s="134"/>
      <c r="CY36" s="134"/>
      <c r="CZ36" s="55"/>
      <c r="DB36" s="100" cm="1">
        <f t="array" ref="DB36">'W2'!$L$39*$E$1
*_xlfn.SWITCH($C$1,1,1,2,1+Opt2_CPSX,3,1+Opt3_CPSX,4,1+Opt4_CPSX,5,1+Opt5_CPSX,6,1+Opt6_CPSX)
*POWER(1+$C$72,DE$1)</f>
        <v>6548623.7651458085</v>
      </c>
      <c r="DC36" s="55"/>
      <c r="DD36" s="134"/>
      <c r="DE36" s="134"/>
      <c r="DF36" s="55"/>
      <c r="DH36" s="100" cm="1">
        <f t="array" ref="DH36">'W2'!$L$39*$E$1
*_xlfn.SWITCH($C$1,1,1,2,1+Opt2_CPSX,3,1+Opt3_CPSX,4,1+Opt4_CPSX,5,1+Opt5_CPSX,6,1+Opt6_CPSX)
*POWER(1+$C$72,DK$1)</f>
        <v>6876054.9534030994</v>
      </c>
      <c r="DI36" s="55"/>
      <c r="DJ36" s="134"/>
      <c r="DK36" s="134"/>
      <c r="DL36" s="55"/>
      <c r="DN36" s="100" cm="1">
        <f t="array" ref="DN36">'W2'!$L$39*$E$1
*_xlfn.SWITCH($C$1,1,1,2,1+Opt2_CPSX,3,1+Opt3_CPSX,4,1+Opt4_CPSX,5,1+Opt5_CPSX,6,1+Opt6_CPSX)
*POWER(1+$C$72,DQ$1)</f>
        <v>7219857.7010732545</v>
      </c>
      <c r="DO36" s="55"/>
      <c r="DP36" s="134"/>
      <c r="DQ36" s="134"/>
      <c r="DR36" s="55"/>
      <c r="DT36" s="100" cm="1">
        <f t="array" ref="DT36">'W2'!$L$39*$E$1
*_xlfn.SWITCH($C$1,1,1,2,1+Opt2_CPSX,3,1+Opt3_CPSX,4,1+Opt4_CPSX,5,1+Opt5_CPSX,6,1+Opt6_CPSX)
*POWER(1+$C$72,DW$1)</f>
        <v>7580850.586126917</v>
      </c>
      <c r="DU36" s="55"/>
      <c r="DV36" s="134"/>
      <c r="DW36" s="134"/>
      <c r="DX36" s="55"/>
      <c r="DZ36" s="100" cm="1">
        <f t="array" ref="DZ36">'W2'!$L$39*$E$1
*_xlfn.SWITCH($C$1,1,1,2,1+Opt2_CPSX,3,1+Opt3_CPSX,4,1+Opt4_CPSX,5,1+Opt5_CPSX,6,1+Opt6_CPSX)
*POWER(1+$C$72,EC$1)</f>
        <v>7959893.1154332627</v>
      </c>
      <c r="EA36" s="55"/>
      <c r="EB36" s="134"/>
      <c r="EC36" s="134"/>
      <c r="ED36" s="55"/>
      <c r="EF36" s="100" cm="1">
        <f t="array" ref="EF36">'W2'!$L$39*$E$1
*_xlfn.SWITCH($C$1,1,1,2,1+Opt2_CPSX,3,1+Opt3_CPSX,4,1+Opt4_CPSX,5,1+Opt5_CPSX,6,1+Opt6_CPSX)
*POWER(1+$C$72,EI$1)</f>
        <v>8357887.7712049251</v>
      </c>
      <c r="EG36" s="55"/>
      <c r="EH36" s="134"/>
      <c r="EI36" s="134"/>
      <c r="EJ36" s="55"/>
      <c r="EL36" s="100" cm="1">
        <f t="array" ref="EL36">'W2'!$L$39*$E$1
*_xlfn.SWITCH($C$1,1,1,2,1+Opt2_CPSX,3,1+Opt3_CPSX,4,1+Opt4_CPSX,5,1+Opt5_CPSX,6,1+Opt6_CPSX)
*POWER(1+$C$72,EO$1)</f>
        <v>8775782.1597651709</v>
      </c>
      <c r="EM36" s="55"/>
      <c r="EN36" s="134"/>
      <c r="EO36" s="134"/>
      <c r="EP36" s="55"/>
      <c r="ER36" s="100" cm="1">
        <f t="array" ref="ER36">'W2'!$L$39*$E$1
*_xlfn.SWITCH($C$1,1,1,2,1+Opt2_CPSX,3,1+Opt3_CPSX,4,1+Opt4_CPSX,5,1+Opt5_CPSX,6,1+Opt6_CPSX)
*POWER(1+$C$72,EU$1)</f>
        <v>9214571.2677534316</v>
      </c>
      <c r="ES36" s="55"/>
      <c r="ET36" s="134"/>
      <c r="EU36" s="134"/>
      <c r="EV36" s="55"/>
    </row>
    <row r="37" spans="1:152" x14ac:dyDescent="0.25">
      <c r="B37" s="56" t="s">
        <v>124</v>
      </c>
      <c r="C37" s="55" t="s">
        <v>125</v>
      </c>
      <c r="D37" s="100">
        <f>INDEX('W2'!$M$45:$R$45,MATCH('W6 - Operating cost'!$B$1,'W2'!$M$7:$R$7,0))</f>
        <v>765</v>
      </c>
      <c r="E37" s="55"/>
      <c r="F37" s="55"/>
      <c r="G37" s="55"/>
      <c r="H37" s="55"/>
      <c r="J37" s="100">
        <f>INDEX('W2'!$M$45:$R$45,MATCH('W6 - Operating cost'!$B$1,'W2'!$M$7:$R$7,0))</f>
        <v>765</v>
      </c>
      <c r="K37" s="55"/>
      <c r="L37" s="55"/>
      <c r="M37" s="55"/>
      <c r="N37" s="55"/>
      <c r="P37" s="100">
        <f>INDEX('W2'!$M$45:$R$45,MATCH('W6 - Operating cost'!$B$1,'W2'!$M$7:$R$7,0))</f>
        <v>765</v>
      </c>
      <c r="Q37" s="55"/>
      <c r="R37" s="55"/>
      <c r="S37" s="55"/>
      <c r="T37" s="55"/>
      <c r="V37" s="100">
        <f>INDEX('W2'!$M$45:$R$45,MATCH('W6 - Operating cost'!$B$1,'W2'!$M$7:$R$7,0))</f>
        <v>765</v>
      </c>
      <c r="W37" s="55"/>
      <c r="X37" s="55"/>
      <c r="Y37" s="55"/>
      <c r="Z37" s="55"/>
      <c r="AB37" s="100">
        <f>INDEX('W2'!$M$45:$R$45,MATCH('W6 - Operating cost'!$B$1,'W2'!$M$7:$R$7,0))</f>
        <v>765</v>
      </c>
      <c r="AC37" s="55"/>
      <c r="AD37" s="55"/>
      <c r="AE37" s="55"/>
      <c r="AF37" s="55"/>
      <c r="AH37" s="100">
        <f>INDEX('W2'!$M$45:$R$45,MATCH('W6 - Operating cost'!$B$1,'W2'!$M$7:$R$7,0))</f>
        <v>765</v>
      </c>
      <c r="AI37" s="55"/>
      <c r="AJ37" s="55"/>
      <c r="AK37" s="55"/>
      <c r="AL37" s="55"/>
      <c r="AN37" s="100">
        <f>INDEX('W2'!$M$45:$R$45,MATCH('W6 - Operating cost'!$B$1,'W2'!$M$7:$R$7,0))</f>
        <v>765</v>
      </c>
      <c r="AO37" s="55"/>
      <c r="AP37" s="55"/>
      <c r="AQ37" s="55"/>
      <c r="AR37" s="55"/>
      <c r="AT37" s="100">
        <f>INDEX('W2'!$M$45:$R$45,MATCH('W6 - Operating cost'!$B$1,'W2'!$M$7:$R$7,0))</f>
        <v>765</v>
      </c>
      <c r="AU37" s="55"/>
      <c r="AV37" s="55"/>
      <c r="AW37" s="55"/>
      <c r="AX37" s="55"/>
      <c r="AZ37" s="100">
        <f>INDEX('W2'!$M$45:$R$45,MATCH('W6 - Operating cost'!$B$1,'W2'!$M$7:$R$7,0))</f>
        <v>765</v>
      </c>
      <c r="BA37" s="55"/>
      <c r="BB37" s="55"/>
      <c r="BC37" s="55"/>
      <c r="BD37" s="55"/>
      <c r="BF37" s="100">
        <f>INDEX('W2'!$M$45:$R$45,MATCH('W6 - Operating cost'!$B$1,'W2'!$M$7:$R$7,0))</f>
        <v>765</v>
      </c>
      <c r="BG37" s="55"/>
      <c r="BH37" s="55"/>
      <c r="BI37" s="55"/>
      <c r="BJ37" s="55"/>
      <c r="BL37" s="100">
        <f>INDEX('W2'!$M$45:$R$45,MATCH('W6 - Operating cost'!$B$1,'W2'!$M$7:$R$7,0))</f>
        <v>765</v>
      </c>
      <c r="BM37" s="55"/>
      <c r="BN37" s="55"/>
      <c r="BO37" s="55"/>
      <c r="BP37" s="55"/>
      <c r="BR37" s="100">
        <f>INDEX('W2'!$M$45:$R$45,MATCH('W6 - Operating cost'!$B$1,'W2'!$M$7:$R$7,0))</f>
        <v>765</v>
      </c>
      <c r="BS37" s="55"/>
      <c r="BT37" s="55"/>
      <c r="BU37" s="55"/>
      <c r="BV37" s="55"/>
      <c r="BX37" s="100">
        <f>INDEX('W2'!$M$45:$R$45,MATCH('W6 - Operating cost'!$B$1,'W2'!$M$7:$R$7,0))</f>
        <v>765</v>
      </c>
      <c r="BY37" s="55"/>
      <c r="BZ37" s="55"/>
      <c r="CA37" s="55"/>
      <c r="CB37" s="55"/>
      <c r="CD37" s="100">
        <f>INDEX('W2'!$M$45:$R$45,MATCH('W6 - Operating cost'!$B$1,'W2'!$M$7:$R$7,0))</f>
        <v>765</v>
      </c>
      <c r="CE37" s="55"/>
      <c r="CF37" s="55"/>
      <c r="CG37" s="55"/>
      <c r="CH37" s="55"/>
      <c r="CJ37" s="100">
        <f>INDEX('W2'!$M$45:$R$45,MATCH('W6 - Operating cost'!$B$1,'W2'!$M$7:$R$7,0))</f>
        <v>765</v>
      </c>
      <c r="CK37" s="55"/>
      <c r="CL37" s="55"/>
      <c r="CM37" s="55"/>
      <c r="CN37" s="55"/>
      <c r="CP37" s="100">
        <f>INDEX('W2'!$M$45:$R$45,MATCH('W6 - Operating cost'!$B$1,'W2'!$M$7:$R$7,0))</f>
        <v>765</v>
      </c>
      <c r="CQ37" s="55"/>
      <c r="CR37" s="55"/>
      <c r="CS37" s="55"/>
      <c r="CT37" s="55"/>
      <c r="CV37" s="100">
        <f>INDEX('W2'!$M$45:$R$45,MATCH('W6 - Operating cost'!$B$1,'W2'!$M$7:$R$7,0))</f>
        <v>765</v>
      </c>
      <c r="CW37" s="55"/>
      <c r="CX37" s="55"/>
      <c r="CY37" s="55"/>
      <c r="CZ37" s="55"/>
      <c r="DB37" s="100">
        <f>INDEX('W2'!$M$45:$R$45,MATCH('W6 - Operating cost'!$B$1,'W2'!$M$7:$R$7,0))</f>
        <v>765</v>
      </c>
      <c r="DC37" s="55"/>
      <c r="DD37" s="55"/>
      <c r="DE37" s="55"/>
      <c r="DF37" s="55"/>
      <c r="DH37" s="100">
        <f>INDEX('W2'!$M$45:$R$45,MATCH('W6 - Operating cost'!$B$1,'W2'!$M$7:$R$7,0))</f>
        <v>765</v>
      </c>
      <c r="DI37" s="55"/>
      <c r="DJ37" s="55"/>
      <c r="DK37" s="55"/>
      <c r="DL37" s="55"/>
      <c r="DN37" s="100">
        <f>INDEX('W2'!$M$45:$R$45,MATCH('W6 - Operating cost'!$B$1,'W2'!$M$7:$R$7,0))</f>
        <v>765</v>
      </c>
      <c r="DO37" s="55"/>
      <c r="DP37" s="55"/>
      <c r="DQ37" s="55"/>
      <c r="DR37" s="55"/>
      <c r="DT37" s="100">
        <f>INDEX('W2'!$M$45:$R$45,MATCH('W6 - Operating cost'!$B$1,'W2'!$M$7:$R$7,0))</f>
        <v>765</v>
      </c>
      <c r="DU37" s="55"/>
      <c r="DV37" s="55"/>
      <c r="DW37" s="55"/>
      <c r="DX37" s="55"/>
      <c r="DZ37" s="100">
        <f>INDEX('W2'!$M$45:$R$45,MATCH('W6 - Operating cost'!$B$1,'W2'!$M$7:$R$7,0))</f>
        <v>765</v>
      </c>
      <c r="EA37" s="55"/>
      <c r="EB37" s="55"/>
      <c r="EC37" s="55"/>
      <c r="ED37" s="55"/>
      <c r="EF37" s="100">
        <f>INDEX('W2'!$M$45:$R$45,MATCH('W6 - Operating cost'!$B$1,'W2'!$M$7:$R$7,0))</f>
        <v>765</v>
      </c>
      <c r="EG37" s="55"/>
      <c r="EH37" s="55"/>
      <c r="EI37" s="55"/>
      <c r="EJ37" s="55"/>
      <c r="EL37" s="100">
        <f>INDEX('W2'!$M$45:$R$45,MATCH('W6 - Operating cost'!$B$1,'W2'!$M$7:$R$7,0))</f>
        <v>765</v>
      </c>
      <c r="EM37" s="55"/>
      <c r="EN37" s="55"/>
      <c r="EO37" s="55"/>
      <c r="EP37" s="55"/>
      <c r="ER37" s="100">
        <f>INDEX('W2'!$M$45:$R$45,MATCH('W6 - Operating cost'!$B$1,'W2'!$M$7:$R$7,0))</f>
        <v>765</v>
      </c>
      <c r="ES37" s="55"/>
      <c r="ET37" s="55"/>
      <c r="EU37" s="55"/>
      <c r="EV37" s="55"/>
    </row>
    <row r="38" spans="1:152" x14ac:dyDescent="0.25">
      <c r="B38" s="56" t="s">
        <v>126</v>
      </c>
      <c r="C38" s="55" t="s">
        <v>127</v>
      </c>
      <c r="D38" s="100">
        <f>INDEX('W2'!$M$46:$R$46,MATCH('W6 - Operating cost'!$B$1,'W2'!$M$7:$R$7,0))*POWER(1+$C$72,G$1)*$E$1</f>
        <v>1950</v>
      </c>
      <c r="E38" s="55"/>
      <c r="F38" s="55"/>
      <c r="G38" s="55"/>
      <c r="H38" s="55"/>
      <c r="J38" s="100">
        <f>INDEX('W2'!$M$46:$R$46,MATCH('W6 - Operating cost'!$B$1,'W2'!$M$7:$R$7,0))*POWER(1+$C$72,M$1)*$E$1</f>
        <v>1950</v>
      </c>
      <c r="K38" s="55"/>
      <c r="L38" s="55"/>
      <c r="M38" s="55"/>
      <c r="N38" s="55"/>
      <c r="P38" s="100">
        <f>INDEX('W2'!$M$46:$R$46,MATCH('W6 - Operating cost'!$B$1,'W2'!$M$7:$R$7,0))*POWER(1+$C$72,S$1)*$E$1</f>
        <v>2047.5</v>
      </c>
      <c r="Q38" s="55"/>
      <c r="R38" s="55"/>
      <c r="S38" s="55"/>
      <c r="T38" s="55"/>
      <c r="V38" s="100">
        <f>INDEX('W2'!$M$46:$R$46,MATCH('W6 - Operating cost'!$B$1,'W2'!$M$7:$R$7,0))*POWER(1+$C$72,Y$1)*$E$1</f>
        <v>2149.875</v>
      </c>
      <c r="W38" s="55"/>
      <c r="X38" s="55"/>
      <c r="Y38" s="55"/>
      <c r="Z38" s="55"/>
      <c r="AB38" s="100">
        <f>INDEX('W2'!$M$46:$R$46,MATCH('W6 - Operating cost'!$B$1,'W2'!$M$7:$R$7,0))*POWER(1+$C$72,AE$1)*$E$1</f>
        <v>2257.3687500000001</v>
      </c>
      <c r="AC38" s="55"/>
      <c r="AD38" s="55"/>
      <c r="AE38" s="55"/>
      <c r="AF38" s="55"/>
      <c r="AH38" s="100">
        <f>INDEX('W2'!$M$46:$R$46,MATCH('W6 - Operating cost'!$B$1,'W2'!$M$7:$R$7,0))*POWER(1+$C$72,AK$1)*$E$1</f>
        <v>2370.2371874999999</v>
      </c>
      <c r="AI38" s="55"/>
      <c r="AJ38" s="55"/>
      <c r="AK38" s="55"/>
      <c r="AL38" s="55"/>
      <c r="AN38" s="100">
        <f>INDEX('W2'!$M$46:$R$46,MATCH('W6 - Operating cost'!$B$1,'W2'!$M$7:$R$7,0))*POWER(1+$C$72,AQ$1)*$E$1</f>
        <v>2488.7490468750002</v>
      </c>
      <c r="AO38" s="55"/>
      <c r="AP38" s="55"/>
      <c r="AQ38" s="55"/>
      <c r="AR38" s="55"/>
      <c r="AT38" s="100">
        <f>INDEX('W2'!$M$46:$R$46,MATCH('W6 - Operating cost'!$B$1,'W2'!$M$7:$R$7,0))*POWER(1+$C$72,AW$1)*$E$1</f>
        <v>2613.1864992187498</v>
      </c>
      <c r="AU38" s="55"/>
      <c r="AV38" s="55"/>
      <c r="AW38" s="55"/>
      <c r="AX38" s="55"/>
      <c r="AZ38" s="100">
        <f>INDEX('W2'!$M$46:$R$46,MATCH('W6 - Operating cost'!$B$1,'W2'!$M$7:$R$7,0))*POWER(1+$C$72,BC$1)*$E$1</f>
        <v>2743.845824179688</v>
      </c>
      <c r="BA38" s="55"/>
      <c r="BB38" s="55"/>
      <c r="BC38" s="55"/>
      <c r="BD38" s="55"/>
      <c r="BF38" s="100">
        <f>INDEX('W2'!$M$46:$R$46,MATCH('W6 - Operating cost'!$B$1,'W2'!$M$7:$R$7,0))*POWER(1+$C$72,BI$1)*$E$1</f>
        <v>2881.0381153886719</v>
      </c>
      <c r="BG38" s="55"/>
      <c r="BH38" s="55"/>
      <c r="BI38" s="55"/>
      <c r="BJ38" s="55"/>
      <c r="BL38" s="100">
        <f>INDEX('W2'!$M$46:$R$46,MATCH('W6 - Operating cost'!$B$1,'W2'!$M$7:$R$7,0))*POWER(1+$C$72,BO$1)*$E$1</f>
        <v>3025.0900211581056</v>
      </c>
      <c r="BM38" s="55"/>
      <c r="BN38" s="55"/>
      <c r="BO38" s="55"/>
      <c r="BP38" s="55"/>
      <c r="BR38" s="100">
        <f>INDEX('W2'!$M$46:$R$46,MATCH('W6 - Operating cost'!$B$1,'W2'!$M$7:$R$7,0))*POWER(1+$C$72,BU$1)*$E$1</f>
        <v>3176.3445222160112</v>
      </c>
      <c r="BS38" s="55"/>
      <c r="BT38" s="55"/>
      <c r="BU38" s="55"/>
      <c r="BV38" s="55"/>
      <c r="BX38" s="100">
        <f>INDEX('W2'!$M$46:$R$46,MATCH('W6 - Operating cost'!$B$1,'W2'!$M$7:$R$7,0))*POWER(1+$C$72,CA$1)*$E$1</f>
        <v>3335.1617483268119</v>
      </c>
      <c r="BY38" s="55"/>
      <c r="BZ38" s="55"/>
      <c r="CA38" s="55"/>
      <c r="CB38" s="55"/>
      <c r="CD38" s="100">
        <f>INDEX('W2'!$M$46:$R$46,MATCH('W6 - Operating cost'!$B$1,'W2'!$M$7:$R$7,0))*POWER(1+$C$72,CG$1)*$E$1</f>
        <v>3501.9198357431519</v>
      </c>
      <c r="CE38" s="55"/>
      <c r="CF38" s="55"/>
      <c r="CG38" s="55"/>
      <c r="CH38" s="55"/>
      <c r="CJ38" s="100">
        <f>INDEX('W2'!$M$46:$R$46,MATCH('W6 - Operating cost'!$B$1,'W2'!$M$7:$R$7,0))*POWER(1+$C$72,CM$1)*$E$1</f>
        <v>3677.0158275303102</v>
      </c>
      <c r="CK38" s="55"/>
      <c r="CL38" s="55"/>
      <c r="CM38" s="55"/>
      <c r="CN38" s="55"/>
      <c r="CP38" s="100">
        <f>INDEX('W2'!$M$46:$R$46,MATCH('W6 - Operating cost'!$B$1,'W2'!$M$7:$R$7,0))*POWER(1+$C$72,CS$1)*$E$1</f>
        <v>3860.8666189068249</v>
      </c>
      <c r="CQ38" s="55"/>
      <c r="CR38" s="55"/>
      <c r="CS38" s="55"/>
      <c r="CT38" s="55"/>
      <c r="CV38" s="100">
        <f>INDEX('W2'!$M$46:$R$46,MATCH('W6 - Operating cost'!$B$1,'W2'!$M$7:$R$7,0))*POWER(1+$C$72,CY$1)*$E$1</f>
        <v>4053.9099498521673</v>
      </c>
      <c r="CW38" s="55"/>
      <c r="CX38" s="55"/>
      <c r="CY38" s="55"/>
      <c r="CZ38" s="55"/>
      <c r="DB38" s="100">
        <f>INDEX('W2'!$M$46:$R$46,MATCH('W6 - Operating cost'!$B$1,'W2'!$M$7:$R$7,0))*POWER(1+$C$72,DE$1)*$E$1</f>
        <v>4256.6054473447757</v>
      </c>
      <c r="DC38" s="55"/>
      <c r="DD38" s="55"/>
      <c r="DE38" s="55"/>
      <c r="DF38" s="55"/>
      <c r="DH38" s="100">
        <f>INDEX('W2'!$M$46:$R$46,MATCH('W6 - Operating cost'!$B$1,'W2'!$M$7:$R$7,0))*POWER(1+$C$72,DK$1)*$E$1</f>
        <v>4469.4357197120144</v>
      </c>
      <c r="DI38" s="55"/>
      <c r="DJ38" s="55"/>
      <c r="DK38" s="55"/>
      <c r="DL38" s="55"/>
      <c r="DN38" s="100">
        <f>INDEX('W2'!$M$46:$R$46,MATCH('W6 - Operating cost'!$B$1,'W2'!$M$7:$R$7,0))*POWER(1+$C$72,DQ$1)*$E$1</f>
        <v>4692.9075056976153</v>
      </c>
      <c r="DO38" s="55"/>
      <c r="DP38" s="55"/>
      <c r="DQ38" s="55"/>
      <c r="DR38" s="55"/>
      <c r="DT38" s="100">
        <f>INDEX('W2'!$M$46:$R$46,MATCH('W6 - Operating cost'!$B$1,'W2'!$M$7:$R$7,0))*POWER(1+$C$72,DW$1)*$E$1</f>
        <v>4927.5528809824964</v>
      </c>
      <c r="DU38" s="55"/>
      <c r="DV38" s="55"/>
      <c r="DW38" s="55"/>
      <c r="DX38" s="55"/>
      <c r="DZ38" s="100">
        <f>INDEX('W2'!$M$46:$R$46,MATCH('W6 - Operating cost'!$B$1,'W2'!$M$7:$R$7,0))*POWER(1+$C$72,EC$1)*$E$1</f>
        <v>5173.9305250316211</v>
      </c>
      <c r="EA38" s="55"/>
      <c r="EB38" s="55"/>
      <c r="EC38" s="55"/>
      <c r="ED38" s="55"/>
      <c r="EF38" s="100">
        <f>INDEX('W2'!$M$46:$R$46,MATCH('W6 - Operating cost'!$B$1,'W2'!$M$7:$R$7,0))*POWER(1+$C$72,EI$1)*$E$1</f>
        <v>5432.6270512832016</v>
      </c>
      <c r="EG38" s="55"/>
      <c r="EH38" s="55"/>
      <c r="EI38" s="55"/>
      <c r="EJ38" s="55"/>
      <c r="EL38" s="100">
        <f>INDEX('W2'!$M$46:$R$46,MATCH('W6 - Operating cost'!$B$1,'W2'!$M$7:$R$7,0))*POWER(1+$C$72,EO$1)*$E$1</f>
        <v>5704.2584038473615</v>
      </c>
      <c r="EM38" s="55"/>
      <c r="EN38" s="55"/>
      <c r="EO38" s="55"/>
      <c r="EP38" s="55"/>
      <c r="ER38" s="100">
        <f>INDEX('W2'!$M$46:$R$46,MATCH('W6 - Operating cost'!$B$1,'W2'!$M$7:$R$7,0))*POWER(1+$C$72,EU$1)*$E$1</f>
        <v>5989.4713240397305</v>
      </c>
      <c r="ES38" s="55"/>
      <c r="ET38" s="55"/>
      <c r="EU38" s="55"/>
      <c r="EV38" s="55"/>
    </row>
    <row r="39" spans="1:152" x14ac:dyDescent="0.25">
      <c r="B39" s="56" t="s">
        <v>111</v>
      </c>
      <c r="C39" s="55"/>
      <c r="D39" s="55"/>
      <c r="E39" s="55"/>
      <c r="F39" s="55"/>
      <c r="G39" s="55"/>
      <c r="H39" s="55"/>
      <c r="J39" s="55"/>
      <c r="K39" s="55"/>
      <c r="L39" s="55"/>
      <c r="M39" s="55"/>
      <c r="N39" s="55"/>
      <c r="P39" s="55"/>
      <c r="Q39" s="55"/>
      <c r="R39" s="55"/>
      <c r="S39" s="55"/>
      <c r="T39" s="55"/>
      <c r="V39" s="55"/>
      <c r="W39" s="55"/>
      <c r="X39" s="55"/>
      <c r="Y39" s="55"/>
      <c r="Z39" s="55"/>
      <c r="AB39" s="55"/>
      <c r="AC39" s="55"/>
      <c r="AD39" s="55"/>
      <c r="AE39" s="55"/>
      <c r="AF39" s="55"/>
      <c r="AH39" s="55"/>
      <c r="AI39" s="55"/>
      <c r="AJ39" s="55"/>
      <c r="AK39" s="55"/>
      <c r="AL39" s="55"/>
      <c r="AN39" s="55"/>
      <c r="AO39" s="55"/>
      <c r="AP39" s="55"/>
      <c r="AQ39" s="55"/>
      <c r="AR39" s="55"/>
      <c r="AT39" s="55"/>
      <c r="AU39" s="55"/>
      <c r="AV39" s="55"/>
      <c r="AW39" s="55"/>
      <c r="AX39" s="55"/>
      <c r="AZ39" s="55"/>
      <c r="BA39" s="55"/>
      <c r="BB39" s="55"/>
      <c r="BC39" s="55"/>
      <c r="BD39" s="55"/>
      <c r="BF39" s="55"/>
      <c r="BG39" s="55"/>
      <c r="BH39" s="55"/>
      <c r="BI39" s="55"/>
      <c r="BJ39" s="55"/>
      <c r="BL39" s="55"/>
      <c r="BM39" s="55"/>
      <c r="BN39" s="55"/>
      <c r="BO39" s="55"/>
      <c r="BP39" s="55"/>
      <c r="BR39" s="55"/>
      <c r="BS39" s="55"/>
      <c r="BT39" s="55"/>
      <c r="BU39" s="55"/>
      <c r="BV39" s="55"/>
      <c r="BX39" s="55"/>
      <c r="BY39" s="55"/>
      <c r="BZ39" s="55"/>
      <c r="CA39" s="55"/>
      <c r="CB39" s="55"/>
      <c r="CD39" s="55"/>
      <c r="CE39" s="55"/>
      <c r="CF39" s="55"/>
      <c r="CG39" s="55"/>
      <c r="CH39" s="55"/>
      <c r="CJ39" s="55"/>
      <c r="CK39" s="55"/>
      <c r="CL39" s="55"/>
      <c r="CM39" s="55"/>
      <c r="CN39" s="55"/>
      <c r="CP39" s="55"/>
      <c r="CQ39" s="55"/>
      <c r="CR39" s="55"/>
      <c r="CS39" s="55"/>
      <c r="CT39" s="55"/>
      <c r="CV39" s="55"/>
      <c r="CW39" s="55"/>
      <c r="CX39" s="55"/>
      <c r="CY39" s="55"/>
      <c r="CZ39" s="55"/>
      <c r="DB39" s="55"/>
      <c r="DC39" s="55"/>
      <c r="DD39" s="55"/>
      <c r="DE39" s="55"/>
      <c r="DF39" s="55"/>
      <c r="DH39" s="55"/>
      <c r="DI39" s="55"/>
      <c r="DJ39" s="55"/>
      <c r="DK39" s="55"/>
      <c r="DL39" s="55"/>
      <c r="DN39" s="55"/>
      <c r="DO39" s="55"/>
      <c r="DP39" s="55"/>
      <c r="DQ39" s="55"/>
      <c r="DR39" s="55"/>
      <c r="DT39" s="55"/>
      <c r="DU39" s="55"/>
      <c r="DV39" s="55"/>
      <c r="DW39" s="55"/>
      <c r="DX39" s="55"/>
      <c r="DZ39" s="55"/>
      <c r="EA39" s="55"/>
      <c r="EB39" s="55"/>
      <c r="EC39" s="55"/>
      <c r="ED39" s="55"/>
      <c r="EF39" s="55"/>
      <c r="EG39" s="55"/>
      <c r="EH39" s="55"/>
      <c r="EI39" s="55"/>
      <c r="EJ39" s="55"/>
      <c r="EL39" s="55"/>
      <c r="EM39" s="55"/>
      <c r="EN39" s="55"/>
      <c r="EO39" s="55"/>
      <c r="EP39" s="55"/>
      <c r="ER39" s="55"/>
      <c r="ES39" s="55"/>
      <c r="ET39" s="55"/>
      <c r="EU39" s="55"/>
      <c r="EV39" s="55"/>
    </row>
    <row r="40" spans="1:152" x14ac:dyDescent="0.25">
      <c r="B40" s="53" t="s">
        <v>128</v>
      </c>
      <c r="C40" s="54"/>
      <c r="D40" s="133"/>
      <c r="E40" s="54"/>
      <c r="F40" s="54"/>
      <c r="G40" s="54"/>
      <c r="H40" s="54"/>
      <c r="J40" s="133"/>
      <c r="K40" s="54"/>
      <c r="L40" s="54"/>
      <c r="M40" s="54"/>
      <c r="N40" s="54"/>
      <c r="P40" s="133"/>
      <c r="Q40" s="54"/>
      <c r="R40" s="54"/>
      <c r="S40" s="54"/>
      <c r="T40" s="54"/>
      <c r="V40" s="133"/>
      <c r="W40" s="54"/>
      <c r="X40" s="54"/>
      <c r="Y40" s="54"/>
      <c r="Z40" s="54"/>
      <c r="AB40" s="133"/>
      <c r="AC40" s="54"/>
      <c r="AD40" s="54"/>
      <c r="AE40" s="54"/>
      <c r="AF40" s="54"/>
      <c r="AH40" s="133"/>
      <c r="AI40" s="54"/>
      <c r="AJ40" s="54"/>
      <c r="AK40" s="54"/>
      <c r="AL40" s="54"/>
      <c r="AN40" s="133"/>
      <c r="AO40" s="54"/>
      <c r="AP40" s="54"/>
      <c r="AQ40" s="54"/>
      <c r="AR40" s="54"/>
      <c r="AT40" s="133"/>
      <c r="AU40" s="54"/>
      <c r="AV40" s="54"/>
      <c r="AW40" s="54"/>
      <c r="AX40" s="54"/>
      <c r="AZ40" s="133"/>
      <c r="BA40" s="54"/>
      <c r="BB40" s="54"/>
      <c r="BC40" s="54"/>
      <c r="BD40" s="54"/>
      <c r="BF40" s="133"/>
      <c r="BG40" s="54"/>
      <c r="BH40" s="54"/>
      <c r="BI40" s="54"/>
      <c r="BJ40" s="54"/>
      <c r="BL40" s="133"/>
      <c r="BM40" s="54"/>
      <c r="BN40" s="54"/>
      <c r="BO40" s="54"/>
      <c r="BP40" s="54"/>
      <c r="BR40" s="133"/>
      <c r="BS40" s="54"/>
      <c r="BT40" s="54"/>
      <c r="BU40" s="54"/>
      <c r="BV40" s="54"/>
      <c r="BX40" s="133"/>
      <c r="BY40" s="54"/>
      <c r="BZ40" s="54"/>
      <c r="CA40" s="54"/>
      <c r="CB40" s="54"/>
      <c r="CD40" s="133"/>
      <c r="CE40" s="54"/>
      <c r="CF40" s="54"/>
      <c r="CG40" s="54"/>
      <c r="CH40" s="54"/>
      <c r="CJ40" s="133"/>
      <c r="CK40" s="54"/>
      <c r="CL40" s="54"/>
      <c r="CM40" s="54"/>
      <c r="CN40" s="54"/>
      <c r="CP40" s="133"/>
      <c r="CQ40" s="54"/>
      <c r="CR40" s="54"/>
      <c r="CS40" s="54"/>
      <c r="CT40" s="54"/>
      <c r="CV40" s="133"/>
      <c r="CW40" s="54"/>
      <c r="CX40" s="54"/>
      <c r="CY40" s="54"/>
      <c r="CZ40" s="54"/>
      <c r="DB40" s="133"/>
      <c r="DC40" s="54"/>
      <c r="DD40" s="54"/>
      <c r="DE40" s="54"/>
      <c r="DF40" s="54"/>
      <c r="DH40" s="133"/>
      <c r="DI40" s="54"/>
      <c r="DJ40" s="54"/>
      <c r="DK40" s="54"/>
      <c r="DL40" s="54"/>
      <c r="DN40" s="133"/>
      <c r="DO40" s="54"/>
      <c r="DP40" s="54"/>
      <c r="DQ40" s="54"/>
      <c r="DR40" s="54"/>
      <c r="DT40" s="133"/>
      <c r="DU40" s="54"/>
      <c r="DV40" s="54"/>
      <c r="DW40" s="54"/>
      <c r="DX40" s="54"/>
      <c r="DZ40" s="133"/>
      <c r="EA40" s="54"/>
      <c r="EB40" s="54"/>
      <c r="EC40" s="54"/>
      <c r="ED40" s="54"/>
      <c r="EF40" s="133"/>
      <c r="EG40" s="54"/>
      <c r="EH40" s="54"/>
      <c r="EI40" s="54"/>
      <c r="EJ40" s="54"/>
      <c r="EL40" s="133"/>
      <c r="EM40" s="54"/>
      <c r="EN40" s="54"/>
      <c r="EO40" s="54"/>
      <c r="EP40" s="54"/>
      <c r="ER40" s="133"/>
      <c r="ES40" s="54"/>
      <c r="ET40" s="54"/>
      <c r="EU40" s="54"/>
      <c r="EV40" s="54"/>
    </row>
    <row r="41" spans="1:152" x14ac:dyDescent="0.25">
      <c r="A41" t="s">
        <v>147</v>
      </c>
      <c r="B41" s="56" t="s">
        <v>344</v>
      </c>
      <c r="C41" s="55" t="s">
        <v>129</v>
      </c>
      <c r="D41" s="55"/>
      <c r="E41" s="132" cm="1">
        <f t="array" ref="E41">SUMPRODUCT('W1'!$I$10:$AI$60*('W1'!$B$10:$B$60=$B41)*('W1'!$I$6:$AI$6=$B$1))*$E$1</f>
        <v>106600000000.00003</v>
      </c>
      <c r="F41" s="134">
        <f>IF(H$2&lt;=E$46,E41/E$47,0)</f>
        <v>740277777.77777803</v>
      </c>
      <c r="G41" s="134">
        <f>F41*12</f>
        <v>8883333333.3333359</v>
      </c>
      <c r="H41" s="55"/>
      <c r="J41" s="55"/>
      <c r="K41" s="132" cm="1">
        <f t="array" ref="K41">SUMPRODUCT('W1'!$I$10:$AI$60*('W1'!$B$10:$B$60=$B41)*('W1'!$I$6:$AI$6=$B$1))*$E$1</f>
        <v>106600000000.00003</v>
      </c>
      <c r="L41" s="134">
        <f>IF(N$2&lt;=K$46,K41/K$47,0)</f>
        <v>740277777.77777803</v>
      </c>
      <c r="M41" s="134">
        <f>L41*12</f>
        <v>8883333333.3333359</v>
      </c>
      <c r="N41" s="55"/>
      <c r="P41" s="55"/>
      <c r="Q41" s="132" cm="1">
        <f t="array" ref="Q41">SUMPRODUCT('W1'!$I$10:$AI$60*('W1'!$B$10:$B$60=$B41)*('W1'!$I$6:$AI$6=$B$1))*$E$1</f>
        <v>106600000000.00003</v>
      </c>
      <c r="R41" s="134">
        <f>IF(T$2&lt;=Q$46,Q41/Q$47,0)</f>
        <v>740277777.77777803</v>
      </c>
      <c r="S41" s="134">
        <f>R41*12</f>
        <v>8883333333.3333359</v>
      </c>
      <c r="T41" s="55"/>
      <c r="V41" s="55"/>
      <c r="W41" s="132" cm="1">
        <f t="array" ref="W41">SUMPRODUCT('W1'!$I$10:$AI$60*('W1'!$B$10:$B$60=$B41)*('W1'!$I$6:$AI$6=$B$1))*$E$1</f>
        <v>106600000000.00003</v>
      </c>
      <c r="X41" s="134">
        <f t="shared" ref="X41:X45" si="588">IF(Z$2&lt;=W$46,W41/W$47,0)</f>
        <v>740277777.77777803</v>
      </c>
      <c r="Y41" s="134">
        <f t="shared" ref="Y41:Y45" si="589">X41*12</f>
        <v>8883333333.3333359</v>
      </c>
      <c r="Z41" s="55"/>
      <c r="AB41" s="55"/>
      <c r="AC41" s="132" cm="1">
        <f t="array" ref="AC41">SUMPRODUCT('W1'!$I$10:$AI$60*('W1'!$B$10:$B$60=$B41)*('W1'!$I$6:$AI$6=$B$1))*$E$1</f>
        <v>106600000000.00003</v>
      </c>
      <c r="AD41" s="134">
        <f t="shared" ref="AD41:AD45" si="590">IF(AF$2&lt;=AC$46,AC41/AC$47,0)</f>
        <v>740277777.77777803</v>
      </c>
      <c r="AE41" s="134">
        <f t="shared" ref="AE41:AE45" si="591">AD41*12</f>
        <v>8883333333.3333359</v>
      </c>
      <c r="AF41" s="55"/>
      <c r="AH41" s="55"/>
      <c r="AI41" s="132" cm="1">
        <f t="array" ref="AI41">SUMPRODUCT('W1'!$I$10:$AI$60*('W1'!$B$10:$B$60=$B41)*('W1'!$I$6:$AI$6=$B$1))*$E$1</f>
        <v>106600000000.00003</v>
      </c>
      <c r="AJ41" s="134">
        <f t="shared" ref="AJ41:AJ45" si="592">IF(AL$2&lt;=AI$46,AI41/AI$47,0)</f>
        <v>740277777.77777803</v>
      </c>
      <c r="AK41" s="134">
        <f t="shared" ref="AK41:AK45" si="593">AJ41*12</f>
        <v>8883333333.3333359</v>
      </c>
      <c r="AL41" s="55"/>
      <c r="AN41" s="55"/>
      <c r="AO41" s="132" cm="1">
        <f t="array" ref="AO41">SUMPRODUCT('W1'!$I$10:$AI$60*('W1'!$B$10:$B$60=$B41)*('W1'!$I$6:$AI$6=$B$1))*$E$1</f>
        <v>106600000000.00003</v>
      </c>
      <c r="AP41" s="134">
        <f t="shared" ref="AP41:AP45" si="594">IF(AR$2&lt;=AO$46,AO41/AO$47,0)</f>
        <v>740277777.77777803</v>
      </c>
      <c r="AQ41" s="134">
        <f t="shared" ref="AQ41:AQ45" si="595">AP41*12</f>
        <v>8883333333.3333359</v>
      </c>
      <c r="AR41" s="55"/>
      <c r="AT41" s="55"/>
      <c r="AU41" s="132" cm="1">
        <f t="array" ref="AU41">SUMPRODUCT('W1'!$I$10:$AI$60*('W1'!$B$10:$B$60=$B41)*('W1'!$I$6:$AI$6=$B$1))*$E$1</f>
        <v>106600000000.00003</v>
      </c>
      <c r="AV41" s="134">
        <f t="shared" ref="AV41:AV45" si="596">IF(AX$2&lt;=AU$46,AU41/AU$47,0)</f>
        <v>740277777.77777803</v>
      </c>
      <c r="AW41" s="134">
        <f t="shared" ref="AW41:AW45" si="597">AV41*12</f>
        <v>8883333333.3333359</v>
      </c>
      <c r="AX41" s="55"/>
      <c r="AZ41" s="55"/>
      <c r="BA41" s="132" cm="1">
        <f t="array" ref="BA41">SUMPRODUCT('W1'!$I$10:$AI$60*('W1'!$B$10:$B$60=$B41)*('W1'!$I$6:$AI$6=$B$1))*$E$1</f>
        <v>106600000000.00003</v>
      </c>
      <c r="BB41" s="134">
        <f t="shared" ref="BB41:BB45" si="598">IF(BD$2&lt;=BA$46,BA41/BA$47,0)</f>
        <v>740277777.77777803</v>
      </c>
      <c r="BC41" s="134">
        <f t="shared" ref="BC41:BC45" si="599">BB41*12</f>
        <v>8883333333.3333359</v>
      </c>
      <c r="BD41" s="55"/>
      <c r="BF41" s="55"/>
      <c r="BG41" s="132" cm="1">
        <f t="array" ref="BG41">SUMPRODUCT('W1'!$I$10:$AI$60*('W1'!$B$10:$B$60=$B41)*('W1'!$I$6:$AI$6=$B$1))*$E$1</f>
        <v>106600000000.00003</v>
      </c>
      <c r="BH41" s="134">
        <f t="shared" ref="BH41:BH45" si="600">IF(BJ$2&lt;=BG$46,BG41/BG$47,0)</f>
        <v>740277777.77777803</v>
      </c>
      <c r="BI41" s="134">
        <f t="shared" ref="BI41:BI45" si="601">BH41*12</f>
        <v>8883333333.3333359</v>
      </c>
      <c r="BJ41" s="55"/>
      <c r="BL41" s="55"/>
      <c r="BM41" s="132" cm="1">
        <f t="array" ref="BM41">SUMPRODUCT('W1'!$I$10:$AI$60*('W1'!$B$10:$B$60=$B41)*('W1'!$I$6:$AI$6=$B$1))*$E$1</f>
        <v>106600000000.00003</v>
      </c>
      <c r="BN41" s="134">
        <f t="shared" ref="BN41:BN45" si="602">IF(BP$2&lt;=BM$46,BM41/BM$47,0)</f>
        <v>740277777.77777803</v>
      </c>
      <c r="BO41" s="134">
        <f t="shared" ref="BO41:BO45" si="603">BN41*12</f>
        <v>8883333333.3333359</v>
      </c>
      <c r="BP41" s="55"/>
      <c r="BR41" s="55"/>
      <c r="BS41" s="132" cm="1">
        <f t="array" ref="BS41">SUMPRODUCT('W1'!$I$10:$AI$60*('W1'!$B$10:$B$60=$B41)*('W1'!$I$6:$AI$6=$B$1))*$E$1</f>
        <v>106600000000.00003</v>
      </c>
      <c r="BT41" s="134">
        <f t="shared" ref="BT41:BT45" si="604">IF(BV$2&lt;=BS$46,BS41/BS$47,0)</f>
        <v>740277777.77777803</v>
      </c>
      <c r="BU41" s="134">
        <f t="shared" ref="BU41:BU45" si="605">BT41*12</f>
        <v>8883333333.3333359</v>
      </c>
      <c r="BV41" s="55"/>
      <c r="BX41" s="55"/>
      <c r="BY41" s="132" cm="1">
        <f t="array" ref="BY41">SUMPRODUCT('W1'!$I$10:$AI$60*('W1'!$B$10:$B$60=$B41)*('W1'!$I$6:$AI$6=$B$1))*$E$1</f>
        <v>106600000000.00003</v>
      </c>
      <c r="BZ41" s="134">
        <f t="shared" ref="BZ41:BZ45" si="606">IF(CB$2&lt;=BY$46,BY41/BY$47,0)</f>
        <v>0</v>
      </c>
      <c r="CA41" s="134">
        <f t="shared" ref="CA41:CA45" si="607">BZ41*12</f>
        <v>0</v>
      </c>
      <c r="CB41" s="55"/>
      <c r="CD41" s="55"/>
      <c r="CE41" s="132" cm="1">
        <f t="array" ref="CE41">SUMPRODUCT('W1'!$I$10:$AI$60*('W1'!$B$10:$B$60=$B41)*('W1'!$I$6:$AI$6=$B$1))*$E$1</f>
        <v>106600000000.00003</v>
      </c>
      <c r="CF41" s="134">
        <f t="shared" ref="CF41:CF45" si="608">IF(CH$2&lt;=CE$46,CE41/CE$47,0)</f>
        <v>0</v>
      </c>
      <c r="CG41" s="134">
        <f t="shared" ref="CG41:CG45" si="609">CF41*12</f>
        <v>0</v>
      </c>
      <c r="CH41" s="55"/>
      <c r="CJ41" s="55"/>
      <c r="CK41" s="132" cm="1">
        <f t="array" ref="CK41">SUMPRODUCT('W1'!$I$10:$AI$60*('W1'!$B$10:$B$60=$B41)*('W1'!$I$6:$AI$6=$B$1))*$E$1</f>
        <v>106600000000.00003</v>
      </c>
      <c r="CL41" s="134">
        <f t="shared" ref="CL41:CL45" si="610">IF(CN$2&lt;=CK$46,CK41/CK$47,0)</f>
        <v>0</v>
      </c>
      <c r="CM41" s="134">
        <f t="shared" ref="CM41:CM45" si="611">CL41*12</f>
        <v>0</v>
      </c>
      <c r="CN41" s="55"/>
      <c r="CP41" s="55"/>
      <c r="CQ41" s="132" cm="1">
        <f t="array" ref="CQ41">SUMPRODUCT('W1'!$I$10:$AI$60*('W1'!$B$10:$B$60=$B41)*('W1'!$I$6:$AI$6=$B$1))*$E$1</f>
        <v>106600000000.00003</v>
      </c>
      <c r="CR41" s="134">
        <f t="shared" ref="CR41:CR45" si="612">IF(CT$2&lt;=CQ$46,CQ41/CQ$47,0)</f>
        <v>0</v>
      </c>
      <c r="CS41" s="134">
        <f t="shared" ref="CS41:CS45" si="613">CR41*12</f>
        <v>0</v>
      </c>
      <c r="CT41" s="55"/>
      <c r="CV41" s="55"/>
      <c r="CW41" s="132" cm="1">
        <f t="array" ref="CW41">SUMPRODUCT('W1'!$I$10:$AI$60*('W1'!$B$10:$B$60=$B41)*('W1'!$I$6:$AI$6=$B$1))*$E$1</f>
        <v>106600000000.00003</v>
      </c>
      <c r="CX41" s="134">
        <f t="shared" ref="CX41:CX45" si="614">IF(CZ$2&lt;=CW$46,CW41/CW$47,0)</f>
        <v>0</v>
      </c>
      <c r="CY41" s="134">
        <f t="shared" ref="CY41:CY45" si="615">CX41*12</f>
        <v>0</v>
      </c>
      <c r="CZ41" s="55"/>
      <c r="DB41" s="55"/>
      <c r="DC41" s="132" cm="1">
        <f t="array" ref="DC41">SUMPRODUCT('W1'!$I$10:$AI$60*('W1'!$B$10:$B$60=$B41)*('W1'!$I$6:$AI$6=$B$1))*$E$1</f>
        <v>106600000000.00003</v>
      </c>
      <c r="DD41" s="134">
        <f t="shared" ref="DD41:DD45" si="616">IF(DF$2&lt;=DC$46,DC41/DC$47,0)</f>
        <v>0</v>
      </c>
      <c r="DE41" s="134">
        <f t="shared" ref="DE41:DE45" si="617">DD41*12</f>
        <v>0</v>
      </c>
      <c r="DF41" s="55"/>
      <c r="DH41" s="55"/>
      <c r="DI41" s="132" cm="1">
        <f t="array" ref="DI41">SUMPRODUCT('W1'!$I$10:$AI$60*('W1'!$B$10:$B$60=$B41)*('W1'!$I$6:$AI$6=$B$1))*$E$1</f>
        <v>106600000000.00003</v>
      </c>
      <c r="DJ41" s="134">
        <f t="shared" ref="DJ41:DJ45" si="618">IF(DL$2&lt;=DI$46,DI41/DI$47,0)</f>
        <v>0</v>
      </c>
      <c r="DK41" s="134">
        <f t="shared" ref="DK41:DK45" si="619">DJ41*12</f>
        <v>0</v>
      </c>
      <c r="DL41" s="55"/>
      <c r="DN41" s="55"/>
      <c r="DO41" s="132" cm="1">
        <f t="array" ref="DO41">SUMPRODUCT('W1'!$I$10:$AI$60*('W1'!$B$10:$B$60=$B41)*('W1'!$I$6:$AI$6=$B$1))*$E$1</f>
        <v>106600000000.00003</v>
      </c>
      <c r="DP41" s="134">
        <f t="shared" ref="DP41:DP45" si="620">IF(DR$2&lt;=DO$46,DO41/DO$47,0)</f>
        <v>0</v>
      </c>
      <c r="DQ41" s="134">
        <f t="shared" ref="DQ41:DQ45" si="621">DP41*12</f>
        <v>0</v>
      </c>
      <c r="DR41" s="55"/>
      <c r="DT41" s="55"/>
      <c r="DU41" s="132" cm="1">
        <f t="array" ref="DU41">SUMPRODUCT('W1'!$I$10:$AI$60*('W1'!$B$10:$B$60=$B41)*('W1'!$I$6:$AI$6=$B$1))*$E$1</f>
        <v>106600000000.00003</v>
      </c>
      <c r="DV41" s="134">
        <f t="shared" ref="DV41:DV45" si="622">IF(DX$2&lt;=DU$46,DU41/DU$47,0)</f>
        <v>0</v>
      </c>
      <c r="DW41" s="134">
        <f t="shared" ref="DW41:DW45" si="623">DV41*12</f>
        <v>0</v>
      </c>
      <c r="DX41" s="55"/>
      <c r="DZ41" s="55"/>
      <c r="EA41" s="132" cm="1">
        <f t="array" ref="EA41">SUMPRODUCT('W1'!$I$10:$AI$60*('W1'!$B$10:$B$60=$B41)*('W1'!$I$6:$AI$6=$B$1))*$E$1</f>
        <v>106600000000.00003</v>
      </c>
      <c r="EB41" s="134">
        <f t="shared" ref="EB41:EB45" si="624">IF(ED$2&lt;=EA$46,EA41/EA$47,0)</f>
        <v>0</v>
      </c>
      <c r="EC41" s="134">
        <f t="shared" ref="EC41:EC45" si="625">EB41*12</f>
        <v>0</v>
      </c>
      <c r="ED41" s="55"/>
      <c r="EF41" s="55"/>
      <c r="EG41" s="132" cm="1">
        <f t="array" ref="EG41">SUMPRODUCT('W1'!$I$10:$AI$60*('W1'!$B$10:$B$60=$B41)*('W1'!$I$6:$AI$6=$B$1))*$E$1</f>
        <v>106600000000.00003</v>
      </c>
      <c r="EH41" s="134">
        <f t="shared" ref="EH41:EH45" si="626">IF(EJ$2&lt;=EG$46,EG41/EG$47,0)</f>
        <v>0</v>
      </c>
      <c r="EI41" s="134">
        <f t="shared" ref="EI41:EI45" si="627">EH41*12</f>
        <v>0</v>
      </c>
      <c r="EJ41" s="55"/>
      <c r="EL41" s="55"/>
      <c r="EM41" s="132" cm="1">
        <f t="array" ref="EM41">SUMPRODUCT('W1'!$I$10:$AI$60*('W1'!$B$10:$B$60=$B41)*('W1'!$I$6:$AI$6=$B$1))*$E$1</f>
        <v>106600000000.00003</v>
      </c>
      <c r="EN41" s="134">
        <f t="shared" ref="EN41:EN45" si="628">IF(EP$2&lt;=EM$46,EM41/EM$47,0)</f>
        <v>0</v>
      </c>
      <c r="EO41" s="134">
        <f t="shared" ref="EO41:EO45" si="629">EN41*12</f>
        <v>0</v>
      </c>
      <c r="EP41" s="55"/>
      <c r="ER41" s="55"/>
      <c r="ES41" s="132" cm="1">
        <f t="array" ref="ES41">SUMPRODUCT('W1'!$I$10:$AI$60*('W1'!$B$10:$B$60=$B41)*('W1'!$I$6:$AI$6=$B$1))*$E$1</f>
        <v>106600000000.00003</v>
      </c>
      <c r="ET41" s="134">
        <f t="shared" ref="ET41:ET45" si="630">IF(EV$2&lt;=ES$46,ES41/ES$47,0)</f>
        <v>0</v>
      </c>
      <c r="EU41" s="134">
        <f t="shared" ref="EU41:EU45" si="631">ET41*12</f>
        <v>0</v>
      </c>
      <c r="EV41" s="55"/>
    </row>
    <row r="42" spans="1:152" x14ac:dyDescent="0.25">
      <c r="A42" t="s">
        <v>147</v>
      </c>
      <c r="B42" s="56" t="s">
        <v>130</v>
      </c>
      <c r="C42" s="55" t="s">
        <v>129</v>
      </c>
      <c r="D42" s="55"/>
      <c r="E42" s="132" cm="1">
        <f t="array" ref="E42">SUMPRODUCT('W1'!$I$10:$AI$60*('W1'!$B$10:$B$60=$B42)*('W1'!$I$6:$AI$6=$B$1))*$E$1</f>
        <v>128180000000</v>
      </c>
      <c r="F42" s="101">
        <f>IF(H$2&lt;=E$46,E42/E$47,0)</f>
        <v>890138888.88888884</v>
      </c>
      <c r="G42" s="134">
        <f t="shared" ref="G42:G45" si="632">F42*12</f>
        <v>10681666666.666666</v>
      </c>
      <c r="H42" s="55"/>
      <c r="J42" s="55"/>
      <c r="K42" s="132" cm="1">
        <f t="array" ref="K42">SUMPRODUCT('W1'!$I$10:$AI$60*('W1'!$B$10:$B$60=$B42)*('W1'!$I$6:$AI$6=$B$1))*$E$1</f>
        <v>128180000000</v>
      </c>
      <c r="L42" s="134">
        <f>IF(N$2&lt;=K$46,K42/K$47,0)</f>
        <v>890138888.88888884</v>
      </c>
      <c r="M42" s="134">
        <f t="shared" ref="M42:M45" si="633">L42*12</f>
        <v>10681666666.666666</v>
      </c>
      <c r="N42" s="55"/>
      <c r="P42" s="55"/>
      <c r="Q42" s="132" cm="1">
        <f t="array" ref="Q42">SUMPRODUCT('W1'!$I$10:$AI$60*('W1'!$B$10:$B$60=$B42)*('W1'!$I$6:$AI$6=$B$1))*$E$1</f>
        <v>128180000000</v>
      </c>
      <c r="R42" s="134">
        <f>IF(T$2&lt;=Q$46,Q42/Q$47,0)</f>
        <v>890138888.88888884</v>
      </c>
      <c r="S42" s="134">
        <f t="shared" ref="S42:S45" si="634">R42*12</f>
        <v>10681666666.666666</v>
      </c>
      <c r="T42" s="55"/>
      <c r="V42" s="55"/>
      <c r="W42" s="132" cm="1">
        <f t="array" ref="W42">SUMPRODUCT('W1'!$I$10:$AI$60*('W1'!$B$10:$B$60=$B42)*('W1'!$I$6:$AI$6=$B$1))*$E$1</f>
        <v>128180000000</v>
      </c>
      <c r="X42" s="134">
        <f t="shared" si="588"/>
        <v>890138888.88888884</v>
      </c>
      <c r="Y42" s="134">
        <f t="shared" si="589"/>
        <v>10681666666.666666</v>
      </c>
      <c r="Z42" s="55"/>
      <c r="AB42" s="55"/>
      <c r="AC42" s="132" cm="1">
        <f t="array" ref="AC42">SUMPRODUCT('W1'!$I$10:$AI$60*('W1'!$B$10:$B$60=$B42)*('W1'!$I$6:$AI$6=$B$1))*$E$1</f>
        <v>128180000000</v>
      </c>
      <c r="AD42" s="134">
        <f t="shared" si="590"/>
        <v>890138888.88888884</v>
      </c>
      <c r="AE42" s="134">
        <f t="shared" si="591"/>
        <v>10681666666.666666</v>
      </c>
      <c r="AF42" s="55"/>
      <c r="AH42" s="55"/>
      <c r="AI42" s="132" cm="1">
        <f t="array" ref="AI42">SUMPRODUCT('W1'!$I$10:$AI$60*('W1'!$B$10:$B$60=$B42)*('W1'!$I$6:$AI$6=$B$1))*$E$1</f>
        <v>128180000000</v>
      </c>
      <c r="AJ42" s="134">
        <f t="shared" si="592"/>
        <v>890138888.88888884</v>
      </c>
      <c r="AK42" s="134">
        <f t="shared" si="593"/>
        <v>10681666666.666666</v>
      </c>
      <c r="AL42" s="55"/>
      <c r="AN42" s="55"/>
      <c r="AO42" s="132" cm="1">
        <f t="array" ref="AO42">SUMPRODUCT('W1'!$I$10:$AI$60*('W1'!$B$10:$B$60=$B42)*('W1'!$I$6:$AI$6=$B$1))*$E$1</f>
        <v>128180000000</v>
      </c>
      <c r="AP42" s="134">
        <f t="shared" si="594"/>
        <v>890138888.88888884</v>
      </c>
      <c r="AQ42" s="134">
        <f t="shared" si="595"/>
        <v>10681666666.666666</v>
      </c>
      <c r="AR42" s="55"/>
      <c r="AT42" s="55"/>
      <c r="AU42" s="132" cm="1">
        <f t="array" ref="AU42">SUMPRODUCT('W1'!$I$10:$AI$60*('W1'!$B$10:$B$60=$B42)*('W1'!$I$6:$AI$6=$B$1))*$E$1</f>
        <v>128180000000</v>
      </c>
      <c r="AV42" s="134">
        <f t="shared" si="596"/>
        <v>890138888.88888884</v>
      </c>
      <c r="AW42" s="134">
        <f t="shared" si="597"/>
        <v>10681666666.666666</v>
      </c>
      <c r="AX42" s="55"/>
      <c r="AZ42" s="55"/>
      <c r="BA42" s="132" cm="1">
        <f t="array" ref="BA42">SUMPRODUCT('W1'!$I$10:$AI$60*('W1'!$B$10:$B$60=$B42)*('W1'!$I$6:$AI$6=$B$1))*$E$1</f>
        <v>128180000000</v>
      </c>
      <c r="BB42" s="134">
        <f t="shared" si="598"/>
        <v>890138888.88888884</v>
      </c>
      <c r="BC42" s="134">
        <f t="shared" si="599"/>
        <v>10681666666.666666</v>
      </c>
      <c r="BD42" s="55"/>
      <c r="BF42" s="55"/>
      <c r="BG42" s="132" cm="1">
        <f t="array" ref="BG42">SUMPRODUCT('W1'!$I$10:$AI$60*('W1'!$B$10:$B$60=$B42)*('W1'!$I$6:$AI$6=$B$1))*$E$1</f>
        <v>128180000000</v>
      </c>
      <c r="BH42" s="134">
        <f t="shared" si="600"/>
        <v>890138888.88888884</v>
      </c>
      <c r="BI42" s="134">
        <f t="shared" si="601"/>
        <v>10681666666.666666</v>
      </c>
      <c r="BJ42" s="55"/>
      <c r="BL42" s="55"/>
      <c r="BM42" s="132" cm="1">
        <f t="array" ref="BM42">SUMPRODUCT('W1'!$I$10:$AI$60*('W1'!$B$10:$B$60=$B42)*('W1'!$I$6:$AI$6=$B$1))*$E$1</f>
        <v>128180000000</v>
      </c>
      <c r="BN42" s="134">
        <f t="shared" si="602"/>
        <v>890138888.88888884</v>
      </c>
      <c r="BO42" s="134">
        <f t="shared" si="603"/>
        <v>10681666666.666666</v>
      </c>
      <c r="BP42" s="55"/>
      <c r="BR42" s="55"/>
      <c r="BS42" s="132" cm="1">
        <f t="array" ref="BS42">SUMPRODUCT('W1'!$I$10:$AI$60*('W1'!$B$10:$B$60=$B42)*('W1'!$I$6:$AI$6=$B$1))*$E$1</f>
        <v>128180000000</v>
      </c>
      <c r="BT42" s="134">
        <f t="shared" si="604"/>
        <v>890138888.88888884</v>
      </c>
      <c r="BU42" s="134">
        <f t="shared" si="605"/>
        <v>10681666666.666666</v>
      </c>
      <c r="BV42" s="55"/>
      <c r="BX42" s="55"/>
      <c r="BY42" s="132" cm="1">
        <f t="array" ref="BY42">SUMPRODUCT('W1'!$I$10:$AI$60*('W1'!$B$10:$B$60=$B42)*('W1'!$I$6:$AI$6=$B$1))*$E$1</f>
        <v>128180000000</v>
      </c>
      <c r="BZ42" s="134">
        <f t="shared" si="606"/>
        <v>0</v>
      </c>
      <c r="CA42" s="134">
        <f t="shared" si="607"/>
        <v>0</v>
      </c>
      <c r="CB42" s="55"/>
      <c r="CD42" s="55"/>
      <c r="CE42" s="132" cm="1">
        <f t="array" ref="CE42">SUMPRODUCT('W1'!$I$10:$AI$60*('W1'!$B$10:$B$60=$B42)*('W1'!$I$6:$AI$6=$B$1))*$E$1</f>
        <v>128180000000</v>
      </c>
      <c r="CF42" s="134">
        <f t="shared" si="608"/>
        <v>0</v>
      </c>
      <c r="CG42" s="134">
        <f t="shared" si="609"/>
        <v>0</v>
      </c>
      <c r="CH42" s="55"/>
      <c r="CJ42" s="55"/>
      <c r="CK42" s="132" cm="1">
        <f t="array" ref="CK42">SUMPRODUCT('W1'!$I$10:$AI$60*('W1'!$B$10:$B$60=$B42)*('W1'!$I$6:$AI$6=$B$1))*$E$1</f>
        <v>128180000000</v>
      </c>
      <c r="CL42" s="134">
        <f t="shared" si="610"/>
        <v>0</v>
      </c>
      <c r="CM42" s="134">
        <f t="shared" si="611"/>
        <v>0</v>
      </c>
      <c r="CN42" s="55"/>
      <c r="CP42" s="55"/>
      <c r="CQ42" s="132" cm="1">
        <f t="array" ref="CQ42">SUMPRODUCT('W1'!$I$10:$AI$60*('W1'!$B$10:$B$60=$B42)*('W1'!$I$6:$AI$6=$B$1))*$E$1</f>
        <v>128180000000</v>
      </c>
      <c r="CR42" s="134">
        <f t="shared" si="612"/>
        <v>0</v>
      </c>
      <c r="CS42" s="134">
        <f t="shared" si="613"/>
        <v>0</v>
      </c>
      <c r="CT42" s="55"/>
      <c r="CV42" s="55"/>
      <c r="CW42" s="132" cm="1">
        <f t="array" ref="CW42">SUMPRODUCT('W1'!$I$10:$AI$60*('W1'!$B$10:$B$60=$B42)*('W1'!$I$6:$AI$6=$B$1))*$E$1</f>
        <v>128180000000</v>
      </c>
      <c r="CX42" s="134">
        <f t="shared" si="614"/>
        <v>0</v>
      </c>
      <c r="CY42" s="134">
        <f t="shared" si="615"/>
        <v>0</v>
      </c>
      <c r="CZ42" s="55"/>
      <c r="DB42" s="55"/>
      <c r="DC42" s="132" cm="1">
        <f t="array" ref="DC42">SUMPRODUCT('W1'!$I$10:$AI$60*('W1'!$B$10:$B$60=$B42)*('W1'!$I$6:$AI$6=$B$1))*$E$1</f>
        <v>128180000000</v>
      </c>
      <c r="DD42" s="134">
        <f t="shared" si="616"/>
        <v>0</v>
      </c>
      <c r="DE42" s="134">
        <f t="shared" si="617"/>
        <v>0</v>
      </c>
      <c r="DF42" s="55"/>
      <c r="DH42" s="55"/>
      <c r="DI42" s="132" cm="1">
        <f t="array" ref="DI42">SUMPRODUCT('W1'!$I$10:$AI$60*('W1'!$B$10:$B$60=$B42)*('W1'!$I$6:$AI$6=$B$1))*$E$1</f>
        <v>128180000000</v>
      </c>
      <c r="DJ42" s="134">
        <f t="shared" si="618"/>
        <v>0</v>
      </c>
      <c r="DK42" s="134">
        <f t="shared" si="619"/>
        <v>0</v>
      </c>
      <c r="DL42" s="55"/>
      <c r="DN42" s="55"/>
      <c r="DO42" s="132" cm="1">
        <f t="array" ref="DO42">SUMPRODUCT('W1'!$I$10:$AI$60*('W1'!$B$10:$B$60=$B42)*('W1'!$I$6:$AI$6=$B$1))*$E$1</f>
        <v>128180000000</v>
      </c>
      <c r="DP42" s="134">
        <f t="shared" si="620"/>
        <v>0</v>
      </c>
      <c r="DQ42" s="134">
        <f t="shared" si="621"/>
        <v>0</v>
      </c>
      <c r="DR42" s="55"/>
      <c r="DT42" s="55"/>
      <c r="DU42" s="132" cm="1">
        <f t="array" ref="DU42">SUMPRODUCT('W1'!$I$10:$AI$60*('W1'!$B$10:$B$60=$B42)*('W1'!$I$6:$AI$6=$B$1))*$E$1</f>
        <v>128180000000</v>
      </c>
      <c r="DV42" s="134">
        <f t="shared" si="622"/>
        <v>0</v>
      </c>
      <c r="DW42" s="134">
        <f t="shared" si="623"/>
        <v>0</v>
      </c>
      <c r="DX42" s="55"/>
      <c r="DZ42" s="55"/>
      <c r="EA42" s="132" cm="1">
        <f t="array" ref="EA42">SUMPRODUCT('W1'!$I$10:$AI$60*('W1'!$B$10:$B$60=$B42)*('W1'!$I$6:$AI$6=$B$1))*$E$1</f>
        <v>128180000000</v>
      </c>
      <c r="EB42" s="134">
        <f t="shared" si="624"/>
        <v>0</v>
      </c>
      <c r="EC42" s="134">
        <f t="shared" si="625"/>
        <v>0</v>
      </c>
      <c r="ED42" s="55"/>
      <c r="EF42" s="55"/>
      <c r="EG42" s="132" cm="1">
        <f t="array" ref="EG42">SUMPRODUCT('W1'!$I$10:$AI$60*('W1'!$B$10:$B$60=$B42)*('W1'!$I$6:$AI$6=$B$1))*$E$1</f>
        <v>128180000000</v>
      </c>
      <c r="EH42" s="134">
        <f t="shared" si="626"/>
        <v>0</v>
      </c>
      <c r="EI42" s="134">
        <f t="shared" si="627"/>
        <v>0</v>
      </c>
      <c r="EJ42" s="55"/>
      <c r="EL42" s="55"/>
      <c r="EM42" s="132" cm="1">
        <f t="array" ref="EM42">SUMPRODUCT('W1'!$I$10:$AI$60*('W1'!$B$10:$B$60=$B42)*('W1'!$I$6:$AI$6=$B$1))*$E$1</f>
        <v>128180000000</v>
      </c>
      <c r="EN42" s="134">
        <f t="shared" si="628"/>
        <v>0</v>
      </c>
      <c r="EO42" s="134">
        <f t="shared" si="629"/>
        <v>0</v>
      </c>
      <c r="EP42" s="55"/>
      <c r="ER42" s="55"/>
      <c r="ES42" s="132" cm="1">
        <f t="array" ref="ES42">SUMPRODUCT('W1'!$I$10:$AI$60*('W1'!$B$10:$B$60=$B42)*('W1'!$I$6:$AI$6=$B$1))*$E$1</f>
        <v>128180000000</v>
      </c>
      <c r="ET42" s="134">
        <f t="shared" si="630"/>
        <v>0</v>
      </c>
      <c r="EU42" s="134">
        <f t="shared" si="631"/>
        <v>0</v>
      </c>
      <c r="EV42" s="55"/>
    </row>
    <row r="43" spans="1:152" x14ac:dyDescent="0.25">
      <c r="A43" t="s">
        <v>147</v>
      </c>
      <c r="B43" s="56" t="s">
        <v>347</v>
      </c>
      <c r="C43" s="55" t="s">
        <v>129</v>
      </c>
      <c r="D43" s="55"/>
      <c r="E43" s="132" cm="1">
        <f t="array" ref="E43">SUMPRODUCT('W1'!$I$10:$AI$60*('W1'!$B$10:$B$60=$B43)*('W1'!$I$6:$AI$6=$B$1))*$E$1</f>
        <v>11609000000</v>
      </c>
      <c r="F43" s="134">
        <f>IF(H$2&lt;=E$46,E43/E$47,0)</f>
        <v>80618055.555555552</v>
      </c>
      <c r="G43" s="134">
        <f t="shared" si="632"/>
        <v>967416666.66666663</v>
      </c>
      <c r="H43" s="55"/>
      <c r="J43" s="55"/>
      <c r="K43" s="132" cm="1">
        <f t="array" ref="K43">SUMPRODUCT('W1'!$I$10:$AI$60*('W1'!$B$10:$B$60=$B43)*('W1'!$I$6:$AI$6=$B$1))*$E$1</f>
        <v>11609000000</v>
      </c>
      <c r="L43" s="134">
        <f>IF(N$2&lt;=K$46,K43/K$47,0)</f>
        <v>80618055.555555552</v>
      </c>
      <c r="M43" s="134">
        <f t="shared" si="633"/>
        <v>967416666.66666663</v>
      </c>
      <c r="N43" s="55"/>
      <c r="P43" s="55"/>
      <c r="Q43" s="132" cm="1">
        <f t="array" ref="Q43">SUMPRODUCT('W1'!$I$10:$AI$60*('W1'!$B$10:$B$60=$B43)*('W1'!$I$6:$AI$6=$B$1))*$E$1</f>
        <v>11609000000</v>
      </c>
      <c r="R43" s="134">
        <f>IF(T$2&lt;=Q$46,Q43/Q$47,0)</f>
        <v>80618055.555555552</v>
      </c>
      <c r="S43" s="134">
        <f t="shared" si="634"/>
        <v>967416666.66666663</v>
      </c>
      <c r="T43" s="55"/>
      <c r="V43" s="55"/>
      <c r="W43" s="132" cm="1">
        <f t="array" ref="W43">SUMPRODUCT('W1'!$I$10:$AI$60*('W1'!$B$10:$B$60=$B43)*('W1'!$I$6:$AI$6=$B$1))*$E$1</f>
        <v>11609000000</v>
      </c>
      <c r="X43" s="134">
        <f t="shared" si="588"/>
        <v>80618055.555555552</v>
      </c>
      <c r="Y43" s="134">
        <f t="shared" si="589"/>
        <v>967416666.66666663</v>
      </c>
      <c r="Z43" s="55"/>
      <c r="AB43" s="55"/>
      <c r="AC43" s="132" cm="1">
        <f t="array" ref="AC43">SUMPRODUCT('W1'!$I$10:$AI$60*('W1'!$B$10:$B$60=$B43)*('W1'!$I$6:$AI$6=$B$1))*$E$1</f>
        <v>11609000000</v>
      </c>
      <c r="AD43" s="134">
        <f t="shared" si="590"/>
        <v>80618055.555555552</v>
      </c>
      <c r="AE43" s="134">
        <f t="shared" si="591"/>
        <v>967416666.66666663</v>
      </c>
      <c r="AF43" s="55"/>
      <c r="AH43" s="55"/>
      <c r="AI43" s="132" cm="1">
        <f t="array" ref="AI43">SUMPRODUCT('W1'!$I$10:$AI$60*('W1'!$B$10:$B$60=$B43)*('W1'!$I$6:$AI$6=$B$1))*$E$1</f>
        <v>11609000000</v>
      </c>
      <c r="AJ43" s="134">
        <f t="shared" si="592"/>
        <v>80618055.555555552</v>
      </c>
      <c r="AK43" s="134">
        <f t="shared" si="593"/>
        <v>967416666.66666663</v>
      </c>
      <c r="AL43" s="55"/>
      <c r="AN43" s="55"/>
      <c r="AO43" s="132" cm="1">
        <f t="array" ref="AO43">SUMPRODUCT('W1'!$I$10:$AI$60*('W1'!$B$10:$B$60=$B43)*('W1'!$I$6:$AI$6=$B$1))*$E$1</f>
        <v>11609000000</v>
      </c>
      <c r="AP43" s="134">
        <f t="shared" si="594"/>
        <v>80618055.555555552</v>
      </c>
      <c r="AQ43" s="134">
        <f t="shared" si="595"/>
        <v>967416666.66666663</v>
      </c>
      <c r="AR43" s="55"/>
      <c r="AT43" s="55"/>
      <c r="AU43" s="132" cm="1">
        <f t="array" ref="AU43">SUMPRODUCT('W1'!$I$10:$AI$60*('W1'!$B$10:$B$60=$B43)*('W1'!$I$6:$AI$6=$B$1))*$E$1</f>
        <v>11609000000</v>
      </c>
      <c r="AV43" s="134">
        <f t="shared" si="596"/>
        <v>80618055.555555552</v>
      </c>
      <c r="AW43" s="134">
        <f t="shared" si="597"/>
        <v>967416666.66666663</v>
      </c>
      <c r="AX43" s="55"/>
      <c r="AZ43" s="55"/>
      <c r="BA43" s="132" cm="1">
        <f t="array" ref="BA43">SUMPRODUCT('W1'!$I$10:$AI$60*('W1'!$B$10:$B$60=$B43)*('W1'!$I$6:$AI$6=$B$1))*$E$1</f>
        <v>11609000000</v>
      </c>
      <c r="BB43" s="134">
        <f t="shared" si="598"/>
        <v>80618055.555555552</v>
      </c>
      <c r="BC43" s="134">
        <f t="shared" si="599"/>
        <v>967416666.66666663</v>
      </c>
      <c r="BD43" s="55"/>
      <c r="BF43" s="55"/>
      <c r="BG43" s="132" cm="1">
        <f t="array" ref="BG43">SUMPRODUCT('W1'!$I$10:$AI$60*('W1'!$B$10:$B$60=$B43)*('W1'!$I$6:$AI$6=$B$1))*$E$1</f>
        <v>11609000000</v>
      </c>
      <c r="BH43" s="134">
        <f t="shared" si="600"/>
        <v>80618055.555555552</v>
      </c>
      <c r="BI43" s="134">
        <f t="shared" si="601"/>
        <v>967416666.66666663</v>
      </c>
      <c r="BJ43" s="55"/>
      <c r="BL43" s="55"/>
      <c r="BM43" s="132" cm="1">
        <f t="array" ref="BM43">SUMPRODUCT('W1'!$I$10:$AI$60*('W1'!$B$10:$B$60=$B43)*('W1'!$I$6:$AI$6=$B$1))*$E$1</f>
        <v>11609000000</v>
      </c>
      <c r="BN43" s="134">
        <f t="shared" si="602"/>
        <v>80618055.555555552</v>
      </c>
      <c r="BO43" s="134">
        <f t="shared" si="603"/>
        <v>967416666.66666663</v>
      </c>
      <c r="BP43" s="55"/>
      <c r="BR43" s="55"/>
      <c r="BS43" s="132" cm="1">
        <f t="array" ref="BS43">SUMPRODUCT('W1'!$I$10:$AI$60*('W1'!$B$10:$B$60=$B43)*('W1'!$I$6:$AI$6=$B$1))*$E$1</f>
        <v>11609000000</v>
      </c>
      <c r="BT43" s="134">
        <f t="shared" si="604"/>
        <v>80618055.555555552</v>
      </c>
      <c r="BU43" s="134">
        <f t="shared" si="605"/>
        <v>967416666.66666663</v>
      </c>
      <c r="BV43" s="55"/>
      <c r="BX43" s="55"/>
      <c r="BY43" s="132" cm="1">
        <f t="array" ref="BY43">SUMPRODUCT('W1'!$I$10:$AI$60*('W1'!$B$10:$B$60=$B43)*('W1'!$I$6:$AI$6=$B$1))*$E$1</f>
        <v>11609000000</v>
      </c>
      <c r="BZ43" s="134">
        <f t="shared" si="606"/>
        <v>0</v>
      </c>
      <c r="CA43" s="134">
        <f t="shared" si="607"/>
        <v>0</v>
      </c>
      <c r="CB43" s="55"/>
      <c r="CD43" s="55"/>
      <c r="CE43" s="132" cm="1">
        <f t="array" ref="CE43">SUMPRODUCT('W1'!$I$10:$AI$60*('W1'!$B$10:$B$60=$B43)*('W1'!$I$6:$AI$6=$B$1))*$E$1</f>
        <v>11609000000</v>
      </c>
      <c r="CF43" s="134">
        <f t="shared" si="608"/>
        <v>0</v>
      </c>
      <c r="CG43" s="134">
        <f t="shared" si="609"/>
        <v>0</v>
      </c>
      <c r="CH43" s="55"/>
      <c r="CJ43" s="55"/>
      <c r="CK43" s="132" cm="1">
        <f t="array" ref="CK43">SUMPRODUCT('W1'!$I$10:$AI$60*('W1'!$B$10:$B$60=$B43)*('W1'!$I$6:$AI$6=$B$1))*$E$1</f>
        <v>11609000000</v>
      </c>
      <c r="CL43" s="134">
        <f t="shared" si="610"/>
        <v>0</v>
      </c>
      <c r="CM43" s="134">
        <f t="shared" si="611"/>
        <v>0</v>
      </c>
      <c r="CN43" s="55"/>
      <c r="CP43" s="55"/>
      <c r="CQ43" s="132" cm="1">
        <f t="array" ref="CQ43">SUMPRODUCT('W1'!$I$10:$AI$60*('W1'!$B$10:$B$60=$B43)*('W1'!$I$6:$AI$6=$B$1))*$E$1</f>
        <v>11609000000</v>
      </c>
      <c r="CR43" s="134">
        <f t="shared" si="612"/>
        <v>0</v>
      </c>
      <c r="CS43" s="134">
        <f t="shared" si="613"/>
        <v>0</v>
      </c>
      <c r="CT43" s="55"/>
      <c r="CV43" s="55"/>
      <c r="CW43" s="132" cm="1">
        <f t="array" ref="CW43">SUMPRODUCT('W1'!$I$10:$AI$60*('W1'!$B$10:$B$60=$B43)*('W1'!$I$6:$AI$6=$B$1))*$E$1</f>
        <v>11609000000</v>
      </c>
      <c r="CX43" s="134">
        <f t="shared" si="614"/>
        <v>0</v>
      </c>
      <c r="CY43" s="134">
        <f t="shared" si="615"/>
        <v>0</v>
      </c>
      <c r="CZ43" s="55"/>
      <c r="DB43" s="55"/>
      <c r="DC43" s="132" cm="1">
        <f t="array" ref="DC43">SUMPRODUCT('W1'!$I$10:$AI$60*('W1'!$B$10:$B$60=$B43)*('W1'!$I$6:$AI$6=$B$1))*$E$1</f>
        <v>11609000000</v>
      </c>
      <c r="DD43" s="134">
        <f t="shared" si="616"/>
        <v>0</v>
      </c>
      <c r="DE43" s="134">
        <f t="shared" si="617"/>
        <v>0</v>
      </c>
      <c r="DF43" s="55"/>
      <c r="DH43" s="55"/>
      <c r="DI43" s="132" cm="1">
        <f t="array" ref="DI43">SUMPRODUCT('W1'!$I$10:$AI$60*('W1'!$B$10:$B$60=$B43)*('W1'!$I$6:$AI$6=$B$1))*$E$1</f>
        <v>11609000000</v>
      </c>
      <c r="DJ43" s="134">
        <f t="shared" si="618"/>
        <v>0</v>
      </c>
      <c r="DK43" s="134">
        <f t="shared" si="619"/>
        <v>0</v>
      </c>
      <c r="DL43" s="55"/>
      <c r="DN43" s="55"/>
      <c r="DO43" s="132" cm="1">
        <f t="array" ref="DO43">SUMPRODUCT('W1'!$I$10:$AI$60*('W1'!$B$10:$B$60=$B43)*('W1'!$I$6:$AI$6=$B$1))*$E$1</f>
        <v>11609000000</v>
      </c>
      <c r="DP43" s="134">
        <f t="shared" si="620"/>
        <v>0</v>
      </c>
      <c r="DQ43" s="134">
        <f t="shared" si="621"/>
        <v>0</v>
      </c>
      <c r="DR43" s="55"/>
      <c r="DT43" s="55"/>
      <c r="DU43" s="132" cm="1">
        <f t="array" ref="DU43">SUMPRODUCT('W1'!$I$10:$AI$60*('W1'!$B$10:$B$60=$B43)*('W1'!$I$6:$AI$6=$B$1))*$E$1</f>
        <v>11609000000</v>
      </c>
      <c r="DV43" s="134">
        <f t="shared" si="622"/>
        <v>0</v>
      </c>
      <c r="DW43" s="134">
        <f t="shared" si="623"/>
        <v>0</v>
      </c>
      <c r="DX43" s="55"/>
      <c r="DZ43" s="55"/>
      <c r="EA43" s="132" cm="1">
        <f t="array" ref="EA43">SUMPRODUCT('W1'!$I$10:$AI$60*('W1'!$B$10:$B$60=$B43)*('W1'!$I$6:$AI$6=$B$1))*$E$1</f>
        <v>11609000000</v>
      </c>
      <c r="EB43" s="134">
        <f t="shared" si="624"/>
        <v>0</v>
      </c>
      <c r="EC43" s="134">
        <f t="shared" si="625"/>
        <v>0</v>
      </c>
      <c r="ED43" s="55"/>
      <c r="EF43" s="55"/>
      <c r="EG43" s="132" cm="1">
        <f t="array" ref="EG43">SUMPRODUCT('W1'!$I$10:$AI$60*('W1'!$B$10:$B$60=$B43)*('W1'!$I$6:$AI$6=$B$1))*$E$1</f>
        <v>11609000000</v>
      </c>
      <c r="EH43" s="134">
        <f t="shared" si="626"/>
        <v>0</v>
      </c>
      <c r="EI43" s="134">
        <f t="shared" si="627"/>
        <v>0</v>
      </c>
      <c r="EJ43" s="55"/>
      <c r="EL43" s="55"/>
      <c r="EM43" s="132" cm="1">
        <f t="array" ref="EM43">SUMPRODUCT('W1'!$I$10:$AI$60*('W1'!$B$10:$B$60=$B43)*('W1'!$I$6:$AI$6=$B$1))*$E$1</f>
        <v>11609000000</v>
      </c>
      <c r="EN43" s="134">
        <f t="shared" si="628"/>
        <v>0</v>
      </c>
      <c r="EO43" s="134">
        <f t="shared" si="629"/>
        <v>0</v>
      </c>
      <c r="EP43" s="55"/>
      <c r="ER43" s="55"/>
      <c r="ES43" s="132" cm="1">
        <f t="array" ref="ES43">SUMPRODUCT('W1'!$I$10:$AI$60*('W1'!$B$10:$B$60=$B43)*('W1'!$I$6:$AI$6=$B$1))*$E$1</f>
        <v>11609000000</v>
      </c>
      <c r="ET43" s="134">
        <f t="shared" si="630"/>
        <v>0</v>
      </c>
      <c r="EU43" s="134">
        <f t="shared" si="631"/>
        <v>0</v>
      </c>
      <c r="EV43" s="55"/>
    </row>
    <row r="44" spans="1:152" x14ac:dyDescent="0.25">
      <c r="A44" t="s">
        <v>147</v>
      </c>
      <c r="B44" s="56" t="s">
        <v>346</v>
      </c>
      <c r="C44" s="55" t="s">
        <v>129</v>
      </c>
      <c r="D44" s="55"/>
      <c r="E44" s="132" cm="1">
        <f t="array" ref="E44">SUMPRODUCT('W1'!$I$10:$AI$60*('W1'!$B$10:$B$60=$B44)*('W1'!$I$6:$AI$6=$B$1))*$E$1</f>
        <v>38110800000</v>
      </c>
      <c r="F44" s="134">
        <f>IF(H$2&lt;=E$46,E44/E$47,0)</f>
        <v>264658333.33333334</v>
      </c>
      <c r="G44" s="134">
        <f t="shared" si="632"/>
        <v>3175900000</v>
      </c>
      <c r="H44" s="55"/>
      <c r="J44" s="55"/>
      <c r="K44" s="132" cm="1">
        <f t="array" ref="K44">SUMPRODUCT('W1'!$I$10:$AI$60*('W1'!$B$10:$B$60=$B44)*('W1'!$I$6:$AI$6=$B$1))*$E$1</f>
        <v>38110800000</v>
      </c>
      <c r="L44" s="134">
        <f>IF(N$2&lt;=K$46,K44/K$47,0)</f>
        <v>264658333.33333334</v>
      </c>
      <c r="M44" s="134">
        <f t="shared" si="633"/>
        <v>3175900000</v>
      </c>
      <c r="N44" s="55"/>
      <c r="P44" s="55"/>
      <c r="Q44" s="132" cm="1">
        <f t="array" ref="Q44">SUMPRODUCT('W1'!$I$10:$AI$60*('W1'!$B$10:$B$60=$B44)*('W1'!$I$6:$AI$6=$B$1))*$E$1</f>
        <v>38110800000</v>
      </c>
      <c r="R44" s="134">
        <f>IF(T$2&lt;=Q$46,Q44/Q$47,0)</f>
        <v>264658333.33333334</v>
      </c>
      <c r="S44" s="134">
        <f t="shared" si="634"/>
        <v>3175900000</v>
      </c>
      <c r="T44" s="55"/>
      <c r="V44" s="55"/>
      <c r="W44" s="132" cm="1">
        <f t="array" ref="W44">SUMPRODUCT('W1'!$I$10:$AI$60*('W1'!$B$10:$B$60=$B44)*('W1'!$I$6:$AI$6=$B$1))*$E$1</f>
        <v>38110800000</v>
      </c>
      <c r="X44" s="134">
        <f t="shared" si="588"/>
        <v>264658333.33333334</v>
      </c>
      <c r="Y44" s="134">
        <f t="shared" si="589"/>
        <v>3175900000</v>
      </c>
      <c r="Z44" s="55"/>
      <c r="AB44" s="55"/>
      <c r="AC44" s="132" cm="1">
        <f t="array" ref="AC44">SUMPRODUCT('W1'!$I$10:$AI$60*('W1'!$B$10:$B$60=$B44)*('W1'!$I$6:$AI$6=$B$1))*$E$1</f>
        <v>38110800000</v>
      </c>
      <c r="AD44" s="134">
        <f t="shared" si="590"/>
        <v>264658333.33333334</v>
      </c>
      <c r="AE44" s="134">
        <f t="shared" si="591"/>
        <v>3175900000</v>
      </c>
      <c r="AF44" s="55"/>
      <c r="AH44" s="55"/>
      <c r="AI44" s="132" cm="1">
        <f t="array" ref="AI44">SUMPRODUCT('W1'!$I$10:$AI$60*('W1'!$B$10:$B$60=$B44)*('W1'!$I$6:$AI$6=$B$1))*$E$1</f>
        <v>38110800000</v>
      </c>
      <c r="AJ44" s="134">
        <f t="shared" si="592"/>
        <v>264658333.33333334</v>
      </c>
      <c r="AK44" s="134">
        <f t="shared" si="593"/>
        <v>3175900000</v>
      </c>
      <c r="AL44" s="55"/>
      <c r="AN44" s="55"/>
      <c r="AO44" s="132" cm="1">
        <f t="array" ref="AO44">SUMPRODUCT('W1'!$I$10:$AI$60*('W1'!$B$10:$B$60=$B44)*('W1'!$I$6:$AI$6=$B$1))*$E$1</f>
        <v>38110800000</v>
      </c>
      <c r="AP44" s="134">
        <f t="shared" si="594"/>
        <v>264658333.33333334</v>
      </c>
      <c r="AQ44" s="134">
        <f t="shared" si="595"/>
        <v>3175900000</v>
      </c>
      <c r="AR44" s="55"/>
      <c r="AT44" s="55"/>
      <c r="AU44" s="132" cm="1">
        <f t="array" ref="AU44">SUMPRODUCT('W1'!$I$10:$AI$60*('W1'!$B$10:$B$60=$B44)*('W1'!$I$6:$AI$6=$B$1))*$E$1</f>
        <v>38110800000</v>
      </c>
      <c r="AV44" s="134">
        <f t="shared" si="596"/>
        <v>264658333.33333334</v>
      </c>
      <c r="AW44" s="134">
        <f t="shared" si="597"/>
        <v>3175900000</v>
      </c>
      <c r="AX44" s="55"/>
      <c r="AZ44" s="55"/>
      <c r="BA44" s="132" cm="1">
        <f t="array" ref="BA44">SUMPRODUCT('W1'!$I$10:$AI$60*('W1'!$B$10:$B$60=$B44)*('W1'!$I$6:$AI$6=$B$1))*$E$1</f>
        <v>38110800000</v>
      </c>
      <c r="BB44" s="134">
        <f t="shared" si="598"/>
        <v>264658333.33333334</v>
      </c>
      <c r="BC44" s="134">
        <f t="shared" si="599"/>
        <v>3175900000</v>
      </c>
      <c r="BD44" s="55"/>
      <c r="BF44" s="55"/>
      <c r="BG44" s="132" cm="1">
        <f t="array" ref="BG44">SUMPRODUCT('W1'!$I$10:$AI$60*('W1'!$B$10:$B$60=$B44)*('W1'!$I$6:$AI$6=$B$1))*$E$1</f>
        <v>38110800000</v>
      </c>
      <c r="BH44" s="134">
        <f t="shared" si="600"/>
        <v>264658333.33333334</v>
      </c>
      <c r="BI44" s="134">
        <f t="shared" si="601"/>
        <v>3175900000</v>
      </c>
      <c r="BJ44" s="55"/>
      <c r="BL44" s="55"/>
      <c r="BM44" s="132" cm="1">
        <f t="array" ref="BM44">SUMPRODUCT('W1'!$I$10:$AI$60*('W1'!$B$10:$B$60=$B44)*('W1'!$I$6:$AI$6=$B$1))*$E$1</f>
        <v>38110800000</v>
      </c>
      <c r="BN44" s="134">
        <f t="shared" si="602"/>
        <v>264658333.33333334</v>
      </c>
      <c r="BO44" s="134">
        <f t="shared" si="603"/>
        <v>3175900000</v>
      </c>
      <c r="BP44" s="55"/>
      <c r="BR44" s="55"/>
      <c r="BS44" s="132" cm="1">
        <f t="array" ref="BS44">SUMPRODUCT('W1'!$I$10:$AI$60*('W1'!$B$10:$B$60=$B44)*('W1'!$I$6:$AI$6=$B$1))*$E$1</f>
        <v>38110800000</v>
      </c>
      <c r="BT44" s="134">
        <f t="shared" si="604"/>
        <v>264658333.33333334</v>
      </c>
      <c r="BU44" s="134">
        <f t="shared" si="605"/>
        <v>3175900000</v>
      </c>
      <c r="BV44" s="55"/>
      <c r="BX44" s="55"/>
      <c r="BY44" s="132" cm="1">
        <f t="array" ref="BY44">SUMPRODUCT('W1'!$I$10:$AI$60*('W1'!$B$10:$B$60=$B44)*('W1'!$I$6:$AI$6=$B$1))*$E$1</f>
        <v>38110800000</v>
      </c>
      <c r="BZ44" s="134">
        <f t="shared" si="606"/>
        <v>0</v>
      </c>
      <c r="CA44" s="134">
        <f t="shared" si="607"/>
        <v>0</v>
      </c>
      <c r="CB44" s="55"/>
      <c r="CD44" s="55"/>
      <c r="CE44" s="132" cm="1">
        <f t="array" ref="CE44">SUMPRODUCT('W1'!$I$10:$AI$60*('W1'!$B$10:$B$60=$B44)*('W1'!$I$6:$AI$6=$B$1))*$E$1</f>
        <v>38110800000</v>
      </c>
      <c r="CF44" s="134">
        <f t="shared" si="608"/>
        <v>0</v>
      </c>
      <c r="CG44" s="134">
        <f t="shared" si="609"/>
        <v>0</v>
      </c>
      <c r="CH44" s="55"/>
      <c r="CJ44" s="55"/>
      <c r="CK44" s="132" cm="1">
        <f t="array" ref="CK44">SUMPRODUCT('W1'!$I$10:$AI$60*('W1'!$B$10:$B$60=$B44)*('W1'!$I$6:$AI$6=$B$1))*$E$1</f>
        <v>38110800000</v>
      </c>
      <c r="CL44" s="134">
        <f t="shared" si="610"/>
        <v>0</v>
      </c>
      <c r="CM44" s="134">
        <f t="shared" si="611"/>
        <v>0</v>
      </c>
      <c r="CN44" s="55"/>
      <c r="CP44" s="55"/>
      <c r="CQ44" s="132" cm="1">
        <f t="array" ref="CQ44">SUMPRODUCT('W1'!$I$10:$AI$60*('W1'!$B$10:$B$60=$B44)*('W1'!$I$6:$AI$6=$B$1))*$E$1</f>
        <v>38110800000</v>
      </c>
      <c r="CR44" s="134">
        <f t="shared" si="612"/>
        <v>0</v>
      </c>
      <c r="CS44" s="134">
        <f t="shared" si="613"/>
        <v>0</v>
      </c>
      <c r="CT44" s="55"/>
      <c r="CV44" s="55"/>
      <c r="CW44" s="132" cm="1">
        <f t="array" ref="CW44">SUMPRODUCT('W1'!$I$10:$AI$60*('W1'!$B$10:$B$60=$B44)*('W1'!$I$6:$AI$6=$B$1))*$E$1</f>
        <v>38110800000</v>
      </c>
      <c r="CX44" s="134">
        <f t="shared" si="614"/>
        <v>0</v>
      </c>
      <c r="CY44" s="134">
        <f t="shared" si="615"/>
        <v>0</v>
      </c>
      <c r="CZ44" s="55"/>
      <c r="DB44" s="55"/>
      <c r="DC44" s="132" cm="1">
        <f t="array" ref="DC44">SUMPRODUCT('W1'!$I$10:$AI$60*('W1'!$B$10:$B$60=$B44)*('W1'!$I$6:$AI$6=$B$1))*$E$1</f>
        <v>38110800000</v>
      </c>
      <c r="DD44" s="134">
        <f t="shared" si="616"/>
        <v>0</v>
      </c>
      <c r="DE44" s="134">
        <f t="shared" si="617"/>
        <v>0</v>
      </c>
      <c r="DF44" s="55"/>
      <c r="DH44" s="55"/>
      <c r="DI44" s="132" cm="1">
        <f t="array" ref="DI44">SUMPRODUCT('W1'!$I$10:$AI$60*('W1'!$B$10:$B$60=$B44)*('W1'!$I$6:$AI$6=$B$1))*$E$1</f>
        <v>38110800000</v>
      </c>
      <c r="DJ44" s="134">
        <f t="shared" si="618"/>
        <v>0</v>
      </c>
      <c r="DK44" s="134">
        <f t="shared" si="619"/>
        <v>0</v>
      </c>
      <c r="DL44" s="55"/>
      <c r="DN44" s="55"/>
      <c r="DO44" s="132" cm="1">
        <f t="array" ref="DO44">SUMPRODUCT('W1'!$I$10:$AI$60*('W1'!$B$10:$B$60=$B44)*('W1'!$I$6:$AI$6=$B$1))*$E$1</f>
        <v>38110800000</v>
      </c>
      <c r="DP44" s="134">
        <f t="shared" si="620"/>
        <v>0</v>
      </c>
      <c r="DQ44" s="134">
        <f t="shared" si="621"/>
        <v>0</v>
      </c>
      <c r="DR44" s="55"/>
      <c r="DT44" s="55"/>
      <c r="DU44" s="132" cm="1">
        <f t="array" ref="DU44">SUMPRODUCT('W1'!$I$10:$AI$60*('W1'!$B$10:$B$60=$B44)*('W1'!$I$6:$AI$6=$B$1))*$E$1</f>
        <v>38110800000</v>
      </c>
      <c r="DV44" s="134">
        <f t="shared" si="622"/>
        <v>0</v>
      </c>
      <c r="DW44" s="134">
        <f t="shared" si="623"/>
        <v>0</v>
      </c>
      <c r="DX44" s="55"/>
      <c r="DZ44" s="55"/>
      <c r="EA44" s="132" cm="1">
        <f t="array" ref="EA44">SUMPRODUCT('W1'!$I$10:$AI$60*('W1'!$B$10:$B$60=$B44)*('W1'!$I$6:$AI$6=$B$1))*$E$1</f>
        <v>38110800000</v>
      </c>
      <c r="EB44" s="134">
        <f t="shared" si="624"/>
        <v>0</v>
      </c>
      <c r="EC44" s="134">
        <f t="shared" si="625"/>
        <v>0</v>
      </c>
      <c r="ED44" s="55"/>
      <c r="EF44" s="55"/>
      <c r="EG44" s="132" cm="1">
        <f t="array" ref="EG44">SUMPRODUCT('W1'!$I$10:$AI$60*('W1'!$B$10:$B$60=$B44)*('W1'!$I$6:$AI$6=$B$1))*$E$1</f>
        <v>38110800000</v>
      </c>
      <c r="EH44" s="134">
        <f t="shared" si="626"/>
        <v>0</v>
      </c>
      <c r="EI44" s="134">
        <f t="shared" si="627"/>
        <v>0</v>
      </c>
      <c r="EJ44" s="55"/>
      <c r="EL44" s="55"/>
      <c r="EM44" s="132" cm="1">
        <f t="array" ref="EM44">SUMPRODUCT('W1'!$I$10:$AI$60*('W1'!$B$10:$B$60=$B44)*('W1'!$I$6:$AI$6=$B$1))*$E$1</f>
        <v>38110800000</v>
      </c>
      <c r="EN44" s="134">
        <f t="shared" si="628"/>
        <v>0</v>
      </c>
      <c r="EO44" s="134">
        <f t="shared" si="629"/>
        <v>0</v>
      </c>
      <c r="EP44" s="55"/>
      <c r="ER44" s="55"/>
      <c r="ES44" s="132" cm="1">
        <f t="array" ref="ES44">SUMPRODUCT('W1'!$I$10:$AI$60*('W1'!$B$10:$B$60=$B44)*('W1'!$I$6:$AI$6=$B$1))*$E$1</f>
        <v>38110800000</v>
      </c>
      <c r="ET44" s="134">
        <f t="shared" si="630"/>
        <v>0</v>
      </c>
      <c r="EU44" s="134">
        <f t="shared" si="631"/>
        <v>0</v>
      </c>
      <c r="EV44" s="55"/>
    </row>
    <row r="45" spans="1:152" x14ac:dyDescent="0.25">
      <c r="A45" t="s">
        <v>147</v>
      </c>
      <c r="B45" s="56" t="s">
        <v>345</v>
      </c>
      <c r="C45" s="55" t="s">
        <v>129</v>
      </c>
      <c r="D45" s="55"/>
      <c r="E45" s="132" cm="1">
        <f t="array" ref="E45">SUMPRODUCT('W1'!$I$10:$AI$60*('W1'!$B$10:$B$60=$B45)*('W1'!$I$6:$AI$6=$B$1))*$E$1</f>
        <v>16250000000</v>
      </c>
      <c r="F45" s="134">
        <f>IF(H$2&lt;=E$46,E45/E$47,0)</f>
        <v>112847222.22222222</v>
      </c>
      <c r="G45" s="134">
        <f t="shared" si="632"/>
        <v>1354166666.6666667</v>
      </c>
      <c r="H45" s="55"/>
      <c r="J45" s="55"/>
      <c r="K45" s="132" cm="1">
        <f t="array" ref="K45">SUMPRODUCT('W1'!$I$10:$AI$60*('W1'!$B$10:$B$60=$B45)*('W1'!$I$6:$AI$6=$B$1))*$E$1</f>
        <v>16250000000</v>
      </c>
      <c r="L45" s="134">
        <f>IF(N$2&lt;=K$46,K45/K$47,0)</f>
        <v>112847222.22222222</v>
      </c>
      <c r="M45" s="134">
        <f t="shared" si="633"/>
        <v>1354166666.6666667</v>
      </c>
      <c r="N45" s="55"/>
      <c r="P45" s="55"/>
      <c r="Q45" s="132" cm="1">
        <f t="array" ref="Q45">SUMPRODUCT('W1'!$I$10:$AI$60*('W1'!$B$10:$B$60=$B45)*('W1'!$I$6:$AI$6=$B$1))*$E$1</f>
        <v>16250000000</v>
      </c>
      <c r="R45" s="134">
        <f>IF(T$2&lt;=Q$46,Q45/Q$47,0)</f>
        <v>112847222.22222222</v>
      </c>
      <c r="S45" s="134">
        <f t="shared" si="634"/>
        <v>1354166666.6666667</v>
      </c>
      <c r="T45" s="55"/>
      <c r="V45" s="55"/>
      <c r="W45" s="132" cm="1">
        <f t="array" ref="W45">SUMPRODUCT('W1'!$I$10:$AI$60*('W1'!$B$10:$B$60=$B45)*('W1'!$I$6:$AI$6=$B$1))*$E$1</f>
        <v>16250000000</v>
      </c>
      <c r="X45" s="134">
        <f t="shared" si="588"/>
        <v>112847222.22222222</v>
      </c>
      <c r="Y45" s="134">
        <f t="shared" si="589"/>
        <v>1354166666.6666667</v>
      </c>
      <c r="Z45" s="55"/>
      <c r="AB45" s="55"/>
      <c r="AC45" s="132" cm="1">
        <f t="array" ref="AC45">SUMPRODUCT('W1'!$I$10:$AI$60*('W1'!$B$10:$B$60=$B45)*('W1'!$I$6:$AI$6=$B$1))*$E$1</f>
        <v>16250000000</v>
      </c>
      <c r="AD45" s="134">
        <f t="shared" si="590"/>
        <v>112847222.22222222</v>
      </c>
      <c r="AE45" s="134">
        <f t="shared" si="591"/>
        <v>1354166666.6666667</v>
      </c>
      <c r="AF45" s="55"/>
      <c r="AH45" s="55"/>
      <c r="AI45" s="132" cm="1">
        <f t="array" ref="AI45">SUMPRODUCT('W1'!$I$10:$AI$60*('W1'!$B$10:$B$60=$B45)*('W1'!$I$6:$AI$6=$B$1))*$E$1</f>
        <v>16250000000</v>
      </c>
      <c r="AJ45" s="134">
        <f t="shared" si="592"/>
        <v>112847222.22222222</v>
      </c>
      <c r="AK45" s="134">
        <f t="shared" si="593"/>
        <v>1354166666.6666667</v>
      </c>
      <c r="AL45" s="55"/>
      <c r="AN45" s="55"/>
      <c r="AO45" s="132" cm="1">
        <f t="array" ref="AO45">SUMPRODUCT('W1'!$I$10:$AI$60*('W1'!$B$10:$B$60=$B45)*('W1'!$I$6:$AI$6=$B$1))*$E$1</f>
        <v>16250000000</v>
      </c>
      <c r="AP45" s="134">
        <f t="shared" si="594"/>
        <v>112847222.22222222</v>
      </c>
      <c r="AQ45" s="134">
        <f t="shared" si="595"/>
        <v>1354166666.6666667</v>
      </c>
      <c r="AR45" s="55"/>
      <c r="AT45" s="55"/>
      <c r="AU45" s="132" cm="1">
        <f t="array" ref="AU45">SUMPRODUCT('W1'!$I$10:$AI$60*('W1'!$B$10:$B$60=$B45)*('W1'!$I$6:$AI$6=$B$1))*$E$1</f>
        <v>16250000000</v>
      </c>
      <c r="AV45" s="134">
        <f t="shared" si="596"/>
        <v>112847222.22222222</v>
      </c>
      <c r="AW45" s="134">
        <f t="shared" si="597"/>
        <v>1354166666.6666667</v>
      </c>
      <c r="AX45" s="55"/>
      <c r="AZ45" s="55"/>
      <c r="BA45" s="132" cm="1">
        <f t="array" ref="BA45">SUMPRODUCT('W1'!$I$10:$AI$60*('W1'!$B$10:$B$60=$B45)*('W1'!$I$6:$AI$6=$B$1))*$E$1</f>
        <v>16250000000</v>
      </c>
      <c r="BB45" s="134">
        <f t="shared" si="598"/>
        <v>112847222.22222222</v>
      </c>
      <c r="BC45" s="134">
        <f t="shared" si="599"/>
        <v>1354166666.6666667</v>
      </c>
      <c r="BD45" s="55"/>
      <c r="BF45" s="55"/>
      <c r="BG45" s="132" cm="1">
        <f t="array" ref="BG45">SUMPRODUCT('W1'!$I$10:$AI$60*('W1'!$B$10:$B$60=$B45)*('W1'!$I$6:$AI$6=$B$1))*$E$1</f>
        <v>16250000000</v>
      </c>
      <c r="BH45" s="134">
        <f t="shared" si="600"/>
        <v>112847222.22222222</v>
      </c>
      <c r="BI45" s="134">
        <f t="shared" si="601"/>
        <v>1354166666.6666667</v>
      </c>
      <c r="BJ45" s="55"/>
      <c r="BL45" s="55"/>
      <c r="BM45" s="132" cm="1">
        <f t="array" ref="BM45">SUMPRODUCT('W1'!$I$10:$AI$60*('W1'!$B$10:$B$60=$B45)*('W1'!$I$6:$AI$6=$B$1))*$E$1</f>
        <v>16250000000</v>
      </c>
      <c r="BN45" s="134">
        <f t="shared" si="602"/>
        <v>112847222.22222222</v>
      </c>
      <c r="BO45" s="134">
        <f t="shared" si="603"/>
        <v>1354166666.6666667</v>
      </c>
      <c r="BP45" s="55"/>
      <c r="BR45" s="55"/>
      <c r="BS45" s="132" cm="1">
        <f t="array" ref="BS45">SUMPRODUCT('W1'!$I$10:$AI$60*('W1'!$B$10:$B$60=$B45)*('W1'!$I$6:$AI$6=$B$1))*$E$1</f>
        <v>16250000000</v>
      </c>
      <c r="BT45" s="134">
        <f t="shared" si="604"/>
        <v>112847222.22222222</v>
      </c>
      <c r="BU45" s="134">
        <f t="shared" si="605"/>
        <v>1354166666.6666667</v>
      </c>
      <c r="BV45" s="55"/>
      <c r="BX45" s="55"/>
      <c r="BY45" s="132" cm="1">
        <f t="array" ref="BY45">SUMPRODUCT('W1'!$I$10:$AI$60*('W1'!$B$10:$B$60=$B45)*('W1'!$I$6:$AI$6=$B$1))*$E$1</f>
        <v>16250000000</v>
      </c>
      <c r="BZ45" s="134">
        <f t="shared" si="606"/>
        <v>0</v>
      </c>
      <c r="CA45" s="134">
        <f t="shared" si="607"/>
        <v>0</v>
      </c>
      <c r="CB45" s="55"/>
      <c r="CD45" s="55"/>
      <c r="CE45" s="132" cm="1">
        <f t="array" ref="CE45">SUMPRODUCT('W1'!$I$10:$AI$60*('W1'!$B$10:$B$60=$B45)*('W1'!$I$6:$AI$6=$B$1))*$E$1</f>
        <v>16250000000</v>
      </c>
      <c r="CF45" s="134">
        <f t="shared" si="608"/>
        <v>0</v>
      </c>
      <c r="CG45" s="134">
        <f t="shared" si="609"/>
        <v>0</v>
      </c>
      <c r="CH45" s="55"/>
      <c r="CJ45" s="55"/>
      <c r="CK45" s="132" cm="1">
        <f t="array" ref="CK45">SUMPRODUCT('W1'!$I$10:$AI$60*('W1'!$B$10:$B$60=$B45)*('W1'!$I$6:$AI$6=$B$1))*$E$1</f>
        <v>16250000000</v>
      </c>
      <c r="CL45" s="134">
        <f t="shared" si="610"/>
        <v>0</v>
      </c>
      <c r="CM45" s="134">
        <f t="shared" si="611"/>
        <v>0</v>
      </c>
      <c r="CN45" s="55"/>
      <c r="CP45" s="55"/>
      <c r="CQ45" s="132" cm="1">
        <f t="array" ref="CQ45">SUMPRODUCT('W1'!$I$10:$AI$60*('W1'!$B$10:$B$60=$B45)*('W1'!$I$6:$AI$6=$B$1))*$E$1</f>
        <v>16250000000</v>
      </c>
      <c r="CR45" s="134">
        <f t="shared" si="612"/>
        <v>0</v>
      </c>
      <c r="CS45" s="134">
        <f t="shared" si="613"/>
        <v>0</v>
      </c>
      <c r="CT45" s="55"/>
      <c r="CV45" s="55"/>
      <c r="CW45" s="132" cm="1">
        <f t="array" ref="CW45">SUMPRODUCT('W1'!$I$10:$AI$60*('W1'!$B$10:$B$60=$B45)*('W1'!$I$6:$AI$6=$B$1))*$E$1</f>
        <v>16250000000</v>
      </c>
      <c r="CX45" s="134">
        <f t="shared" si="614"/>
        <v>0</v>
      </c>
      <c r="CY45" s="134">
        <f t="shared" si="615"/>
        <v>0</v>
      </c>
      <c r="CZ45" s="55"/>
      <c r="DB45" s="55"/>
      <c r="DC45" s="132" cm="1">
        <f t="array" ref="DC45">SUMPRODUCT('W1'!$I$10:$AI$60*('W1'!$B$10:$B$60=$B45)*('W1'!$I$6:$AI$6=$B$1))*$E$1</f>
        <v>16250000000</v>
      </c>
      <c r="DD45" s="134">
        <f t="shared" si="616"/>
        <v>0</v>
      </c>
      <c r="DE45" s="134">
        <f t="shared" si="617"/>
        <v>0</v>
      </c>
      <c r="DF45" s="55"/>
      <c r="DH45" s="55"/>
      <c r="DI45" s="132" cm="1">
        <f t="array" ref="DI45">SUMPRODUCT('W1'!$I$10:$AI$60*('W1'!$B$10:$B$60=$B45)*('W1'!$I$6:$AI$6=$B$1))*$E$1</f>
        <v>16250000000</v>
      </c>
      <c r="DJ45" s="134">
        <f t="shared" si="618"/>
        <v>0</v>
      </c>
      <c r="DK45" s="134">
        <f t="shared" si="619"/>
        <v>0</v>
      </c>
      <c r="DL45" s="55"/>
      <c r="DN45" s="55"/>
      <c r="DO45" s="132" cm="1">
        <f t="array" ref="DO45">SUMPRODUCT('W1'!$I$10:$AI$60*('W1'!$B$10:$B$60=$B45)*('W1'!$I$6:$AI$6=$B$1))*$E$1</f>
        <v>16250000000</v>
      </c>
      <c r="DP45" s="134">
        <f t="shared" si="620"/>
        <v>0</v>
      </c>
      <c r="DQ45" s="134">
        <f t="shared" si="621"/>
        <v>0</v>
      </c>
      <c r="DR45" s="55"/>
      <c r="DT45" s="55"/>
      <c r="DU45" s="132" cm="1">
        <f t="array" ref="DU45">SUMPRODUCT('W1'!$I$10:$AI$60*('W1'!$B$10:$B$60=$B45)*('W1'!$I$6:$AI$6=$B$1))*$E$1</f>
        <v>16250000000</v>
      </c>
      <c r="DV45" s="134">
        <f t="shared" si="622"/>
        <v>0</v>
      </c>
      <c r="DW45" s="134">
        <f t="shared" si="623"/>
        <v>0</v>
      </c>
      <c r="DX45" s="55"/>
      <c r="DZ45" s="55"/>
      <c r="EA45" s="132" cm="1">
        <f t="array" ref="EA45">SUMPRODUCT('W1'!$I$10:$AI$60*('W1'!$B$10:$B$60=$B45)*('W1'!$I$6:$AI$6=$B$1))*$E$1</f>
        <v>16250000000</v>
      </c>
      <c r="EB45" s="134">
        <f t="shared" si="624"/>
        <v>0</v>
      </c>
      <c r="EC45" s="134">
        <f t="shared" si="625"/>
        <v>0</v>
      </c>
      <c r="ED45" s="55"/>
      <c r="EF45" s="55"/>
      <c r="EG45" s="132" cm="1">
        <f t="array" ref="EG45">SUMPRODUCT('W1'!$I$10:$AI$60*('W1'!$B$10:$B$60=$B45)*('W1'!$I$6:$AI$6=$B$1))*$E$1</f>
        <v>16250000000</v>
      </c>
      <c r="EH45" s="134">
        <f t="shared" si="626"/>
        <v>0</v>
      </c>
      <c r="EI45" s="134">
        <f t="shared" si="627"/>
        <v>0</v>
      </c>
      <c r="EJ45" s="55"/>
      <c r="EL45" s="55"/>
      <c r="EM45" s="132" cm="1">
        <f t="array" ref="EM45">SUMPRODUCT('W1'!$I$10:$AI$60*('W1'!$B$10:$B$60=$B45)*('W1'!$I$6:$AI$6=$B$1))*$E$1</f>
        <v>16250000000</v>
      </c>
      <c r="EN45" s="134">
        <f t="shared" si="628"/>
        <v>0</v>
      </c>
      <c r="EO45" s="134">
        <f t="shared" si="629"/>
        <v>0</v>
      </c>
      <c r="EP45" s="55"/>
      <c r="ER45" s="55"/>
      <c r="ES45" s="132" cm="1">
        <f t="array" ref="ES45">SUMPRODUCT('W1'!$I$10:$AI$60*('W1'!$B$10:$B$60=$B45)*('W1'!$I$6:$AI$6=$B$1))*$E$1</f>
        <v>16250000000</v>
      </c>
      <c r="ET45" s="134">
        <f t="shared" si="630"/>
        <v>0</v>
      </c>
      <c r="EU45" s="134">
        <f t="shared" si="631"/>
        <v>0</v>
      </c>
      <c r="EV45" s="55"/>
    </row>
    <row r="46" spans="1:152" x14ac:dyDescent="0.25">
      <c r="B46" s="56" t="s">
        <v>351</v>
      </c>
      <c r="C46" s="55" t="s">
        <v>131</v>
      </c>
      <c r="D46" s="55"/>
      <c r="E46" s="55" cm="1">
        <f t="array" ref="E46">_xlfn.SWITCH($C$1,1,'W1'!$G$13,2,'W1'!$L$13,3,'W1'!$Q$13,4,'W1'!$V$13,5,'W1'!$AA$13,6,'W1'!$AF$13)</f>
        <v>12</v>
      </c>
      <c r="F46" s="55"/>
      <c r="G46" s="55"/>
      <c r="H46" s="55"/>
      <c r="J46" s="55"/>
      <c r="K46" s="55" cm="1">
        <f t="array" ref="K46">_xlfn.SWITCH($C$1,1,'W1'!$G$13,2,'W1'!$L$13,3,'W1'!$Q$13,4,'W1'!$V$13,5,'W1'!$AA$13,6,'W1'!$AF$13)</f>
        <v>12</v>
      </c>
      <c r="L46" s="55"/>
      <c r="M46" s="55"/>
      <c r="N46" s="55"/>
      <c r="P46" s="55"/>
      <c r="Q46" s="55" cm="1">
        <f t="array" ref="Q46">_xlfn.SWITCH($C$1,1,'W1'!$G$13,2,'W1'!$L$13,3,'W1'!$Q$13,4,'W1'!$V$13,5,'W1'!$AA$13,6,'W1'!$AF$13)</f>
        <v>12</v>
      </c>
      <c r="R46" s="55"/>
      <c r="S46" s="55"/>
      <c r="T46" s="55"/>
      <c r="V46" s="55"/>
      <c r="W46" s="55" cm="1">
        <f t="array" ref="W46">_xlfn.SWITCH($C$1,1,'W1'!$G$13,2,'W1'!$L$13,3,'W1'!$Q$13,4,'W1'!$V$13,5,'W1'!$AA$13,6,'W1'!$AF$13)</f>
        <v>12</v>
      </c>
      <c r="X46" s="55"/>
      <c r="Y46" s="55"/>
      <c r="Z46" s="55"/>
      <c r="AB46" s="55"/>
      <c r="AC46" s="55" cm="1">
        <f t="array" ref="AC46">_xlfn.SWITCH($C$1,1,'W1'!$G$13,2,'W1'!$L$13,3,'W1'!$Q$13,4,'W1'!$V$13,5,'W1'!$AA$13,6,'W1'!$AF$13)</f>
        <v>12</v>
      </c>
      <c r="AD46" s="55"/>
      <c r="AE46" s="55"/>
      <c r="AF46" s="55"/>
      <c r="AH46" s="55"/>
      <c r="AI46" s="55" cm="1">
        <f t="array" ref="AI46">_xlfn.SWITCH($C$1,1,'W1'!$G$13,2,'W1'!$L$13,3,'W1'!$Q$13,4,'W1'!$V$13,5,'W1'!$AA$13,6,'W1'!$AF$13)</f>
        <v>12</v>
      </c>
      <c r="AJ46" s="55"/>
      <c r="AK46" s="55"/>
      <c r="AL46" s="55"/>
      <c r="AN46" s="55"/>
      <c r="AO46" s="55" cm="1">
        <f t="array" ref="AO46">_xlfn.SWITCH($C$1,1,'W1'!$G$13,2,'W1'!$L$13,3,'W1'!$Q$13,4,'W1'!$V$13,5,'W1'!$AA$13,6,'W1'!$AF$13)</f>
        <v>12</v>
      </c>
      <c r="AP46" s="55"/>
      <c r="AQ46" s="55"/>
      <c r="AR46" s="55"/>
      <c r="AT46" s="55"/>
      <c r="AU46" s="55" cm="1">
        <f t="array" ref="AU46">_xlfn.SWITCH($C$1,1,'W1'!$G$13,2,'W1'!$L$13,3,'W1'!$Q$13,4,'W1'!$V$13,5,'W1'!$AA$13,6,'W1'!$AF$13)</f>
        <v>12</v>
      </c>
      <c r="AV46" s="55"/>
      <c r="AW46" s="55"/>
      <c r="AX46" s="55"/>
      <c r="AZ46" s="55"/>
      <c r="BA46" s="55" cm="1">
        <f t="array" ref="BA46">_xlfn.SWITCH($C$1,1,'W1'!$G$13,2,'W1'!$L$13,3,'W1'!$Q$13,4,'W1'!$V$13,5,'W1'!$AA$13,6,'W1'!$AF$13)</f>
        <v>12</v>
      </c>
      <c r="BB46" s="55"/>
      <c r="BC46" s="55"/>
      <c r="BD46" s="55"/>
      <c r="BF46" s="55"/>
      <c r="BG46" s="55" cm="1">
        <f t="array" ref="BG46">_xlfn.SWITCH($C$1,1,'W1'!$G$13,2,'W1'!$L$13,3,'W1'!$Q$13,4,'W1'!$V$13,5,'W1'!$AA$13,6,'W1'!$AF$13)</f>
        <v>12</v>
      </c>
      <c r="BH46" s="55"/>
      <c r="BI46" s="55"/>
      <c r="BJ46" s="55"/>
      <c r="BL46" s="55"/>
      <c r="BM46" s="55" cm="1">
        <f t="array" ref="BM46">_xlfn.SWITCH($C$1,1,'W1'!$G$13,2,'W1'!$L$13,3,'W1'!$Q$13,4,'W1'!$V$13,5,'W1'!$AA$13,6,'W1'!$AF$13)</f>
        <v>12</v>
      </c>
      <c r="BN46" s="55"/>
      <c r="BO46" s="55"/>
      <c r="BP46" s="55"/>
      <c r="BR46" s="55"/>
      <c r="BS46" s="55" cm="1">
        <f t="array" ref="BS46">_xlfn.SWITCH($C$1,1,'W1'!$G$13,2,'W1'!$L$13,3,'W1'!$Q$13,4,'W1'!$V$13,5,'W1'!$AA$13,6,'W1'!$AF$13)</f>
        <v>12</v>
      </c>
      <c r="BT46" s="55"/>
      <c r="BU46" s="55"/>
      <c r="BV46" s="55"/>
      <c r="BX46" s="55"/>
      <c r="BY46" s="55" cm="1">
        <f t="array" ref="BY46">_xlfn.SWITCH($C$1,1,'W1'!$G$13,2,'W1'!$L$13,3,'W1'!$Q$13,4,'W1'!$V$13,5,'W1'!$AA$13,6,'W1'!$AF$13)</f>
        <v>12</v>
      </c>
      <c r="BZ46" s="55"/>
      <c r="CA46" s="55"/>
      <c r="CB46" s="55"/>
      <c r="CD46" s="55"/>
      <c r="CE46" s="55" cm="1">
        <f t="array" ref="CE46">_xlfn.SWITCH($C$1,1,'W1'!$G$13,2,'W1'!$L$13,3,'W1'!$Q$13,4,'W1'!$V$13,5,'W1'!$AA$13,6,'W1'!$AF$13)</f>
        <v>12</v>
      </c>
      <c r="CF46" s="55"/>
      <c r="CG46" s="55"/>
      <c r="CH46" s="55"/>
      <c r="CJ46" s="55"/>
      <c r="CK46" s="55" cm="1">
        <f t="array" ref="CK46">_xlfn.SWITCH($C$1,1,'W1'!$G$13,2,'W1'!$L$13,3,'W1'!$Q$13,4,'W1'!$V$13,5,'W1'!$AA$13,6,'W1'!$AF$13)</f>
        <v>12</v>
      </c>
      <c r="CL46" s="55"/>
      <c r="CM46" s="55"/>
      <c r="CN46" s="55"/>
      <c r="CP46" s="55"/>
      <c r="CQ46" s="55" cm="1">
        <f t="array" ref="CQ46">_xlfn.SWITCH($C$1,1,'W1'!$G$13,2,'W1'!$L$13,3,'W1'!$Q$13,4,'W1'!$V$13,5,'W1'!$AA$13,6,'W1'!$AF$13)</f>
        <v>12</v>
      </c>
      <c r="CR46" s="55"/>
      <c r="CS46" s="55"/>
      <c r="CT46" s="55"/>
      <c r="CV46" s="55"/>
      <c r="CW46" s="55" cm="1">
        <f t="array" ref="CW46">_xlfn.SWITCH($C$1,1,'W1'!$G$13,2,'W1'!$L$13,3,'W1'!$Q$13,4,'W1'!$V$13,5,'W1'!$AA$13,6,'W1'!$AF$13)</f>
        <v>12</v>
      </c>
      <c r="CX46" s="55"/>
      <c r="CY46" s="55"/>
      <c r="CZ46" s="55"/>
      <c r="DB46" s="55"/>
      <c r="DC46" s="55" cm="1">
        <f t="array" ref="DC46">_xlfn.SWITCH($C$1,1,'W1'!$G$13,2,'W1'!$L$13,3,'W1'!$Q$13,4,'W1'!$V$13,5,'W1'!$AA$13,6,'W1'!$AF$13)</f>
        <v>12</v>
      </c>
      <c r="DD46" s="55"/>
      <c r="DE46" s="55"/>
      <c r="DF46" s="55"/>
      <c r="DH46" s="55"/>
      <c r="DI46" s="55" cm="1">
        <f t="array" ref="DI46">_xlfn.SWITCH($C$1,1,'W1'!$G$13,2,'W1'!$L$13,3,'W1'!$Q$13,4,'W1'!$V$13,5,'W1'!$AA$13,6,'W1'!$AF$13)</f>
        <v>12</v>
      </c>
      <c r="DJ46" s="55"/>
      <c r="DK46" s="55"/>
      <c r="DL46" s="55"/>
      <c r="DN46" s="55"/>
      <c r="DO46" s="55" cm="1">
        <f t="array" ref="DO46">_xlfn.SWITCH($C$1,1,'W1'!$G$13,2,'W1'!$L$13,3,'W1'!$Q$13,4,'W1'!$V$13,5,'W1'!$AA$13,6,'W1'!$AF$13)</f>
        <v>12</v>
      </c>
      <c r="DP46" s="55"/>
      <c r="DQ46" s="55"/>
      <c r="DR46" s="55"/>
      <c r="DT46" s="55"/>
      <c r="DU46" s="55" cm="1">
        <f t="array" ref="DU46">_xlfn.SWITCH($C$1,1,'W1'!$G$13,2,'W1'!$L$13,3,'W1'!$Q$13,4,'W1'!$V$13,5,'W1'!$AA$13,6,'W1'!$AF$13)</f>
        <v>12</v>
      </c>
      <c r="DV46" s="55"/>
      <c r="DW46" s="55"/>
      <c r="DX46" s="55"/>
      <c r="DZ46" s="55"/>
      <c r="EA46" s="55" cm="1">
        <f t="array" ref="EA46">_xlfn.SWITCH($C$1,1,'W1'!$G$13,2,'W1'!$L$13,3,'W1'!$Q$13,4,'W1'!$V$13,5,'W1'!$AA$13,6,'W1'!$AF$13)</f>
        <v>12</v>
      </c>
      <c r="EB46" s="55"/>
      <c r="EC46" s="55"/>
      <c r="ED46" s="55"/>
      <c r="EF46" s="55"/>
      <c r="EG46" s="55" cm="1">
        <f t="array" ref="EG46">_xlfn.SWITCH($C$1,1,'W1'!$G$13,2,'W1'!$L$13,3,'W1'!$Q$13,4,'W1'!$V$13,5,'W1'!$AA$13,6,'W1'!$AF$13)</f>
        <v>12</v>
      </c>
      <c r="EH46" s="55"/>
      <c r="EI46" s="55"/>
      <c r="EJ46" s="55"/>
      <c r="EL46" s="55"/>
      <c r="EM46" s="55" cm="1">
        <f t="array" ref="EM46">_xlfn.SWITCH($C$1,1,'W1'!$G$13,2,'W1'!$L$13,3,'W1'!$Q$13,4,'W1'!$V$13,5,'W1'!$AA$13,6,'W1'!$AF$13)</f>
        <v>12</v>
      </c>
      <c r="EN46" s="55"/>
      <c r="EO46" s="55"/>
      <c r="EP46" s="55"/>
      <c r="ER46" s="55"/>
      <c r="ES46" s="55" cm="1">
        <f t="array" ref="ES46">_xlfn.SWITCH($C$1,1,'W1'!$G$13,2,'W1'!$L$13,3,'W1'!$Q$13,4,'W1'!$V$13,5,'W1'!$AA$13,6,'W1'!$AF$13)</f>
        <v>12</v>
      </c>
      <c r="ET46" s="55"/>
      <c r="EU46" s="55"/>
      <c r="EV46" s="55"/>
    </row>
    <row r="47" spans="1:152" x14ac:dyDescent="0.25">
      <c r="B47" s="56" t="s">
        <v>352</v>
      </c>
      <c r="C47" s="55" t="s">
        <v>360</v>
      </c>
      <c r="D47" s="55"/>
      <c r="E47" s="55">
        <f>E46*12</f>
        <v>144</v>
      </c>
      <c r="F47" s="55"/>
      <c r="G47" s="55"/>
      <c r="H47" s="55"/>
      <c r="J47" s="55"/>
      <c r="K47" s="55">
        <f t="shared" ref="K47" si="635">K46*12</f>
        <v>144</v>
      </c>
      <c r="L47" s="55"/>
      <c r="M47" s="55"/>
      <c r="N47" s="55"/>
      <c r="P47" s="55"/>
      <c r="Q47" s="55">
        <f t="shared" ref="Q47" si="636">Q46*12</f>
        <v>144</v>
      </c>
      <c r="R47" s="55"/>
      <c r="S47" s="55"/>
      <c r="T47" s="55"/>
      <c r="V47" s="55"/>
      <c r="W47" s="55">
        <f t="shared" ref="W47" si="637">W46*12</f>
        <v>144</v>
      </c>
      <c r="X47" s="55"/>
      <c r="Y47" s="55"/>
      <c r="Z47" s="55"/>
      <c r="AB47" s="55"/>
      <c r="AC47" s="55">
        <f t="shared" ref="AC47" si="638">AC46*12</f>
        <v>144</v>
      </c>
      <c r="AD47" s="55"/>
      <c r="AE47" s="55"/>
      <c r="AF47" s="55"/>
      <c r="AH47" s="55"/>
      <c r="AI47" s="55">
        <f t="shared" ref="AI47" si="639">AI46*12</f>
        <v>144</v>
      </c>
      <c r="AJ47" s="55"/>
      <c r="AK47" s="55"/>
      <c r="AL47" s="55"/>
      <c r="AN47" s="55"/>
      <c r="AO47" s="55">
        <f t="shared" ref="AO47" si="640">AO46*12</f>
        <v>144</v>
      </c>
      <c r="AP47" s="55"/>
      <c r="AQ47" s="55"/>
      <c r="AR47" s="55"/>
      <c r="AT47" s="55"/>
      <c r="AU47" s="55">
        <f t="shared" ref="AU47" si="641">AU46*12</f>
        <v>144</v>
      </c>
      <c r="AV47" s="55"/>
      <c r="AW47" s="55"/>
      <c r="AX47" s="55"/>
      <c r="AZ47" s="55"/>
      <c r="BA47" s="55">
        <f t="shared" ref="BA47" si="642">BA46*12</f>
        <v>144</v>
      </c>
      <c r="BB47" s="55"/>
      <c r="BC47" s="55"/>
      <c r="BD47" s="55"/>
      <c r="BF47" s="55"/>
      <c r="BG47" s="55">
        <f t="shared" ref="BG47" si="643">BG46*12</f>
        <v>144</v>
      </c>
      <c r="BH47" s="55"/>
      <c r="BI47" s="55"/>
      <c r="BJ47" s="55"/>
      <c r="BL47" s="55"/>
      <c r="BM47" s="55">
        <f t="shared" ref="BM47" si="644">BM46*12</f>
        <v>144</v>
      </c>
      <c r="BN47" s="55"/>
      <c r="BO47" s="55"/>
      <c r="BP47" s="55"/>
      <c r="BR47" s="55"/>
      <c r="BS47" s="55">
        <f t="shared" ref="BS47" si="645">BS46*12</f>
        <v>144</v>
      </c>
      <c r="BT47" s="55"/>
      <c r="BU47" s="55"/>
      <c r="BV47" s="55"/>
      <c r="BX47" s="55"/>
      <c r="BY47" s="55">
        <f t="shared" ref="BY47" si="646">BY46*12</f>
        <v>144</v>
      </c>
      <c r="BZ47" s="55"/>
      <c r="CA47" s="55"/>
      <c r="CB47" s="55"/>
      <c r="CD47" s="55"/>
      <c r="CE47" s="55">
        <f t="shared" ref="CE47" si="647">CE46*12</f>
        <v>144</v>
      </c>
      <c r="CF47" s="55"/>
      <c r="CG47" s="55"/>
      <c r="CH47" s="55"/>
      <c r="CJ47" s="55"/>
      <c r="CK47" s="55">
        <f t="shared" ref="CK47" si="648">CK46*12</f>
        <v>144</v>
      </c>
      <c r="CL47" s="55"/>
      <c r="CM47" s="55"/>
      <c r="CN47" s="55"/>
      <c r="CP47" s="55"/>
      <c r="CQ47" s="55">
        <f t="shared" ref="CQ47" si="649">CQ46*12</f>
        <v>144</v>
      </c>
      <c r="CR47" s="55"/>
      <c r="CS47" s="55"/>
      <c r="CT47" s="55"/>
      <c r="CV47" s="55"/>
      <c r="CW47" s="55">
        <f t="shared" ref="CW47" si="650">CW46*12</f>
        <v>144</v>
      </c>
      <c r="CX47" s="55"/>
      <c r="CY47" s="55"/>
      <c r="CZ47" s="55"/>
      <c r="DB47" s="55"/>
      <c r="DC47" s="55">
        <f t="shared" ref="DC47" si="651">DC46*12</f>
        <v>144</v>
      </c>
      <c r="DD47" s="55"/>
      <c r="DE47" s="55"/>
      <c r="DF47" s="55"/>
      <c r="DH47" s="55"/>
      <c r="DI47" s="55">
        <f t="shared" ref="DI47" si="652">DI46*12</f>
        <v>144</v>
      </c>
      <c r="DJ47" s="55"/>
      <c r="DK47" s="55"/>
      <c r="DL47" s="55"/>
      <c r="DN47" s="55"/>
      <c r="DO47" s="55">
        <f t="shared" ref="DO47" si="653">DO46*12</f>
        <v>144</v>
      </c>
      <c r="DP47" s="55"/>
      <c r="DQ47" s="55"/>
      <c r="DR47" s="55"/>
      <c r="DT47" s="55"/>
      <c r="DU47" s="55">
        <f t="shared" ref="DU47" si="654">DU46*12</f>
        <v>144</v>
      </c>
      <c r="DV47" s="55"/>
      <c r="DW47" s="55"/>
      <c r="DX47" s="55"/>
      <c r="DZ47" s="55"/>
      <c r="EA47" s="55">
        <f t="shared" ref="EA47" si="655">EA46*12</f>
        <v>144</v>
      </c>
      <c r="EB47" s="55"/>
      <c r="EC47" s="55"/>
      <c r="ED47" s="55"/>
      <c r="EF47" s="55"/>
      <c r="EG47" s="55">
        <f t="shared" ref="EG47" si="656">EG46*12</f>
        <v>144</v>
      </c>
      <c r="EH47" s="55"/>
      <c r="EI47" s="55"/>
      <c r="EJ47" s="55"/>
      <c r="EL47" s="55"/>
      <c r="EM47" s="55">
        <f t="shared" ref="EM47" si="657">EM46*12</f>
        <v>144</v>
      </c>
      <c r="EN47" s="55"/>
      <c r="EO47" s="55"/>
      <c r="EP47" s="55"/>
      <c r="ER47" s="55"/>
      <c r="ES47" s="55">
        <f t="shared" ref="ES47" si="658">ES46*12</f>
        <v>144</v>
      </c>
      <c r="ET47" s="55"/>
      <c r="EU47" s="55"/>
      <c r="EV47" s="55"/>
    </row>
    <row r="48" spans="1:152" x14ac:dyDescent="0.25">
      <c r="B48" s="56" t="s">
        <v>132</v>
      </c>
      <c r="C48" s="55" t="s">
        <v>129</v>
      </c>
      <c r="D48" s="55"/>
      <c r="E48" s="55"/>
      <c r="F48" s="55"/>
      <c r="G48" s="55"/>
      <c r="H48" s="55"/>
      <c r="J48" s="55"/>
      <c r="K48" s="55"/>
      <c r="L48" s="55"/>
      <c r="M48" s="55"/>
      <c r="N48" s="55"/>
      <c r="P48" s="55"/>
      <c r="Q48" s="55"/>
      <c r="R48" s="55"/>
      <c r="S48" s="55"/>
      <c r="T48" s="55"/>
      <c r="V48" s="55"/>
      <c r="W48" s="55"/>
      <c r="X48" s="55"/>
      <c r="Y48" s="55"/>
      <c r="Z48" s="55"/>
      <c r="AB48" s="55"/>
      <c r="AC48" s="55"/>
      <c r="AD48" s="55"/>
      <c r="AE48" s="55"/>
      <c r="AF48" s="55"/>
      <c r="AH48" s="55"/>
      <c r="AI48" s="55"/>
      <c r="AJ48" s="55"/>
      <c r="AK48" s="55"/>
      <c r="AL48" s="55"/>
      <c r="AN48" s="55"/>
      <c r="AO48" s="55"/>
      <c r="AP48" s="55"/>
      <c r="AQ48" s="55"/>
      <c r="AR48" s="55"/>
      <c r="AT48" s="55"/>
      <c r="AU48" s="55"/>
      <c r="AV48" s="55"/>
      <c r="AW48" s="55"/>
      <c r="AX48" s="55"/>
      <c r="AZ48" s="55"/>
      <c r="BA48" s="55"/>
      <c r="BB48" s="55"/>
      <c r="BC48" s="55"/>
      <c r="BD48" s="55"/>
      <c r="BF48" s="55"/>
      <c r="BG48" s="55"/>
      <c r="BH48" s="55"/>
      <c r="BI48" s="55"/>
      <c r="BJ48" s="55"/>
      <c r="BL48" s="55"/>
      <c r="BM48" s="55"/>
      <c r="BN48" s="55"/>
      <c r="BO48" s="55"/>
      <c r="BP48" s="55"/>
      <c r="BR48" s="55"/>
      <c r="BS48" s="55"/>
      <c r="BT48" s="55"/>
      <c r="BU48" s="55"/>
      <c r="BV48" s="55"/>
      <c r="BX48" s="55"/>
      <c r="BY48" s="55"/>
      <c r="BZ48" s="55"/>
      <c r="CA48" s="55"/>
      <c r="CB48" s="55"/>
      <c r="CD48" s="55"/>
      <c r="CE48" s="55"/>
      <c r="CF48" s="55"/>
      <c r="CG48" s="55"/>
      <c r="CH48" s="55"/>
      <c r="CJ48" s="55"/>
      <c r="CK48" s="55"/>
      <c r="CL48" s="55"/>
      <c r="CM48" s="55"/>
      <c r="CN48" s="55"/>
      <c r="CP48" s="55"/>
      <c r="CQ48" s="55"/>
      <c r="CR48" s="55"/>
      <c r="CS48" s="55"/>
      <c r="CT48" s="55"/>
      <c r="CV48" s="55"/>
      <c r="CW48" s="55"/>
      <c r="CX48" s="55"/>
      <c r="CY48" s="55"/>
      <c r="CZ48" s="55"/>
      <c r="DB48" s="55"/>
      <c r="DC48" s="55"/>
      <c r="DD48" s="55"/>
      <c r="DE48" s="55"/>
      <c r="DF48" s="55"/>
      <c r="DH48" s="55"/>
      <c r="DI48" s="55"/>
      <c r="DJ48" s="55"/>
      <c r="DK48" s="55"/>
      <c r="DL48" s="55"/>
      <c r="DN48" s="55"/>
      <c r="DO48" s="55"/>
      <c r="DP48" s="55"/>
      <c r="DQ48" s="55"/>
      <c r="DR48" s="55"/>
      <c r="DT48" s="55"/>
      <c r="DU48" s="55"/>
      <c r="DV48" s="55"/>
      <c r="DW48" s="55"/>
      <c r="DX48" s="55"/>
      <c r="DZ48" s="55"/>
      <c r="EA48" s="55"/>
      <c r="EB48" s="55"/>
      <c r="EC48" s="55"/>
      <c r="ED48" s="55"/>
      <c r="EF48" s="55"/>
      <c r="EG48" s="55"/>
      <c r="EH48" s="55"/>
      <c r="EI48" s="55"/>
      <c r="EJ48" s="55"/>
      <c r="EL48" s="55"/>
      <c r="EM48" s="55"/>
      <c r="EN48" s="55"/>
      <c r="EO48" s="55"/>
      <c r="EP48" s="55"/>
      <c r="ER48" s="55"/>
      <c r="ES48" s="55"/>
      <c r="ET48" s="55"/>
      <c r="EU48" s="55"/>
      <c r="EV48" s="55"/>
    </row>
    <row r="49" spans="1:152" x14ac:dyDescent="0.25">
      <c r="A49" t="s">
        <v>155</v>
      </c>
      <c r="B49" s="56" t="s">
        <v>133</v>
      </c>
      <c r="C49" s="55" t="s">
        <v>129</v>
      </c>
      <c r="D49" s="55"/>
      <c r="E49" s="132" cm="1">
        <f t="array" ref="E49">SUMPRODUCT('W1'!$I$10:$AI$60*('W1'!$B$10:$B$60=$B49)*('W1'!$I$6:$AI$6=$B$1))*$E$1</f>
        <v>0</v>
      </c>
      <c r="F49" s="134">
        <f>IF(H$2&lt;=E$50,E49/E$51,0)</f>
        <v>0</v>
      </c>
      <c r="G49" s="134">
        <f>F49*12</f>
        <v>0</v>
      </c>
      <c r="H49" s="55"/>
      <c r="J49" s="55"/>
      <c r="K49" s="132" cm="1">
        <f t="array" ref="K49">SUMPRODUCT('W1'!$I$10:$AI$60*('W1'!$B$10:$B$60=$B49)*('W1'!$I$6:$AI$6=$B$1))*$E$1</f>
        <v>0</v>
      </c>
      <c r="L49" s="134">
        <f t="shared" ref="L49" si="659">IF(N$2&lt;=K$50,K49/K$51,0)</f>
        <v>0</v>
      </c>
      <c r="M49" s="134">
        <f t="shared" ref="M49" si="660">L49*12</f>
        <v>0</v>
      </c>
      <c r="N49" s="55"/>
      <c r="P49" s="55"/>
      <c r="Q49" s="132" cm="1">
        <f t="array" ref="Q49">SUMPRODUCT('W1'!$I$10:$AI$60*('W1'!$B$10:$B$60=$B49)*('W1'!$I$6:$AI$6=$B$1))*$E$1</f>
        <v>0</v>
      </c>
      <c r="R49" s="134">
        <f t="shared" ref="R49" si="661">IF(T$2&lt;=Q$50,Q49/Q$51,0)</f>
        <v>0</v>
      </c>
      <c r="S49" s="134">
        <f t="shared" ref="S49" si="662">R49*12</f>
        <v>0</v>
      </c>
      <c r="T49" s="55"/>
      <c r="V49" s="55"/>
      <c r="W49" s="132" cm="1">
        <f t="array" ref="W49">SUMPRODUCT('W1'!$I$10:$AI$60*('W1'!$B$10:$B$60=$B49)*('W1'!$I$6:$AI$6=$B$1))*$E$1</f>
        <v>0</v>
      </c>
      <c r="X49" s="134">
        <f t="shared" ref="X49" si="663">IF(Z$2&lt;=W$50,W49/W$51,0)</f>
        <v>0</v>
      </c>
      <c r="Y49" s="134">
        <f t="shared" ref="Y49" si="664">X49*12</f>
        <v>0</v>
      </c>
      <c r="Z49" s="55"/>
      <c r="AB49" s="55"/>
      <c r="AC49" s="132" cm="1">
        <f t="array" ref="AC49">SUMPRODUCT('W1'!$I$10:$AI$60*('W1'!$B$10:$B$60=$B49)*('W1'!$I$6:$AI$6=$B$1))*$E$1</f>
        <v>0</v>
      </c>
      <c r="AD49" s="134">
        <f t="shared" ref="AD49" si="665">IF(AF$2&lt;=AC$50,AC49/AC$51,0)</f>
        <v>0</v>
      </c>
      <c r="AE49" s="134">
        <f t="shared" ref="AE49" si="666">AD49*12</f>
        <v>0</v>
      </c>
      <c r="AF49" s="55"/>
      <c r="AH49" s="55"/>
      <c r="AI49" s="132" cm="1">
        <f t="array" ref="AI49">SUMPRODUCT('W1'!$I$10:$AI$60*('W1'!$B$10:$B$60=$B49)*('W1'!$I$6:$AI$6=$B$1))*$E$1</f>
        <v>0</v>
      </c>
      <c r="AJ49" s="134">
        <f t="shared" ref="AJ49" si="667">IF(AL$2&lt;=AI$50,AI49/AI$51,0)</f>
        <v>0</v>
      </c>
      <c r="AK49" s="134">
        <f t="shared" ref="AK49" si="668">AJ49*12</f>
        <v>0</v>
      </c>
      <c r="AL49" s="55"/>
      <c r="AN49" s="55"/>
      <c r="AO49" s="132" cm="1">
        <f t="array" ref="AO49">SUMPRODUCT('W1'!$I$10:$AI$60*('W1'!$B$10:$B$60=$B49)*('W1'!$I$6:$AI$6=$B$1))*$E$1</f>
        <v>0</v>
      </c>
      <c r="AP49" s="134">
        <f t="shared" ref="AP49" si="669">IF(AR$2&lt;=AO$50,AO49/AO$51,0)</f>
        <v>0</v>
      </c>
      <c r="AQ49" s="134">
        <f t="shared" ref="AQ49" si="670">AP49*12</f>
        <v>0</v>
      </c>
      <c r="AR49" s="55"/>
      <c r="AT49" s="55"/>
      <c r="AU49" s="132" cm="1">
        <f t="array" ref="AU49">SUMPRODUCT('W1'!$I$10:$AI$60*('W1'!$B$10:$B$60=$B49)*('W1'!$I$6:$AI$6=$B$1))*$E$1</f>
        <v>0</v>
      </c>
      <c r="AV49" s="134">
        <f t="shared" ref="AV49" si="671">IF(AX$2&lt;=AU$50,AU49/AU$51,0)</f>
        <v>0</v>
      </c>
      <c r="AW49" s="134">
        <f t="shared" ref="AW49" si="672">AV49*12</f>
        <v>0</v>
      </c>
      <c r="AX49" s="55"/>
      <c r="AZ49" s="55"/>
      <c r="BA49" s="132" cm="1">
        <f t="array" ref="BA49">SUMPRODUCT('W1'!$I$10:$AI$60*('W1'!$B$10:$B$60=$B49)*('W1'!$I$6:$AI$6=$B$1))*$E$1</f>
        <v>0</v>
      </c>
      <c r="BB49" s="134">
        <f t="shared" ref="BB49" si="673">IF(BD$2&lt;=BA$50,BA49/BA$51,0)</f>
        <v>0</v>
      </c>
      <c r="BC49" s="134">
        <f t="shared" ref="BC49" si="674">BB49*12</f>
        <v>0</v>
      </c>
      <c r="BD49" s="55"/>
      <c r="BF49" s="55"/>
      <c r="BG49" s="132" cm="1">
        <f t="array" ref="BG49">SUMPRODUCT('W1'!$I$10:$AI$60*('W1'!$B$10:$B$60=$B49)*('W1'!$I$6:$AI$6=$B$1))*$E$1</f>
        <v>0</v>
      </c>
      <c r="BH49" s="134">
        <f t="shared" ref="BH49" si="675">IF(BJ$2&lt;=BG$50,BG49/BG$51,0)</f>
        <v>0</v>
      </c>
      <c r="BI49" s="134">
        <f t="shared" ref="BI49" si="676">BH49*12</f>
        <v>0</v>
      </c>
      <c r="BJ49" s="55"/>
      <c r="BL49" s="55"/>
      <c r="BM49" s="132" cm="1">
        <f t="array" ref="BM49">SUMPRODUCT('W1'!$I$10:$AI$60*('W1'!$B$10:$B$60=$B49)*('W1'!$I$6:$AI$6=$B$1))*$E$1</f>
        <v>0</v>
      </c>
      <c r="BN49" s="134">
        <f t="shared" ref="BN49" si="677">IF(BP$2&lt;=BM$50,BM49/BM$51,0)</f>
        <v>0</v>
      </c>
      <c r="BO49" s="134">
        <f t="shared" ref="BO49" si="678">BN49*12</f>
        <v>0</v>
      </c>
      <c r="BP49" s="55"/>
      <c r="BR49" s="55"/>
      <c r="BS49" s="132" cm="1">
        <f t="array" ref="BS49">SUMPRODUCT('W1'!$I$10:$AI$60*('W1'!$B$10:$B$60=$B49)*('W1'!$I$6:$AI$6=$B$1))*$E$1</f>
        <v>0</v>
      </c>
      <c r="BT49" s="134">
        <f t="shared" ref="BT49" si="679">IF(BV$2&lt;=BS$50,BS49/BS$51,0)</f>
        <v>0</v>
      </c>
      <c r="BU49" s="134">
        <f t="shared" ref="BU49" si="680">BT49*12</f>
        <v>0</v>
      </c>
      <c r="BV49" s="55"/>
      <c r="BX49" s="55"/>
      <c r="BY49" s="132" cm="1">
        <f t="array" ref="BY49">SUMPRODUCT('W1'!$I$10:$AI$60*('W1'!$B$10:$B$60=$B49)*('W1'!$I$6:$AI$6=$B$1))*$E$1</f>
        <v>0</v>
      </c>
      <c r="BZ49" s="134">
        <f t="shared" ref="BZ49" si="681">IF(CB$2&lt;=BY$50,BY49/BY$51,0)</f>
        <v>0</v>
      </c>
      <c r="CA49" s="134">
        <f t="shared" ref="CA49" si="682">BZ49*12</f>
        <v>0</v>
      </c>
      <c r="CB49" s="55"/>
      <c r="CD49" s="55"/>
      <c r="CE49" s="132" cm="1">
        <f t="array" ref="CE49">SUMPRODUCT('W1'!$I$10:$AI$60*('W1'!$B$10:$B$60=$B49)*('W1'!$I$6:$AI$6=$B$1))*$E$1</f>
        <v>0</v>
      </c>
      <c r="CF49" s="134">
        <f t="shared" ref="CF49" si="683">IF(CH$2&lt;=CE$50,CE49/CE$51,0)</f>
        <v>0</v>
      </c>
      <c r="CG49" s="134">
        <f t="shared" ref="CG49" si="684">CF49*12</f>
        <v>0</v>
      </c>
      <c r="CH49" s="55"/>
      <c r="CJ49" s="55"/>
      <c r="CK49" s="132" cm="1">
        <f t="array" ref="CK49">SUMPRODUCT('W1'!$I$10:$AI$60*('W1'!$B$10:$B$60=$B49)*('W1'!$I$6:$AI$6=$B$1))*$E$1</f>
        <v>0</v>
      </c>
      <c r="CL49" s="134">
        <f t="shared" ref="CL49" si="685">IF(CN$2&lt;=CK$50,CK49/CK$51,0)</f>
        <v>0</v>
      </c>
      <c r="CM49" s="134">
        <f t="shared" ref="CM49" si="686">CL49*12</f>
        <v>0</v>
      </c>
      <c r="CN49" s="55"/>
      <c r="CP49" s="55"/>
      <c r="CQ49" s="132" cm="1">
        <f t="array" ref="CQ49">SUMPRODUCT('W1'!$I$10:$AI$60*('W1'!$B$10:$B$60=$B49)*('W1'!$I$6:$AI$6=$B$1))*$E$1</f>
        <v>0</v>
      </c>
      <c r="CR49" s="134">
        <f t="shared" ref="CR49" si="687">IF(CT$2&lt;=CQ$50,CQ49/CQ$51,0)</f>
        <v>0</v>
      </c>
      <c r="CS49" s="134">
        <f t="shared" ref="CS49" si="688">CR49*12</f>
        <v>0</v>
      </c>
      <c r="CT49" s="55"/>
      <c r="CV49" s="55"/>
      <c r="CW49" s="132" cm="1">
        <f t="array" ref="CW49">SUMPRODUCT('W1'!$I$10:$AI$60*('W1'!$B$10:$B$60=$B49)*('W1'!$I$6:$AI$6=$B$1))*$E$1</f>
        <v>0</v>
      </c>
      <c r="CX49" s="134">
        <f t="shared" ref="CX49" si="689">IF(CZ$2&lt;=CW$50,CW49/CW$51,0)</f>
        <v>0</v>
      </c>
      <c r="CY49" s="134">
        <f t="shared" ref="CY49" si="690">CX49*12</f>
        <v>0</v>
      </c>
      <c r="CZ49" s="55"/>
      <c r="DB49" s="55"/>
      <c r="DC49" s="132" cm="1">
        <f t="array" ref="DC49">SUMPRODUCT('W1'!$I$10:$AI$60*('W1'!$B$10:$B$60=$B49)*('W1'!$I$6:$AI$6=$B$1))*$E$1</f>
        <v>0</v>
      </c>
      <c r="DD49" s="134">
        <f t="shared" ref="DD49" si="691">IF(DF$2&lt;=DC$50,DC49/DC$51,0)</f>
        <v>0</v>
      </c>
      <c r="DE49" s="134">
        <f t="shared" ref="DE49" si="692">DD49*12</f>
        <v>0</v>
      </c>
      <c r="DF49" s="55"/>
      <c r="DH49" s="55"/>
      <c r="DI49" s="132" cm="1">
        <f t="array" ref="DI49">SUMPRODUCT('W1'!$I$10:$AI$60*('W1'!$B$10:$B$60=$B49)*('W1'!$I$6:$AI$6=$B$1))*$E$1</f>
        <v>0</v>
      </c>
      <c r="DJ49" s="134">
        <f t="shared" ref="DJ49" si="693">IF(DL$2&lt;=DI$50,DI49/DI$51,0)</f>
        <v>0</v>
      </c>
      <c r="DK49" s="134">
        <f t="shared" ref="DK49" si="694">DJ49*12</f>
        <v>0</v>
      </c>
      <c r="DL49" s="55"/>
      <c r="DN49" s="55"/>
      <c r="DO49" s="132" cm="1">
        <f t="array" ref="DO49">SUMPRODUCT('W1'!$I$10:$AI$60*('W1'!$B$10:$B$60=$B49)*('W1'!$I$6:$AI$6=$B$1))*$E$1</f>
        <v>0</v>
      </c>
      <c r="DP49" s="134">
        <f t="shared" ref="DP49" si="695">IF(DR$2&lt;=DO$50,DO49/DO$51,0)</f>
        <v>0</v>
      </c>
      <c r="DQ49" s="134">
        <f t="shared" ref="DQ49" si="696">DP49*12</f>
        <v>0</v>
      </c>
      <c r="DR49" s="55"/>
      <c r="DT49" s="55"/>
      <c r="DU49" s="132" cm="1">
        <f t="array" ref="DU49">SUMPRODUCT('W1'!$I$10:$AI$60*('W1'!$B$10:$B$60=$B49)*('W1'!$I$6:$AI$6=$B$1))*$E$1</f>
        <v>0</v>
      </c>
      <c r="DV49" s="134">
        <f t="shared" ref="DV49" si="697">IF(DX$2&lt;=DU$50,DU49/DU$51,0)</f>
        <v>0</v>
      </c>
      <c r="DW49" s="134">
        <f t="shared" ref="DW49" si="698">DV49*12</f>
        <v>0</v>
      </c>
      <c r="DX49" s="55"/>
      <c r="DZ49" s="55"/>
      <c r="EA49" s="132" cm="1">
        <f t="array" ref="EA49">SUMPRODUCT('W1'!$I$10:$AI$60*('W1'!$B$10:$B$60=$B49)*('W1'!$I$6:$AI$6=$B$1))*$E$1</f>
        <v>0</v>
      </c>
      <c r="EB49" s="134">
        <f t="shared" ref="EB49" si="699">IF(ED$2&lt;=EA$50,EA49/EA$51,0)</f>
        <v>0</v>
      </c>
      <c r="EC49" s="134">
        <f t="shared" ref="EC49" si="700">EB49*12</f>
        <v>0</v>
      </c>
      <c r="ED49" s="55"/>
      <c r="EF49" s="55"/>
      <c r="EG49" s="132" cm="1">
        <f t="array" ref="EG49">SUMPRODUCT('W1'!$I$10:$AI$60*('W1'!$B$10:$B$60=$B49)*('W1'!$I$6:$AI$6=$B$1))*$E$1</f>
        <v>0</v>
      </c>
      <c r="EH49" s="134">
        <f t="shared" ref="EH49" si="701">IF(EJ$2&lt;=EG$50,EG49/EG$51,0)</f>
        <v>0</v>
      </c>
      <c r="EI49" s="134">
        <f t="shared" ref="EI49" si="702">EH49*12</f>
        <v>0</v>
      </c>
      <c r="EJ49" s="55"/>
      <c r="EL49" s="55"/>
      <c r="EM49" s="132" cm="1">
        <f t="array" ref="EM49">SUMPRODUCT('W1'!$I$10:$AI$60*('W1'!$B$10:$B$60=$B49)*('W1'!$I$6:$AI$6=$B$1))*$E$1</f>
        <v>0</v>
      </c>
      <c r="EN49" s="134">
        <f t="shared" ref="EN49" si="703">IF(EP$2&lt;=EM$50,EM49/EM$51,0)</f>
        <v>0</v>
      </c>
      <c r="EO49" s="134">
        <f t="shared" ref="EO49" si="704">EN49*12</f>
        <v>0</v>
      </c>
      <c r="EP49" s="55"/>
      <c r="ER49" s="55"/>
      <c r="ES49" s="132" cm="1">
        <f t="array" ref="ES49">SUMPRODUCT('W1'!$I$10:$AI$60*('W1'!$B$10:$B$60=$B49)*('W1'!$I$6:$AI$6=$B$1))*$E$1</f>
        <v>0</v>
      </c>
      <c r="ET49" s="134">
        <f t="shared" ref="ET49" si="705">IF(EV$2&lt;=ES$50,ES49/ES$51,0)</f>
        <v>0</v>
      </c>
      <c r="EU49" s="134">
        <f t="shared" ref="EU49" si="706">ET49*12</f>
        <v>0</v>
      </c>
      <c r="EV49" s="55"/>
    </row>
    <row r="50" spans="1:152" x14ac:dyDescent="0.25">
      <c r="B50" s="56" t="s">
        <v>353</v>
      </c>
      <c r="C50" s="55" t="s">
        <v>131</v>
      </c>
      <c r="D50" s="55"/>
      <c r="E50" s="55" cm="1">
        <f t="array" ref="E50">_xlfn.SWITCH($C$1,1,'W1'!$G$36,2,'W1'!$L$36,3,'W1'!$Q$36,4,'W1'!$V$36,5,'W1'!$AA$36,6,'W1'!$AF$36)</f>
        <v>25</v>
      </c>
      <c r="F50" s="55"/>
      <c r="G50" s="55"/>
      <c r="H50" s="55"/>
      <c r="J50" s="55"/>
      <c r="K50" s="55" cm="1">
        <f t="array" ref="K50">_xlfn.SWITCH($C$1,1,'W1'!$G$36,2,'W1'!$L$36,3,'W1'!$Q$36,4,'W1'!$V$36,5,'W1'!$AA$36,6,'W1'!$AF$36)</f>
        <v>25</v>
      </c>
      <c r="L50" s="55"/>
      <c r="M50" s="55"/>
      <c r="N50" s="55"/>
      <c r="P50" s="55"/>
      <c r="Q50" s="55" cm="1">
        <f t="array" ref="Q50">_xlfn.SWITCH($C$1,1,'W1'!$G$36,2,'W1'!$L$36,3,'W1'!$Q$36,4,'W1'!$V$36,5,'W1'!$AA$36,6,'W1'!$AF$36)</f>
        <v>25</v>
      </c>
      <c r="R50" s="55"/>
      <c r="S50" s="55"/>
      <c r="T50" s="55"/>
      <c r="V50" s="55"/>
      <c r="W50" s="55" cm="1">
        <f t="array" ref="W50">_xlfn.SWITCH($C$1,1,'W1'!$G$36,2,'W1'!$L$36,3,'W1'!$Q$36,4,'W1'!$V$36,5,'W1'!$AA$36,6,'W1'!$AF$36)</f>
        <v>25</v>
      </c>
      <c r="X50" s="55"/>
      <c r="Y50" s="55"/>
      <c r="Z50" s="55"/>
      <c r="AB50" s="55"/>
      <c r="AC50" s="55" cm="1">
        <f t="array" ref="AC50">_xlfn.SWITCH($C$1,1,'W1'!$G$36,2,'W1'!$L$36,3,'W1'!$Q$36,4,'W1'!$V$36,5,'W1'!$AA$36,6,'W1'!$AF$36)</f>
        <v>25</v>
      </c>
      <c r="AD50" s="55"/>
      <c r="AE50" s="55"/>
      <c r="AF50" s="55"/>
      <c r="AH50" s="55"/>
      <c r="AI50" s="55" cm="1">
        <f t="array" ref="AI50">_xlfn.SWITCH($C$1,1,'W1'!$G$36,2,'W1'!$L$36,3,'W1'!$Q$36,4,'W1'!$V$36,5,'W1'!$AA$36,6,'W1'!$AF$36)</f>
        <v>25</v>
      </c>
      <c r="AJ50" s="55"/>
      <c r="AK50" s="55"/>
      <c r="AL50" s="55"/>
      <c r="AN50" s="55"/>
      <c r="AO50" s="55" cm="1">
        <f t="array" ref="AO50">_xlfn.SWITCH($C$1,1,'W1'!$G$36,2,'W1'!$L$36,3,'W1'!$Q$36,4,'W1'!$V$36,5,'W1'!$AA$36,6,'W1'!$AF$36)</f>
        <v>25</v>
      </c>
      <c r="AP50" s="55"/>
      <c r="AQ50" s="55"/>
      <c r="AR50" s="55"/>
      <c r="AT50" s="55"/>
      <c r="AU50" s="55" cm="1">
        <f t="array" ref="AU50">_xlfn.SWITCH($C$1,1,'W1'!$G$36,2,'W1'!$L$36,3,'W1'!$Q$36,4,'W1'!$V$36,5,'W1'!$AA$36,6,'W1'!$AF$36)</f>
        <v>25</v>
      </c>
      <c r="AV50" s="55"/>
      <c r="AW50" s="55"/>
      <c r="AX50" s="55"/>
      <c r="AZ50" s="55"/>
      <c r="BA50" s="55" cm="1">
        <f t="array" ref="BA50">_xlfn.SWITCH($C$1,1,'W1'!$G$36,2,'W1'!$L$36,3,'W1'!$Q$36,4,'W1'!$V$36,5,'W1'!$AA$36,6,'W1'!$AF$36)</f>
        <v>25</v>
      </c>
      <c r="BB50" s="55"/>
      <c r="BC50" s="55"/>
      <c r="BD50" s="55"/>
      <c r="BF50" s="55"/>
      <c r="BG50" s="55" cm="1">
        <f t="array" ref="BG50">_xlfn.SWITCH($C$1,1,'W1'!$G$36,2,'W1'!$L$36,3,'W1'!$Q$36,4,'W1'!$V$36,5,'W1'!$AA$36,6,'W1'!$AF$36)</f>
        <v>25</v>
      </c>
      <c r="BH50" s="55"/>
      <c r="BI50" s="55"/>
      <c r="BJ50" s="55"/>
      <c r="BL50" s="55"/>
      <c r="BM50" s="55" cm="1">
        <f t="array" ref="BM50">_xlfn.SWITCH($C$1,1,'W1'!$G$36,2,'W1'!$L$36,3,'W1'!$Q$36,4,'W1'!$V$36,5,'W1'!$AA$36,6,'W1'!$AF$36)</f>
        <v>25</v>
      </c>
      <c r="BN50" s="55"/>
      <c r="BO50" s="55"/>
      <c r="BP50" s="55"/>
      <c r="BR50" s="55"/>
      <c r="BS50" s="55" cm="1">
        <f t="array" ref="BS50">_xlfn.SWITCH($C$1,1,'W1'!$G$36,2,'W1'!$L$36,3,'W1'!$Q$36,4,'W1'!$V$36,5,'W1'!$AA$36,6,'W1'!$AF$36)</f>
        <v>25</v>
      </c>
      <c r="BT50" s="55"/>
      <c r="BU50" s="55"/>
      <c r="BV50" s="55"/>
      <c r="BX50" s="55"/>
      <c r="BY50" s="55" cm="1">
        <f t="array" ref="BY50">_xlfn.SWITCH($C$1,1,'W1'!$G$36,2,'W1'!$L$36,3,'W1'!$Q$36,4,'W1'!$V$36,5,'W1'!$AA$36,6,'W1'!$AF$36)</f>
        <v>25</v>
      </c>
      <c r="BZ50" s="55"/>
      <c r="CA50" s="55"/>
      <c r="CB50" s="55"/>
      <c r="CD50" s="55"/>
      <c r="CE50" s="55" cm="1">
        <f t="array" ref="CE50">_xlfn.SWITCH($C$1,1,'W1'!$G$36,2,'W1'!$L$36,3,'W1'!$Q$36,4,'W1'!$V$36,5,'W1'!$AA$36,6,'W1'!$AF$36)</f>
        <v>25</v>
      </c>
      <c r="CF50" s="55"/>
      <c r="CG50" s="55"/>
      <c r="CH50" s="55"/>
      <c r="CJ50" s="55"/>
      <c r="CK50" s="55" cm="1">
        <f t="array" ref="CK50">_xlfn.SWITCH($C$1,1,'W1'!$G$36,2,'W1'!$L$36,3,'W1'!$Q$36,4,'W1'!$V$36,5,'W1'!$AA$36,6,'W1'!$AF$36)</f>
        <v>25</v>
      </c>
      <c r="CL50" s="55"/>
      <c r="CM50" s="55"/>
      <c r="CN50" s="55"/>
      <c r="CP50" s="55"/>
      <c r="CQ50" s="55" cm="1">
        <f t="array" ref="CQ50">_xlfn.SWITCH($C$1,1,'W1'!$G$36,2,'W1'!$L$36,3,'W1'!$Q$36,4,'W1'!$V$36,5,'W1'!$AA$36,6,'W1'!$AF$36)</f>
        <v>25</v>
      </c>
      <c r="CR50" s="55"/>
      <c r="CS50" s="55"/>
      <c r="CT50" s="55"/>
      <c r="CV50" s="55"/>
      <c r="CW50" s="55" cm="1">
        <f t="array" ref="CW50">_xlfn.SWITCH($C$1,1,'W1'!$G$36,2,'W1'!$L$36,3,'W1'!$Q$36,4,'W1'!$V$36,5,'W1'!$AA$36,6,'W1'!$AF$36)</f>
        <v>25</v>
      </c>
      <c r="CX50" s="55"/>
      <c r="CY50" s="55"/>
      <c r="CZ50" s="55"/>
      <c r="DB50" s="55"/>
      <c r="DC50" s="55" cm="1">
        <f t="array" ref="DC50">_xlfn.SWITCH($C$1,1,'W1'!$G$36,2,'W1'!$L$36,3,'W1'!$Q$36,4,'W1'!$V$36,5,'W1'!$AA$36,6,'W1'!$AF$36)</f>
        <v>25</v>
      </c>
      <c r="DD50" s="55"/>
      <c r="DE50" s="55"/>
      <c r="DF50" s="55"/>
      <c r="DH50" s="55"/>
      <c r="DI50" s="55" cm="1">
        <f t="array" ref="DI50">_xlfn.SWITCH($C$1,1,'W1'!$G$36,2,'W1'!$L$36,3,'W1'!$Q$36,4,'W1'!$V$36,5,'W1'!$AA$36,6,'W1'!$AF$36)</f>
        <v>25</v>
      </c>
      <c r="DJ50" s="55"/>
      <c r="DK50" s="55"/>
      <c r="DL50" s="55"/>
      <c r="DN50" s="55"/>
      <c r="DO50" s="55" cm="1">
        <f t="array" ref="DO50">_xlfn.SWITCH($C$1,1,'W1'!$G$36,2,'W1'!$L$36,3,'W1'!$Q$36,4,'W1'!$V$36,5,'W1'!$AA$36,6,'W1'!$AF$36)</f>
        <v>25</v>
      </c>
      <c r="DP50" s="55"/>
      <c r="DQ50" s="55"/>
      <c r="DR50" s="55"/>
      <c r="DT50" s="55"/>
      <c r="DU50" s="55" cm="1">
        <f t="array" ref="DU50">_xlfn.SWITCH($C$1,1,'W1'!$G$36,2,'W1'!$L$36,3,'W1'!$Q$36,4,'W1'!$V$36,5,'W1'!$AA$36,6,'W1'!$AF$36)</f>
        <v>25</v>
      </c>
      <c r="DV50" s="55"/>
      <c r="DW50" s="55"/>
      <c r="DX50" s="55"/>
      <c r="DZ50" s="55"/>
      <c r="EA50" s="55" cm="1">
        <f t="array" ref="EA50">_xlfn.SWITCH($C$1,1,'W1'!$G$36,2,'W1'!$L$36,3,'W1'!$Q$36,4,'W1'!$V$36,5,'W1'!$AA$36,6,'W1'!$AF$36)</f>
        <v>25</v>
      </c>
      <c r="EB50" s="55"/>
      <c r="EC50" s="55"/>
      <c r="ED50" s="55"/>
      <c r="EF50" s="55"/>
      <c r="EG50" s="55" cm="1">
        <f t="array" ref="EG50">_xlfn.SWITCH($C$1,1,'W1'!$G$36,2,'W1'!$L$36,3,'W1'!$Q$36,4,'W1'!$V$36,5,'W1'!$AA$36,6,'W1'!$AF$36)</f>
        <v>25</v>
      </c>
      <c r="EH50" s="55"/>
      <c r="EI50" s="55"/>
      <c r="EJ50" s="55"/>
      <c r="EL50" s="55"/>
      <c r="EM50" s="55" cm="1">
        <f t="array" ref="EM50">_xlfn.SWITCH($C$1,1,'W1'!$G$36,2,'W1'!$L$36,3,'W1'!$Q$36,4,'W1'!$V$36,5,'W1'!$AA$36,6,'W1'!$AF$36)</f>
        <v>25</v>
      </c>
      <c r="EN50" s="55"/>
      <c r="EO50" s="55"/>
      <c r="EP50" s="55"/>
      <c r="ER50" s="55"/>
      <c r="ES50" s="55" cm="1">
        <f t="array" ref="ES50">_xlfn.SWITCH($C$1,1,'W1'!$G$36,2,'W1'!$L$36,3,'W1'!$Q$36,4,'W1'!$V$36,5,'W1'!$AA$36,6,'W1'!$AF$36)</f>
        <v>25</v>
      </c>
      <c r="ET50" s="55"/>
      <c r="EU50" s="55"/>
      <c r="EV50" s="55"/>
    </row>
    <row r="51" spans="1:152" x14ac:dyDescent="0.25">
      <c r="B51" s="56" t="s">
        <v>354</v>
      </c>
      <c r="C51" s="55" t="s">
        <v>360</v>
      </c>
      <c r="D51" s="55"/>
      <c r="E51" s="55">
        <f>E50*12</f>
        <v>300</v>
      </c>
      <c r="F51" s="55"/>
      <c r="G51" s="55"/>
      <c r="H51" s="55"/>
      <c r="J51" s="55"/>
      <c r="K51" s="55">
        <f t="shared" ref="K51" si="707">K50*12</f>
        <v>300</v>
      </c>
      <c r="L51" s="55"/>
      <c r="M51" s="55"/>
      <c r="N51" s="55"/>
      <c r="P51" s="55"/>
      <c r="Q51" s="55">
        <f t="shared" ref="Q51" si="708">Q50*12</f>
        <v>300</v>
      </c>
      <c r="R51" s="55"/>
      <c r="S51" s="55"/>
      <c r="T51" s="55"/>
      <c r="V51" s="55"/>
      <c r="W51" s="55">
        <f t="shared" ref="W51" si="709">W50*12</f>
        <v>300</v>
      </c>
      <c r="X51" s="55"/>
      <c r="Y51" s="55"/>
      <c r="Z51" s="55"/>
      <c r="AB51" s="55"/>
      <c r="AC51" s="55">
        <f t="shared" ref="AC51" si="710">AC50*12</f>
        <v>300</v>
      </c>
      <c r="AD51" s="55"/>
      <c r="AE51" s="55"/>
      <c r="AF51" s="55"/>
      <c r="AH51" s="55"/>
      <c r="AI51" s="55">
        <f t="shared" ref="AI51" si="711">AI50*12</f>
        <v>300</v>
      </c>
      <c r="AJ51" s="55"/>
      <c r="AK51" s="55"/>
      <c r="AL51" s="55"/>
      <c r="AN51" s="55"/>
      <c r="AO51" s="55">
        <f t="shared" ref="AO51" si="712">AO50*12</f>
        <v>300</v>
      </c>
      <c r="AP51" s="55"/>
      <c r="AQ51" s="55"/>
      <c r="AR51" s="55"/>
      <c r="AT51" s="55"/>
      <c r="AU51" s="55">
        <f t="shared" ref="AU51" si="713">AU50*12</f>
        <v>300</v>
      </c>
      <c r="AV51" s="55"/>
      <c r="AW51" s="55"/>
      <c r="AX51" s="55"/>
      <c r="AZ51" s="55"/>
      <c r="BA51" s="55">
        <f t="shared" ref="BA51" si="714">BA50*12</f>
        <v>300</v>
      </c>
      <c r="BB51" s="55"/>
      <c r="BC51" s="55"/>
      <c r="BD51" s="55"/>
      <c r="BF51" s="55"/>
      <c r="BG51" s="55">
        <f t="shared" ref="BG51" si="715">BG50*12</f>
        <v>300</v>
      </c>
      <c r="BH51" s="55"/>
      <c r="BI51" s="55"/>
      <c r="BJ51" s="55"/>
      <c r="BL51" s="55"/>
      <c r="BM51" s="55">
        <f t="shared" ref="BM51" si="716">BM50*12</f>
        <v>300</v>
      </c>
      <c r="BN51" s="55"/>
      <c r="BO51" s="55"/>
      <c r="BP51" s="55"/>
      <c r="BR51" s="55"/>
      <c r="BS51" s="55">
        <f t="shared" ref="BS51" si="717">BS50*12</f>
        <v>300</v>
      </c>
      <c r="BT51" s="55"/>
      <c r="BU51" s="55"/>
      <c r="BV51" s="55"/>
      <c r="BX51" s="55"/>
      <c r="BY51" s="55">
        <f t="shared" ref="BY51" si="718">BY50*12</f>
        <v>300</v>
      </c>
      <c r="BZ51" s="55"/>
      <c r="CA51" s="55"/>
      <c r="CB51" s="55"/>
      <c r="CD51" s="55"/>
      <c r="CE51" s="55">
        <f t="shared" ref="CE51" si="719">CE50*12</f>
        <v>300</v>
      </c>
      <c r="CF51" s="55"/>
      <c r="CG51" s="55"/>
      <c r="CH51" s="55"/>
      <c r="CJ51" s="55"/>
      <c r="CK51" s="55">
        <f t="shared" ref="CK51" si="720">CK50*12</f>
        <v>300</v>
      </c>
      <c r="CL51" s="55"/>
      <c r="CM51" s="55"/>
      <c r="CN51" s="55"/>
      <c r="CP51" s="55"/>
      <c r="CQ51" s="55">
        <f t="shared" ref="CQ51" si="721">CQ50*12</f>
        <v>300</v>
      </c>
      <c r="CR51" s="55"/>
      <c r="CS51" s="55"/>
      <c r="CT51" s="55"/>
      <c r="CV51" s="55"/>
      <c r="CW51" s="55">
        <f t="shared" ref="CW51" si="722">CW50*12</f>
        <v>300</v>
      </c>
      <c r="CX51" s="55"/>
      <c r="CY51" s="55"/>
      <c r="CZ51" s="55"/>
      <c r="DB51" s="55"/>
      <c r="DC51" s="55">
        <f t="shared" ref="DC51" si="723">DC50*12</f>
        <v>300</v>
      </c>
      <c r="DD51" s="55"/>
      <c r="DE51" s="55"/>
      <c r="DF51" s="55"/>
      <c r="DH51" s="55"/>
      <c r="DI51" s="55">
        <f t="shared" ref="DI51" si="724">DI50*12</f>
        <v>300</v>
      </c>
      <c r="DJ51" s="55"/>
      <c r="DK51" s="55"/>
      <c r="DL51" s="55"/>
      <c r="DN51" s="55"/>
      <c r="DO51" s="55">
        <f t="shared" ref="DO51" si="725">DO50*12</f>
        <v>300</v>
      </c>
      <c r="DP51" s="55"/>
      <c r="DQ51" s="55"/>
      <c r="DR51" s="55"/>
      <c r="DT51" s="55"/>
      <c r="DU51" s="55">
        <f t="shared" ref="DU51" si="726">DU50*12</f>
        <v>300</v>
      </c>
      <c r="DV51" s="55"/>
      <c r="DW51" s="55"/>
      <c r="DX51" s="55"/>
      <c r="DZ51" s="55"/>
      <c r="EA51" s="55">
        <f t="shared" ref="EA51" si="727">EA50*12</f>
        <v>300</v>
      </c>
      <c r="EB51" s="55"/>
      <c r="EC51" s="55"/>
      <c r="ED51" s="55"/>
      <c r="EF51" s="55"/>
      <c r="EG51" s="55">
        <f t="shared" ref="EG51" si="728">EG50*12</f>
        <v>300</v>
      </c>
      <c r="EH51" s="55"/>
      <c r="EI51" s="55"/>
      <c r="EJ51" s="55"/>
      <c r="EL51" s="55"/>
      <c r="EM51" s="55">
        <f t="shared" ref="EM51" si="729">EM50*12</f>
        <v>300</v>
      </c>
      <c r="EN51" s="55"/>
      <c r="EO51" s="55"/>
      <c r="EP51" s="55"/>
      <c r="ER51" s="55"/>
      <c r="ES51" s="55">
        <f t="shared" ref="ES51" si="730">ES50*12</f>
        <v>300</v>
      </c>
      <c r="ET51" s="55"/>
      <c r="EU51" s="55"/>
      <c r="EV51" s="55"/>
    </row>
    <row r="52" spans="1:152" x14ac:dyDescent="0.25">
      <c r="B52" s="56" t="s">
        <v>111</v>
      </c>
      <c r="C52" s="55"/>
      <c r="D52" s="55"/>
      <c r="E52" s="55"/>
      <c r="F52" s="55"/>
      <c r="G52" s="55"/>
      <c r="H52" s="55"/>
      <c r="J52" s="55"/>
      <c r="K52" s="55"/>
      <c r="L52" s="55"/>
      <c r="M52" s="55"/>
      <c r="N52" s="55"/>
      <c r="P52" s="55"/>
      <c r="Q52" s="55"/>
      <c r="R52" s="55"/>
      <c r="S52" s="55"/>
      <c r="T52" s="55"/>
      <c r="V52" s="55"/>
      <c r="W52" s="55"/>
      <c r="X52" s="55"/>
      <c r="Y52" s="55"/>
      <c r="Z52" s="55"/>
      <c r="AB52" s="55"/>
      <c r="AC52" s="55"/>
      <c r="AD52" s="55"/>
      <c r="AE52" s="55"/>
      <c r="AF52" s="55"/>
      <c r="AH52" s="55"/>
      <c r="AI52" s="55"/>
      <c r="AJ52" s="55"/>
      <c r="AK52" s="55"/>
      <c r="AL52" s="55"/>
      <c r="AN52" s="55"/>
      <c r="AO52" s="55"/>
      <c r="AP52" s="55"/>
      <c r="AQ52" s="55"/>
      <c r="AR52" s="55"/>
      <c r="AT52" s="55"/>
      <c r="AU52" s="55"/>
      <c r="AV52" s="55"/>
      <c r="AW52" s="55"/>
      <c r="AX52" s="55"/>
      <c r="AZ52" s="55"/>
      <c r="BA52" s="55"/>
      <c r="BB52" s="55"/>
      <c r="BC52" s="55"/>
      <c r="BD52" s="55"/>
      <c r="BF52" s="55"/>
      <c r="BG52" s="55"/>
      <c r="BH52" s="55"/>
      <c r="BI52" s="55"/>
      <c r="BJ52" s="55"/>
      <c r="BL52" s="55"/>
      <c r="BM52" s="55"/>
      <c r="BN52" s="55"/>
      <c r="BO52" s="55"/>
      <c r="BP52" s="55"/>
      <c r="BR52" s="55"/>
      <c r="BS52" s="55"/>
      <c r="BT52" s="55"/>
      <c r="BU52" s="55"/>
      <c r="BV52" s="55"/>
      <c r="BX52" s="55"/>
      <c r="BY52" s="55"/>
      <c r="BZ52" s="55"/>
      <c r="CA52" s="55"/>
      <c r="CB52" s="55"/>
      <c r="CD52" s="55"/>
      <c r="CE52" s="55"/>
      <c r="CF52" s="55"/>
      <c r="CG52" s="55"/>
      <c r="CH52" s="55"/>
      <c r="CJ52" s="55"/>
      <c r="CK52" s="55"/>
      <c r="CL52" s="55"/>
      <c r="CM52" s="55"/>
      <c r="CN52" s="55"/>
      <c r="CP52" s="55"/>
      <c r="CQ52" s="55"/>
      <c r="CR52" s="55"/>
      <c r="CS52" s="55"/>
      <c r="CT52" s="55"/>
      <c r="CV52" s="55"/>
      <c r="CW52" s="55"/>
      <c r="CX52" s="55"/>
      <c r="CY52" s="55"/>
      <c r="CZ52" s="55"/>
      <c r="DB52" s="55"/>
      <c r="DC52" s="55"/>
      <c r="DD52" s="55"/>
      <c r="DE52" s="55"/>
      <c r="DF52" s="55"/>
      <c r="DH52" s="55"/>
      <c r="DI52" s="55"/>
      <c r="DJ52" s="55"/>
      <c r="DK52" s="55"/>
      <c r="DL52" s="55"/>
      <c r="DN52" s="55"/>
      <c r="DO52" s="55"/>
      <c r="DP52" s="55"/>
      <c r="DQ52" s="55"/>
      <c r="DR52" s="55"/>
      <c r="DT52" s="55"/>
      <c r="DU52" s="55"/>
      <c r="DV52" s="55"/>
      <c r="DW52" s="55"/>
      <c r="DX52" s="55"/>
      <c r="DZ52" s="55"/>
      <c r="EA52" s="55"/>
      <c r="EB52" s="55"/>
      <c r="EC52" s="55"/>
      <c r="ED52" s="55"/>
      <c r="EF52" s="55"/>
      <c r="EG52" s="55"/>
      <c r="EH52" s="55"/>
      <c r="EI52" s="55"/>
      <c r="EJ52" s="55"/>
      <c r="EL52" s="55"/>
      <c r="EM52" s="55"/>
      <c r="EN52" s="55"/>
      <c r="EO52" s="55"/>
      <c r="EP52" s="55"/>
      <c r="ER52" s="55"/>
      <c r="ES52" s="55"/>
      <c r="ET52" s="55"/>
      <c r="EU52" s="55"/>
      <c r="EV52" s="55"/>
    </row>
    <row r="53" spans="1:152" x14ac:dyDescent="0.25">
      <c r="B53" s="53" t="s">
        <v>134</v>
      </c>
      <c r="C53" s="54"/>
      <c r="D53" s="54"/>
      <c r="E53" s="54"/>
      <c r="F53" s="54"/>
      <c r="G53" s="54"/>
      <c r="H53" s="54"/>
      <c r="J53" s="54"/>
      <c r="K53" s="54"/>
      <c r="L53" s="54"/>
      <c r="M53" s="54"/>
      <c r="N53" s="54"/>
      <c r="P53" s="54"/>
      <c r="Q53" s="54"/>
      <c r="R53" s="54"/>
      <c r="S53" s="54"/>
      <c r="T53" s="54"/>
      <c r="V53" s="54"/>
      <c r="W53" s="54"/>
      <c r="X53" s="54"/>
      <c r="Y53" s="54"/>
      <c r="Z53" s="54"/>
      <c r="AB53" s="54"/>
      <c r="AC53" s="54"/>
      <c r="AD53" s="54"/>
      <c r="AE53" s="54"/>
      <c r="AF53" s="54"/>
      <c r="AH53" s="54"/>
      <c r="AI53" s="54"/>
      <c r="AJ53" s="54"/>
      <c r="AK53" s="54"/>
      <c r="AL53" s="54"/>
      <c r="AN53" s="54"/>
      <c r="AO53" s="54"/>
      <c r="AP53" s="54"/>
      <c r="AQ53" s="54"/>
      <c r="AR53" s="54"/>
      <c r="AT53" s="54"/>
      <c r="AU53" s="54"/>
      <c r="AV53" s="54"/>
      <c r="AW53" s="54"/>
      <c r="AX53" s="54"/>
      <c r="AZ53" s="54"/>
      <c r="BA53" s="54"/>
      <c r="BB53" s="54"/>
      <c r="BC53" s="54"/>
      <c r="BD53" s="54"/>
      <c r="BF53" s="54"/>
      <c r="BG53" s="54"/>
      <c r="BH53" s="54"/>
      <c r="BI53" s="54"/>
      <c r="BJ53" s="54"/>
      <c r="BL53" s="54"/>
      <c r="BM53" s="54"/>
      <c r="BN53" s="54"/>
      <c r="BO53" s="54"/>
      <c r="BP53" s="54"/>
      <c r="BR53" s="54"/>
      <c r="BS53" s="54"/>
      <c r="BT53" s="54"/>
      <c r="BU53" s="54"/>
      <c r="BV53" s="54"/>
      <c r="BX53" s="54"/>
      <c r="BY53" s="54"/>
      <c r="BZ53" s="54"/>
      <c r="CA53" s="54"/>
      <c r="CB53" s="54"/>
      <c r="CD53" s="54"/>
      <c r="CE53" s="54"/>
      <c r="CF53" s="54"/>
      <c r="CG53" s="54"/>
      <c r="CH53" s="54"/>
      <c r="CJ53" s="54"/>
      <c r="CK53" s="54"/>
      <c r="CL53" s="54"/>
      <c r="CM53" s="54"/>
      <c r="CN53" s="54"/>
      <c r="CP53" s="54"/>
      <c r="CQ53" s="54"/>
      <c r="CR53" s="54"/>
      <c r="CS53" s="54"/>
      <c r="CT53" s="54"/>
      <c r="CV53" s="54"/>
      <c r="CW53" s="54"/>
      <c r="CX53" s="54"/>
      <c r="CY53" s="54"/>
      <c r="CZ53" s="54"/>
      <c r="DB53" s="54"/>
      <c r="DC53" s="54"/>
      <c r="DD53" s="54"/>
      <c r="DE53" s="54"/>
      <c r="DF53" s="54"/>
      <c r="DH53" s="54"/>
      <c r="DI53" s="54"/>
      <c r="DJ53" s="54"/>
      <c r="DK53" s="54"/>
      <c r="DL53" s="54"/>
      <c r="DN53" s="54"/>
      <c r="DO53" s="54"/>
      <c r="DP53" s="54"/>
      <c r="DQ53" s="54"/>
      <c r="DR53" s="54"/>
      <c r="DT53" s="54"/>
      <c r="DU53" s="54"/>
      <c r="DV53" s="54"/>
      <c r="DW53" s="54"/>
      <c r="DX53" s="54"/>
      <c r="DZ53" s="54"/>
      <c r="EA53" s="54"/>
      <c r="EB53" s="54"/>
      <c r="EC53" s="54"/>
      <c r="ED53" s="54"/>
      <c r="EF53" s="54"/>
      <c r="EG53" s="54"/>
      <c r="EH53" s="54"/>
      <c r="EI53" s="54"/>
      <c r="EJ53" s="54"/>
      <c r="EL53" s="54"/>
      <c r="EM53" s="54"/>
      <c r="EN53" s="54"/>
      <c r="EO53" s="54"/>
      <c r="EP53" s="54"/>
      <c r="ER53" s="54"/>
      <c r="ES53" s="54"/>
      <c r="ET53" s="54"/>
      <c r="EU53" s="54"/>
      <c r="EV53" s="54"/>
    </row>
    <row r="54" spans="1:152" x14ac:dyDescent="0.25">
      <c r="B54" s="56" t="s">
        <v>135</v>
      </c>
      <c r="C54" s="55" t="s">
        <v>616</v>
      </c>
      <c r="D54" s="55"/>
      <c r="E54" s="100">
        <f>INDEX('W2'!$M$77:$R$77,MATCH($B$1,'W2'!$M$7:$R$7,0))/INDEX('W2'!$M$78:$R$78,MATCH($B$1,'W2'!$M$7:$R$7,0))*POWER(1+$C$72,G$1)*$E$1</f>
        <v>200000</v>
      </c>
      <c r="F54" s="55"/>
      <c r="G54" s="55"/>
      <c r="H54" s="55"/>
      <c r="J54" s="55"/>
      <c r="K54" s="100">
        <f>INDEX('W2'!$M$77:$R$77,MATCH($B$1,'W2'!$M$7:$R$7,0))/INDEX('W2'!$M$78:$R$78,MATCH($B$1,'W2'!$M$7:$R$7,0))*POWER(1+$C$72,M$1)*$E$1</f>
        <v>200000</v>
      </c>
      <c r="L54" s="55"/>
      <c r="M54" s="55"/>
      <c r="N54" s="55"/>
      <c r="P54" s="55"/>
      <c r="Q54" s="100">
        <f>INDEX('W2'!$M$77:$R$77,MATCH($B$1,'W2'!$M$7:$R$7,0))/INDEX('W2'!$M$78:$R$78,MATCH($B$1,'W2'!$M$7:$R$7,0))*POWER(1+$C$72,S$1)*$E$1</f>
        <v>210000</v>
      </c>
      <c r="R54" s="55"/>
      <c r="S54" s="55"/>
      <c r="T54" s="55"/>
      <c r="V54" s="55"/>
      <c r="W54" s="100">
        <f>INDEX('W2'!$M$77:$R$77,MATCH($B$1,'W2'!$M$7:$R$7,0))/INDEX('W2'!$M$78:$R$78,MATCH($B$1,'W2'!$M$7:$R$7,0))*POWER(1+$C$72,Y$1)*$E$1</f>
        <v>220500</v>
      </c>
      <c r="X54" s="55"/>
      <c r="Y54" s="55"/>
      <c r="Z54" s="55"/>
      <c r="AB54" s="55"/>
      <c r="AC54" s="100">
        <f>INDEX('W2'!$M$77:$R$77,MATCH($B$1,'W2'!$M$7:$R$7,0))/INDEX('W2'!$M$78:$R$78,MATCH($B$1,'W2'!$M$7:$R$7,0))*POWER(1+$C$72,AE$1)*$E$1</f>
        <v>231525.00000000003</v>
      </c>
      <c r="AD54" s="55"/>
      <c r="AE54" s="55"/>
      <c r="AF54" s="55"/>
      <c r="AH54" s="55"/>
      <c r="AI54" s="100">
        <f>INDEX('W2'!$M$77:$R$77,MATCH($B$1,'W2'!$M$7:$R$7,0))/INDEX('W2'!$M$78:$R$78,MATCH($B$1,'W2'!$M$7:$R$7,0))*POWER(1+$C$72,AK$1)*$E$1</f>
        <v>243101.25</v>
      </c>
      <c r="AJ54" s="55"/>
      <c r="AK54" s="55"/>
      <c r="AL54" s="55"/>
      <c r="AN54" s="55"/>
      <c r="AO54" s="100">
        <f>INDEX('W2'!$M$77:$R$77,MATCH($B$1,'W2'!$M$7:$R$7,0))/INDEX('W2'!$M$78:$R$78,MATCH($B$1,'W2'!$M$7:$R$7,0))*POWER(1+$C$72,AQ$1)*$E$1</f>
        <v>255256.31250000003</v>
      </c>
      <c r="AP54" s="55"/>
      <c r="AQ54" s="55"/>
      <c r="AR54" s="55"/>
      <c r="AT54" s="55"/>
      <c r="AU54" s="100">
        <f>INDEX('W2'!$M$77:$R$77,MATCH($B$1,'W2'!$M$7:$R$7,0))/INDEX('W2'!$M$78:$R$78,MATCH($B$1,'W2'!$M$7:$R$7,0))*POWER(1+$C$72,AW$1)*$E$1</f>
        <v>268019.12812499999</v>
      </c>
      <c r="AV54" s="55"/>
      <c r="AW54" s="55"/>
      <c r="AX54" s="55"/>
      <c r="AZ54" s="55"/>
      <c r="BA54" s="100">
        <f>INDEX('W2'!$M$77:$R$77,MATCH($B$1,'W2'!$M$7:$R$7,0))/INDEX('W2'!$M$78:$R$78,MATCH($B$1,'W2'!$M$7:$R$7,0))*POWER(1+$C$72,BC$1)*$E$1</f>
        <v>281420.08453125006</v>
      </c>
      <c r="BB54" s="55"/>
      <c r="BC54" s="55"/>
      <c r="BD54" s="55"/>
      <c r="BF54" s="55"/>
      <c r="BG54" s="100">
        <f>INDEX('W2'!$M$77:$R$77,MATCH($B$1,'W2'!$M$7:$R$7,0))/INDEX('W2'!$M$78:$R$78,MATCH($B$1,'W2'!$M$7:$R$7,0))*POWER(1+$C$72,BI$1)*$E$1</f>
        <v>295491.08875781251</v>
      </c>
      <c r="BH54" s="55"/>
      <c r="BI54" s="55"/>
      <c r="BJ54" s="55"/>
      <c r="BL54" s="55"/>
      <c r="BM54" s="100">
        <f>INDEX('W2'!$M$77:$R$77,MATCH($B$1,'W2'!$M$7:$R$7,0))/INDEX('W2'!$M$78:$R$78,MATCH($B$1,'W2'!$M$7:$R$7,0))*POWER(1+$C$72,BO$1)*$E$1</f>
        <v>310265.64319570316</v>
      </c>
      <c r="BN54" s="55"/>
      <c r="BO54" s="55"/>
      <c r="BP54" s="55"/>
      <c r="BR54" s="55"/>
      <c r="BS54" s="100">
        <f>INDEX('W2'!$M$77:$R$77,MATCH($B$1,'W2'!$M$7:$R$7,0))/INDEX('W2'!$M$78:$R$78,MATCH($B$1,'W2'!$M$7:$R$7,0))*POWER(1+$C$72,BU$1)*$E$1</f>
        <v>325778.92535548832</v>
      </c>
      <c r="BT54" s="55"/>
      <c r="BU54" s="55"/>
      <c r="BV54" s="55"/>
      <c r="BX54" s="55"/>
      <c r="BY54" s="100">
        <f>INDEX('W2'!$M$77:$R$77,MATCH($B$1,'W2'!$M$7:$R$7,0))/INDEX('W2'!$M$78:$R$78,MATCH($B$1,'W2'!$M$7:$R$7,0))*POWER(1+$C$72,CA$1)*$E$1</f>
        <v>342067.87162326276</v>
      </c>
      <c r="BZ54" s="55"/>
      <c r="CA54" s="55"/>
      <c r="CB54" s="55"/>
      <c r="CD54" s="55"/>
      <c r="CE54" s="100">
        <f>INDEX('W2'!$M$77:$R$77,MATCH($B$1,'W2'!$M$7:$R$7,0))/INDEX('W2'!$M$78:$R$78,MATCH($B$1,'W2'!$M$7:$R$7,0))*POWER(1+$C$72,CG$1)*$E$1</f>
        <v>359171.26520442584</v>
      </c>
      <c r="CF54" s="55"/>
      <c r="CG54" s="55"/>
      <c r="CH54" s="55"/>
      <c r="CJ54" s="55"/>
      <c r="CK54" s="100">
        <f>INDEX('W2'!$M$77:$R$77,MATCH($B$1,'W2'!$M$7:$R$7,0))/INDEX('W2'!$M$78:$R$78,MATCH($B$1,'W2'!$M$7:$R$7,0))*POWER(1+$C$72,CM$1)*$E$1</f>
        <v>377129.82846464717</v>
      </c>
      <c r="CL54" s="55"/>
      <c r="CM54" s="55"/>
      <c r="CN54" s="55"/>
      <c r="CP54" s="55"/>
      <c r="CQ54" s="100">
        <f>INDEX('W2'!$M$77:$R$77,MATCH($B$1,'W2'!$M$7:$R$7,0))/INDEX('W2'!$M$78:$R$78,MATCH($B$1,'W2'!$M$7:$R$7,0))*POWER(1+$C$72,CS$1)*$E$1</f>
        <v>395986.31988787948</v>
      </c>
      <c r="CR54" s="55"/>
      <c r="CS54" s="55"/>
      <c r="CT54" s="55"/>
      <c r="CV54" s="55"/>
      <c r="CW54" s="100">
        <f>INDEX('W2'!$M$77:$R$77,MATCH($B$1,'W2'!$M$7:$R$7,0))/INDEX('W2'!$M$78:$R$78,MATCH($B$1,'W2'!$M$7:$R$7,0))*POWER(1+$C$72,CY$1)*$E$1</f>
        <v>415785.63588227355</v>
      </c>
      <c r="CX54" s="55"/>
      <c r="CY54" s="55"/>
      <c r="CZ54" s="55"/>
      <c r="DB54" s="55"/>
      <c r="DC54" s="100">
        <f>INDEX('W2'!$M$77:$R$77,MATCH($B$1,'W2'!$M$7:$R$7,0))/INDEX('W2'!$M$78:$R$78,MATCH($B$1,'W2'!$M$7:$R$7,0))*POWER(1+$C$72,DE$1)*$E$1</f>
        <v>436574.91767638718</v>
      </c>
      <c r="DD54" s="55"/>
      <c r="DE54" s="55"/>
      <c r="DF54" s="55"/>
      <c r="DH54" s="55"/>
      <c r="DI54" s="100">
        <f>INDEX('W2'!$M$77:$R$77,MATCH($B$1,'W2'!$M$7:$R$7,0))/INDEX('W2'!$M$78:$R$78,MATCH($B$1,'W2'!$M$7:$R$7,0))*POWER(1+$C$72,DK$1)*$E$1</f>
        <v>458403.66356020665</v>
      </c>
      <c r="DJ54" s="55"/>
      <c r="DK54" s="55"/>
      <c r="DL54" s="55"/>
      <c r="DN54" s="55"/>
      <c r="DO54" s="100">
        <f>INDEX('W2'!$M$77:$R$77,MATCH($B$1,'W2'!$M$7:$R$7,0))/INDEX('W2'!$M$78:$R$78,MATCH($B$1,'W2'!$M$7:$R$7,0))*POWER(1+$C$72,DQ$1)*$E$1</f>
        <v>481323.84673821693</v>
      </c>
      <c r="DP54" s="55"/>
      <c r="DQ54" s="55"/>
      <c r="DR54" s="55"/>
      <c r="DT54" s="55"/>
      <c r="DU54" s="100">
        <f>INDEX('W2'!$M$77:$R$77,MATCH($B$1,'W2'!$M$7:$R$7,0))/INDEX('W2'!$M$78:$R$78,MATCH($B$1,'W2'!$M$7:$R$7,0))*POWER(1+$C$72,DW$1)*$E$1</f>
        <v>505390.0390751278</v>
      </c>
      <c r="DV54" s="55"/>
      <c r="DW54" s="55"/>
      <c r="DX54" s="55"/>
      <c r="DZ54" s="55"/>
      <c r="EA54" s="100">
        <f>INDEX('W2'!$M$77:$R$77,MATCH($B$1,'W2'!$M$7:$R$7,0))/INDEX('W2'!$M$78:$R$78,MATCH($B$1,'W2'!$M$7:$R$7,0))*POWER(1+$C$72,EC$1)*$E$1</f>
        <v>530659.54102888412</v>
      </c>
      <c r="EB54" s="55"/>
      <c r="EC54" s="55"/>
      <c r="ED54" s="55"/>
      <c r="EF54" s="55"/>
      <c r="EG54" s="100">
        <f>INDEX('W2'!$M$77:$R$77,MATCH($B$1,'W2'!$M$7:$R$7,0))/INDEX('W2'!$M$78:$R$78,MATCH($B$1,'W2'!$M$7:$R$7,0))*POWER(1+$C$72,EI$1)*$E$1</f>
        <v>557192.51808032836</v>
      </c>
      <c r="EH54" s="55"/>
      <c r="EI54" s="55"/>
      <c r="EJ54" s="55"/>
      <c r="EL54" s="55"/>
      <c r="EM54" s="100">
        <f>INDEX('W2'!$M$77:$R$77,MATCH($B$1,'W2'!$M$7:$R$7,0))/INDEX('W2'!$M$78:$R$78,MATCH($B$1,'W2'!$M$7:$R$7,0))*POWER(1+$C$72,EO$1)*$E$1</f>
        <v>585052.14398434479</v>
      </c>
      <c r="EN54" s="55"/>
      <c r="EO54" s="55"/>
      <c r="EP54" s="55"/>
      <c r="ER54" s="55"/>
      <c r="ES54" s="100">
        <f>INDEX('W2'!$M$77:$R$77,MATCH($B$1,'W2'!$M$7:$R$7,0))/INDEX('W2'!$M$78:$R$78,MATCH($B$1,'W2'!$M$7:$R$7,0))*POWER(1+$C$72,EU$1)*$E$1</f>
        <v>614304.7511835621</v>
      </c>
      <c r="ET54" s="55"/>
      <c r="EU54" s="55"/>
      <c r="EV54" s="55"/>
    </row>
    <row r="55" spans="1:152" ht="30" x14ac:dyDescent="0.25">
      <c r="B55" s="56" t="s">
        <v>136</v>
      </c>
      <c r="C55" s="55" t="s">
        <v>137</v>
      </c>
      <c r="D55" s="100"/>
      <c r="E55" s="100" cm="1">
        <f t="array" ref="E55">'W2'!$L$50*$E$1
*_xlfn.SWITCH($C$1,1,1,2,1+Opt2_CPSX,3,1+Opt3_CPSX,4,1+Opt4_CPSX,5,1+Opt5_CPSX,6,1+Opt6_CPSX)
*POWER(1+$C$72,G$1)</f>
        <v>3000000</v>
      </c>
      <c r="F55" s="55"/>
      <c r="G55" s="55"/>
      <c r="H55" s="55"/>
      <c r="J55" s="100"/>
      <c r="K55" s="100" cm="1">
        <f t="array" ref="K55">'W2'!$L$50*$E$1
*_xlfn.SWITCH($C$1,1,1,2,1+Opt2_CPSX,3,1+Opt3_CPSX,4,1+Opt4_CPSX,5,1+Opt5_CPSX,6,1+Opt6_CPSX)
*POWER(1+$C$72,M$1)</f>
        <v>3000000</v>
      </c>
      <c r="L55" s="55"/>
      <c r="M55" s="55"/>
      <c r="N55" s="55"/>
      <c r="P55" s="100"/>
      <c r="Q55" s="100" cm="1">
        <f t="array" ref="Q55">'W2'!$L$50*$E$1
*_xlfn.SWITCH($C$1,1,1,2,1+Opt2_CPSX,3,1+Opt3_CPSX,4,1+Opt4_CPSX,5,1+Opt5_CPSX,6,1+Opt6_CPSX)
*POWER(1+$C$72,S$1)</f>
        <v>3150000</v>
      </c>
      <c r="R55" s="55"/>
      <c r="S55" s="55"/>
      <c r="T55" s="55"/>
      <c r="V55" s="100"/>
      <c r="W55" s="100" cm="1">
        <f t="array" ref="W55">'W2'!$L$50*$E$1
*_xlfn.SWITCH($C$1,1,1,2,1+Opt2_CPSX,3,1+Opt3_CPSX,4,1+Opt4_CPSX,5,1+Opt5_CPSX,6,1+Opt6_CPSX)
*POWER(1+$C$72,Y$1)</f>
        <v>3307500</v>
      </c>
      <c r="X55" s="55"/>
      <c r="Y55" s="55"/>
      <c r="Z55" s="55"/>
      <c r="AB55" s="100"/>
      <c r="AC55" s="100" cm="1">
        <f t="array" ref="AC55">'W2'!$L$50*$E$1
*_xlfn.SWITCH($C$1,1,1,2,1+Opt2_CPSX,3,1+Opt3_CPSX,4,1+Opt4_CPSX,5,1+Opt5_CPSX,6,1+Opt6_CPSX)
*POWER(1+$C$72,AE$1)</f>
        <v>3472875.0000000005</v>
      </c>
      <c r="AD55" s="55"/>
      <c r="AE55" s="55"/>
      <c r="AF55" s="55"/>
      <c r="AH55" s="100"/>
      <c r="AI55" s="100" cm="1">
        <f t="array" ref="AI55">'W2'!$L$50*$E$1
*_xlfn.SWITCH($C$1,1,1,2,1+Opt2_CPSX,3,1+Opt3_CPSX,4,1+Opt4_CPSX,5,1+Opt5_CPSX,6,1+Opt6_CPSX)
*POWER(1+$C$72,AK$1)</f>
        <v>3646518.75</v>
      </c>
      <c r="AJ55" s="55"/>
      <c r="AK55" s="55"/>
      <c r="AL55" s="55"/>
      <c r="AN55" s="100"/>
      <c r="AO55" s="100" cm="1">
        <f t="array" ref="AO55">'W2'!$L$50*$E$1
*_xlfn.SWITCH($C$1,1,1,2,1+Opt2_CPSX,3,1+Opt3_CPSX,4,1+Opt4_CPSX,5,1+Opt5_CPSX,6,1+Opt6_CPSX)
*POWER(1+$C$72,AQ$1)</f>
        <v>3828844.6875000005</v>
      </c>
      <c r="AP55" s="55"/>
      <c r="AQ55" s="55"/>
      <c r="AR55" s="55"/>
      <c r="AT55" s="100"/>
      <c r="AU55" s="100" cm="1">
        <f t="array" ref="AU55">'W2'!$L$50*$E$1
*_xlfn.SWITCH($C$1,1,1,2,1+Opt2_CPSX,3,1+Opt3_CPSX,4,1+Opt4_CPSX,5,1+Opt5_CPSX,6,1+Opt6_CPSX)
*POWER(1+$C$72,AW$1)</f>
        <v>4020286.921875</v>
      </c>
      <c r="AV55" s="55"/>
      <c r="AW55" s="55"/>
      <c r="AX55" s="55"/>
      <c r="AZ55" s="100"/>
      <c r="BA55" s="100" cm="1">
        <f t="array" ref="BA55">'W2'!$L$50*$E$1
*_xlfn.SWITCH($C$1,1,1,2,1+Opt2_CPSX,3,1+Opt3_CPSX,4,1+Opt4_CPSX,5,1+Opt5_CPSX,6,1+Opt6_CPSX)
*POWER(1+$C$72,BC$1)</f>
        <v>4221301.2679687506</v>
      </c>
      <c r="BB55" s="55"/>
      <c r="BC55" s="55"/>
      <c r="BD55" s="55"/>
      <c r="BF55" s="100"/>
      <c r="BG55" s="100" cm="1">
        <f t="array" ref="BG55">'W2'!$L$50*$E$1
*_xlfn.SWITCH($C$1,1,1,2,1+Opt2_CPSX,3,1+Opt3_CPSX,4,1+Opt4_CPSX,5,1+Opt5_CPSX,6,1+Opt6_CPSX)
*POWER(1+$C$72,BI$1)</f>
        <v>4432366.3313671881</v>
      </c>
      <c r="BH55" s="55"/>
      <c r="BI55" s="55"/>
      <c r="BJ55" s="55"/>
      <c r="BL55" s="100"/>
      <c r="BM55" s="100" cm="1">
        <f t="array" ref="BM55">'W2'!$L$50*$E$1
*_xlfn.SWITCH($C$1,1,1,2,1+Opt2_CPSX,3,1+Opt3_CPSX,4,1+Opt4_CPSX,5,1+Opt5_CPSX,6,1+Opt6_CPSX)
*POWER(1+$C$72,BO$1)</f>
        <v>4653984.6479355469</v>
      </c>
      <c r="BN55" s="55"/>
      <c r="BO55" s="55"/>
      <c r="BP55" s="55"/>
      <c r="BR55" s="100"/>
      <c r="BS55" s="100" cm="1">
        <f t="array" ref="BS55">'W2'!$L$50*$E$1
*_xlfn.SWITCH($C$1,1,1,2,1+Opt2_CPSX,3,1+Opt3_CPSX,4,1+Opt4_CPSX,5,1+Opt5_CPSX,6,1+Opt6_CPSX)
*POWER(1+$C$72,BU$1)</f>
        <v>4886683.8803323247</v>
      </c>
      <c r="BT55" s="55"/>
      <c r="BU55" s="55"/>
      <c r="BV55" s="55"/>
      <c r="BX55" s="100"/>
      <c r="BY55" s="100" cm="1">
        <f t="array" ref="BY55">'W2'!$L$50*$E$1
*_xlfn.SWITCH($C$1,1,1,2,1+Opt2_CPSX,3,1+Opt3_CPSX,4,1+Opt4_CPSX,5,1+Opt5_CPSX,6,1+Opt6_CPSX)
*POWER(1+$C$72,CA$1)</f>
        <v>5131018.0743489414</v>
      </c>
      <c r="BZ55" s="55"/>
      <c r="CA55" s="55"/>
      <c r="CB55" s="55"/>
      <c r="CD55" s="100"/>
      <c r="CE55" s="100" cm="1">
        <f t="array" ref="CE55">'W2'!$L$50*$E$1
*_xlfn.SWITCH($C$1,1,1,2,1+Opt2_CPSX,3,1+Opt3_CPSX,4,1+Opt4_CPSX,5,1+Opt5_CPSX,6,1+Opt6_CPSX)
*POWER(1+$C$72,CG$1)</f>
        <v>5387568.9780663876</v>
      </c>
      <c r="CF55" s="55"/>
      <c r="CG55" s="55"/>
      <c r="CH55" s="55"/>
      <c r="CJ55" s="100"/>
      <c r="CK55" s="100" cm="1">
        <f t="array" ref="CK55">'W2'!$L$50*$E$1
*_xlfn.SWITCH($C$1,1,1,2,1+Opt2_CPSX,3,1+Opt3_CPSX,4,1+Opt4_CPSX,5,1+Opt5_CPSX,6,1+Opt6_CPSX)
*POWER(1+$C$72,CM$1)</f>
        <v>5656947.4269697079</v>
      </c>
      <c r="CL55" s="55"/>
      <c r="CM55" s="55"/>
      <c r="CN55" s="55"/>
      <c r="CP55" s="100"/>
      <c r="CQ55" s="100" cm="1">
        <f t="array" ref="CQ55">'W2'!$L$50*$E$1
*_xlfn.SWITCH($C$1,1,1,2,1+Opt2_CPSX,3,1+Opt3_CPSX,4,1+Opt4_CPSX,5,1+Opt5_CPSX,6,1+Opt6_CPSX)
*POWER(1+$C$72,CS$1)</f>
        <v>5939794.7983181924</v>
      </c>
      <c r="CR55" s="55"/>
      <c r="CS55" s="55"/>
      <c r="CT55" s="55"/>
      <c r="CV55" s="100"/>
      <c r="CW55" s="100" cm="1">
        <f t="array" ref="CW55">'W2'!$L$50*$E$1
*_xlfn.SWITCH($C$1,1,1,2,1+Opt2_CPSX,3,1+Opt3_CPSX,4,1+Opt4_CPSX,5,1+Opt5_CPSX,6,1+Opt6_CPSX)
*POWER(1+$C$72,CY$1)</f>
        <v>6236784.5382341035</v>
      </c>
      <c r="CX55" s="55"/>
      <c r="CY55" s="55"/>
      <c r="CZ55" s="55"/>
      <c r="DB55" s="100"/>
      <c r="DC55" s="100" cm="1">
        <f t="array" ref="DC55">'W2'!$L$50*$E$1
*_xlfn.SWITCH($C$1,1,1,2,1+Opt2_CPSX,3,1+Opt3_CPSX,4,1+Opt4_CPSX,5,1+Opt5_CPSX,6,1+Opt6_CPSX)
*POWER(1+$C$72,DE$1)</f>
        <v>6548623.7651458085</v>
      </c>
      <c r="DD55" s="55"/>
      <c r="DE55" s="55"/>
      <c r="DF55" s="55"/>
      <c r="DH55" s="100"/>
      <c r="DI55" s="100" cm="1">
        <f t="array" ref="DI55">'W2'!$L$50*$E$1
*_xlfn.SWITCH($C$1,1,1,2,1+Opt2_CPSX,3,1+Opt3_CPSX,4,1+Opt4_CPSX,5,1+Opt5_CPSX,6,1+Opt6_CPSX)
*POWER(1+$C$72,DK$1)</f>
        <v>6876054.9534030994</v>
      </c>
      <c r="DJ55" s="55"/>
      <c r="DK55" s="55"/>
      <c r="DL55" s="55"/>
      <c r="DN55" s="100"/>
      <c r="DO55" s="100" cm="1">
        <f t="array" ref="DO55">'W2'!$L$50*$E$1
*_xlfn.SWITCH($C$1,1,1,2,1+Opt2_CPSX,3,1+Opt3_CPSX,4,1+Opt4_CPSX,5,1+Opt5_CPSX,6,1+Opt6_CPSX)
*POWER(1+$C$72,DQ$1)</f>
        <v>7219857.7010732545</v>
      </c>
      <c r="DP55" s="55"/>
      <c r="DQ55" s="55"/>
      <c r="DR55" s="55"/>
      <c r="DT55" s="100"/>
      <c r="DU55" s="100" cm="1">
        <f t="array" ref="DU55">'W2'!$L$50*$E$1
*_xlfn.SWITCH($C$1,1,1,2,1+Opt2_CPSX,3,1+Opt3_CPSX,4,1+Opt4_CPSX,5,1+Opt5_CPSX,6,1+Opt6_CPSX)
*POWER(1+$C$72,DW$1)</f>
        <v>7580850.586126917</v>
      </c>
      <c r="DV55" s="55"/>
      <c r="DW55" s="55"/>
      <c r="DX55" s="55"/>
      <c r="DZ55" s="100"/>
      <c r="EA55" s="100" cm="1">
        <f t="array" ref="EA55">'W2'!$L$50*$E$1
*_xlfn.SWITCH($C$1,1,1,2,1+Opt2_CPSX,3,1+Opt3_CPSX,4,1+Opt4_CPSX,5,1+Opt5_CPSX,6,1+Opt6_CPSX)
*POWER(1+$C$72,EC$1)</f>
        <v>7959893.1154332627</v>
      </c>
      <c r="EB55" s="55"/>
      <c r="EC55" s="55"/>
      <c r="ED55" s="55"/>
      <c r="EF55" s="100"/>
      <c r="EG55" s="100" cm="1">
        <f t="array" ref="EG55">'W2'!$L$50*$E$1
*_xlfn.SWITCH($C$1,1,1,2,1+Opt2_CPSX,3,1+Opt3_CPSX,4,1+Opt4_CPSX,5,1+Opt5_CPSX,6,1+Opt6_CPSX)
*POWER(1+$C$72,EI$1)</f>
        <v>8357887.7712049251</v>
      </c>
      <c r="EH55" s="55"/>
      <c r="EI55" s="55"/>
      <c r="EJ55" s="55"/>
      <c r="EL55" s="100"/>
      <c r="EM55" s="100" cm="1">
        <f t="array" ref="EM55">'W2'!$L$50*$E$1
*_xlfn.SWITCH($C$1,1,1,2,1+Opt2_CPSX,3,1+Opt3_CPSX,4,1+Opt4_CPSX,5,1+Opt5_CPSX,6,1+Opt6_CPSX)
*POWER(1+$C$72,EO$1)</f>
        <v>8775782.1597651709</v>
      </c>
      <c r="EN55" s="55"/>
      <c r="EO55" s="55"/>
      <c r="EP55" s="55"/>
      <c r="ER55" s="100"/>
      <c r="ES55" s="100" cm="1">
        <f t="array" ref="ES55">'W2'!$L$50*$E$1
*_xlfn.SWITCH($C$1,1,1,2,1+Opt2_CPSX,3,1+Opt3_CPSX,4,1+Opt4_CPSX,5,1+Opt5_CPSX,6,1+Opt6_CPSX)
*POWER(1+$C$72,EU$1)</f>
        <v>9214571.2677534316</v>
      </c>
      <c r="ET55" s="55"/>
      <c r="EU55" s="55"/>
      <c r="EV55" s="55"/>
    </row>
    <row r="56" spans="1:152" x14ac:dyDescent="0.25">
      <c r="B56" s="56" t="s">
        <v>138</v>
      </c>
      <c r="C56" s="55" t="s">
        <v>139</v>
      </c>
      <c r="D56" s="100"/>
      <c r="E56" s="100">
        <f>'W2'!$K$52</f>
        <v>15000</v>
      </c>
      <c r="F56" s="55"/>
      <c r="G56" s="55"/>
      <c r="H56" s="55"/>
      <c r="J56" s="100"/>
      <c r="K56" s="100">
        <f>'W2'!$K$52</f>
        <v>15000</v>
      </c>
      <c r="L56" s="55"/>
      <c r="M56" s="55"/>
      <c r="N56" s="55"/>
      <c r="P56" s="100"/>
      <c r="Q56" s="100">
        <f>'W2'!$K$52</f>
        <v>15000</v>
      </c>
      <c r="R56" s="55"/>
      <c r="S56" s="55"/>
      <c r="T56" s="55"/>
      <c r="V56" s="100"/>
      <c r="W56" s="100">
        <f>'W2'!$K$52</f>
        <v>15000</v>
      </c>
      <c r="X56" s="55"/>
      <c r="Y56" s="55"/>
      <c r="Z56" s="55"/>
      <c r="AB56" s="100"/>
      <c r="AC56" s="100">
        <f>'W2'!$K$52</f>
        <v>15000</v>
      </c>
      <c r="AD56" s="55"/>
      <c r="AE56" s="55"/>
      <c r="AF56" s="55"/>
      <c r="AH56" s="100"/>
      <c r="AI56" s="100">
        <f>'W2'!$K$52</f>
        <v>15000</v>
      </c>
      <c r="AJ56" s="55"/>
      <c r="AK56" s="55"/>
      <c r="AL56" s="55"/>
      <c r="AN56" s="100"/>
      <c r="AO56" s="100">
        <f>'W2'!$K$52</f>
        <v>15000</v>
      </c>
      <c r="AP56" s="55"/>
      <c r="AQ56" s="55"/>
      <c r="AR56" s="55"/>
      <c r="AT56" s="100"/>
      <c r="AU56" s="100">
        <f>'W2'!$K$52</f>
        <v>15000</v>
      </c>
      <c r="AV56" s="55"/>
      <c r="AW56" s="55"/>
      <c r="AX56" s="55"/>
      <c r="AZ56" s="100"/>
      <c r="BA56" s="100">
        <f>'W2'!$K$52</f>
        <v>15000</v>
      </c>
      <c r="BB56" s="55"/>
      <c r="BC56" s="55"/>
      <c r="BD56" s="55"/>
      <c r="BF56" s="100"/>
      <c r="BG56" s="100">
        <f>'W2'!$K$52</f>
        <v>15000</v>
      </c>
      <c r="BH56" s="55"/>
      <c r="BI56" s="55"/>
      <c r="BJ56" s="55"/>
      <c r="BL56" s="100"/>
      <c r="BM56" s="100">
        <f>'W2'!$K$52</f>
        <v>15000</v>
      </c>
      <c r="BN56" s="55"/>
      <c r="BO56" s="55"/>
      <c r="BP56" s="55"/>
      <c r="BR56" s="100"/>
      <c r="BS56" s="100">
        <f>'W2'!$K$52</f>
        <v>15000</v>
      </c>
      <c r="BT56" s="55"/>
      <c r="BU56" s="55"/>
      <c r="BV56" s="55"/>
      <c r="BX56" s="100"/>
      <c r="BY56" s="100">
        <f>'W2'!$K$52</f>
        <v>15000</v>
      </c>
      <c r="BZ56" s="55"/>
      <c r="CA56" s="55"/>
      <c r="CB56" s="55"/>
      <c r="CD56" s="100"/>
      <c r="CE56" s="100">
        <f>'W2'!$K$52</f>
        <v>15000</v>
      </c>
      <c r="CF56" s="55"/>
      <c r="CG56" s="55"/>
      <c r="CH56" s="55"/>
      <c r="CJ56" s="100"/>
      <c r="CK56" s="100">
        <f>'W2'!$K$52</f>
        <v>15000</v>
      </c>
      <c r="CL56" s="55"/>
      <c r="CM56" s="55"/>
      <c r="CN56" s="55"/>
      <c r="CP56" s="100"/>
      <c r="CQ56" s="100">
        <f>'W2'!$K$52</f>
        <v>15000</v>
      </c>
      <c r="CR56" s="55"/>
      <c r="CS56" s="55"/>
      <c r="CT56" s="55"/>
      <c r="CV56" s="100"/>
      <c r="CW56" s="100">
        <f>'W2'!$K$52</f>
        <v>15000</v>
      </c>
      <c r="CX56" s="55"/>
      <c r="CY56" s="55"/>
      <c r="CZ56" s="55"/>
      <c r="DB56" s="100"/>
      <c r="DC56" s="100">
        <f>'W2'!$K$52</f>
        <v>15000</v>
      </c>
      <c r="DD56" s="55"/>
      <c r="DE56" s="55"/>
      <c r="DF56" s="55"/>
      <c r="DH56" s="100"/>
      <c r="DI56" s="100">
        <f>'W2'!$K$52</f>
        <v>15000</v>
      </c>
      <c r="DJ56" s="55"/>
      <c r="DK56" s="55"/>
      <c r="DL56" s="55"/>
      <c r="DN56" s="100"/>
      <c r="DO56" s="100">
        <f>'W2'!$K$52</f>
        <v>15000</v>
      </c>
      <c r="DP56" s="55"/>
      <c r="DQ56" s="55"/>
      <c r="DR56" s="55"/>
      <c r="DT56" s="100"/>
      <c r="DU56" s="100">
        <f>'W2'!$K$52</f>
        <v>15000</v>
      </c>
      <c r="DV56" s="55"/>
      <c r="DW56" s="55"/>
      <c r="DX56" s="55"/>
      <c r="DZ56" s="100"/>
      <c r="EA56" s="100">
        <f>'W2'!$K$52</f>
        <v>15000</v>
      </c>
      <c r="EB56" s="55"/>
      <c r="EC56" s="55"/>
      <c r="ED56" s="55"/>
      <c r="EF56" s="100"/>
      <c r="EG56" s="100">
        <f>'W2'!$K$52</f>
        <v>15000</v>
      </c>
      <c r="EH56" s="55"/>
      <c r="EI56" s="55"/>
      <c r="EJ56" s="55"/>
      <c r="EL56" s="100"/>
      <c r="EM56" s="100">
        <f>'W2'!$K$52</f>
        <v>15000</v>
      </c>
      <c r="EN56" s="55"/>
      <c r="EO56" s="55"/>
      <c r="EP56" s="55"/>
      <c r="ER56" s="100"/>
      <c r="ES56" s="100">
        <f>'W2'!$K$52</f>
        <v>15000</v>
      </c>
      <c r="ET56" s="55"/>
      <c r="EU56" s="55"/>
      <c r="EV56" s="55"/>
    </row>
    <row r="57" spans="1:152" x14ac:dyDescent="0.25">
      <c r="B57" s="56" t="s">
        <v>525</v>
      </c>
      <c r="C57" s="55" t="s">
        <v>526</v>
      </c>
      <c r="D57" s="100"/>
      <c r="E57" s="100" cm="1">
        <f t="array" ref="E57">'W2'!$L$51*$E$1
*_xlfn.SWITCH($C$1,1,1,2,1+Opt2_CPSX,3,1+Opt3_CPSX,4,1+Opt4_CPSX,5,1+Opt5_CPSX,6,1+Opt6_CPSX)
*POWER(1+$C$72,G$1)</f>
        <v>50000</v>
      </c>
      <c r="F57" s="55"/>
      <c r="G57" s="55"/>
      <c r="H57" s="55"/>
      <c r="J57" s="100"/>
      <c r="K57" s="100" cm="1">
        <f t="array" ref="K57">'W2'!$L$51*$E$1
*_xlfn.SWITCH($C$1,1,1,2,1+Opt2_CPSX,3,1+Opt3_CPSX,4,1+Opt4_CPSX,5,1+Opt5_CPSX,6,1+Opt6_CPSX)
*POWER(1+$C$72,M$1)</f>
        <v>50000</v>
      </c>
      <c r="L57" s="55"/>
      <c r="M57" s="55"/>
      <c r="N57" s="55"/>
      <c r="P57" s="100"/>
      <c r="Q57" s="100" cm="1">
        <f t="array" ref="Q57">'W2'!$L$51*$E$1
*_xlfn.SWITCH($C$1,1,1,2,1+Opt2_CPSX,3,1+Opt3_CPSX,4,1+Opt4_CPSX,5,1+Opt5_CPSX,6,1+Opt6_CPSX)
*POWER(1+$C$72,S$1)</f>
        <v>52500</v>
      </c>
      <c r="R57" s="55"/>
      <c r="S57" s="55"/>
      <c r="T57" s="55"/>
      <c r="V57" s="100"/>
      <c r="W57" s="100" cm="1">
        <f t="array" ref="W57">'W2'!$L$51*$E$1
*_xlfn.SWITCH($C$1,1,1,2,1+Opt2_CPSX,3,1+Opt3_CPSX,4,1+Opt4_CPSX,5,1+Opt5_CPSX,6,1+Opt6_CPSX)
*POWER(1+$C$72,Y$1)</f>
        <v>55125</v>
      </c>
      <c r="X57" s="55"/>
      <c r="Y57" s="55"/>
      <c r="Z57" s="55"/>
      <c r="AB57" s="100"/>
      <c r="AC57" s="100" cm="1">
        <f t="array" ref="AC57">'W2'!$L$51*$E$1
*_xlfn.SWITCH($C$1,1,1,2,1+Opt2_CPSX,3,1+Opt3_CPSX,4,1+Opt4_CPSX,5,1+Opt5_CPSX,6,1+Opt6_CPSX)
*POWER(1+$C$72,AE$1)</f>
        <v>57881.250000000007</v>
      </c>
      <c r="AD57" s="55"/>
      <c r="AE57" s="55"/>
      <c r="AF57" s="55"/>
      <c r="AH57" s="100"/>
      <c r="AI57" s="100" cm="1">
        <f t="array" ref="AI57">'W2'!$L$51*$E$1
*_xlfn.SWITCH($C$1,1,1,2,1+Opt2_CPSX,3,1+Opt3_CPSX,4,1+Opt4_CPSX,5,1+Opt5_CPSX,6,1+Opt6_CPSX)
*POWER(1+$C$72,AK$1)</f>
        <v>60775.3125</v>
      </c>
      <c r="AJ57" s="55"/>
      <c r="AK57" s="55"/>
      <c r="AL57" s="55"/>
      <c r="AN57" s="100"/>
      <c r="AO57" s="100" cm="1">
        <f t="array" ref="AO57">'W2'!$L$51*$E$1
*_xlfn.SWITCH($C$1,1,1,2,1+Opt2_CPSX,3,1+Opt3_CPSX,4,1+Opt4_CPSX,5,1+Opt5_CPSX,6,1+Opt6_CPSX)
*POWER(1+$C$72,AQ$1)</f>
        <v>63814.078125000007</v>
      </c>
      <c r="AP57" s="55"/>
      <c r="AQ57" s="55"/>
      <c r="AR57" s="55"/>
      <c r="AT57" s="100"/>
      <c r="AU57" s="100" cm="1">
        <f t="array" ref="AU57">'W2'!$L$51*$E$1
*_xlfn.SWITCH($C$1,1,1,2,1+Opt2_CPSX,3,1+Opt3_CPSX,4,1+Opt4_CPSX,5,1+Opt5_CPSX,6,1+Opt6_CPSX)
*POWER(1+$C$72,AW$1)</f>
        <v>67004.782031249997</v>
      </c>
      <c r="AV57" s="55"/>
      <c r="AW57" s="55"/>
      <c r="AX57" s="55"/>
      <c r="AZ57" s="100"/>
      <c r="BA57" s="100" cm="1">
        <f t="array" ref="BA57">'W2'!$L$51*$E$1
*_xlfn.SWITCH($C$1,1,1,2,1+Opt2_CPSX,3,1+Opt3_CPSX,4,1+Opt4_CPSX,5,1+Opt5_CPSX,6,1+Opt6_CPSX)
*POWER(1+$C$72,BC$1)</f>
        <v>70355.021132812515</v>
      </c>
      <c r="BB57" s="55"/>
      <c r="BC57" s="55"/>
      <c r="BD57" s="55"/>
      <c r="BF57" s="100"/>
      <c r="BG57" s="100" cm="1">
        <f t="array" ref="BG57">'W2'!$L$51*$E$1
*_xlfn.SWITCH($C$1,1,1,2,1+Opt2_CPSX,3,1+Opt3_CPSX,4,1+Opt4_CPSX,5,1+Opt5_CPSX,6,1+Opt6_CPSX)
*POWER(1+$C$72,BI$1)</f>
        <v>73872.772189453128</v>
      </c>
      <c r="BH57" s="55"/>
      <c r="BI57" s="55"/>
      <c r="BJ57" s="55"/>
      <c r="BL57" s="100"/>
      <c r="BM57" s="100" cm="1">
        <f t="array" ref="BM57">'W2'!$L$51*$E$1
*_xlfn.SWITCH($C$1,1,1,2,1+Opt2_CPSX,3,1+Opt3_CPSX,4,1+Opt4_CPSX,5,1+Opt5_CPSX,6,1+Opt6_CPSX)
*POWER(1+$C$72,BO$1)</f>
        <v>77566.41079892579</v>
      </c>
      <c r="BN57" s="55"/>
      <c r="BO57" s="55"/>
      <c r="BP57" s="55"/>
      <c r="BR57" s="100"/>
      <c r="BS57" s="100" cm="1">
        <f t="array" ref="BS57">'W2'!$L$51*$E$1
*_xlfn.SWITCH($C$1,1,1,2,1+Opt2_CPSX,3,1+Opt3_CPSX,4,1+Opt4_CPSX,5,1+Opt5_CPSX,6,1+Opt6_CPSX)
*POWER(1+$C$72,BU$1)</f>
        <v>81444.73133887208</v>
      </c>
      <c r="BT57" s="55"/>
      <c r="BU57" s="55"/>
      <c r="BV57" s="55"/>
      <c r="BX57" s="100"/>
      <c r="BY57" s="100" cm="1">
        <f t="array" ref="BY57">'W2'!$L$51*$E$1
*_xlfn.SWITCH($C$1,1,1,2,1+Opt2_CPSX,3,1+Opt3_CPSX,4,1+Opt4_CPSX,5,1+Opt5_CPSX,6,1+Opt6_CPSX)
*POWER(1+$C$72,CA$1)</f>
        <v>85516.967905815691</v>
      </c>
      <c r="BZ57" s="55"/>
      <c r="CA57" s="55"/>
      <c r="CB57" s="55"/>
      <c r="CD57" s="100"/>
      <c r="CE57" s="100" cm="1">
        <f t="array" ref="CE57">'W2'!$L$51*$E$1
*_xlfn.SWITCH($C$1,1,1,2,1+Opt2_CPSX,3,1+Opt3_CPSX,4,1+Opt4_CPSX,5,1+Opt5_CPSX,6,1+Opt6_CPSX)
*POWER(1+$C$72,CG$1)</f>
        <v>89792.816301106461</v>
      </c>
      <c r="CF57" s="55"/>
      <c r="CG57" s="55"/>
      <c r="CH57" s="55"/>
      <c r="CJ57" s="100"/>
      <c r="CK57" s="100" cm="1">
        <f t="array" ref="CK57">'W2'!$L$51*$E$1
*_xlfn.SWITCH($C$1,1,1,2,1+Opt2_CPSX,3,1+Opt3_CPSX,4,1+Opt4_CPSX,5,1+Opt5_CPSX,6,1+Opt6_CPSX)
*POWER(1+$C$72,CM$1)</f>
        <v>94282.457116161793</v>
      </c>
      <c r="CL57" s="55"/>
      <c r="CM57" s="55"/>
      <c r="CN57" s="55"/>
      <c r="CP57" s="100"/>
      <c r="CQ57" s="100" cm="1">
        <f t="array" ref="CQ57">'W2'!$L$51*$E$1
*_xlfn.SWITCH($C$1,1,1,2,1+Opt2_CPSX,3,1+Opt3_CPSX,4,1+Opt4_CPSX,5,1+Opt5_CPSX,6,1+Opt6_CPSX)
*POWER(1+$C$72,CS$1)</f>
        <v>98996.57997196987</v>
      </c>
      <c r="CR57" s="55"/>
      <c r="CS57" s="55"/>
      <c r="CT57" s="55"/>
      <c r="CV57" s="100"/>
      <c r="CW57" s="100" cm="1">
        <f t="array" ref="CW57">'W2'!$L$51*$E$1
*_xlfn.SWITCH($C$1,1,1,2,1+Opt2_CPSX,3,1+Opt3_CPSX,4,1+Opt4_CPSX,5,1+Opt5_CPSX,6,1+Opt6_CPSX)
*POWER(1+$C$72,CY$1)</f>
        <v>103946.40897056839</v>
      </c>
      <c r="CX57" s="55"/>
      <c r="CY57" s="55"/>
      <c r="CZ57" s="55"/>
      <c r="DB57" s="100"/>
      <c r="DC57" s="100" cm="1">
        <f t="array" ref="DC57">'W2'!$L$51*$E$1
*_xlfn.SWITCH($C$1,1,1,2,1+Opt2_CPSX,3,1+Opt3_CPSX,4,1+Opt4_CPSX,5,1+Opt5_CPSX,6,1+Opt6_CPSX)
*POWER(1+$C$72,DE$1)</f>
        <v>109143.7294190968</v>
      </c>
      <c r="DD57" s="55"/>
      <c r="DE57" s="55"/>
      <c r="DF57" s="55"/>
      <c r="DH57" s="100"/>
      <c r="DI57" s="100" cm="1">
        <f t="array" ref="DI57">'W2'!$L$51*$E$1
*_xlfn.SWITCH($C$1,1,1,2,1+Opt2_CPSX,3,1+Opt3_CPSX,4,1+Opt4_CPSX,5,1+Opt5_CPSX,6,1+Opt6_CPSX)
*POWER(1+$C$72,DK$1)</f>
        <v>114600.91589005166</v>
      </c>
      <c r="DJ57" s="55"/>
      <c r="DK57" s="55"/>
      <c r="DL57" s="55"/>
      <c r="DN57" s="100"/>
      <c r="DO57" s="100" cm="1">
        <f t="array" ref="DO57">'W2'!$L$51*$E$1
*_xlfn.SWITCH($C$1,1,1,2,1+Opt2_CPSX,3,1+Opt3_CPSX,4,1+Opt4_CPSX,5,1+Opt5_CPSX,6,1+Opt6_CPSX)
*POWER(1+$C$72,DQ$1)</f>
        <v>120330.96168455423</v>
      </c>
      <c r="DP57" s="55"/>
      <c r="DQ57" s="55"/>
      <c r="DR57" s="55"/>
      <c r="DT57" s="100"/>
      <c r="DU57" s="100" cm="1">
        <f t="array" ref="DU57">'W2'!$L$51*$E$1
*_xlfn.SWITCH($C$1,1,1,2,1+Opt2_CPSX,3,1+Opt3_CPSX,4,1+Opt4_CPSX,5,1+Opt5_CPSX,6,1+Opt6_CPSX)
*POWER(1+$C$72,DW$1)</f>
        <v>126347.50976878195</v>
      </c>
      <c r="DV57" s="55"/>
      <c r="DW57" s="55"/>
      <c r="DX57" s="55"/>
      <c r="DZ57" s="100"/>
      <c r="EA57" s="100" cm="1">
        <f t="array" ref="EA57">'W2'!$L$51*$E$1
*_xlfn.SWITCH($C$1,1,1,2,1+Opt2_CPSX,3,1+Opt3_CPSX,4,1+Opt4_CPSX,5,1+Opt5_CPSX,6,1+Opt6_CPSX)
*POWER(1+$C$72,EC$1)</f>
        <v>132664.88525722103</v>
      </c>
      <c r="EB57" s="55"/>
      <c r="EC57" s="55"/>
      <c r="ED57" s="55"/>
      <c r="EF57" s="100"/>
      <c r="EG57" s="100" cm="1">
        <f t="array" ref="EG57">'W2'!$L$51*$E$1
*_xlfn.SWITCH($C$1,1,1,2,1+Opt2_CPSX,3,1+Opt3_CPSX,4,1+Opt4_CPSX,5,1+Opt5_CPSX,6,1+Opt6_CPSX)
*POWER(1+$C$72,EI$1)</f>
        <v>139298.12952008209</v>
      </c>
      <c r="EH57" s="55"/>
      <c r="EI57" s="55"/>
      <c r="EJ57" s="55"/>
      <c r="EL57" s="100"/>
      <c r="EM57" s="100" cm="1">
        <f t="array" ref="EM57">'W2'!$L$51*$E$1
*_xlfn.SWITCH($C$1,1,1,2,1+Opt2_CPSX,3,1+Opt3_CPSX,4,1+Opt4_CPSX,5,1+Opt5_CPSX,6,1+Opt6_CPSX)
*POWER(1+$C$72,EO$1)</f>
        <v>146263.0359960862</v>
      </c>
      <c r="EN57" s="55"/>
      <c r="EO57" s="55"/>
      <c r="EP57" s="55"/>
      <c r="ER57" s="100"/>
      <c r="ES57" s="100" cm="1">
        <f t="array" ref="ES57">'W2'!$L$51*$E$1
*_xlfn.SWITCH($C$1,1,1,2,1+Opt2_CPSX,3,1+Opt3_CPSX,4,1+Opt4_CPSX,5,1+Opt5_CPSX,6,1+Opt6_CPSX)
*POWER(1+$C$72,EU$1)</f>
        <v>153576.18779589052</v>
      </c>
      <c r="ET57" s="55"/>
      <c r="EU57" s="55"/>
      <c r="EV57" s="55"/>
    </row>
    <row r="58" spans="1:152" x14ac:dyDescent="0.25">
      <c r="B58" s="56" t="s">
        <v>111</v>
      </c>
      <c r="C58" s="55"/>
      <c r="D58" s="55"/>
      <c r="E58" s="55"/>
      <c r="F58" s="55"/>
      <c r="G58" s="55"/>
      <c r="H58" s="55"/>
      <c r="J58" s="55"/>
      <c r="K58" s="55"/>
      <c r="L58" s="55"/>
      <c r="M58" s="55"/>
      <c r="N58" s="55"/>
      <c r="P58" s="55"/>
      <c r="Q58" s="55"/>
      <c r="R58" s="55"/>
      <c r="S58" s="55"/>
      <c r="T58" s="55"/>
      <c r="V58" s="55"/>
      <c r="W58" s="55"/>
      <c r="X58" s="55"/>
      <c r="Y58" s="55"/>
      <c r="Z58" s="55"/>
      <c r="AB58" s="55"/>
      <c r="AC58" s="55"/>
      <c r="AD58" s="55"/>
      <c r="AE58" s="55"/>
      <c r="AF58" s="55"/>
      <c r="AH58" s="55"/>
      <c r="AI58" s="55"/>
      <c r="AJ58" s="55"/>
      <c r="AK58" s="55"/>
      <c r="AL58" s="55"/>
      <c r="AN58" s="55"/>
      <c r="AO58" s="55"/>
      <c r="AP58" s="55"/>
      <c r="AQ58" s="55"/>
      <c r="AR58" s="55"/>
      <c r="AT58" s="55"/>
      <c r="AU58" s="55"/>
      <c r="AV58" s="55"/>
      <c r="AW58" s="55"/>
      <c r="AX58" s="55"/>
      <c r="AZ58" s="55"/>
      <c r="BA58" s="55"/>
      <c r="BB58" s="55"/>
      <c r="BC58" s="55"/>
      <c r="BD58" s="55"/>
      <c r="BF58" s="55"/>
      <c r="BG58" s="55"/>
      <c r="BH58" s="55"/>
      <c r="BI58" s="55"/>
      <c r="BJ58" s="55"/>
      <c r="BL58" s="55"/>
      <c r="BM58" s="55"/>
      <c r="BN58" s="55"/>
      <c r="BO58" s="55"/>
      <c r="BP58" s="55"/>
      <c r="BR58" s="55"/>
      <c r="BS58" s="55"/>
      <c r="BT58" s="55"/>
      <c r="BU58" s="55"/>
      <c r="BV58" s="55"/>
      <c r="BX58" s="55"/>
      <c r="BY58" s="55"/>
      <c r="BZ58" s="55"/>
      <c r="CA58" s="55"/>
      <c r="CB58" s="55"/>
      <c r="CD58" s="55"/>
      <c r="CE58" s="55"/>
      <c r="CF58" s="55"/>
      <c r="CG58" s="55"/>
      <c r="CH58" s="55"/>
      <c r="CJ58" s="55"/>
      <c r="CK58" s="55"/>
      <c r="CL58" s="55"/>
      <c r="CM58" s="55"/>
      <c r="CN58" s="55"/>
      <c r="CP58" s="55"/>
      <c r="CQ58" s="55"/>
      <c r="CR58" s="55"/>
      <c r="CS58" s="55"/>
      <c r="CT58" s="55"/>
      <c r="CV58" s="55"/>
      <c r="CW58" s="55"/>
      <c r="CX58" s="55"/>
      <c r="CY58" s="55"/>
      <c r="CZ58" s="55"/>
      <c r="DB58" s="55"/>
      <c r="DC58" s="55"/>
      <c r="DD58" s="55"/>
      <c r="DE58" s="55"/>
      <c r="DF58" s="55"/>
      <c r="DH58" s="55"/>
      <c r="DI58" s="55"/>
      <c r="DJ58" s="55"/>
      <c r="DK58" s="55"/>
      <c r="DL58" s="55"/>
      <c r="DN58" s="55"/>
      <c r="DO58" s="55"/>
      <c r="DP58" s="55"/>
      <c r="DQ58" s="55"/>
      <c r="DR58" s="55"/>
      <c r="DT58" s="55"/>
      <c r="DU58" s="55"/>
      <c r="DV58" s="55"/>
      <c r="DW58" s="55"/>
      <c r="DX58" s="55"/>
      <c r="DZ58" s="55"/>
      <c r="EA58" s="55"/>
      <c r="EB58" s="55"/>
      <c r="EC58" s="55"/>
      <c r="ED58" s="55"/>
      <c r="EF58" s="55"/>
      <c r="EG58" s="55"/>
      <c r="EH58" s="55"/>
      <c r="EI58" s="55"/>
      <c r="EJ58" s="55"/>
      <c r="EL58" s="55"/>
      <c r="EM58" s="55"/>
      <c r="EN58" s="55"/>
      <c r="EO58" s="55"/>
      <c r="EP58" s="55"/>
      <c r="ER58" s="55"/>
      <c r="ES58" s="55"/>
      <c r="ET58" s="55"/>
      <c r="EU58" s="55"/>
      <c r="EV58" s="55"/>
    </row>
    <row r="59" spans="1:152" x14ac:dyDescent="0.25">
      <c r="B59" s="53" t="s">
        <v>140</v>
      </c>
      <c r="C59" s="54"/>
      <c r="D59" s="54"/>
      <c r="E59" s="54"/>
      <c r="F59" s="54"/>
      <c r="G59" s="54"/>
      <c r="H59" s="54"/>
      <c r="J59" s="54"/>
      <c r="K59" s="54"/>
      <c r="L59" s="54"/>
      <c r="M59" s="54"/>
      <c r="N59" s="54"/>
      <c r="P59" s="54"/>
      <c r="Q59" s="54"/>
      <c r="R59" s="54"/>
      <c r="S59" s="54"/>
      <c r="T59" s="54"/>
      <c r="V59" s="54"/>
      <c r="W59" s="54"/>
      <c r="X59" s="54"/>
      <c r="Y59" s="54"/>
      <c r="Z59" s="54"/>
      <c r="AB59" s="54"/>
      <c r="AC59" s="54"/>
      <c r="AD59" s="54"/>
      <c r="AE59" s="54"/>
      <c r="AF59" s="54"/>
      <c r="AH59" s="54"/>
      <c r="AI59" s="54"/>
      <c r="AJ59" s="54"/>
      <c r="AK59" s="54"/>
      <c r="AL59" s="54"/>
      <c r="AN59" s="54"/>
      <c r="AO59" s="54"/>
      <c r="AP59" s="54"/>
      <c r="AQ59" s="54"/>
      <c r="AR59" s="54"/>
      <c r="AT59" s="54"/>
      <c r="AU59" s="54"/>
      <c r="AV59" s="54"/>
      <c r="AW59" s="54"/>
      <c r="AX59" s="54"/>
      <c r="AZ59" s="54"/>
      <c r="BA59" s="54"/>
      <c r="BB59" s="54"/>
      <c r="BC59" s="54"/>
      <c r="BD59" s="54"/>
      <c r="BF59" s="54"/>
      <c r="BG59" s="54"/>
      <c r="BH59" s="54"/>
      <c r="BI59" s="54"/>
      <c r="BJ59" s="54"/>
      <c r="BL59" s="54"/>
      <c r="BM59" s="54"/>
      <c r="BN59" s="54"/>
      <c r="BO59" s="54"/>
      <c r="BP59" s="54"/>
      <c r="BR59" s="54"/>
      <c r="BS59" s="54"/>
      <c r="BT59" s="54"/>
      <c r="BU59" s="54"/>
      <c r="BV59" s="54"/>
      <c r="BX59" s="54"/>
      <c r="BY59" s="54"/>
      <c r="BZ59" s="54"/>
      <c r="CA59" s="54"/>
      <c r="CB59" s="54"/>
      <c r="CD59" s="54"/>
      <c r="CE59" s="54"/>
      <c r="CF59" s="54"/>
      <c r="CG59" s="54"/>
      <c r="CH59" s="54"/>
      <c r="CJ59" s="54"/>
      <c r="CK59" s="54"/>
      <c r="CL59" s="54"/>
      <c r="CM59" s="54"/>
      <c r="CN59" s="54"/>
      <c r="CP59" s="54"/>
      <c r="CQ59" s="54"/>
      <c r="CR59" s="54"/>
      <c r="CS59" s="54"/>
      <c r="CT59" s="54"/>
      <c r="CV59" s="54"/>
      <c r="CW59" s="54"/>
      <c r="CX59" s="54"/>
      <c r="CY59" s="54"/>
      <c r="CZ59" s="54"/>
      <c r="DB59" s="54"/>
      <c r="DC59" s="54"/>
      <c r="DD59" s="54"/>
      <c r="DE59" s="54"/>
      <c r="DF59" s="54"/>
      <c r="DH59" s="54"/>
      <c r="DI59" s="54"/>
      <c r="DJ59" s="54"/>
      <c r="DK59" s="54"/>
      <c r="DL59" s="54"/>
      <c r="DN59" s="54"/>
      <c r="DO59" s="54"/>
      <c r="DP59" s="54"/>
      <c r="DQ59" s="54"/>
      <c r="DR59" s="54"/>
      <c r="DT59" s="54"/>
      <c r="DU59" s="54"/>
      <c r="DV59" s="54"/>
      <c r="DW59" s="54"/>
      <c r="DX59" s="54"/>
      <c r="DZ59" s="54"/>
      <c r="EA59" s="54"/>
      <c r="EB59" s="54"/>
      <c r="EC59" s="54"/>
      <c r="ED59" s="54"/>
      <c r="EF59" s="54"/>
      <c r="EG59" s="54"/>
      <c r="EH59" s="54"/>
      <c r="EI59" s="54"/>
      <c r="EJ59" s="54"/>
      <c r="EL59" s="54"/>
      <c r="EM59" s="54"/>
      <c r="EN59" s="54"/>
      <c r="EO59" s="54"/>
      <c r="EP59" s="54"/>
      <c r="ER59" s="54"/>
      <c r="ES59" s="54"/>
      <c r="ET59" s="54"/>
      <c r="EU59" s="54"/>
      <c r="EV59" s="54"/>
    </row>
    <row r="60" spans="1:152" x14ac:dyDescent="0.25">
      <c r="B60" s="56" t="s">
        <v>141</v>
      </c>
      <c r="C60" s="55" t="s">
        <v>129</v>
      </c>
      <c r="D60" s="55"/>
      <c r="E60" s="100" cm="1">
        <f t="array" ref="E60">IFERROR(SUMPRODUCT('W2'!$M$60:$R$61*'W2'!$M$64:$R$65*('W2'!$M$7:$R$7='W6 - Operating cost'!$B$1))/E61*POWER(1+$C$72,G$1)*$E$1,0)</f>
        <v>949542</v>
      </c>
      <c r="F60" s="100">
        <f>E61*D30/(1-D25)*E60/(1/('Cover Page'!$F$25/1000))</f>
        <v>52702771.461120009</v>
      </c>
      <c r="G60" s="100">
        <f>F60*12</f>
        <v>632433257.53344011</v>
      </c>
      <c r="H60" s="55"/>
      <c r="J60" s="55"/>
      <c r="K60" s="100" cm="1">
        <f t="array" ref="K60">IFERROR(SUMPRODUCT('W2'!$M$60:$R$61*'W2'!$M$64:$R$65*('W2'!$M$7:$R$7='W6 - Operating cost'!$B$1))/K61*POWER(1+$C$72,M$1)*$E$1,0)</f>
        <v>949542</v>
      </c>
      <c r="L60" s="100">
        <f>K61*J30/(1-J25)*K60/(1/('Cover Page'!$F$25/1000))</f>
        <v>73783880.045568019</v>
      </c>
      <c r="M60" s="100">
        <f>L60*12</f>
        <v>885406560.54681623</v>
      </c>
      <c r="N60" s="55"/>
      <c r="P60" s="55"/>
      <c r="Q60" s="100" cm="1">
        <f t="array" ref="Q60">IFERROR(SUMPRODUCT('W2'!$M$60:$R$61*'W2'!$M$64:$R$65*('W2'!$M$7:$R$7='W6 - Operating cost'!$B$1))/Q61*POWER(1+$C$72,S$1)*$E$1,0)</f>
        <v>997019.10000000009</v>
      </c>
      <c r="R60" s="100">
        <f>Q61*P30/(1-P25)*Q60/(1/('Cover Page'!$F$25/1000))</f>
        <v>110675820.06835203</v>
      </c>
      <c r="S60" s="100">
        <f t="shared" ref="S60" si="731">R60*12</f>
        <v>1328109840.8202243</v>
      </c>
      <c r="T60" s="55"/>
      <c r="V60" s="55"/>
      <c r="W60" s="100" cm="1">
        <f t="array" ref="W60">IFERROR(SUMPRODUCT('W2'!$M$60:$R$61*'W2'!$M$64:$R$65*('W2'!$M$7:$R$7='W6 - Operating cost'!$B$1))/W61*POWER(1+$C$72,Y$1)*$E$1,0)</f>
        <v>1046870.0550000001</v>
      </c>
      <c r="X60" s="100">
        <f>W61*V30/(1-V25)*W60/(1/('Cover Page'!$F$25/1000))</f>
        <v>116209611.07176962</v>
      </c>
      <c r="Y60" s="100">
        <f t="shared" ref="Y60" si="732">X60*12</f>
        <v>1394515332.8612356</v>
      </c>
      <c r="Z60" s="55"/>
      <c r="AB60" s="55"/>
      <c r="AC60" s="100" cm="1">
        <f t="array" ref="AC60">IFERROR(SUMPRODUCT('W2'!$M$60:$R$61*'W2'!$M$64:$R$65*('W2'!$M$7:$R$7='W6 - Operating cost'!$B$1))/AC61*POWER(1+$C$72,AE$1)*$E$1,0)</f>
        <v>1099213.5577500002</v>
      </c>
      <c r="AD60" s="100">
        <f>AC61*AB30/(1-AB25)*AC60/(1/('Cover Page'!$F$25/1000))</f>
        <v>122020091.62535812</v>
      </c>
      <c r="AE60" s="100">
        <f t="shared" ref="AE60" si="733">AD60*12</f>
        <v>1464241099.5042975</v>
      </c>
      <c r="AF60" s="55"/>
      <c r="AH60" s="55"/>
      <c r="AI60" s="100" cm="1">
        <f t="array" ref="AI60">IFERROR(SUMPRODUCT('W2'!$M$60:$R$61*'W2'!$M$64:$R$65*('W2'!$M$7:$R$7='W6 - Operating cost'!$B$1))/AI61*POWER(1+$C$72,AK$1)*$E$1,0)</f>
        <v>1154174.2356375</v>
      </c>
      <c r="AJ60" s="100">
        <f>AI61*AH30/(1-AH25)*AI60/(1/('Cover Page'!$F$25/1000))</f>
        <v>128121096.206626</v>
      </c>
      <c r="AK60" s="100">
        <f t="shared" ref="AK60" si="734">AJ60*12</f>
        <v>1537453154.479512</v>
      </c>
      <c r="AL60" s="55"/>
      <c r="AN60" s="55"/>
      <c r="AO60" s="100" cm="1">
        <f t="array" ref="AO60">IFERROR(SUMPRODUCT('W2'!$M$60:$R$61*'W2'!$M$64:$R$65*('W2'!$M$7:$R$7='W6 - Operating cost'!$B$1))/AO61*POWER(1+$C$72,AQ$1)*$E$1,0)</f>
        <v>1211882.9474193752</v>
      </c>
      <c r="AP60" s="100">
        <f>AO61*AN30/(1-AN25)*AO60/(1/('Cover Page'!$F$25/1000))</f>
        <v>134527151.01695734</v>
      </c>
      <c r="AQ60" s="100">
        <f t="shared" ref="AQ60" si="735">AP60*12</f>
        <v>1614325812.2034881</v>
      </c>
      <c r="AR60" s="55"/>
      <c r="AT60" s="55"/>
      <c r="AU60" s="100" cm="1">
        <f t="array" ref="AU60">IFERROR(SUMPRODUCT('W2'!$M$60:$R$61*'W2'!$M$64:$R$65*('W2'!$M$7:$R$7='W6 - Operating cost'!$B$1))/AU61*POWER(1+$C$72,AW$1)*$E$1,0)</f>
        <v>1272477.0947903437</v>
      </c>
      <c r="AV60" s="100">
        <f>AU61*AT30/(1-AT25)*AU60/(1/('Cover Page'!$F$25/1000))</f>
        <v>141253508.56780517</v>
      </c>
      <c r="AW60" s="100">
        <f t="shared" ref="AW60" si="736">AV60*12</f>
        <v>1695042102.8136621</v>
      </c>
      <c r="AX60" s="55"/>
      <c r="AZ60" s="55"/>
      <c r="BA60" s="100" cm="1">
        <f t="array" ref="BA60">IFERROR(SUMPRODUCT('W2'!$M$60:$R$61*'W2'!$M$64:$R$65*('W2'!$M$7:$R$7='W6 - Operating cost'!$B$1))/BA61*POWER(1+$C$72,BC$1)*$E$1,0)</f>
        <v>1336100.9495298611</v>
      </c>
      <c r="BB60" s="100">
        <f>BA61*AZ30/(1-AZ25)*BA60/(1/('Cover Page'!$F$25/1000))</f>
        <v>148316183.99619547</v>
      </c>
      <c r="BC60" s="100">
        <f t="shared" ref="BC60" si="737">BB60*12</f>
        <v>1779794207.9543457</v>
      </c>
      <c r="BD60" s="55"/>
      <c r="BF60" s="55"/>
      <c r="BG60" s="100" cm="1">
        <f t="array" ref="BG60">IFERROR(SUMPRODUCT('W2'!$M$60:$R$61*'W2'!$M$64:$R$65*('W2'!$M$7:$R$7='W6 - Operating cost'!$B$1))/BG61*POWER(1+$C$72,BI$1)*$E$1,0)</f>
        <v>1402905.9970063542</v>
      </c>
      <c r="BH60" s="100">
        <f>BG61*BF30/(1-BF25)*BG60/(1/('Cover Page'!$F$25/1000))</f>
        <v>155731993.19600523</v>
      </c>
      <c r="BI60" s="100">
        <f t="shared" ref="BI60" si="738">BH60*12</f>
        <v>1868783918.3520627</v>
      </c>
      <c r="BJ60" s="55"/>
      <c r="BL60" s="55"/>
      <c r="BM60" s="100" cm="1">
        <f t="array" ref="BM60">IFERROR(SUMPRODUCT('W2'!$M$60:$R$61*'W2'!$M$64:$R$65*('W2'!$M$7:$R$7='W6 - Operating cost'!$B$1))/BM61*POWER(1+$C$72,BO$1)*$E$1,0)</f>
        <v>1473051.2968566718</v>
      </c>
      <c r="BN60" s="100">
        <f>BM61*BL30/(1-BL25)*BM60/(1/('Cover Page'!$F$25/1000))</f>
        <v>163518592.85580546</v>
      </c>
      <c r="BO60" s="100">
        <f t="shared" ref="BO60" si="739">BN60*12</f>
        <v>1962223114.2696655</v>
      </c>
      <c r="BP60" s="55"/>
      <c r="BR60" s="55"/>
      <c r="BS60" s="100" cm="1">
        <f t="array" ref="BS60">IFERROR(SUMPRODUCT('W2'!$M$60:$R$61*'W2'!$M$64:$R$65*('W2'!$M$7:$R$7='W6 - Operating cost'!$B$1))/BS61*POWER(1+$C$72,BU$1)*$E$1,0)</f>
        <v>1546703.8616995055</v>
      </c>
      <c r="BT60" s="100">
        <f>BS61*BR30/(1-BR25)*BS60/(1/('Cover Page'!$F$25/1000))</f>
        <v>171694522.49859577</v>
      </c>
      <c r="BU60" s="100">
        <f t="shared" ref="BU60" si="740">BT60*12</f>
        <v>2060334269.9831493</v>
      </c>
      <c r="BV60" s="55"/>
      <c r="BX60" s="55"/>
      <c r="BY60" s="100" cm="1">
        <f t="array" ref="BY60">IFERROR(SUMPRODUCT('W2'!$M$60:$R$61*'W2'!$M$64:$R$65*('W2'!$M$7:$R$7='W6 - Operating cost'!$B$1))/BY61*POWER(1+$C$72,CA$1)*$E$1,0)</f>
        <v>1624039.0547844807</v>
      </c>
      <c r="BZ60" s="100">
        <f>BY61*BX30/(1-BX25)*BY60/(1/('Cover Page'!$F$25/1000))</f>
        <v>180279248.62352556</v>
      </c>
      <c r="CA60" s="100">
        <f t="shared" ref="CA60" si="741">BZ60*12</f>
        <v>2163350983.4823065</v>
      </c>
      <c r="CB60" s="55"/>
      <c r="CD60" s="55"/>
      <c r="CE60" s="100" cm="1">
        <f t="array" ref="CE60">IFERROR(SUMPRODUCT('W2'!$M$60:$R$61*'W2'!$M$64:$R$65*('W2'!$M$7:$R$7='W6 - Operating cost'!$B$1))/CE61*POWER(1+$C$72,CG$1)*$E$1,0)</f>
        <v>1705241.0075237046</v>
      </c>
      <c r="CF60" s="100">
        <f>CE61*CD30/(1-CD25)*CE60/(1/('Cover Page'!$F$25/1000))</f>
        <v>189293211.05470181</v>
      </c>
      <c r="CG60" s="100">
        <f t="shared" ref="CG60" si="742">CF60*12</f>
        <v>2271518532.6564217</v>
      </c>
      <c r="CH60" s="55"/>
      <c r="CJ60" s="55"/>
      <c r="CK60" s="100" cm="1">
        <f t="array" ref="CK60">IFERROR(SUMPRODUCT('W2'!$M$60:$R$61*'W2'!$M$64:$R$65*('W2'!$M$7:$R$7='W6 - Operating cost'!$B$1))/CK61*POWER(1+$C$72,CM$1)*$E$1,0)</f>
        <v>1790503.0578998902</v>
      </c>
      <c r="CL60" s="100">
        <f>CK61*CJ30/(1-CJ25)*CK60/(1/('Cover Page'!$F$25/1000))</f>
        <v>198757871.60743693</v>
      </c>
      <c r="CM60" s="100">
        <f t="shared" ref="CM60" si="743">CL60*12</f>
        <v>2385094459.2892432</v>
      </c>
      <c r="CN60" s="55"/>
      <c r="CP60" s="55"/>
      <c r="CQ60" s="100" cm="1">
        <f t="array" ref="CQ60">IFERROR(SUMPRODUCT('W2'!$M$60:$R$61*'W2'!$M$64:$R$65*('W2'!$M$7:$R$7='W6 - Operating cost'!$B$1))/CQ61*POWER(1+$C$72,CS$1)*$E$1,0)</f>
        <v>1880028.2107948842</v>
      </c>
      <c r="CR60" s="100" t="e">
        <f>CQ61*CP30/(1-CP25)*CQ60/(1/('Cover Page'!$F$25/1000))</f>
        <v>#N/A</v>
      </c>
      <c r="CS60" s="100" t="e">
        <f t="shared" ref="CS60" si="744">CR60*12</f>
        <v>#N/A</v>
      </c>
      <c r="CT60" s="55"/>
      <c r="CV60" s="55"/>
      <c r="CW60" s="100" cm="1">
        <f t="array" ref="CW60">IFERROR(SUMPRODUCT('W2'!$M$60:$R$61*'W2'!$M$64:$R$65*('W2'!$M$7:$R$7='W6 - Operating cost'!$B$1))/CW61*POWER(1+$C$72,CY$1)*$E$1,0)</f>
        <v>1974029.6213346291</v>
      </c>
      <c r="CX60" s="100" t="e">
        <f>CW61*CV30/(1-CV25)*CW60/(1/('Cover Page'!$F$25/1000))</f>
        <v>#N/A</v>
      </c>
      <c r="CY60" s="100" t="e">
        <f t="shared" ref="CY60" si="745">CX60*12</f>
        <v>#N/A</v>
      </c>
      <c r="CZ60" s="55"/>
      <c r="DB60" s="55"/>
      <c r="DC60" s="100" cm="1">
        <f t="array" ref="DC60">IFERROR(SUMPRODUCT('W2'!$M$60:$R$61*'W2'!$M$64:$R$65*('W2'!$M$7:$R$7='W6 - Operating cost'!$B$1))/DC61*POWER(1+$C$72,DE$1)*$E$1,0)</f>
        <v>2072731.1024013604</v>
      </c>
      <c r="DD60" s="100" t="e">
        <f>DC61*DB30/(1-DB25)*DC60/(1/('Cover Page'!$F$25/1000))</f>
        <v>#N/A</v>
      </c>
      <c r="DE60" s="100" t="e">
        <f t="shared" ref="DE60" si="746">DD60*12</f>
        <v>#N/A</v>
      </c>
      <c r="DF60" s="55"/>
      <c r="DH60" s="55"/>
      <c r="DI60" s="100" cm="1">
        <f t="array" ref="DI60">IFERROR(SUMPRODUCT('W2'!$M$60:$R$61*'W2'!$M$64:$R$65*('W2'!$M$7:$R$7='W6 - Operating cost'!$B$1))/DI61*POWER(1+$C$72,DK$1)*$E$1,0)</f>
        <v>2176367.6575214285</v>
      </c>
      <c r="DJ60" s="100" t="e">
        <f>DI61*DH30/(1-DH25)*DI60/(1/('Cover Page'!$F$25/1000))</f>
        <v>#N/A</v>
      </c>
      <c r="DK60" s="100" t="e">
        <f t="shared" ref="DK60" si="747">DJ60*12</f>
        <v>#N/A</v>
      </c>
      <c r="DL60" s="55"/>
      <c r="DN60" s="55"/>
      <c r="DO60" s="100" cm="1">
        <f t="array" ref="DO60">IFERROR(SUMPRODUCT('W2'!$M$60:$R$61*'W2'!$M$64:$R$65*('W2'!$M$7:$R$7='W6 - Operating cost'!$B$1))/DO61*POWER(1+$C$72,DQ$1)*$E$1,0)</f>
        <v>2285186.0403975002</v>
      </c>
      <c r="DP60" s="100" t="e">
        <f>DO61*DN30/(1-DN25)*DO60/(1/('Cover Page'!$F$25/1000))</f>
        <v>#N/A</v>
      </c>
      <c r="DQ60" s="100" t="e">
        <f t="shared" ref="DQ60" si="748">DP60*12</f>
        <v>#N/A</v>
      </c>
      <c r="DR60" s="55"/>
      <c r="DT60" s="55"/>
      <c r="DU60" s="100" cm="1">
        <f t="array" ref="DU60">IFERROR(SUMPRODUCT('W2'!$M$60:$R$61*'W2'!$M$64:$R$65*('W2'!$M$7:$R$7='W6 - Operating cost'!$B$1))/DU61*POWER(1+$C$72,DW$1)*$E$1,0)</f>
        <v>2399445.3424173752</v>
      </c>
      <c r="DV60" s="100" t="e">
        <f>DU61*DT30/(1-DT25)*DU60/(1/('Cover Page'!$F$25/1000))</f>
        <v>#N/A</v>
      </c>
      <c r="DW60" s="100" t="e">
        <f t="shared" ref="DW60" si="749">DV60*12</f>
        <v>#N/A</v>
      </c>
      <c r="DX60" s="55"/>
      <c r="DZ60" s="55"/>
      <c r="EA60" s="100" cm="1">
        <f t="array" ref="EA60">IFERROR(SUMPRODUCT('W2'!$M$60:$R$61*'W2'!$M$64:$R$65*('W2'!$M$7:$R$7='W6 - Operating cost'!$B$1))/EA61*POWER(1+$C$72,EC$1)*$E$1,0)</f>
        <v>2519417.6095382436</v>
      </c>
      <c r="EB60" s="100" t="e">
        <f>EA61*DZ30/(1-DZ25)*EA60/(1/('Cover Page'!$F$25/1000))</f>
        <v>#N/A</v>
      </c>
      <c r="EC60" s="100" t="e">
        <f t="shared" ref="EC60" si="750">EB60*12</f>
        <v>#N/A</v>
      </c>
      <c r="ED60" s="55"/>
      <c r="EF60" s="55"/>
      <c r="EG60" s="100" cm="1">
        <f t="array" ref="EG60">IFERROR(SUMPRODUCT('W2'!$M$60:$R$61*'W2'!$M$64:$R$65*('W2'!$M$7:$R$7='W6 - Operating cost'!$B$1))/EG61*POWER(1+$C$72,EI$1)*$E$1,0)</f>
        <v>2645388.4900151556</v>
      </c>
      <c r="EH60" s="100" t="e">
        <f>EG61*EF30/(1-EF25)*EG60/(1/('Cover Page'!$F$25/1000))</f>
        <v>#N/A</v>
      </c>
      <c r="EI60" s="100" t="e">
        <f t="shared" ref="EI60" si="751">EH60*12</f>
        <v>#N/A</v>
      </c>
      <c r="EJ60" s="55"/>
      <c r="EL60" s="55"/>
      <c r="EM60" s="100" cm="1">
        <f t="array" ref="EM60">IFERROR(SUMPRODUCT('W2'!$M$60:$R$61*'W2'!$M$64:$R$65*('W2'!$M$7:$R$7='W6 - Operating cost'!$B$1))/EM61*POWER(1+$C$72,EO$1)*$E$1,0)</f>
        <v>2777657.9145159135</v>
      </c>
      <c r="EN60" s="100" t="e">
        <f>EM61*EL30/(1-EL25)*EM60/(1/('Cover Page'!$F$25/1000))</f>
        <v>#N/A</v>
      </c>
      <c r="EO60" s="100" t="e">
        <f t="shared" ref="EO60" si="752">EN60*12</f>
        <v>#N/A</v>
      </c>
      <c r="EP60" s="55"/>
      <c r="ER60" s="55"/>
      <c r="ES60" s="100" cm="1">
        <f t="array" ref="ES60">IFERROR(SUMPRODUCT('W2'!$M$60:$R$61*'W2'!$M$64:$R$65*('W2'!$M$7:$R$7='W6 - Operating cost'!$B$1))/ES61*POWER(1+$C$72,EU$1)*$E$1,0)</f>
        <v>2916540.8102417095</v>
      </c>
      <c r="ET60" s="100" t="e">
        <f>ES61*ER30/(1-ER25)*ES60/(1/('Cover Page'!$F$25/1000))</f>
        <v>#N/A</v>
      </c>
      <c r="EU60" s="100" t="e">
        <f t="shared" ref="EU60" si="753">ET60*12</f>
        <v>#N/A</v>
      </c>
      <c r="EV60" s="55"/>
    </row>
    <row r="61" spans="1:152" x14ac:dyDescent="0.25">
      <c r="B61" s="56" t="s">
        <v>142</v>
      </c>
      <c r="C61" s="55" t="s">
        <v>71</v>
      </c>
      <c r="D61" s="55"/>
      <c r="E61" s="649" cm="1">
        <f t="array" ref="E61">SUMPRODUCT('W2'!$M$12:$R$112*('W2'!$B$12:$B$112=$B61)*('W2'!$M$7:$R$7=$B$1))</f>
        <v>2.0000000000000001E-4</v>
      </c>
      <c r="F61" s="55"/>
      <c r="G61" s="55"/>
      <c r="H61" s="55"/>
      <c r="J61" s="55"/>
      <c r="K61" s="649" cm="1">
        <f t="array" ref="K61">SUMPRODUCT('W2'!$M$12:$R$112*('W2'!$B$12:$B$112=$B61)*('W2'!$M$7:$R$7=$B$1))</f>
        <v>2.0000000000000001E-4</v>
      </c>
      <c r="L61" s="55"/>
      <c r="M61" s="55"/>
      <c r="N61" s="55"/>
      <c r="P61" s="55"/>
      <c r="Q61" s="649" cm="1">
        <f t="array" ref="Q61">SUMPRODUCT('W2'!$M$12:$R$112*('W2'!$B$12:$B$112=$B61)*('W2'!$M$7:$R$7=$B$1))</f>
        <v>2.0000000000000001E-4</v>
      </c>
      <c r="R61" s="55"/>
      <c r="S61" s="55"/>
      <c r="T61" s="55"/>
      <c r="V61" s="55"/>
      <c r="W61" s="649" cm="1">
        <f t="array" ref="W61">SUMPRODUCT('W2'!$M$12:$R$112*('W2'!$B$12:$B$112=$B61)*('W2'!$M$7:$R$7=$B$1))</f>
        <v>2.0000000000000001E-4</v>
      </c>
      <c r="X61" s="55"/>
      <c r="Y61" s="55"/>
      <c r="Z61" s="55"/>
      <c r="AB61" s="55"/>
      <c r="AC61" s="649" cm="1">
        <f t="array" ref="AC61">SUMPRODUCT('W2'!$M$12:$R$112*('W2'!$B$12:$B$112=$B61)*('W2'!$M$7:$R$7=$B$1))</f>
        <v>2.0000000000000001E-4</v>
      </c>
      <c r="AD61" s="55"/>
      <c r="AE61" s="55"/>
      <c r="AF61" s="55"/>
      <c r="AH61" s="55"/>
      <c r="AI61" s="649" cm="1">
        <f t="array" ref="AI61">SUMPRODUCT('W2'!$M$12:$R$112*('W2'!$B$12:$B$112=$B61)*('W2'!$M$7:$R$7=$B$1))</f>
        <v>2.0000000000000001E-4</v>
      </c>
      <c r="AJ61" s="55"/>
      <c r="AK61" s="55"/>
      <c r="AL61" s="55"/>
      <c r="AN61" s="55"/>
      <c r="AO61" s="649" cm="1">
        <f t="array" ref="AO61">SUMPRODUCT('W2'!$M$12:$R$112*('W2'!$B$12:$B$112=$B61)*('W2'!$M$7:$R$7=$B$1))</f>
        <v>2.0000000000000001E-4</v>
      </c>
      <c r="AP61" s="55"/>
      <c r="AQ61" s="55"/>
      <c r="AR61" s="55"/>
      <c r="AT61" s="55"/>
      <c r="AU61" s="649" cm="1">
        <f t="array" ref="AU61">SUMPRODUCT('W2'!$M$12:$R$112*('W2'!$B$12:$B$112=$B61)*('W2'!$M$7:$R$7=$B$1))</f>
        <v>2.0000000000000001E-4</v>
      </c>
      <c r="AV61" s="55"/>
      <c r="AW61" s="55"/>
      <c r="AX61" s="55"/>
      <c r="AZ61" s="55"/>
      <c r="BA61" s="649" cm="1">
        <f t="array" ref="BA61">SUMPRODUCT('W2'!$M$12:$R$112*('W2'!$B$12:$B$112=$B61)*('W2'!$M$7:$R$7=$B$1))</f>
        <v>2.0000000000000001E-4</v>
      </c>
      <c r="BB61" s="55"/>
      <c r="BC61" s="55"/>
      <c r="BD61" s="55"/>
      <c r="BF61" s="55"/>
      <c r="BG61" s="649" cm="1">
        <f t="array" ref="BG61">SUMPRODUCT('W2'!$M$12:$R$112*('W2'!$B$12:$B$112=$B61)*('W2'!$M$7:$R$7=$B$1))</f>
        <v>2.0000000000000001E-4</v>
      </c>
      <c r="BH61" s="55"/>
      <c r="BI61" s="55"/>
      <c r="BJ61" s="55"/>
      <c r="BL61" s="55"/>
      <c r="BM61" s="649" cm="1">
        <f t="array" ref="BM61">SUMPRODUCT('W2'!$M$12:$R$112*('W2'!$B$12:$B$112=$B61)*('W2'!$M$7:$R$7=$B$1))</f>
        <v>2.0000000000000001E-4</v>
      </c>
      <c r="BN61" s="55"/>
      <c r="BO61" s="55"/>
      <c r="BP61" s="55"/>
      <c r="BR61" s="55"/>
      <c r="BS61" s="649" cm="1">
        <f t="array" ref="BS61">SUMPRODUCT('W2'!$M$12:$R$112*('W2'!$B$12:$B$112=$B61)*('W2'!$M$7:$R$7=$B$1))</f>
        <v>2.0000000000000001E-4</v>
      </c>
      <c r="BT61" s="55"/>
      <c r="BU61" s="55"/>
      <c r="BV61" s="55"/>
      <c r="BX61" s="55"/>
      <c r="BY61" s="649" cm="1">
        <f t="array" ref="BY61">SUMPRODUCT('W2'!$M$12:$R$112*('W2'!$B$12:$B$112=$B61)*('W2'!$M$7:$R$7=$B$1))</f>
        <v>2.0000000000000001E-4</v>
      </c>
      <c r="BZ61" s="55"/>
      <c r="CA61" s="55"/>
      <c r="CB61" s="55"/>
      <c r="CD61" s="55"/>
      <c r="CE61" s="649" cm="1">
        <f t="array" ref="CE61">SUMPRODUCT('W2'!$M$12:$R$112*('W2'!$B$12:$B$112=$B61)*('W2'!$M$7:$R$7=$B$1))</f>
        <v>2.0000000000000001E-4</v>
      </c>
      <c r="CF61" s="55"/>
      <c r="CG61" s="55"/>
      <c r="CH61" s="55"/>
      <c r="CJ61" s="55"/>
      <c r="CK61" s="649" cm="1">
        <f t="array" ref="CK61">SUMPRODUCT('W2'!$M$12:$R$112*('W2'!$B$12:$B$112=$B61)*('W2'!$M$7:$R$7=$B$1))</f>
        <v>2.0000000000000001E-4</v>
      </c>
      <c r="CL61" s="55"/>
      <c r="CM61" s="55"/>
      <c r="CN61" s="55"/>
      <c r="CP61" s="55"/>
      <c r="CQ61" s="649" cm="1">
        <f t="array" ref="CQ61">SUMPRODUCT('W2'!$M$12:$R$112*('W2'!$B$12:$B$112=$B61)*('W2'!$M$7:$R$7=$B$1))</f>
        <v>2.0000000000000001E-4</v>
      </c>
      <c r="CR61" s="55"/>
      <c r="CS61" s="55"/>
      <c r="CT61" s="55"/>
      <c r="CV61" s="55"/>
      <c r="CW61" s="649" cm="1">
        <f t="array" ref="CW61">SUMPRODUCT('W2'!$M$12:$R$112*('W2'!$B$12:$B$112=$B61)*('W2'!$M$7:$R$7=$B$1))</f>
        <v>2.0000000000000001E-4</v>
      </c>
      <c r="CX61" s="55"/>
      <c r="CY61" s="55"/>
      <c r="CZ61" s="55"/>
      <c r="DB61" s="55"/>
      <c r="DC61" s="649" cm="1">
        <f t="array" ref="DC61">SUMPRODUCT('W2'!$M$12:$R$112*('W2'!$B$12:$B$112=$B61)*('W2'!$M$7:$R$7=$B$1))</f>
        <v>2.0000000000000001E-4</v>
      </c>
      <c r="DD61" s="55"/>
      <c r="DE61" s="55"/>
      <c r="DF61" s="55"/>
      <c r="DH61" s="55"/>
      <c r="DI61" s="649" cm="1">
        <f t="array" ref="DI61">SUMPRODUCT('W2'!$M$12:$R$112*('W2'!$B$12:$B$112=$B61)*('W2'!$M$7:$R$7=$B$1))</f>
        <v>2.0000000000000001E-4</v>
      </c>
      <c r="DJ61" s="55"/>
      <c r="DK61" s="55"/>
      <c r="DL61" s="55"/>
      <c r="DN61" s="55"/>
      <c r="DO61" s="649" cm="1">
        <f t="array" ref="DO61">SUMPRODUCT('W2'!$M$12:$R$112*('W2'!$B$12:$B$112=$B61)*('W2'!$M$7:$R$7=$B$1))</f>
        <v>2.0000000000000001E-4</v>
      </c>
      <c r="DP61" s="55"/>
      <c r="DQ61" s="55"/>
      <c r="DR61" s="55"/>
      <c r="DT61" s="55"/>
      <c r="DU61" s="649" cm="1">
        <f t="array" ref="DU61">SUMPRODUCT('W2'!$M$12:$R$112*('W2'!$B$12:$B$112=$B61)*('W2'!$M$7:$R$7=$B$1))</f>
        <v>2.0000000000000001E-4</v>
      </c>
      <c r="DV61" s="55"/>
      <c r="DW61" s="55"/>
      <c r="DX61" s="55"/>
      <c r="DZ61" s="55"/>
      <c r="EA61" s="649" cm="1">
        <f t="array" ref="EA61">SUMPRODUCT('W2'!$M$12:$R$112*('W2'!$B$12:$B$112=$B61)*('W2'!$M$7:$R$7=$B$1))</f>
        <v>2.0000000000000001E-4</v>
      </c>
      <c r="EB61" s="55"/>
      <c r="EC61" s="55"/>
      <c r="ED61" s="55"/>
      <c r="EF61" s="55"/>
      <c r="EG61" s="649" cm="1">
        <f t="array" ref="EG61">SUMPRODUCT('W2'!$M$12:$R$112*('W2'!$B$12:$B$112=$B61)*('W2'!$M$7:$R$7=$B$1))</f>
        <v>2.0000000000000001E-4</v>
      </c>
      <c r="EH61" s="55"/>
      <c r="EI61" s="55"/>
      <c r="EJ61" s="55"/>
      <c r="EL61" s="55"/>
      <c r="EM61" s="649" cm="1">
        <f t="array" ref="EM61">SUMPRODUCT('W2'!$M$12:$R$112*('W2'!$B$12:$B$112=$B61)*('W2'!$M$7:$R$7=$B$1))</f>
        <v>2.0000000000000001E-4</v>
      </c>
      <c r="EN61" s="55"/>
      <c r="EO61" s="55"/>
      <c r="EP61" s="55"/>
      <c r="ER61" s="55"/>
      <c r="ES61" s="649" cm="1">
        <f t="array" ref="ES61">SUMPRODUCT('W2'!$M$12:$R$112*('W2'!$B$12:$B$112=$B61)*('W2'!$M$7:$R$7=$B$1))</f>
        <v>2.0000000000000001E-4</v>
      </c>
      <c r="ET61" s="55"/>
      <c r="EU61" s="55"/>
      <c r="EV61" s="55"/>
    </row>
    <row r="62" spans="1:152" x14ac:dyDescent="0.25">
      <c r="B62" s="56" t="s">
        <v>144</v>
      </c>
      <c r="C62" s="55" t="s">
        <v>71</v>
      </c>
      <c r="D62" s="129"/>
      <c r="E62" s="129">
        <f>INDEX('Cover Page'!$H$19:$W$19,MATCH('W6 - Operating cost'!$B$1,'Cover Page'!$H$5:$W$5,0))</f>
        <v>7.0000000000000007E-2</v>
      </c>
      <c r="F62" s="55"/>
      <c r="G62" s="55"/>
      <c r="H62" s="55"/>
      <c r="J62" s="129"/>
      <c r="K62" s="129">
        <f>INDEX('Cover Page'!$H$19:$W$19,MATCH('W6 - Operating cost'!$B$1,'Cover Page'!$H$5:$W$5,0))</f>
        <v>7.0000000000000007E-2</v>
      </c>
      <c r="L62" s="55"/>
      <c r="M62" s="55"/>
      <c r="N62" s="55"/>
      <c r="P62" s="129"/>
      <c r="Q62" s="129">
        <f>INDEX('Cover Page'!$H$19:$W$19,MATCH('W6 - Operating cost'!$B$1,'Cover Page'!$H$5:$W$5,0))</f>
        <v>7.0000000000000007E-2</v>
      </c>
      <c r="R62" s="55"/>
      <c r="S62" s="55"/>
      <c r="T62" s="55"/>
      <c r="V62" s="129"/>
      <c r="W62" s="129">
        <f>INDEX('Cover Page'!$H$19:$W$19,MATCH('W6 - Operating cost'!$B$1,'Cover Page'!$H$5:$W$5,0))</f>
        <v>7.0000000000000007E-2</v>
      </c>
      <c r="X62" s="55"/>
      <c r="Y62" s="55"/>
      <c r="Z62" s="55"/>
      <c r="AB62" s="129"/>
      <c r="AC62" s="129">
        <f>INDEX('Cover Page'!$H$19:$W$19,MATCH('W6 - Operating cost'!$B$1,'Cover Page'!$H$5:$W$5,0))</f>
        <v>7.0000000000000007E-2</v>
      </c>
      <c r="AD62" s="55"/>
      <c r="AE62" s="55"/>
      <c r="AF62" s="55"/>
      <c r="AH62" s="129"/>
      <c r="AI62" s="129">
        <f>INDEX('Cover Page'!$H$19:$W$19,MATCH('W6 - Operating cost'!$B$1,'Cover Page'!$H$5:$W$5,0))</f>
        <v>7.0000000000000007E-2</v>
      </c>
      <c r="AJ62" s="55"/>
      <c r="AK62" s="55"/>
      <c r="AL62" s="55"/>
      <c r="AN62" s="129"/>
      <c r="AO62" s="129">
        <f>INDEX('Cover Page'!$H$19:$W$19,MATCH('W6 - Operating cost'!$B$1,'Cover Page'!$H$5:$W$5,0))</f>
        <v>7.0000000000000007E-2</v>
      </c>
      <c r="AP62" s="55"/>
      <c r="AQ62" s="55"/>
      <c r="AR62" s="55"/>
      <c r="AT62" s="129"/>
      <c r="AU62" s="129">
        <f>INDEX('Cover Page'!$H$19:$W$19,MATCH('W6 - Operating cost'!$B$1,'Cover Page'!$H$5:$W$5,0))</f>
        <v>7.0000000000000007E-2</v>
      </c>
      <c r="AV62" s="55"/>
      <c r="AW62" s="55"/>
      <c r="AX62" s="55"/>
      <c r="AZ62" s="129"/>
      <c r="BA62" s="129">
        <f>INDEX('Cover Page'!$H$19:$W$19,MATCH('W6 - Operating cost'!$B$1,'Cover Page'!$H$5:$W$5,0))</f>
        <v>7.0000000000000007E-2</v>
      </c>
      <c r="BB62" s="55"/>
      <c r="BC62" s="55"/>
      <c r="BD62" s="55"/>
      <c r="BF62" s="129"/>
      <c r="BG62" s="129">
        <f>INDEX('Cover Page'!$H$19:$W$19,MATCH('W6 - Operating cost'!$B$1,'Cover Page'!$H$5:$W$5,0))</f>
        <v>7.0000000000000007E-2</v>
      </c>
      <c r="BH62" s="55"/>
      <c r="BI62" s="55"/>
      <c r="BJ62" s="55"/>
      <c r="BL62" s="129"/>
      <c r="BM62" s="129">
        <f>INDEX('Cover Page'!$H$19:$W$19,MATCH('W6 - Operating cost'!$B$1,'Cover Page'!$H$5:$W$5,0))</f>
        <v>7.0000000000000007E-2</v>
      </c>
      <c r="BN62" s="55"/>
      <c r="BO62" s="55"/>
      <c r="BP62" s="55"/>
      <c r="BR62" s="129"/>
      <c r="BS62" s="129">
        <f>INDEX('Cover Page'!$H$19:$W$19,MATCH('W6 - Operating cost'!$B$1,'Cover Page'!$H$5:$W$5,0))</f>
        <v>7.0000000000000007E-2</v>
      </c>
      <c r="BT62" s="55"/>
      <c r="BU62" s="55"/>
      <c r="BV62" s="55"/>
      <c r="BX62" s="129"/>
      <c r="BY62" s="129">
        <f>INDEX('Cover Page'!$H$19:$W$19,MATCH('W6 - Operating cost'!$B$1,'Cover Page'!$H$5:$W$5,0))</f>
        <v>7.0000000000000007E-2</v>
      </c>
      <c r="BZ62" s="55"/>
      <c r="CA62" s="55"/>
      <c r="CB62" s="55"/>
      <c r="CD62" s="129"/>
      <c r="CE62" s="129">
        <f>INDEX('Cover Page'!$H$19:$W$19,MATCH('W6 - Operating cost'!$B$1,'Cover Page'!$H$5:$W$5,0))</f>
        <v>7.0000000000000007E-2</v>
      </c>
      <c r="CF62" s="55"/>
      <c r="CG62" s="55"/>
      <c r="CH62" s="55"/>
      <c r="CJ62" s="129"/>
      <c r="CK62" s="129">
        <f>INDEX('Cover Page'!$H$19:$W$19,MATCH('W6 - Operating cost'!$B$1,'Cover Page'!$H$5:$W$5,0))</f>
        <v>7.0000000000000007E-2</v>
      </c>
      <c r="CL62" s="55"/>
      <c r="CM62" s="55"/>
      <c r="CN62" s="55"/>
      <c r="CP62" s="129"/>
      <c r="CQ62" s="129">
        <f>INDEX('Cover Page'!$H$19:$W$19,MATCH('W6 - Operating cost'!$B$1,'Cover Page'!$H$5:$W$5,0))</f>
        <v>7.0000000000000007E-2</v>
      </c>
      <c r="CR62" s="55"/>
      <c r="CS62" s="55"/>
      <c r="CT62" s="55"/>
      <c r="CV62" s="129"/>
      <c r="CW62" s="129">
        <f>INDEX('Cover Page'!$H$19:$W$19,MATCH('W6 - Operating cost'!$B$1,'Cover Page'!$H$5:$W$5,0))</f>
        <v>7.0000000000000007E-2</v>
      </c>
      <c r="CX62" s="55"/>
      <c r="CY62" s="55"/>
      <c r="CZ62" s="55"/>
      <c r="DB62" s="129"/>
      <c r="DC62" s="129">
        <f>INDEX('Cover Page'!$H$19:$W$19,MATCH('W6 - Operating cost'!$B$1,'Cover Page'!$H$5:$W$5,0))</f>
        <v>7.0000000000000007E-2</v>
      </c>
      <c r="DD62" s="55"/>
      <c r="DE62" s="55"/>
      <c r="DF62" s="55"/>
      <c r="DH62" s="129"/>
      <c r="DI62" s="129">
        <f>INDEX('Cover Page'!$H$19:$W$19,MATCH('W6 - Operating cost'!$B$1,'Cover Page'!$H$5:$W$5,0))</f>
        <v>7.0000000000000007E-2</v>
      </c>
      <c r="DJ62" s="55"/>
      <c r="DK62" s="55"/>
      <c r="DL62" s="55"/>
      <c r="DN62" s="129"/>
      <c r="DO62" s="129">
        <f>INDEX('Cover Page'!$H$19:$W$19,MATCH('W6 - Operating cost'!$B$1,'Cover Page'!$H$5:$W$5,0))</f>
        <v>7.0000000000000007E-2</v>
      </c>
      <c r="DP62" s="55"/>
      <c r="DQ62" s="55"/>
      <c r="DR62" s="55"/>
      <c r="DT62" s="129"/>
      <c r="DU62" s="129">
        <f>INDEX('Cover Page'!$H$19:$W$19,MATCH('W6 - Operating cost'!$B$1,'Cover Page'!$H$5:$W$5,0))</f>
        <v>7.0000000000000007E-2</v>
      </c>
      <c r="DV62" s="55"/>
      <c r="DW62" s="55"/>
      <c r="DX62" s="55"/>
      <c r="DZ62" s="129"/>
      <c r="EA62" s="129">
        <f>INDEX('Cover Page'!$H$19:$W$19,MATCH('W6 - Operating cost'!$B$1,'Cover Page'!$H$5:$W$5,0))</f>
        <v>7.0000000000000007E-2</v>
      </c>
      <c r="EB62" s="55"/>
      <c r="EC62" s="55"/>
      <c r="ED62" s="55"/>
      <c r="EF62" s="129"/>
      <c r="EG62" s="129">
        <f>INDEX('Cover Page'!$H$19:$W$19,MATCH('W6 - Operating cost'!$B$1,'Cover Page'!$H$5:$W$5,0))</f>
        <v>7.0000000000000007E-2</v>
      </c>
      <c r="EH62" s="55"/>
      <c r="EI62" s="55"/>
      <c r="EJ62" s="55"/>
      <c r="EL62" s="129"/>
      <c r="EM62" s="129">
        <f>INDEX('Cover Page'!$H$19:$W$19,MATCH('W6 - Operating cost'!$B$1,'Cover Page'!$H$5:$W$5,0))</f>
        <v>7.0000000000000007E-2</v>
      </c>
      <c r="EN62" s="55"/>
      <c r="EO62" s="55"/>
      <c r="EP62" s="55"/>
      <c r="ER62" s="129"/>
      <c r="ES62" s="129">
        <f>INDEX('Cover Page'!$H$19:$W$19,MATCH('W6 - Operating cost'!$B$1,'Cover Page'!$H$5:$W$5,0))</f>
        <v>7.0000000000000007E-2</v>
      </c>
      <c r="ET62" s="55"/>
      <c r="EU62" s="55"/>
      <c r="EV62" s="55"/>
    </row>
    <row r="63" spans="1:152" x14ac:dyDescent="0.25">
      <c r="B63" s="56"/>
      <c r="C63" s="55"/>
      <c r="D63" s="129"/>
      <c r="E63" s="55"/>
      <c r="F63" s="55"/>
      <c r="G63" s="55"/>
      <c r="H63" s="55"/>
      <c r="J63" s="129"/>
      <c r="K63" s="55"/>
      <c r="L63" s="55"/>
      <c r="M63" s="55"/>
      <c r="N63" s="55"/>
      <c r="P63" s="129"/>
      <c r="Q63" s="55"/>
      <c r="R63" s="55"/>
      <c r="S63" s="55"/>
      <c r="T63" s="55"/>
      <c r="V63" s="129"/>
      <c r="W63" s="55"/>
      <c r="X63" s="55"/>
      <c r="Y63" s="55"/>
      <c r="Z63" s="55"/>
      <c r="AB63" s="129"/>
      <c r="AC63" s="55"/>
      <c r="AD63" s="55"/>
      <c r="AE63" s="55"/>
      <c r="AF63" s="55"/>
      <c r="AH63" s="129"/>
      <c r="AI63" s="55"/>
      <c r="AJ63" s="55"/>
      <c r="AK63" s="55"/>
      <c r="AL63" s="55"/>
      <c r="AN63" s="129"/>
      <c r="AO63" s="55"/>
      <c r="AP63" s="55"/>
      <c r="AQ63" s="55"/>
      <c r="AR63" s="55"/>
      <c r="AT63" s="129"/>
      <c r="AU63" s="55"/>
      <c r="AV63" s="55"/>
      <c r="AW63" s="55"/>
      <c r="AX63" s="55"/>
      <c r="AZ63" s="129"/>
      <c r="BA63" s="55"/>
      <c r="BB63" s="55"/>
      <c r="BC63" s="55"/>
      <c r="BD63" s="55"/>
      <c r="BF63" s="129"/>
      <c r="BG63" s="55"/>
      <c r="BH63" s="55"/>
      <c r="BI63" s="55"/>
      <c r="BJ63" s="55"/>
      <c r="BL63" s="129"/>
      <c r="BM63" s="55"/>
      <c r="BN63" s="55"/>
      <c r="BO63" s="55"/>
      <c r="BP63" s="55"/>
      <c r="BR63" s="129"/>
      <c r="BS63" s="55"/>
      <c r="BT63" s="55"/>
      <c r="BU63" s="55"/>
      <c r="BV63" s="55"/>
      <c r="BX63" s="129"/>
      <c r="BY63" s="55"/>
      <c r="BZ63" s="55"/>
      <c r="CA63" s="55"/>
      <c r="CB63" s="55"/>
      <c r="CD63" s="129"/>
      <c r="CE63" s="55"/>
      <c r="CF63" s="55"/>
      <c r="CG63" s="55"/>
      <c r="CH63" s="55"/>
      <c r="CJ63" s="129"/>
      <c r="CK63" s="55"/>
      <c r="CL63" s="55"/>
      <c r="CM63" s="55"/>
      <c r="CN63" s="55"/>
      <c r="CP63" s="129"/>
      <c r="CQ63" s="55"/>
      <c r="CR63" s="55"/>
      <c r="CS63" s="55"/>
      <c r="CT63" s="55"/>
      <c r="CV63" s="129"/>
      <c r="CW63" s="55"/>
      <c r="CX63" s="55"/>
      <c r="CY63" s="55"/>
      <c r="CZ63" s="55"/>
      <c r="DB63" s="129"/>
      <c r="DC63" s="55"/>
      <c r="DD63" s="55"/>
      <c r="DE63" s="55"/>
      <c r="DF63" s="55"/>
      <c r="DH63" s="129"/>
      <c r="DI63" s="55"/>
      <c r="DJ63" s="55"/>
      <c r="DK63" s="55"/>
      <c r="DL63" s="55"/>
      <c r="DN63" s="129"/>
      <c r="DO63" s="55"/>
      <c r="DP63" s="55"/>
      <c r="DQ63" s="55"/>
      <c r="DR63" s="55"/>
      <c r="DT63" s="129"/>
      <c r="DU63" s="55"/>
      <c r="DV63" s="55"/>
      <c r="DW63" s="55"/>
      <c r="DX63" s="55"/>
      <c r="DZ63" s="129"/>
      <c r="EA63" s="55"/>
      <c r="EB63" s="55"/>
      <c r="EC63" s="55"/>
      <c r="ED63" s="55"/>
      <c r="EF63" s="129"/>
      <c r="EG63" s="55"/>
      <c r="EH63" s="55"/>
      <c r="EI63" s="55"/>
      <c r="EJ63" s="55"/>
      <c r="EL63" s="129"/>
      <c r="EM63" s="55"/>
      <c r="EN63" s="55"/>
      <c r="EO63" s="55"/>
      <c r="EP63" s="55"/>
      <c r="ER63" s="129"/>
      <c r="ES63" s="55"/>
      <c r="ET63" s="55"/>
      <c r="EU63" s="55"/>
      <c r="EV63" s="55"/>
    </row>
    <row r="64" spans="1:152" x14ac:dyDescent="0.25">
      <c r="B64" s="56" t="s">
        <v>348</v>
      </c>
      <c r="C64" s="55" t="s">
        <v>71</v>
      </c>
      <c r="D64" s="129"/>
      <c r="E64" s="129">
        <f>INDEX('Cover Page'!$H$21:$W$21,MATCH('W6 - Operating cost'!$B$1,'Cover Page'!$H$5:$W$5,0))</f>
        <v>0.7</v>
      </c>
      <c r="F64" s="55"/>
      <c r="G64" s="55"/>
      <c r="H64" s="55"/>
      <c r="J64" s="129"/>
      <c r="K64" s="129">
        <f>INDEX('Cover Page'!$H$21:$W$21,MATCH('W6 - Operating cost'!$B$1,'Cover Page'!$H$5:$W$5,0))</f>
        <v>0.7</v>
      </c>
      <c r="L64" s="55"/>
      <c r="M64" s="55"/>
      <c r="N64" s="55"/>
      <c r="P64" s="129"/>
      <c r="Q64" s="129">
        <f>INDEX('Cover Page'!$H$21:$W$21,MATCH('W6 - Operating cost'!$B$1,'Cover Page'!$H$5:$W$5,0))</f>
        <v>0.7</v>
      </c>
      <c r="R64" s="55"/>
      <c r="S64" s="55"/>
      <c r="T64" s="55"/>
      <c r="V64" s="129"/>
      <c r="W64" s="129">
        <f>INDEX('Cover Page'!$H$21:$W$21,MATCH('W6 - Operating cost'!$B$1,'Cover Page'!$H$5:$W$5,0))</f>
        <v>0.7</v>
      </c>
      <c r="X64" s="55"/>
      <c r="Y64" s="55"/>
      <c r="Z64" s="55"/>
      <c r="AB64" s="129"/>
      <c r="AC64" s="129">
        <f>INDEX('Cover Page'!$H$21:$W$21,MATCH('W6 - Operating cost'!$B$1,'Cover Page'!$H$5:$W$5,0))</f>
        <v>0.7</v>
      </c>
      <c r="AD64" s="55"/>
      <c r="AE64" s="55"/>
      <c r="AF64" s="55"/>
      <c r="AH64" s="129"/>
      <c r="AI64" s="129">
        <f>INDEX('Cover Page'!$H$21:$W$21,MATCH('W6 - Operating cost'!$B$1,'Cover Page'!$H$5:$W$5,0))</f>
        <v>0.7</v>
      </c>
      <c r="AJ64" s="55"/>
      <c r="AK64" s="55"/>
      <c r="AL64" s="55"/>
      <c r="AN64" s="129"/>
      <c r="AO64" s="129">
        <f>INDEX('Cover Page'!$H$21:$W$21,MATCH('W6 - Operating cost'!$B$1,'Cover Page'!$H$5:$W$5,0))</f>
        <v>0.7</v>
      </c>
      <c r="AP64" s="55"/>
      <c r="AQ64" s="55"/>
      <c r="AR64" s="55"/>
      <c r="AT64" s="129"/>
      <c r="AU64" s="129">
        <f>INDEX('Cover Page'!$H$21:$W$21,MATCH('W6 - Operating cost'!$B$1,'Cover Page'!$H$5:$W$5,0))</f>
        <v>0.7</v>
      </c>
      <c r="AV64" s="55"/>
      <c r="AW64" s="55"/>
      <c r="AX64" s="55"/>
      <c r="AZ64" s="129"/>
      <c r="BA64" s="129">
        <f>INDEX('Cover Page'!$H$21:$W$21,MATCH('W6 - Operating cost'!$B$1,'Cover Page'!$H$5:$W$5,0))</f>
        <v>0.7</v>
      </c>
      <c r="BB64" s="55"/>
      <c r="BC64" s="55"/>
      <c r="BD64" s="55"/>
      <c r="BF64" s="129"/>
      <c r="BG64" s="129">
        <f>INDEX('Cover Page'!$H$21:$W$21,MATCH('W6 - Operating cost'!$B$1,'Cover Page'!$H$5:$W$5,0))</f>
        <v>0.7</v>
      </c>
      <c r="BH64" s="55"/>
      <c r="BI64" s="55"/>
      <c r="BJ64" s="55"/>
      <c r="BL64" s="129"/>
      <c r="BM64" s="129">
        <f>INDEX('Cover Page'!$H$21:$W$21,MATCH('W6 - Operating cost'!$B$1,'Cover Page'!$H$5:$W$5,0))</f>
        <v>0.7</v>
      </c>
      <c r="BN64" s="55"/>
      <c r="BO64" s="55"/>
      <c r="BP64" s="55"/>
      <c r="BR64" s="129"/>
      <c r="BS64" s="129">
        <f>INDEX('Cover Page'!$H$21:$W$21,MATCH('W6 - Operating cost'!$B$1,'Cover Page'!$H$5:$W$5,0))</f>
        <v>0.7</v>
      </c>
      <c r="BT64" s="55"/>
      <c r="BU64" s="55"/>
      <c r="BV64" s="55"/>
      <c r="BX64" s="129"/>
      <c r="BY64" s="129">
        <f>INDEX('Cover Page'!$H$21:$W$21,MATCH('W6 - Operating cost'!$B$1,'Cover Page'!$H$5:$W$5,0))</f>
        <v>0.7</v>
      </c>
      <c r="BZ64" s="55"/>
      <c r="CA64" s="55"/>
      <c r="CB64" s="55"/>
      <c r="CD64" s="129"/>
      <c r="CE64" s="129">
        <f>INDEX('Cover Page'!$H$21:$W$21,MATCH('W6 - Operating cost'!$B$1,'Cover Page'!$H$5:$W$5,0))</f>
        <v>0.7</v>
      </c>
      <c r="CF64" s="55"/>
      <c r="CG64" s="55"/>
      <c r="CH64" s="55"/>
      <c r="CJ64" s="129"/>
      <c r="CK64" s="129">
        <f>INDEX('Cover Page'!$H$21:$W$21,MATCH('W6 - Operating cost'!$B$1,'Cover Page'!$H$5:$W$5,0))</f>
        <v>0.7</v>
      </c>
      <c r="CL64" s="55"/>
      <c r="CM64" s="55"/>
      <c r="CN64" s="55"/>
      <c r="CP64" s="129"/>
      <c r="CQ64" s="129">
        <f>INDEX('Cover Page'!$H$21:$W$21,MATCH('W6 - Operating cost'!$B$1,'Cover Page'!$H$5:$W$5,0))</f>
        <v>0.7</v>
      </c>
      <c r="CR64" s="55"/>
      <c r="CS64" s="55"/>
      <c r="CT64" s="55"/>
      <c r="CV64" s="129"/>
      <c r="CW64" s="129">
        <f>INDEX('Cover Page'!$H$21:$W$21,MATCH('W6 - Operating cost'!$B$1,'Cover Page'!$H$5:$W$5,0))</f>
        <v>0.7</v>
      </c>
      <c r="CX64" s="55"/>
      <c r="CY64" s="55"/>
      <c r="CZ64" s="55"/>
      <c r="DB64" s="129"/>
      <c r="DC64" s="129">
        <f>INDEX('Cover Page'!$H$21:$W$21,MATCH('W6 - Operating cost'!$B$1,'Cover Page'!$H$5:$W$5,0))</f>
        <v>0.7</v>
      </c>
      <c r="DD64" s="55"/>
      <c r="DE64" s="55"/>
      <c r="DF64" s="55"/>
      <c r="DH64" s="129"/>
      <c r="DI64" s="129">
        <f>INDEX('Cover Page'!$H$21:$W$21,MATCH('W6 - Operating cost'!$B$1,'Cover Page'!$H$5:$W$5,0))</f>
        <v>0.7</v>
      </c>
      <c r="DJ64" s="55"/>
      <c r="DK64" s="55"/>
      <c r="DL64" s="55"/>
      <c r="DN64" s="129"/>
      <c r="DO64" s="129">
        <f>INDEX('Cover Page'!$H$21:$W$21,MATCH('W6 - Operating cost'!$B$1,'Cover Page'!$H$5:$W$5,0))</f>
        <v>0.7</v>
      </c>
      <c r="DP64" s="55"/>
      <c r="DQ64" s="55"/>
      <c r="DR64" s="55"/>
      <c r="DT64" s="129"/>
      <c r="DU64" s="129">
        <f>INDEX('Cover Page'!$H$21:$W$21,MATCH('W6 - Operating cost'!$B$1,'Cover Page'!$H$5:$W$5,0))</f>
        <v>0.7</v>
      </c>
      <c r="DV64" s="55"/>
      <c r="DW64" s="55"/>
      <c r="DX64" s="55"/>
      <c r="DZ64" s="129"/>
      <c r="EA64" s="129">
        <f>INDEX('Cover Page'!$H$21:$W$21,MATCH('W6 - Operating cost'!$B$1,'Cover Page'!$H$5:$W$5,0))</f>
        <v>0.7</v>
      </c>
      <c r="EB64" s="55"/>
      <c r="EC64" s="55"/>
      <c r="ED64" s="55"/>
      <c r="EF64" s="129"/>
      <c r="EG64" s="129">
        <f>INDEX('Cover Page'!$H$21:$W$21,MATCH('W6 - Operating cost'!$B$1,'Cover Page'!$H$5:$W$5,0))</f>
        <v>0.7</v>
      </c>
      <c r="EH64" s="55"/>
      <c r="EI64" s="55"/>
      <c r="EJ64" s="55"/>
      <c r="EL64" s="129"/>
      <c r="EM64" s="129">
        <f>INDEX('Cover Page'!$H$21:$W$21,MATCH('W6 - Operating cost'!$B$1,'Cover Page'!$H$5:$W$5,0))</f>
        <v>0.7</v>
      </c>
      <c r="EN64" s="55"/>
      <c r="EO64" s="55"/>
      <c r="EP64" s="55"/>
      <c r="ER64" s="129"/>
      <c r="ES64" s="129">
        <f>INDEX('Cover Page'!$H$21:$W$21,MATCH('W6 - Operating cost'!$B$1,'Cover Page'!$H$5:$W$5,0))</f>
        <v>0.7</v>
      </c>
      <c r="ET64" s="55"/>
      <c r="EU64" s="55"/>
      <c r="EV64" s="55"/>
    </row>
    <row r="65" spans="2:152" x14ac:dyDescent="0.25">
      <c r="B65" s="56" t="s">
        <v>349</v>
      </c>
      <c r="C65" s="55" t="s">
        <v>71</v>
      </c>
      <c r="D65" s="129"/>
      <c r="E65" s="129">
        <f>1-E64</f>
        <v>0.30000000000000004</v>
      </c>
      <c r="F65" s="55"/>
      <c r="G65" s="55"/>
      <c r="H65" s="55"/>
      <c r="J65" s="129"/>
      <c r="K65" s="129">
        <f>1-K64</f>
        <v>0.30000000000000004</v>
      </c>
      <c r="L65" s="55"/>
      <c r="M65" s="55"/>
      <c r="N65" s="55"/>
      <c r="P65" s="129"/>
      <c r="Q65" s="129">
        <f>1-Q64</f>
        <v>0.30000000000000004</v>
      </c>
      <c r="R65" s="55"/>
      <c r="S65" s="55"/>
      <c r="T65" s="55"/>
      <c r="V65" s="129"/>
      <c r="W65" s="129">
        <f>1-W64</f>
        <v>0.30000000000000004</v>
      </c>
      <c r="X65" s="55"/>
      <c r="Y65" s="55"/>
      <c r="Z65" s="55"/>
      <c r="AB65" s="129"/>
      <c r="AC65" s="129">
        <f>1-AC64</f>
        <v>0.30000000000000004</v>
      </c>
      <c r="AD65" s="55"/>
      <c r="AE65" s="55"/>
      <c r="AF65" s="55"/>
      <c r="AH65" s="129"/>
      <c r="AI65" s="129">
        <f>1-AI64</f>
        <v>0.30000000000000004</v>
      </c>
      <c r="AJ65" s="55"/>
      <c r="AK65" s="55"/>
      <c r="AL65" s="55"/>
      <c r="AN65" s="129"/>
      <c r="AO65" s="129">
        <f>1-AO64</f>
        <v>0.30000000000000004</v>
      </c>
      <c r="AP65" s="55"/>
      <c r="AQ65" s="55"/>
      <c r="AR65" s="55"/>
      <c r="AT65" s="129"/>
      <c r="AU65" s="129">
        <f>1-AU64</f>
        <v>0.30000000000000004</v>
      </c>
      <c r="AV65" s="55"/>
      <c r="AW65" s="55"/>
      <c r="AX65" s="55"/>
      <c r="AZ65" s="129"/>
      <c r="BA65" s="129">
        <f>1-BA64</f>
        <v>0.30000000000000004</v>
      </c>
      <c r="BB65" s="55"/>
      <c r="BC65" s="55"/>
      <c r="BD65" s="55"/>
      <c r="BF65" s="129"/>
      <c r="BG65" s="129">
        <f>1-BG64</f>
        <v>0.30000000000000004</v>
      </c>
      <c r="BH65" s="55"/>
      <c r="BI65" s="55"/>
      <c r="BJ65" s="55"/>
      <c r="BL65" s="129"/>
      <c r="BM65" s="129">
        <f>1-BM64</f>
        <v>0.30000000000000004</v>
      </c>
      <c r="BN65" s="55"/>
      <c r="BO65" s="55"/>
      <c r="BP65" s="55"/>
      <c r="BR65" s="129"/>
      <c r="BS65" s="129">
        <f>1-BS64</f>
        <v>0.30000000000000004</v>
      </c>
      <c r="BT65" s="55"/>
      <c r="BU65" s="55"/>
      <c r="BV65" s="55"/>
      <c r="BX65" s="129"/>
      <c r="BY65" s="129">
        <f>1-BY64</f>
        <v>0.30000000000000004</v>
      </c>
      <c r="BZ65" s="55"/>
      <c r="CA65" s="55"/>
      <c r="CB65" s="55"/>
      <c r="CD65" s="129"/>
      <c r="CE65" s="129">
        <f>1-CE64</f>
        <v>0.30000000000000004</v>
      </c>
      <c r="CF65" s="55"/>
      <c r="CG65" s="55"/>
      <c r="CH65" s="55"/>
      <c r="CJ65" s="129"/>
      <c r="CK65" s="129">
        <f>1-CK64</f>
        <v>0.30000000000000004</v>
      </c>
      <c r="CL65" s="55"/>
      <c r="CM65" s="55"/>
      <c r="CN65" s="55"/>
      <c r="CP65" s="129"/>
      <c r="CQ65" s="129">
        <f>1-CQ64</f>
        <v>0.30000000000000004</v>
      </c>
      <c r="CR65" s="55"/>
      <c r="CS65" s="55"/>
      <c r="CT65" s="55"/>
      <c r="CV65" s="129"/>
      <c r="CW65" s="129">
        <f>1-CW64</f>
        <v>0.30000000000000004</v>
      </c>
      <c r="CX65" s="55"/>
      <c r="CY65" s="55"/>
      <c r="CZ65" s="55"/>
      <c r="DB65" s="129"/>
      <c r="DC65" s="129">
        <f>1-DC64</f>
        <v>0.30000000000000004</v>
      </c>
      <c r="DD65" s="55"/>
      <c r="DE65" s="55"/>
      <c r="DF65" s="55"/>
      <c r="DH65" s="129"/>
      <c r="DI65" s="129">
        <f>1-DI64</f>
        <v>0.30000000000000004</v>
      </c>
      <c r="DJ65" s="55"/>
      <c r="DK65" s="55"/>
      <c r="DL65" s="55"/>
      <c r="DN65" s="129"/>
      <c r="DO65" s="129">
        <f>1-DO64</f>
        <v>0.30000000000000004</v>
      </c>
      <c r="DP65" s="55"/>
      <c r="DQ65" s="55"/>
      <c r="DR65" s="55"/>
      <c r="DT65" s="129"/>
      <c r="DU65" s="129">
        <f>1-DU64</f>
        <v>0.30000000000000004</v>
      </c>
      <c r="DV65" s="55"/>
      <c r="DW65" s="55"/>
      <c r="DX65" s="55"/>
      <c r="DZ65" s="129"/>
      <c r="EA65" s="129">
        <f>1-EA64</f>
        <v>0.30000000000000004</v>
      </c>
      <c r="EB65" s="55"/>
      <c r="EC65" s="55"/>
      <c r="ED65" s="55"/>
      <c r="EF65" s="129"/>
      <c r="EG65" s="129">
        <f>1-EG64</f>
        <v>0.30000000000000004</v>
      </c>
      <c r="EH65" s="55"/>
      <c r="EI65" s="55"/>
      <c r="EJ65" s="55"/>
      <c r="EL65" s="129"/>
      <c r="EM65" s="129">
        <f>1-EM64</f>
        <v>0.30000000000000004</v>
      </c>
      <c r="EN65" s="55"/>
      <c r="EO65" s="55"/>
      <c r="EP65" s="55"/>
      <c r="ER65" s="129"/>
      <c r="ES65" s="129">
        <f>1-ES64</f>
        <v>0.30000000000000004</v>
      </c>
      <c r="ET65" s="55"/>
      <c r="EU65" s="55"/>
      <c r="EV65" s="55"/>
    </row>
    <row r="66" spans="2:152" x14ac:dyDescent="0.25">
      <c r="B66" s="56"/>
      <c r="C66" s="55"/>
      <c r="D66" s="129"/>
      <c r="E66" s="129"/>
      <c r="F66" s="55"/>
      <c r="G66" s="55"/>
      <c r="H66" s="55"/>
      <c r="J66" s="129"/>
      <c r="K66" s="129"/>
      <c r="L66" s="55"/>
      <c r="M66" s="55"/>
      <c r="N66" s="55"/>
      <c r="P66" s="129"/>
      <c r="Q66" s="129"/>
      <c r="R66" s="55"/>
      <c r="S66" s="55"/>
      <c r="T66" s="55"/>
      <c r="V66" s="129"/>
      <c r="W66" s="129"/>
      <c r="X66" s="55"/>
      <c r="Y66" s="55"/>
      <c r="Z66" s="55"/>
      <c r="AB66" s="129"/>
      <c r="AC66" s="129"/>
      <c r="AD66" s="55"/>
      <c r="AE66" s="55"/>
      <c r="AF66" s="55"/>
      <c r="AH66" s="129"/>
      <c r="AI66" s="129"/>
      <c r="AJ66" s="55"/>
      <c r="AK66" s="55"/>
      <c r="AL66" s="55"/>
      <c r="AN66" s="129"/>
      <c r="AO66" s="129"/>
      <c r="AP66" s="55"/>
      <c r="AQ66" s="55"/>
      <c r="AR66" s="55"/>
      <c r="AT66" s="129"/>
      <c r="AU66" s="129"/>
      <c r="AV66" s="55"/>
      <c r="AW66" s="55"/>
      <c r="AX66" s="55"/>
      <c r="AZ66" s="129"/>
      <c r="BA66" s="129"/>
      <c r="BB66" s="55"/>
      <c r="BC66" s="55"/>
      <c r="BD66" s="55"/>
      <c r="BF66" s="129"/>
      <c r="BG66" s="129"/>
      <c r="BH66" s="55"/>
      <c r="BI66" s="55"/>
      <c r="BJ66" s="55"/>
      <c r="BL66" s="129"/>
      <c r="BM66" s="129"/>
      <c r="BN66" s="55"/>
      <c r="BO66" s="55"/>
      <c r="BP66" s="55"/>
      <c r="BR66" s="129"/>
      <c r="BS66" s="129"/>
      <c r="BT66" s="55"/>
      <c r="BU66" s="55"/>
      <c r="BV66" s="55"/>
      <c r="BX66" s="129"/>
      <c r="BY66" s="129"/>
      <c r="BZ66" s="55"/>
      <c r="CA66" s="55"/>
      <c r="CB66" s="55"/>
      <c r="CD66" s="129"/>
      <c r="CE66" s="129"/>
      <c r="CF66" s="55"/>
      <c r="CG66" s="55"/>
      <c r="CH66" s="55"/>
      <c r="CJ66" s="129"/>
      <c r="CK66" s="129"/>
      <c r="CL66" s="55"/>
      <c r="CM66" s="55"/>
      <c r="CN66" s="55"/>
      <c r="CP66" s="129"/>
      <c r="CQ66" s="129"/>
      <c r="CR66" s="55"/>
      <c r="CS66" s="55"/>
      <c r="CT66" s="55"/>
      <c r="CV66" s="129"/>
      <c r="CW66" s="129"/>
      <c r="CX66" s="55"/>
      <c r="CY66" s="55"/>
      <c r="CZ66" s="55"/>
      <c r="DB66" s="129"/>
      <c r="DC66" s="129"/>
      <c r="DD66" s="55"/>
      <c r="DE66" s="55"/>
      <c r="DF66" s="55"/>
      <c r="DH66" s="129"/>
      <c r="DI66" s="129"/>
      <c r="DJ66" s="55"/>
      <c r="DK66" s="55"/>
      <c r="DL66" s="55"/>
      <c r="DN66" s="129"/>
      <c r="DO66" s="129"/>
      <c r="DP66" s="55"/>
      <c r="DQ66" s="55"/>
      <c r="DR66" s="55"/>
      <c r="DT66" s="129"/>
      <c r="DU66" s="129"/>
      <c r="DV66" s="55"/>
      <c r="DW66" s="55"/>
      <c r="DX66" s="55"/>
      <c r="DZ66" s="129"/>
      <c r="EA66" s="129"/>
      <c r="EB66" s="55"/>
      <c r="EC66" s="55"/>
      <c r="ED66" s="55"/>
      <c r="EF66" s="129"/>
      <c r="EG66" s="129"/>
      <c r="EH66" s="55"/>
      <c r="EI66" s="55"/>
      <c r="EJ66" s="55"/>
      <c r="EL66" s="129"/>
      <c r="EM66" s="129"/>
      <c r="EN66" s="55"/>
      <c r="EO66" s="55"/>
      <c r="EP66" s="55"/>
      <c r="ER66" s="129"/>
      <c r="ES66" s="129"/>
      <c r="ET66" s="55"/>
      <c r="EU66" s="55"/>
      <c r="EV66" s="55"/>
    </row>
    <row r="67" spans="2:152" x14ac:dyDescent="0.25">
      <c r="B67" s="56" t="s">
        <v>356</v>
      </c>
      <c r="C67" s="55" t="s">
        <v>63</v>
      </c>
      <c r="D67" s="129"/>
      <c r="E67" s="100">
        <f>'W2'!$K$34</f>
        <v>2000</v>
      </c>
      <c r="F67" s="55"/>
      <c r="G67" s="55"/>
      <c r="H67" s="55"/>
      <c r="J67" s="129"/>
      <c r="K67" s="100">
        <f>'W2'!$K$34</f>
        <v>2000</v>
      </c>
      <c r="L67" s="55"/>
      <c r="M67" s="55"/>
      <c r="N67" s="55"/>
      <c r="P67" s="129"/>
      <c r="Q67" s="100">
        <f>'W2'!$K$34</f>
        <v>2000</v>
      </c>
      <c r="R67" s="55"/>
      <c r="S67" s="55"/>
      <c r="T67" s="55"/>
      <c r="V67" s="129"/>
      <c r="W67" s="100">
        <f>'W2'!$K$34</f>
        <v>2000</v>
      </c>
      <c r="X67" s="55"/>
      <c r="Y67" s="55"/>
      <c r="Z67" s="55"/>
      <c r="AB67" s="129"/>
      <c r="AC67" s="100">
        <f>'W2'!$K$34</f>
        <v>2000</v>
      </c>
      <c r="AD67" s="55"/>
      <c r="AE67" s="55"/>
      <c r="AF67" s="55"/>
      <c r="AH67" s="129"/>
      <c r="AI67" s="100">
        <f>'W2'!$K$34</f>
        <v>2000</v>
      </c>
      <c r="AJ67" s="55"/>
      <c r="AK67" s="55"/>
      <c r="AL67" s="55"/>
      <c r="AN67" s="129"/>
      <c r="AO67" s="100">
        <f>'W2'!$K$34</f>
        <v>2000</v>
      </c>
      <c r="AP67" s="55"/>
      <c r="AQ67" s="55"/>
      <c r="AR67" s="55"/>
      <c r="AT67" s="129"/>
      <c r="AU67" s="100">
        <f>'W2'!$K$34</f>
        <v>2000</v>
      </c>
      <c r="AV67" s="55"/>
      <c r="AW67" s="55"/>
      <c r="AX67" s="55"/>
      <c r="AZ67" s="129"/>
      <c r="BA67" s="100">
        <f>'W2'!$K$34</f>
        <v>2000</v>
      </c>
      <c r="BB67" s="55"/>
      <c r="BC67" s="55"/>
      <c r="BD67" s="55"/>
      <c r="BF67" s="129"/>
      <c r="BG67" s="100">
        <f>'W2'!$K$34</f>
        <v>2000</v>
      </c>
      <c r="BH67" s="55"/>
      <c r="BI67" s="55"/>
      <c r="BJ67" s="55"/>
      <c r="BL67" s="129"/>
      <c r="BM67" s="100">
        <f>'W2'!$K$34</f>
        <v>2000</v>
      </c>
      <c r="BN67" s="55"/>
      <c r="BO67" s="55"/>
      <c r="BP67" s="55"/>
      <c r="BR67" s="129"/>
      <c r="BS67" s="100">
        <f>'W2'!$K$34</f>
        <v>2000</v>
      </c>
      <c r="BT67" s="55"/>
      <c r="BU67" s="55"/>
      <c r="BV67" s="55"/>
      <c r="BX67" s="129"/>
      <c r="BY67" s="100">
        <f>'W2'!$K$34</f>
        <v>2000</v>
      </c>
      <c r="BZ67" s="55"/>
      <c r="CA67" s="55"/>
      <c r="CB67" s="55"/>
      <c r="CD67" s="129"/>
      <c r="CE67" s="100">
        <f>'W2'!$K$34</f>
        <v>2000</v>
      </c>
      <c r="CF67" s="55"/>
      <c r="CG67" s="55"/>
      <c r="CH67" s="55"/>
      <c r="CJ67" s="129"/>
      <c r="CK67" s="100">
        <f>'W2'!$K$34</f>
        <v>2000</v>
      </c>
      <c r="CL67" s="55"/>
      <c r="CM67" s="55"/>
      <c r="CN67" s="55"/>
      <c r="CP67" s="129"/>
      <c r="CQ67" s="100">
        <f>'W2'!$K$34</f>
        <v>2000</v>
      </c>
      <c r="CR67" s="55"/>
      <c r="CS67" s="55"/>
      <c r="CT67" s="55"/>
      <c r="CV67" s="129"/>
      <c r="CW67" s="100">
        <f>'W2'!$K$34</f>
        <v>2000</v>
      </c>
      <c r="CX67" s="55"/>
      <c r="CY67" s="55"/>
      <c r="CZ67" s="55"/>
      <c r="DB67" s="129"/>
      <c r="DC67" s="100">
        <f>'W2'!$K$34</f>
        <v>2000</v>
      </c>
      <c r="DD67" s="55"/>
      <c r="DE67" s="55"/>
      <c r="DF67" s="55"/>
      <c r="DH67" s="129"/>
      <c r="DI67" s="100">
        <f>'W2'!$K$34</f>
        <v>2000</v>
      </c>
      <c r="DJ67" s="55"/>
      <c r="DK67" s="55"/>
      <c r="DL67" s="55"/>
      <c r="DN67" s="129"/>
      <c r="DO67" s="100">
        <f>'W2'!$K$34</f>
        <v>2000</v>
      </c>
      <c r="DP67" s="55"/>
      <c r="DQ67" s="55"/>
      <c r="DR67" s="55"/>
      <c r="DT67" s="129"/>
      <c r="DU67" s="100">
        <f>'W2'!$K$34</f>
        <v>2000</v>
      </c>
      <c r="DV67" s="55"/>
      <c r="DW67" s="55"/>
      <c r="DX67" s="55"/>
      <c r="DZ67" s="129"/>
      <c r="EA67" s="100">
        <f>'W2'!$K$34</f>
        <v>2000</v>
      </c>
      <c r="EB67" s="55"/>
      <c r="EC67" s="55"/>
      <c r="ED67" s="55"/>
      <c r="EF67" s="129"/>
      <c r="EG67" s="100">
        <f>'W2'!$K$34</f>
        <v>2000</v>
      </c>
      <c r="EH67" s="55"/>
      <c r="EI67" s="55"/>
      <c r="EJ67" s="55"/>
      <c r="EL67" s="129"/>
      <c r="EM67" s="100">
        <f>'W2'!$K$34</f>
        <v>2000</v>
      </c>
      <c r="EN67" s="55"/>
      <c r="EO67" s="55"/>
      <c r="EP67" s="55"/>
      <c r="ER67" s="129"/>
      <c r="ES67" s="100">
        <f>'W2'!$K$34</f>
        <v>2000</v>
      </c>
      <c r="ET67" s="55"/>
      <c r="EU67" s="55"/>
      <c r="EV67" s="55"/>
    </row>
    <row r="68" spans="2:152" x14ac:dyDescent="0.25">
      <c r="B68" s="56" t="s">
        <v>358</v>
      </c>
      <c r="C68" s="55" t="s">
        <v>357</v>
      </c>
      <c r="D68" s="129"/>
      <c r="E68" s="100" cm="1">
        <f t="array" ref="E68">'W2'!$L$34*$E$1
*_xlfn.SWITCH($C$1,1,1,2,1+Opt2_CPSX,3,1+Opt3_CPSX,4,1+Opt4_CPSX,5,1+Opt5_CPSX,6,1+Opt6_CPSX)
*POWER(1+$C$72,G$1)</f>
        <v>100000</v>
      </c>
      <c r="F68" s="55"/>
      <c r="G68" s="55"/>
      <c r="H68" s="55"/>
      <c r="J68" s="129"/>
      <c r="K68" s="100" cm="1">
        <f t="array" ref="K68">'W2'!$L$34*$E$1
*_xlfn.SWITCH($C$1,1,1,2,1+Opt2_CPSX,3,1+Opt3_CPSX,4,1+Opt4_CPSX,5,1+Opt5_CPSX,6,1+Opt6_CPSX)
*POWER(1+$C$72,M$1)</f>
        <v>100000</v>
      </c>
      <c r="L68" s="55"/>
      <c r="M68" s="55"/>
      <c r="N68" s="55"/>
      <c r="P68" s="129"/>
      <c r="Q68" s="100" cm="1">
        <f t="array" ref="Q68">'W2'!$L$34*$E$1
*_xlfn.SWITCH($C$1,1,1,2,1+Opt2_CPSX,3,1+Opt3_CPSX,4,1+Opt4_CPSX,5,1+Opt5_CPSX,6,1+Opt6_CPSX)
*POWER(1+$C$72,S$1)</f>
        <v>105000</v>
      </c>
      <c r="R68" s="55"/>
      <c r="S68" s="55"/>
      <c r="T68" s="55"/>
      <c r="V68" s="129"/>
      <c r="W68" s="100" cm="1">
        <f t="array" ref="W68">'W2'!$L$34*$E$1
*_xlfn.SWITCH($C$1,1,1,2,1+Opt2_CPSX,3,1+Opt3_CPSX,4,1+Opt4_CPSX,5,1+Opt5_CPSX,6,1+Opt6_CPSX)
*POWER(1+$C$72,Y$1)</f>
        <v>110250</v>
      </c>
      <c r="X68" s="55"/>
      <c r="Y68" s="55"/>
      <c r="Z68" s="55"/>
      <c r="AB68" s="129"/>
      <c r="AC68" s="100" cm="1">
        <f t="array" ref="AC68">'W2'!$L$34*$E$1
*_xlfn.SWITCH($C$1,1,1,2,1+Opt2_CPSX,3,1+Opt3_CPSX,4,1+Opt4_CPSX,5,1+Opt5_CPSX,6,1+Opt6_CPSX)
*POWER(1+$C$72,AE$1)</f>
        <v>115762.50000000001</v>
      </c>
      <c r="AD68" s="55"/>
      <c r="AE68" s="55"/>
      <c r="AF68" s="55"/>
      <c r="AH68" s="129"/>
      <c r="AI68" s="100" cm="1">
        <f t="array" ref="AI68">'W2'!$L$34*$E$1
*_xlfn.SWITCH($C$1,1,1,2,1+Opt2_CPSX,3,1+Opt3_CPSX,4,1+Opt4_CPSX,5,1+Opt5_CPSX,6,1+Opt6_CPSX)
*POWER(1+$C$72,AK$1)</f>
        <v>121550.625</v>
      </c>
      <c r="AJ68" s="55"/>
      <c r="AK68" s="55"/>
      <c r="AL68" s="55"/>
      <c r="AN68" s="129"/>
      <c r="AO68" s="100" cm="1">
        <f t="array" ref="AO68">'W2'!$L$34*$E$1
*_xlfn.SWITCH($C$1,1,1,2,1+Opt2_CPSX,3,1+Opt3_CPSX,4,1+Opt4_CPSX,5,1+Opt5_CPSX,6,1+Opt6_CPSX)
*POWER(1+$C$72,AQ$1)</f>
        <v>127628.15625000001</v>
      </c>
      <c r="AP68" s="55"/>
      <c r="AQ68" s="55"/>
      <c r="AR68" s="55"/>
      <c r="AT68" s="129"/>
      <c r="AU68" s="100" cm="1">
        <f t="array" ref="AU68">'W2'!$L$34*$E$1
*_xlfn.SWITCH($C$1,1,1,2,1+Opt2_CPSX,3,1+Opt3_CPSX,4,1+Opt4_CPSX,5,1+Opt5_CPSX,6,1+Opt6_CPSX)
*POWER(1+$C$72,AW$1)</f>
        <v>134009.56406249999</v>
      </c>
      <c r="AV68" s="55"/>
      <c r="AW68" s="55"/>
      <c r="AX68" s="55"/>
      <c r="AZ68" s="129"/>
      <c r="BA68" s="100" cm="1">
        <f t="array" ref="BA68">'W2'!$L$34*$E$1
*_xlfn.SWITCH($C$1,1,1,2,1+Opt2_CPSX,3,1+Opt3_CPSX,4,1+Opt4_CPSX,5,1+Opt5_CPSX,6,1+Opt6_CPSX)
*POWER(1+$C$72,BC$1)</f>
        <v>140710.04226562503</v>
      </c>
      <c r="BB68" s="55"/>
      <c r="BC68" s="55"/>
      <c r="BD68" s="55"/>
      <c r="BF68" s="129"/>
      <c r="BG68" s="100" cm="1">
        <f t="array" ref="BG68">'W2'!$L$34*$E$1
*_xlfn.SWITCH($C$1,1,1,2,1+Opt2_CPSX,3,1+Opt3_CPSX,4,1+Opt4_CPSX,5,1+Opt5_CPSX,6,1+Opt6_CPSX)
*POWER(1+$C$72,BI$1)</f>
        <v>147745.54437890626</v>
      </c>
      <c r="BH68" s="55"/>
      <c r="BI68" s="55"/>
      <c r="BJ68" s="55"/>
      <c r="BL68" s="129"/>
      <c r="BM68" s="100" cm="1">
        <f t="array" ref="BM68">'W2'!$L$34*$E$1
*_xlfn.SWITCH($C$1,1,1,2,1+Opt2_CPSX,3,1+Opt3_CPSX,4,1+Opt4_CPSX,5,1+Opt5_CPSX,6,1+Opt6_CPSX)
*POWER(1+$C$72,BO$1)</f>
        <v>155132.82159785158</v>
      </c>
      <c r="BN68" s="55"/>
      <c r="BO68" s="55"/>
      <c r="BP68" s="55"/>
      <c r="BR68" s="129"/>
      <c r="BS68" s="100" cm="1">
        <f t="array" ref="BS68">'W2'!$L$34*$E$1
*_xlfn.SWITCH($C$1,1,1,2,1+Opt2_CPSX,3,1+Opt3_CPSX,4,1+Opt4_CPSX,5,1+Opt5_CPSX,6,1+Opt6_CPSX)
*POWER(1+$C$72,BU$1)</f>
        <v>162889.46267774416</v>
      </c>
      <c r="BT68" s="55"/>
      <c r="BU68" s="55"/>
      <c r="BV68" s="55"/>
      <c r="BX68" s="129"/>
      <c r="BY68" s="100" cm="1">
        <f t="array" ref="BY68">'W2'!$L$34*$E$1
*_xlfn.SWITCH($C$1,1,1,2,1+Opt2_CPSX,3,1+Opt3_CPSX,4,1+Opt4_CPSX,5,1+Opt5_CPSX,6,1+Opt6_CPSX)
*POWER(1+$C$72,CA$1)</f>
        <v>171033.93581163138</v>
      </c>
      <c r="BZ68" s="55"/>
      <c r="CA68" s="55"/>
      <c r="CB68" s="55"/>
      <c r="CD68" s="129"/>
      <c r="CE68" s="100" cm="1">
        <f t="array" ref="CE68">'W2'!$L$34*$E$1
*_xlfn.SWITCH($C$1,1,1,2,1+Opt2_CPSX,3,1+Opt3_CPSX,4,1+Opt4_CPSX,5,1+Opt5_CPSX,6,1+Opt6_CPSX)
*POWER(1+$C$72,CG$1)</f>
        <v>179585.63260221292</v>
      </c>
      <c r="CF68" s="55"/>
      <c r="CG68" s="55"/>
      <c r="CH68" s="55"/>
      <c r="CJ68" s="129"/>
      <c r="CK68" s="100" cm="1">
        <f t="array" ref="CK68">'W2'!$L$34*$E$1
*_xlfn.SWITCH($C$1,1,1,2,1+Opt2_CPSX,3,1+Opt3_CPSX,4,1+Opt4_CPSX,5,1+Opt5_CPSX,6,1+Opt6_CPSX)
*POWER(1+$C$72,CM$1)</f>
        <v>188564.91423232359</v>
      </c>
      <c r="CL68" s="55"/>
      <c r="CM68" s="55"/>
      <c r="CN68" s="55"/>
      <c r="CP68" s="129"/>
      <c r="CQ68" s="100" cm="1">
        <f t="array" ref="CQ68">'W2'!$L$34*$E$1
*_xlfn.SWITCH($C$1,1,1,2,1+Opt2_CPSX,3,1+Opt3_CPSX,4,1+Opt4_CPSX,5,1+Opt5_CPSX,6,1+Opt6_CPSX)
*POWER(1+$C$72,CS$1)</f>
        <v>197993.15994393974</v>
      </c>
      <c r="CR68" s="55"/>
      <c r="CS68" s="55"/>
      <c r="CT68" s="55"/>
      <c r="CV68" s="129"/>
      <c r="CW68" s="100" cm="1">
        <f t="array" ref="CW68">'W2'!$L$34*$E$1
*_xlfn.SWITCH($C$1,1,1,2,1+Opt2_CPSX,3,1+Opt3_CPSX,4,1+Opt4_CPSX,5,1+Opt5_CPSX,6,1+Opt6_CPSX)
*POWER(1+$C$72,CY$1)</f>
        <v>207892.81794113677</v>
      </c>
      <c r="CX68" s="55"/>
      <c r="CY68" s="55"/>
      <c r="CZ68" s="55"/>
      <c r="DB68" s="129"/>
      <c r="DC68" s="100" cm="1">
        <f t="array" ref="DC68">'W2'!$L$34*$E$1
*_xlfn.SWITCH($C$1,1,1,2,1+Opt2_CPSX,3,1+Opt3_CPSX,4,1+Opt4_CPSX,5,1+Opt5_CPSX,6,1+Opt6_CPSX)
*POWER(1+$C$72,DE$1)</f>
        <v>218287.45883819359</v>
      </c>
      <c r="DD68" s="55"/>
      <c r="DE68" s="55"/>
      <c r="DF68" s="55"/>
      <c r="DH68" s="129"/>
      <c r="DI68" s="100" cm="1">
        <f t="array" ref="DI68">'W2'!$L$34*$E$1
*_xlfn.SWITCH($C$1,1,1,2,1+Opt2_CPSX,3,1+Opt3_CPSX,4,1+Opt4_CPSX,5,1+Opt5_CPSX,6,1+Opt6_CPSX)
*POWER(1+$C$72,DK$1)</f>
        <v>229201.83178010333</v>
      </c>
      <c r="DJ68" s="55"/>
      <c r="DK68" s="55"/>
      <c r="DL68" s="55"/>
      <c r="DN68" s="129"/>
      <c r="DO68" s="100" cm="1">
        <f t="array" ref="DO68">'W2'!$L$34*$E$1
*_xlfn.SWITCH($C$1,1,1,2,1+Opt2_CPSX,3,1+Opt3_CPSX,4,1+Opt4_CPSX,5,1+Opt5_CPSX,6,1+Opt6_CPSX)
*POWER(1+$C$72,DQ$1)</f>
        <v>240661.92336910847</v>
      </c>
      <c r="DP68" s="55"/>
      <c r="DQ68" s="55"/>
      <c r="DR68" s="55"/>
      <c r="DT68" s="129"/>
      <c r="DU68" s="100" cm="1">
        <f t="array" ref="DU68">'W2'!$L$34*$E$1
*_xlfn.SWITCH($C$1,1,1,2,1+Opt2_CPSX,3,1+Opt3_CPSX,4,1+Opt4_CPSX,5,1+Opt5_CPSX,6,1+Opt6_CPSX)
*POWER(1+$C$72,DW$1)</f>
        <v>252695.0195375639</v>
      </c>
      <c r="DV68" s="55"/>
      <c r="DW68" s="55"/>
      <c r="DX68" s="55"/>
      <c r="DZ68" s="129"/>
      <c r="EA68" s="100" cm="1">
        <f t="array" ref="EA68">'W2'!$L$34*$E$1
*_xlfn.SWITCH($C$1,1,1,2,1+Opt2_CPSX,3,1+Opt3_CPSX,4,1+Opt4_CPSX,5,1+Opt5_CPSX,6,1+Opt6_CPSX)
*POWER(1+$C$72,EC$1)</f>
        <v>265329.77051444206</v>
      </c>
      <c r="EB68" s="55"/>
      <c r="EC68" s="55"/>
      <c r="ED68" s="55"/>
      <c r="EF68" s="129"/>
      <c r="EG68" s="100" cm="1">
        <f t="array" ref="EG68">'W2'!$L$34*$E$1
*_xlfn.SWITCH($C$1,1,1,2,1+Opt2_CPSX,3,1+Opt3_CPSX,4,1+Opt4_CPSX,5,1+Opt5_CPSX,6,1+Opt6_CPSX)
*POWER(1+$C$72,EI$1)</f>
        <v>278596.25904016418</v>
      </c>
      <c r="EH68" s="55"/>
      <c r="EI68" s="55"/>
      <c r="EJ68" s="55"/>
      <c r="EL68" s="129"/>
      <c r="EM68" s="100" cm="1">
        <f t="array" ref="EM68">'W2'!$L$34*$E$1
*_xlfn.SWITCH($C$1,1,1,2,1+Opt2_CPSX,3,1+Opt3_CPSX,4,1+Opt4_CPSX,5,1+Opt5_CPSX,6,1+Opt6_CPSX)
*POWER(1+$C$72,EO$1)</f>
        <v>292526.07199217239</v>
      </c>
      <c r="EN68" s="55"/>
      <c r="EO68" s="55"/>
      <c r="EP68" s="55"/>
      <c r="ER68" s="129"/>
      <c r="ES68" s="100" cm="1">
        <f t="array" ref="ES68">'W2'!$L$34*$E$1
*_xlfn.SWITCH($C$1,1,1,2,1+Opt2_CPSX,3,1+Opt3_CPSX,4,1+Opt4_CPSX,5,1+Opt5_CPSX,6,1+Opt6_CPSX)
*POWER(1+$C$72,EU$1)</f>
        <v>307152.37559178105</v>
      </c>
      <c r="ET68" s="55"/>
      <c r="EU68" s="55"/>
      <c r="EV68" s="55"/>
    </row>
    <row r="69" spans="2:152" x14ac:dyDescent="0.25">
      <c r="B69" s="56" t="s">
        <v>359</v>
      </c>
      <c r="C69" s="55" t="s">
        <v>129</v>
      </c>
      <c r="D69" s="129"/>
      <c r="E69" s="100"/>
      <c r="F69" s="100">
        <f>E67*E68</f>
        <v>200000000</v>
      </c>
      <c r="G69" s="134">
        <f>F69*12</f>
        <v>2400000000</v>
      </c>
      <c r="H69" s="55"/>
      <c r="J69" s="129"/>
      <c r="K69" s="100"/>
      <c r="L69" s="100">
        <f>K67*K68</f>
        <v>200000000</v>
      </c>
      <c r="M69" s="134">
        <f>L69*12</f>
        <v>2400000000</v>
      </c>
      <c r="N69" s="55"/>
      <c r="P69" s="129"/>
      <c r="Q69" s="100"/>
      <c r="R69" s="100">
        <f>Q67*Q68</f>
        <v>210000000</v>
      </c>
      <c r="S69" s="134">
        <f>R69*12</f>
        <v>2520000000</v>
      </c>
      <c r="T69" s="55"/>
      <c r="V69" s="129"/>
      <c r="W69" s="100"/>
      <c r="X69" s="100">
        <f>W67*W68</f>
        <v>220500000</v>
      </c>
      <c r="Y69" s="134">
        <f>X69*12</f>
        <v>2646000000</v>
      </c>
      <c r="Z69" s="55"/>
      <c r="AB69" s="129"/>
      <c r="AC69" s="100"/>
      <c r="AD69" s="100">
        <f>AC67*AC68</f>
        <v>231525000.00000003</v>
      </c>
      <c r="AE69" s="134">
        <f>AD69*12</f>
        <v>2778300000.0000005</v>
      </c>
      <c r="AF69" s="55"/>
      <c r="AH69" s="129"/>
      <c r="AI69" s="100"/>
      <c r="AJ69" s="100">
        <f>AI67*AI68</f>
        <v>243101250</v>
      </c>
      <c r="AK69" s="134">
        <f>AJ69*12</f>
        <v>2917215000</v>
      </c>
      <c r="AL69" s="55"/>
      <c r="AN69" s="129"/>
      <c r="AO69" s="100"/>
      <c r="AP69" s="100">
        <f>AO67*AO68</f>
        <v>255256312.50000003</v>
      </c>
      <c r="AQ69" s="134">
        <f>AP69*12</f>
        <v>3063075750.0000005</v>
      </c>
      <c r="AR69" s="55"/>
      <c r="AT69" s="129"/>
      <c r="AU69" s="100"/>
      <c r="AV69" s="100">
        <f>AU67*AU68</f>
        <v>268019128.125</v>
      </c>
      <c r="AW69" s="134">
        <f>AV69*12</f>
        <v>3216229537.5</v>
      </c>
      <c r="AX69" s="55"/>
      <c r="AZ69" s="129"/>
      <c r="BA69" s="100"/>
      <c r="BB69" s="100">
        <f>BA67*BA68</f>
        <v>281420084.53125006</v>
      </c>
      <c r="BC69" s="134">
        <f>BB69*12</f>
        <v>3377041014.375001</v>
      </c>
      <c r="BD69" s="55"/>
      <c r="BF69" s="129"/>
      <c r="BG69" s="100"/>
      <c r="BH69" s="100">
        <f>BG67*BG68</f>
        <v>295491088.7578125</v>
      </c>
      <c r="BI69" s="134">
        <f>BH69*12</f>
        <v>3545893065.09375</v>
      </c>
      <c r="BJ69" s="55"/>
      <c r="BL69" s="129"/>
      <c r="BM69" s="100"/>
      <c r="BN69" s="100">
        <f>BM67*BM68</f>
        <v>310265643.19570315</v>
      </c>
      <c r="BO69" s="134">
        <f>BN69*12</f>
        <v>3723187718.3484378</v>
      </c>
      <c r="BP69" s="55"/>
      <c r="BR69" s="129"/>
      <c r="BS69" s="100"/>
      <c r="BT69" s="100">
        <f>BS67*BS68</f>
        <v>325778925.3554883</v>
      </c>
      <c r="BU69" s="134">
        <f>BT69*12</f>
        <v>3909347104.2658596</v>
      </c>
      <c r="BV69" s="55"/>
      <c r="BX69" s="129"/>
      <c r="BY69" s="100"/>
      <c r="BZ69" s="100">
        <f>BY67*BY68</f>
        <v>342067871.62326276</v>
      </c>
      <c r="CA69" s="134">
        <f>BZ69*12</f>
        <v>4104814459.4791532</v>
      </c>
      <c r="CB69" s="55"/>
      <c r="CD69" s="129"/>
      <c r="CE69" s="100"/>
      <c r="CF69" s="100">
        <f>CE67*CE68</f>
        <v>359171265.20442587</v>
      </c>
      <c r="CG69" s="134">
        <f>CF69*12</f>
        <v>4310055182.4531107</v>
      </c>
      <c r="CH69" s="55"/>
      <c r="CJ69" s="129"/>
      <c r="CK69" s="100"/>
      <c r="CL69" s="100">
        <f>CK67*CK68</f>
        <v>377129828.46464717</v>
      </c>
      <c r="CM69" s="134">
        <f>CL69*12</f>
        <v>4525557941.5757656</v>
      </c>
      <c r="CN69" s="55"/>
      <c r="CP69" s="129"/>
      <c r="CQ69" s="100"/>
      <c r="CR69" s="100">
        <f>CQ67*CQ68</f>
        <v>395986319.88787949</v>
      </c>
      <c r="CS69" s="134">
        <f>CR69*12</f>
        <v>4751835838.6545544</v>
      </c>
      <c r="CT69" s="55"/>
      <c r="CV69" s="129"/>
      <c r="CW69" s="100"/>
      <c r="CX69" s="100">
        <f>CW67*CW68</f>
        <v>415785635.88227355</v>
      </c>
      <c r="CY69" s="134">
        <f>CX69*12</f>
        <v>4989427630.5872822</v>
      </c>
      <c r="CZ69" s="55"/>
      <c r="DB69" s="129"/>
      <c r="DC69" s="100"/>
      <c r="DD69" s="100">
        <f>DC67*DC68</f>
        <v>436574917.67638719</v>
      </c>
      <c r="DE69" s="134">
        <f>DD69*12</f>
        <v>5238899012.1166458</v>
      </c>
      <c r="DF69" s="55"/>
      <c r="DH69" s="129"/>
      <c r="DI69" s="100"/>
      <c r="DJ69" s="100">
        <f>DI67*DI68</f>
        <v>458403663.56020665</v>
      </c>
      <c r="DK69" s="134">
        <f>DJ69*12</f>
        <v>5500843962.7224798</v>
      </c>
      <c r="DL69" s="55"/>
      <c r="DN69" s="129"/>
      <c r="DO69" s="100"/>
      <c r="DP69" s="100">
        <f>DO67*DO68</f>
        <v>481323846.73821694</v>
      </c>
      <c r="DQ69" s="134">
        <f>DP69*12</f>
        <v>5775886160.8586035</v>
      </c>
      <c r="DR69" s="55"/>
      <c r="DT69" s="129"/>
      <c r="DU69" s="100"/>
      <c r="DV69" s="100">
        <f>DU67*DU68</f>
        <v>505390039.07512778</v>
      </c>
      <c r="DW69" s="134">
        <f>DV69*12</f>
        <v>6064680468.9015331</v>
      </c>
      <c r="DX69" s="55"/>
      <c r="DZ69" s="129"/>
      <c r="EA69" s="100"/>
      <c r="EB69" s="100">
        <f>EA67*EA68</f>
        <v>530659541.02888411</v>
      </c>
      <c r="EC69" s="134">
        <f>EB69*12</f>
        <v>6367914492.3466091</v>
      </c>
      <c r="ED69" s="55"/>
      <c r="EF69" s="129"/>
      <c r="EG69" s="100"/>
      <c r="EH69" s="100">
        <f>EG67*EG68</f>
        <v>557192518.08032835</v>
      </c>
      <c r="EI69" s="134">
        <f>EH69*12</f>
        <v>6686310216.9639397</v>
      </c>
      <c r="EJ69" s="55"/>
      <c r="EL69" s="129"/>
      <c r="EM69" s="100"/>
      <c r="EN69" s="100">
        <f>EM67*EM68</f>
        <v>585052143.98434484</v>
      </c>
      <c r="EO69" s="134">
        <f>EN69*12</f>
        <v>7020625727.8121376</v>
      </c>
      <c r="EP69" s="55"/>
      <c r="ER69" s="129"/>
      <c r="ES69" s="100"/>
      <c r="ET69" s="100">
        <f>ES67*ES68</f>
        <v>614304751.18356204</v>
      </c>
      <c r="EU69" s="134">
        <f>ET69*12</f>
        <v>7371657014.2027445</v>
      </c>
      <c r="EV69" s="55"/>
    </row>
    <row r="71" spans="2:152" x14ac:dyDescent="0.25">
      <c r="B71" s="59" t="s">
        <v>145</v>
      </c>
    </row>
    <row r="72" spans="2:152" x14ac:dyDescent="0.25">
      <c r="B72" s="322" t="s">
        <v>524</v>
      </c>
      <c r="C72" s="323">
        <v>0.05</v>
      </c>
    </row>
    <row r="74" spans="2:152" x14ac:dyDescent="0.25">
      <c r="E74" s="64">
        <f>E41+E42+E43+E44+E45+E49</f>
        <v>300749800000</v>
      </c>
    </row>
    <row r="75" spans="2:152" x14ac:dyDescent="0.25">
      <c r="E75" s="70">
        <f>E74/1.04</f>
        <v>289182500000</v>
      </c>
    </row>
  </sheetData>
  <dataValidations count="1">
    <dataValidation type="list" allowBlank="1" showInputMessage="1" showErrorMessage="1" sqref="B1" xr:uid="{B65C47B0-9676-49D9-98C5-43866C635D18}">
      <formula1>"Option 1, Option 2, Option 3, Option 4, Option 5, Option 6"</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C2C8F-F586-4FA4-8A75-E260F0AFEB6B}">
  <sheetPr>
    <tabColor rgb="FFC00000"/>
  </sheetPr>
  <dimension ref="A1:EV37"/>
  <sheetViews>
    <sheetView showGridLines="0" zoomScaleNormal="100" workbookViewId="0">
      <pane xSplit="3" ySplit="3" topLeftCell="D4" activePane="bottomRight" state="frozen"/>
      <selection activeCell="D7" sqref="D7"/>
      <selection pane="topRight" activeCell="D7" sqref="D7"/>
      <selection pane="bottomLeft" activeCell="D7" sqref="D7"/>
      <selection pane="bottomRight" activeCell="D7" sqref="D7"/>
    </sheetView>
  </sheetViews>
  <sheetFormatPr defaultRowHeight="15" x14ac:dyDescent="0.25"/>
  <cols>
    <col min="1" max="1" width="10" bestFit="1" customWidth="1"/>
    <col min="2" max="2" width="28" customWidth="1"/>
    <col min="3" max="3" width="10.5" customWidth="1"/>
    <col min="4" max="4" width="20" customWidth="1"/>
    <col min="5" max="5" width="17.125" customWidth="1"/>
    <col min="6" max="6" width="17.75" bestFit="1"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3.5" bestFit="1"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 min="63" max="63" width="1.75" customWidth="1"/>
    <col min="64" max="64" width="19.25" bestFit="1" customWidth="1"/>
    <col min="65" max="65" width="11.75" bestFit="1" customWidth="1"/>
    <col min="66" max="66" width="10.75" customWidth="1"/>
    <col min="67" max="67" width="10.25" customWidth="1"/>
    <col min="68" max="68" width="10.75" customWidth="1"/>
    <col min="69" max="69" width="1.75" customWidth="1"/>
    <col min="70" max="70" width="19.25" bestFit="1" customWidth="1"/>
    <col min="71" max="71" width="11.75" bestFit="1" customWidth="1"/>
    <col min="72" max="72" width="10.75" customWidth="1"/>
    <col min="73" max="73" width="10.25" customWidth="1"/>
    <col min="74" max="74" width="10.75" customWidth="1"/>
    <col min="75" max="75" width="1.75" customWidth="1"/>
    <col min="76" max="76" width="19.25" bestFit="1" customWidth="1"/>
    <col min="77" max="77" width="11.75" bestFit="1" customWidth="1"/>
    <col min="78" max="78" width="10.75" customWidth="1"/>
    <col min="79" max="79" width="10.25" customWidth="1"/>
    <col min="80" max="80" width="10.75" customWidth="1"/>
    <col min="81" max="81" width="1.75" customWidth="1"/>
    <col min="82" max="82" width="19.25" bestFit="1" customWidth="1"/>
    <col min="83" max="83" width="11.75" bestFit="1" customWidth="1"/>
    <col min="84" max="84" width="10.75" customWidth="1"/>
    <col min="85" max="85" width="10.25" customWidth="1"/>
    <col min="86" max="86" width="10.75" customWidth="1"/>
    <col min="87" max="87" width="1.75" customWidth="1"/>
    <col min="88" max="88" width="19.25" bestFit="1" customWidth="1"/>
    <col min="89" max="89" width="11.75" bestFit="1" customWidth="1"/>
    <col min="90" max="90" width="10.75" customWidth="1"/>
    <col min="91" max="91" width="10.25" customWidth="1"/>
    <col min="92" max="92" width="10.75" customWidth="1"/>
    <col min="93" max="93" width="1.75" customWidth="1"/>
    <col min="94" max="94" width="19.25" bestFit="1" customWidth="1"/>
    <col min="95" max="95" width="11.75" bestFit="1" customWidth="1"/>
    <col min="96" max="96" width="10.75" customWidth="1"/>
    <col min="97" max="97" width="10.25" customWidth="1"/>
    <col min="98" max="98" width="10.75" customWidth="1"/>
    <col min="99" max="99" width="1.75" customWidth="1"/>
    <col min="100" max="100" width="19.25" bestFit="1" customWidth="1"/>
    <col min="101" max="101" width="11.75" bestFit="1" customWidth="1"/>
    <col min="102" max="102" width="10.75" customWidth="1"/>
    <col min="103" max="103" width="10.25" customWidth="1"/>
    <col min="104" max="104" width="10.75" customWidth="1"/>
    <col min="105" max="105" width="1.75" customWidth="1"/>
    <col min="106" max="106" width="19.25" bestFit="1" customWidth="1"/>
    <col min="107" max="107" width="11.75" bestFit="1" customWidth="1"/>
    <col min="108" max="108" width="10.75" customWidth="1"/>
    <col min="109" max="109" width="10.25" customWidth="1"/>
    <col min="110" max="110" width="10.75" customWidth="1"/>
    <col min="111" max="111" width="1.75" customWidth="1"/>
    <col min="112" max="112" width="19.25" bestFit="1" customWidth="1"/>
    <col min="113" max="113" width="11.75" bestFit="1" customWidth="1"/>
    <col min="114" max="114" width="10.75" customWidth="1"/>
    <col min="115" max="115" width="10.25" customWidth="1"/>
    <col min="116" max="116" width="10.75" customWidth="1"/>
    <col min="117" max="117" width="1.75" customWidth="1"/>
    <col min="118" max="118" width="19.25" bestFit="1" customWidth="1"/>
    <col min="119" max="119" width="11.75" bestFit="1" customWidth="1"/>
    <col min="120" max="120" width="10.75" customWidth="1"/>
    <col min="121" max="121" width="10.25" customWidth="1"/>
    <col min="122" max="122" width="10.75" customWidth="1"/>
    <col min="123" max="123" width="1.75" customWidth="1"/>
    <col min="124" max="124" width="19.25" bestFit="1" customWidth="1"/>
    <col min="125" max="125" width="11.75" bestFit="1" customWidth="1"/>
    <col min="126" max="126" width="10.75" customWidth="1"/>
    <col min="127" max="127" width="10.25" customWidth="1"/>
    <col min="128" max="128" width="10.75" customWidth="1"/>
    <col min="129" max="129" width="1.75" customWidth="1"/>
    <col min="130" max="130" width="19.25" bestFit="1" customWidth="1"/>
    <col min="131" max="131" width="11.75" bestFit="1" customWidth="1"/>
    <col min="132" max="132" width="10.75" customWidth="1"/>
    <col min="133" max="133" width="10.25" customWidth="1"/>
    <col min="134" max="134" width="10.75" customWidth="1"/>
    <col min="135" max="135" width="1.75" customWidth="1"/>
    <col min="136" max="136" width="19.25" bestFit="1" customWidth="1"/>
    <col min="137" max="137" width="11.75" bestFit="1" customWidth="1"/>
    <col min="138" max="138" width="10.75" customWidth="1"/>
    <col min="139" max="139" width="10.25" customWidth="1"/>
    <col min="140" max="140" width="10.75" customWidth="1"/>
    <col min="141" max="141" width="1.75" customWidth="1"/>
    <col min="142" max="142" width="19.25" bestFit="1" customWidth="1"/>
    <col min="143" max="143" width="11.75" bestFit="1" customWidth="1"/>
    <col min="144" max="144" width="10.75" customWidth="1"/>
    <col min="145" max="145" width="10.25" customWidth="1"/>
    <col min="146" max="146" width="10.75" customWidth="1"/>
    <col min="147" max="147" width="1.75" customWidth="1"/>
    <col min="148" max="148" width="19.25" bestFit="1" customWidth="1"/>
    <col min="149" max="149" width="11.75" bestFit="1" customWidth="1"/>
    <col min="150" max="150" width="10.75" customWidth="1"/>
    <col min="151" max="151" width="10.25" customWidth="1"/>
    <col min="152" max="152" width="10.75" customWidth="1"/>
  </cols>
  <sheetData>
    <row r="1" spans="1:152" ht="17.25" x14ac:dyDescent="0.3">
      <c r="B1" s="50" t="s">
        <v>350</v>
      </c>
      <c r="C1" s="49"/>
      <c r="D1" s="49"/>
      <c r="E1" s="49"/>
      <c r="F1" s="49"/>
      <c r="G1" s="49"/>
      <c r="H1" s="49"/>
      <c r="J1" s="50" t="str">
        <f>'W6 - Operating cost'!J2</f>
        <v>Year 2 - Mass Production</v>
      </c>
      <c r="K1" s="49"/>
      <c r="L1" s="49"/>
      <c r="M1" s="49"/>
      <c r="N1" s="49"/>
      <c r="P1" s="50" t="str">
        <f>'W6 - Operating cost'!P2</f>
        <v>Year 3 - Mass Production</v>
      </c>
      <c r="Q1" s="49"/>
      <c r="R1" s="49"/>
      <c r="S1" s="49"/>
      <c r="T1" s="49"/>
      <c r="V1" s="50" t="str">
        <f>'W6 - Operating cost'!V2</f>
        <v>Year 4 - Mass Production</v>
      </c>
      <c r="W1" s="49"/>
      <c r="X1" s="49"/>
      <c r="Y1" s="49"/>
      <c r="Z1" s="49"/>
      <c r="AB1" s="50" t="str">
        <f>'W6 - Operating cost'!AB2</f>
        <v>Year 5 - Mass Production</v>
      </c>
      <c r="AC1" s="49"/>
      <c r="AD1" s="49"/>
      <c r="AE1" s="49"/>
      <c r="AF1" s="49"/>
      <c r="AH1" s="50" t="str">
        <f>'W6 - Operating cost'!AH2</f>
        <v>Year 6 - Mass Production</v>
      </c>
      <c r="AI1" s="49"/>
      <c r="AJ1" s="49"/>
      <c r="AK1" s="49"/>
      <c r="AL1" s="49"/>
      <c r="AN1" s="50" t="str">
        <f>'W6 - Operating cost'!AN2</f>
        <v>Year 7 - Mass Production</v>
      </c>
      <c r="AO1" s="49"/>
      <c r="AP1" s="49"/>
      <c r="AQ1" s="49"/>
      <c r="AR1" s="49"/>
      <c r="AT1" s="50" t="str">
        <f>'W6 - Operating cost'!AT2</f>
        <v>Year 8 - Mass Production</v>
      </c>
      <c r="AU1" s="49"/>
      <c r="AV1" s="49"/>
      <c r="AW1" s="49"/>
      <c r="AX1" s="49"/>
      <c r="AZ1" s="50" t="str">
        <f>'W6 - Operating cost'!AZ2</f>
        <v>Year 9 - Mass Production</v>
      </c>
      <c r="BA1" s="49"/>
      <c r="BB1" s="49"/>
      <c r="BC1" s="49"/>
      <c r="BD1" s="49"/>
      <c r="BF1" s="50" t="str">
        <f>'W6 - Operating cost'!BF2</f>
        <v>Year 10 - Mass Production</v>
      </c>
      <c r="BG1" s="49"/>
      <c r="BH1" s="49"/>
      <c r="BI1" s="49"/>
      <c r="BJ1" s="49"/>
      <c r="BL1" s="50" t="str">
        <f>'W6 - Operating cost'!BL2</f>
        <v>Year 11 - Mass Production</v>
      </c>
      <c r="BM1" s="49"/>
      <c r="BN1" s="49"/>
      <c r="BO1" s="49"/>
      <c r="BP1" s="49"/>
      <c r="BR1" s="50" t="str">
        <f>'W6 - Operating cost'!BR2</f>
        <v>Year 12 - Mass Production</v>
      </c>
      <c r="BS1" s="49"/>
      <c r="BT1" s="49"/>
      <c r="BU1" s="49"/>
      <c r="BV1" s="49"/>
      <c r="BX1" s="50" t="str">
        <f>'W6 - Operating cost'!BX2</f>
        <v>Year 13 - Mass Production</v>
      </c>
      <c r="BY1" s="49"/>
      <c r="BZ1" s="49"/>
      <c r="CA1" s="49"/>
      <c r="CB1" s="49"/>
      <c r="CD1" s="50" t="str">
        <f>'W6 - Operating cost'!CD2</f>
        <v>Year 14 - Mass Production</v>
      </c>
      <c r="CE1" s="49"/>
      <c r="CF1" s="49"/>
      <c r="CG1" s="49"/>
      <c r="CH1" s="49"/>
      <c r="CJ1" s="50" t="str">
        <f>'W6 - Operating cost'!CJ2</f>
        <v>Year 15 - Mass Production</v>
      </c>
      <c r="CK1" s="49"/>
      <c r="CL1" s="49"/>
      <c r="CM1" s="49"/>
      <c r="CN1" s="49"/>
      <c r="CP1" s="50" t="str">
        <f>'W6 - Operating cost'!CP2</f>
        <v>Year 16 - Mass Production</v>
      </c>
      <c r="CQ1" s="49"/>
      <c r="CR1" s="49"/>
      <c r="CS1" s="49"/>
      <c r="CT1" s="49"/>
      <c r="CV1" s="50" t="str">
        <f>'W6 - Operating cost'!CV2</f>
        <v>Year 17 - Mass Production</v>
      </c>
      <c r="CW1" s="49"/>
      <c r="CX1" s="49"/>
      <c r="CY1" s="49"/>
      <c r="CZ1" s="49"/>
      <c r="DB1" s="50" t="str">
        <f>'W6 - Operating cost'!DB2</f>
        <v>Year 18 - Mass Production</v>
      </c>
      <c r="DC1" s="49"/>
      <c r="DD1" s="49"/>
      <c r="DE1" s="49"/>
      <c r="DF1" s="49"/>
      <c r="DH1" s="50" t="str">
        <f>'W6 - Operating cost'!DH2</f>
        <v>Year 19 - Mass Production</v>
      </c>
      <c r="DI1" s="49"/>
      <c r="DJ1" s="49"/>
      <c r="DK1" s="49"/>
      <c r="DL1" s="49"/>
      <c r="DN1" s="50" t="str">
        <f>'W6 - Operating cost'!DN2</f>
        <v>Year 20 - Mass Production</v>
      </c>
      <c r="DO1" s="49"/>
      <c r="DP1" s="49"/>
      <c r="DQ1" s="49"/>
      <c r="DR1" s="49"/>
      <c r="DT1" s="50" t="str">
        <f>'W6 - Operating cost'!DT2</f>
        <v>Year 21 - Mass Production</v>
      </c>
      <c r="DU1" s="49"/>
      <c r="DV1" s="49"/>
      <c r="DW1" s="49"/>
      <c r="DX1" s="49"/>
      <c r="DZ1" s="50" t="str">
        <f>'W6 - Operating cost'!DZ2</f>
        <v>Year 22 - Mass Production</v>
      </c>
      <c r="EA1" s="49"/>
      <c r="EB1" s="49"/>
      <c r="EC1" s="49"/>
      <c r="ED1" s="49"/>
      <c r="EF1" s="50" t="str">
        <f>'W6 - Operating cost'!EF2</f>
        <v>Year 23 - Mass Production</v>
      </c>
      <c r="EG1" s="49"/>
      <c r="EH1" s="49"/>
      <c r="EI1" s="49"/>
      <c r="EJ1" s="49"/>
      <c r="EL1" s="50" t="str">
        <f>'W6 - Operating cost'!EL2</f>
        <v>Year 24 - Mass Production</v>
      </c>
      <c r="EM1" s="49"/>
      <c r="EN1" s="49"/>
      <c r="EO1" s="49"/>
      <c r="EP1" s="49"/>
      <c r="ER1" s="50" t="str">
        <f>'W6 - Operating cost'!ER2</f>
        <v>Year 25 - Mass Production</v>
      </c>
      <c r="ES1" s="49"/>
      <c r="ET1" s="49"/>
      <c r="EU1" s="49"/>
      <c r="EV1" s="49"/>
    </row>
    <row r="2" spans="1:15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c r="BL2" s="52" t="s">
        <v>82</v>
      </c>
      <c r="BM2" s="52" t="s">
        <v>83</v>
      </c>
      <c r="BN2" s="52" t="s">
        <v>84</v>
      </c>
      <c r="BO2" s="52" t="s">
        <v>85</v>
      </c>
      <c r="BP2" s="52" t="s">
        <v>86</v>
      </c>
      <c r="BR2" s="52" t="s">
        <v>82</v>
      </c>
      <c r="BS2" s="52" t="s">
        <v>83</v>
      </c>
      <c r="BT2" s="52" t="s">
        <v>84</v>
      </c>
      <c r="BU2" s="52" t="s">
        <v>85</v>
      </c>
      <c r="BV2" s="52" t="s">
        <v>86</v>
      </c>
      <c r="BX2" s="52" t="s">
        <v>82</v>
      </c>
      <c r="BY2" s="52" t="s">
        <v>83</v>
      </c>
      <c r="BZ2" s="52" t="s">
        <v>84</v>
      </c>
      <c r="CA2" s="52" t="s">
        <v>85</v>
      </c>
      <c r="CB2" s="52" t="s">
        <v>86</v>
      </c>
      <c r="CD2" s="52" t="s">
        <v>82</v>
      </c>
      <c r="CE2" s="52" t="s">
        <v>83</v>
      </c>
      <c r="CF2" s="52" t="s">
        <v>84</v>
      </c>
      <c r="CG2" s="52" t="s">
        <v>85</v>
      </c>
      <c r="CH2" s="52" t="s">
        <v>86</v>
      </c>
      <c r="CJ2" s="52" t="s">
        <v>82</v>
      </c>
      <c r="CK2" s="52" t="s">
        <v>83</v>
      </c>
      <c r="CL2" s="52" t="s">
        <v>84</v>
      </c>
      <c r="CM2" s="52" t="s">
        <v>85</v>
      </c>
      <c r="CN2" s="52" t="s">
        <v>86</v>
      </c>
      <c r="CP2" s="52" t="s">
        <v>82</v>
      </c>
      <c r="CQ2" s="52" t="s">
        <v>83</v>
      </c>
      <c r="CR2" s="52" t="s">
        <v>84</v>
      </c>
      <c r="CS2" s="52" t="s">
        <v>85</v>
      </c>
      <c r="CT2" s="52" t="s">
        <v>86</v>
      </c>
      <c r="CV2" s="52" t="s">
        <v>82</v>
      </c>
      <c r="CW2" s="52" t="s">
        <v>83</v>
      </c>
      <c r="CX2" s="52" t="s">
        <v>84</v>
      </c>
      <c r="CY2" s="52" t="s">
        <v>85</v>
      </c>
      <c r="CZ2" s="52" t="s">
        <v>86</v>
      </c>
      <c r="DB2" s="52" t="s">
        <v>82</v>
      </c>
      <c r="DC2" s="52" t="s">
        <v>83</v>
      </c>
      <c r="DD2" s="52" t="s">
        <v>84</v>
      </c>
      <c r="DE2" s="52" t="s">
        <v>85</v>
      </c>
      <c r="DF2" s="52" t="s">
        <v>86</v>
      </c>
      <c r="DH2" s="52" t="s">
        <v>82</v>
      </c>
      <c r="DI2" s="52" t="s">
        <v>83</v>
      </c>
      <c r="DJ2" s="52" t="s">
        <v>84</v>
      </c>
      <c r="DK2" s="52" t="s">
        <v>85</v>
      </c>
      <c r="DL2" s="52" t="s">
        <v>86</v>
      </c>
      <c r="DN2" s="52" t="s">
        <v>82</v>
      </c>
      <c r="DO2" s="52" t="s">
        <v>83</v>
      </c>
      <c r="DP2" s="52" t="s">
        <v>84</v>
      </c>
      <c r="DQ2" s="52" t="s">
        <v>85</v>
      </c>
      <c r="DR2" s="52" t="s">
        <v>86</v>
      </c>
      <c r="DT2" s="52" t="s">
        <v>82</v>
      </c>
      <c r="DU2" s="52" t="s">
        <v>83</v>
      </c>
      <c r="DV2" s="52" t="s">
        <v>84</v>
      </c>
      <c r="DW2" s="52" t="s">
        <v>85</v>
      </c>
      <c r="DX2" s="52" t="s">
        <v>86</v>
      </c>
      <c r="DZ2" s="52" t="s">
        <v>82</v>
      </c>
      <c r="EA2" s="52" t="s">
        <v>83</v>
      </c>
      <c r="EB2" s="52" t="s">
        <v>84</v>
      </c>
      <c r="EC2" s="52" t="s">
        <v>85</v>
      </c>
      <c r="ED2" s="52" t="s">
        <v>86</v>
      </c>
      <c r="EF2" s="52" t="s">
        <v>82</v>
      </c>
      <c r="EG2" s="52" t="s">
        <v>83</v>
      </c>
      <c r="EH2" s="52" t="s">
        <v>84</v>
      </c>
      <c r="EI2" s="52" t="s">
        <v>85</v>
      </c>
      <c r="EJ2" s="52" t="s">
        <v>86</v>
      </c>
      <c r="EL2" s="52" t="s">
        <v>82</v>
      </c>
      <c r="EM2" s="52" t="s">
        <v>83</v>
      </c>
      <c r="EN2" s="52" t="s">
        <v>84</v>
      </c>
      <c r="EO2" s="52" t="s">
        <v>85</v>
      </c>
      <c r="EP2" s="52" t="s">
        <v>86</v>
      </c>
      <c r="ER2" s="52" t="s">
        <v>82</v>
      </c>
      <c r="ES2" s="52" t="s">
        <v>83</v>
      </c>
      <c r="ET2" s="52" t="s">
        <v>84</v>
      </c>
      <c r="EU2" s="52" t="s">
        <v>85</v>
      </c>
      <c r="EV2" s="52" t="s">
        <v>86</v>
      </c>
    </row>
    <row r="3" spans="1:15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c r="BL3" s="54"/>
      <c r="BM3" s="54"/>
      <c r="BN3" s="54"/>
      <c r="BO3" s="54"/>
      <c r="BP3" s="54"/>
      <c r="BR3" s="54"/>
      <c r="BS3" s="54"/>
      <c r="BT3" s="54"/>
      <c r="BU3" s="54"/>
      <c r="BV3" s="54"/>
      <c r="BX3" s="54"/>
      <c r="BY3" s="54"/>
      <c r="BZ3" s="54"/>
      <c r="CA3" s="54"/>
      <c r="CB3" s="54"/>
      <c r="CD3" s="54"/>
      <c r="CE3" s="54"/>
      <c r="CF3" s="54"/>
      <c r="CG3" s="54"/>
      <c r="CH3" s="54"/>
      <c r="CJ3" s="54"/>
      <c r="CK3" s="54"/>
      <c r="CL3" s="54"/>
      <c r="CM3" s="54"/>
      <c r="CN3" s="54"/>
      <c r="CP3" s="54"/>
      <c r="CQ3" s="54"/>
      <c r="CR3" s="54"/>
      <c r="CS3" s="54"/>
      <c r="CT3" s="54"/>
      <c r="CV3" s="54"/>
      <c r="CW3" s="54"/>
      <c r="CX3" s="54"/>
      <c r="CY3" s="54"/>
      <c r="CZ3" s="54"/>
      <c r="DB3" s="54"/>
      <c r="DC3" s="54"/>
      <c r="DD3" s="54"/>
      <c r="DE3" s="54"/>
      <c r="DF3" s="54"/>
      <c r="DH3" s="54"/>
      <c r="DI3" s="54"/>
      <c r="DJ3" s="54"/>
      <c r="DK3" s="54"/>
      <c r="DL3" s="54"/>
      <c r="DN3" s="54"/>
      <c r="DO3" s="54"/>
      <c r="DP3" s="54"/>
      <c r="DQ3" s="54"/>
      <c r="DR3" s="54"/>
      <c r="DT3" s="54"/>
      <c r="DU3" s="54"/>
      <c r="DV3" s="54"/>
      <c r="DW3" s="54"/>
      <c r="DX3" s="54"/>
      <c r="DZ3" s="54"/>
      <c r="EA3" s="54"/>
      <c r="EB3" s="54"/>
      <c r="EC3" s="54"/>
      <c r="ED3" s="54"/>
      <c r="EF3" s="54"/>
      <c r="EG3" s="54"/>
      <c r="EH3" s="54"/>
      <c r="EI3" s="54"/>
      <c r="EJ3" s="54"/>
      <c r="EL3" s="54"/>
      <c r="EM3" s="54"/>
      <c r="EN3" s="54"/>
      <c r="EO3" s="54"/>
      <c r="EP3" s="54"/>
      <c r="ER3" s="54"/>
      <c r="ES3" s="54"/>
      <c r="ET3" s="54"/>
      <c r="EU3" s="54"/>
      <c r="EV3" s="54"/>
    </row>
    <row r="4" spans="1:152" x14ac:dyDescent="0.25">
      <c r="A4" t="s">
        <v>623</v>
      </c>
      <c r="B4" s="55" t="s">
        <v>147</v>
      </c>
      <c r="C4" s="55" t="s">
        <v>148</v>
      </c>
      <c r="D4" s="55"/>
      <c r="E4" s="329">
        <f>SUMIFS('W6 - Operating cost'!G$5:G$69,'W6 - Operating cost'!$A$5:$A$69,'W6 - Preform cost'!$B4)/D$29</f>
        <v>121.38412345683146</v>
      </c>
      <c r="F4" s="55"/>
      <c r="G4" s="55"/>
      <c r="H4" s="55"/>
      <c r="J4" s="55"/>
      <c r="K4" s="329">
        <f>SUMIFS('W6 - Operating cost'!M$5:M$69,'W6 - Operating cost'!$A$5:$A$69,'W6 - Preform cost'!$B4)/J$29</f>
        <v>86.702945326308196</v>
      </c>
      <c r="L4" s="55"/>
      <c r="M4" s="55"/>
      <c r="N4" s="55"/>
      <c r="P4" s="55"/>
      <c r="Q4" s="329">
        <f>SUMIFS('W6 - Operating cost'!S$5:S$69,'W6 - Operating cost'!$A$5:$A$69,'W6 - Preform cost'!$B4)/P$29</f>
        <v>60.69206172841573</v>
      </c>
      <c r="R4" s="55"/>
      <c r="S4" s="55"/>
      <c r="T4" s="55"/>
      <c r="V4" s="55"/>
      <c r="W4" s="329">
        <f>SUMIFS('W6 - Operating cost'!Y$5:Y$69,'W6 - Operating cost'!$A$5:$A$69,'W6 - Preform cost'!$B4)/V$29</f>
        <v>60.69206172841573</v>
      </c>
      <c r="X4" s="55"/>
      <c r="Y4" s="55"/>
      <c r="Z4" s="55"/>
      <c r="AB4" s="55"/>
      <c r="AC4" s="329">
        <f>SUMIFS('W6 - Operating cost'!AE$5:AE$69,'W6 - Operating cost'!$A$5:$A$69,'W6 - Preform cost'!$B4)/AB$29</f>
        <v>60.69206172841573</v>
      </c>
      <c r="AD4" s="55"/>
      <c r="AE4" s="55"/>
      <c r="AF4" s="55"/>
      <c r="AH4" s="55"/>
      <c r="AI4" s="329">
        <f>SUMIFS('W6 - Operating cost'!AK$5:AK$69,'W6 - Operating cost'!$A$5:$A$69,'W6 - Preform cost'!$B4)/AH$29</f>
        <v>60.69206172841573</v>
      </c>
      <c r="AJ4" s="55"/>
      <c r="AK4" s="55"/>
      <c r="AL4" s="55"/>
      <c r="AN4" s="55"/>
      <c r="AO4" s="329">
        <f>SUMIFS('W6 - Operating cost'!AQ$5:AQ$69,'W6 - Operating cost'!$A$5:$A$69,'W6 - Preform cost'!$B4)/AN$29</f>
        <v>60.69206172841573</v>
      </c>
      <c r="AP4" s="55"/>
      <c r="AQ4" s="55"/>
      <c r="AR4" s="55"/>
      <c r="AT4" s="55"/>
      <c r="AU4" s="329">
        <f>SUMIFS('W6 - Operating cost'!AW$5:AW$69,'W6 - Operating cost'!$A$5:$A$69,'W6 - Preform cost'!$B4)/AT$29</f>
        <v>60.69206172841573</v>
      </c>
      <c r="AV4" s="55"/>
      <c r="AW4" s="55"/>
      <c r="AX4" s="55"/>
      <c r="AZ4" s="55"/>
      <c r="BA4" s="329">
        <f>SUMIFS('W6 - Operating cost'!BC$5:BC$69,'W6 - Operating cost'!$A$5:$A$69,'W6 - Preform cost'!$B4)/AZ$29</f>
        <v>60.69206172841573</v>
      </c>
      <c r="BB4" s="55"/>
      <c r="BC4" s="55"/>
      <c r="BD4" s="55"/>
      <c r="BF4" s="55"/>
      <c r="BG4" s="329">
        <f>SUMIFS('W6 - Operating cost'!BI$5:BI$69,'W6 - Operating cost'!$A$5:$A$69,'W6 - Preform cost'!$B4)/BF$29</f>
        <v>60.69206172841573</v>
      </c>
      <c r="BH4" s="55"/>
      <c r="BI4" s="55"/>
      <c r="BJ4" s="55"/>
      <c r="BL4" s="55"/>
      <c r="BM4" s="329">
        <f>SUMIFS('W6 - Operating cost'!BO$5:BO$69,'W6 - Operating cost'!$A$5:$A$69,'W6 - Preform cost'!$B4)/BL$29</f>
        <v>60.69206172841573</v>
      </c>
      <c r="BN4" s="55"/>
      <c r="BO4" s="55"/>
      <c r="BP4" s="55"/>
      <c r="BR4" s="55"/>
      <c r="BS4" s="329">
        <f>SUMIFS('W6 - Operating cost'!BU$5:BU$69,'W6 - Operating cost'!$A$5:$A$69,'W6 - Preform cost'!$B4)/BR$29</f>
        <v>60.69206172841573</v>
      </c>
      <c r="BT4" s="55"/>
      <c r="BU4" s="55"/>
      <c r="BV4" s="55"/>
      <c r="BX4" s="55"/>
      <c r="BY4" s="329">
        <f>SUMIFS('W6 - Operating cost'!CA$5:CA$69,'W6 - Operating cost'!$A$5:$A$69,'W6 - Preform cost'!$B4)/BX$29</f>
        <v>0</v>
      </c>
      <c r="BZ4" s="55"/>
      <c r="CA4" s="55"/>
      <c r="CB4" s="55"/>
      <c r="CD4" s="55"/>
      <c r="CE4" s="329">
        <f>SUMIFS('W6 - Operating cost'!CG$5:CG$69,'W6 - Operating cost'!$A$5:$A$69,'W6 - Preform cost'!$B4)/CD$29</f>
        <v>0</v>
      </c>
      <c r="CF4" s="55"/>
      <c r="CG4" s="55"/>
      <c r="CH4" s="55"/>
      <c r="CJ4" s="55"/>
      <c r="CK4" s="329">
        <f>SUMIFS('W6 - Operating cost'!CM$5:CM$69,'W6 - Operating cost'!$A$5:$A$69,'W6 - Preform cost'!$B4)/CJ$29</f>
        <v>0</v>
      </c>
      <c r="CL4" s="55"/>
      <c r="CM4" s="55"/>
      <c r="CN4" s="55"/>
      <c r="CP4" s="55"/>
      <c r="CQ4" s="329" t="e">
        <f>SUMIFS('W6 - Operating cost'!CS$5:CS$69,'W6 - Operating cost'!$A$5:$A$69,'W6 - Preform cost'!$B4)/CP$29</f>
        <v>#N/A</v>
      </c>
      <c r="CR4" s="55"/>
      <c r="CS4" s="55"/>
      <c r="CT4" s="55"/>
      <c r="CV4" s="55"/>
      <c r="CW4" s="329" t="e">
        <f>SUMIFS('W6 - Operating cost'!CY$5:CY$69,'W6 - Operating cost'!$A$5:$A$69,'W6 - Preform cost'!$B4)/CV$29</f>
        <v>#N/A</v>
      </c>
      <c r="CX4" s="55"/>
      <c r="CY4" s="55"/>
      <c r="CZ4" s="55"/>
      <c r="DB4" s="55"/>
      <c r="DC4" s="329" t="e">
        <f>SUMIFS('W6 - Operating cost'!DE$5:DE$69,'W6 - Operating cost'!$A$5:$A$69,'W6 - Preform cost'!$B4)/DB$29</f>
        <v>#N/A</v>
      </c>
      <c r="DD4" s="55"/>
      <c r="DE4" s="55"/>
      <c r="DF4" s="55"/>
      <c r="DH4" s="55"/>
      <c r="DI4" s="329" t="e">
        <f>SUMIFS('W6 - Operating cost'!DK$5:DK$69,'W6 - Operating cost'!$A$5:$A$69,'W6 - Preform cost'!$B4)/DH$29</f>
        <v>#N/A</v>
      </c>
      <c r="DJ4" s="55"/>
      <c r="DK4" s="55"/>
      <c r="DL4" s="55"/>
      <c r="DN4" s="55"/>
      <c r="DO4" s="329" t="e">
        <f>SUMIFS('W6 - Operating cost'!DQ$5:DQ$69,'W6 - Operating cost'!$A$5:$A$69,'W6 - Preform cost'!$B4)/DN$29</f>
        <v>#N/A</v>
      </c>
      <c r="DP4" s="55"/>
      <c r="DQ4" s="55"/>
      <c r="DR4" s="55"/>
      <c r="DT4" s="55"/>
      <c r="DU4" s="329" t="e">
        <f>SUMIFS('W6 - Operating cost'!DW$5:DW$69,'W6 - Operating cost'!$A$5:$A$69,'W6 - Preform cost'!$B4)/DT$29</f>
        <v>#N/A</v>
      </c>
      <c r="DV4" s="55"/>
      <c r="DW4" s="55"/>
      <c r="DX4" s="55"/>
      <c r="DZ4" s="55"/>
      <c r="EA4" s="329" t="e">
        <f>SUMIFS('W6 - Operating cost'!EC$5:EC$69,'W6 - Operating cost'!$A$5:$A$69,'W6 - Preform cost'!$B4)/DZ$29</f>
        <v>#N/A</v>
      </c>
      <c r="EB4" s="55"/>
      <c r="EC4" s="55"/>
      <c r="ED4" s="55"/>
      <c r="EF4" s="55"/>
      <c r="EG4" s="329" t="e">
        <f>SUMIFS('W6 - Operating cost'!EI$5:EI$69,'W6 - Operating cost'!$A$5:$A$69,'W6 - Preform cost'!$B4)/EF$29</f>
        <v>#N/A</v>
      </c>
      <c r="EH4" s="55"/>
      <c r="EI4" s="55"/>
      <c r="EJ4" s="55"/>
      <c r="EL4" s="55"/>
      <c r="EM4" s="329" t="e">
        <f>SUMIFS('W6 - Operating cost'!EO$5:EO$69,'W6 - Operating cost'!$A$5:$A$69,'W6 - Preform cost'!$B4)/EL$29</f>
        <v>#N/A</v>
      </c>
      <c r="EN4" s="55"/>
      <c r="EO4" s="55"/>
      <c r="EP4" s="55"/>
      <c r="ER4" s="55"/>
      <c r="ES4" s="329" t="e">
        <f>SUMIFS('W6 - Operating cost'!EU$5:EU$69,'W6 - Operating cost'!$A$5:$A$69,'W6 - Preform cost'!$B4)/ER$29</f>
        <v>#N/A</v>
      </c>
      <c r="ET4" s="55"/>
      <c r="EU4" s="55"/>
      <c r="EV4" s="55"/>
    </row>
    <row r="5" spans="1:152" x14ac:dyDescent="0.25">
      <c r="A5" t="s">
        <v>623</v>
      </c>
      <c r="B5" s="55" t="s">
        <v>149</v>
      </c>
      <c r="C5" s="55" t="s">
        <v>148</v>
      </c>
      <c r="D5" s="55"/>
      <c r="E5" s="329">
        <f>SUMIFS('W6 - Operating cost'!G$5:G$69,'W6 - Operating cost'!$A$5:$A$69,'W6 - Preform cost'!$B5)/D$29</f>
        <v>43.698284444459318</v>
      </c>
      <c r="F5" s="55"/>
      <c r="G5" s="55"/>
      <c r="H5" s="55"/>
      <c r="J5" s="55"/>
      <c r="K5" s="329">
        <f>SUMIFS('W6 - Operating cost'!M$5:M$69,'W6 - Operating cost'!$A$5:$A$69,'W6 - Preform cost'!$B5)/J$29</f>
        <v>31.213060317470944</v>
      </c>
      <c r="L5" s="55"/>
      <c r="M5" s="55"/>
      <c r="N5" s="55"/>
      <c r="P5" s="55"/>
      <c r="Q5" s="329">
        <f>SUMIFS('W6 - Operating cost'!S$5:S$69,'W6 - Operating cost'!$A$5:$A$69,'W6 - Preform cost'!$B5)/P$29</f>
        <v>22.941599333341141</v>
      </c>
      <c r="R5" s="55"/>
      <c r="S5" s="55"/>
      <c r="T5" s="55"/>
      <c r="V5" s="55"/>
      <c r="W5" s="329">
        <f>SUMIFS('W6 - Operating cost'!Y$5:Y$69,'W6 - Operating cost'!$A$5:$A$69,'W6 - Preform cost'!$B5)/V$29</f>
        <v>24.088679300008199</v>
      </c>
      <c r="X5" s="55"/>
      <c r="Y5" s="55"/>
      <c r="Z5" s="55"/>
      <c r="AB5" s="55"/>
      <c r="AC5" s="329">
        <f>SUMIFS('W6 - Operating cost'!AE$5:AE$69,'W6 - Operating cost'!$A$5:$A$69,'W6 - Preform cost'!$B5)/AB$29</f>
        <v>25.293113265008614</v>
      </c>
      <c r="AD5" s="55"/>
      <c r="AE5" s="55"/>
      <c r="AF5" s="55"/>
      <c r="AH5" s="55"/>
      <c r="AI5" s="329">
        <f>SUMIFS('W6 - Operating cost'!AK$5:AK$69,'W6 - Operating cost'!$A$5:$A$69,'W6 - Preform cost'!$B5)/AH$29</f>
        <v>26.557768928259044</v>
      </c>
      <c r="AJ5" s="55"/>
      <c r="AK5" s="55"/>
      <c r="AL5" s="55"/>
      <c r="AN5" s="55"/>
      <c r="AO5" s="329">
        <f>SUMIFS('W6 - Operating cost'!AQ$5:AQ$69,'W6 - Operating cost'!$A$5:$A$69,'W6 - Preform cost'!$B5)/AN$29</f>
        <v>27.885657374671997</v>
      </c>
      <c r="AP5" s="55"/>
      <c r="AQ5" s="55"/>
      <c r="AR5" s="55"/>
      <c r="AT5" s="55"/>
      <c r="AU5" s="329">
        <f>SUMIFS('W6 - Operating cost'!AW$5:AW$69,'W6 - Operating cost'!$A$5:$A$69,'W6 - Preform cost'!$B5)/AT$29</f>
        <v>29.279940243405591</v>
      </c>
      <c r="AV5" s="55"/>
      <c r="AW5" s="55"/>
      <c r="AX5" s="55"/>
      <c r="AZ5" s="55"/>
      <c r="BA5" s="329">
        <f>SUMIFS('W6 - Operating cost'!BC$5:BC$69,'W6 - Operating cost'!$A$5:$A$69,'W6 - Preform cost'!$B5)/AZ$29</f>
        <v>30.743937255575872</v>
      </c>
      <c r="BB5" s="55"/>
      <c r="BC5" s="55"/>
      <c r="BD5" s="55"/>
      <c r="BF5" s="55"/>
      <c r="BG5" s="329">
        <f>SUMIFS('W6 - Operating cost'!BI$5:BI$69,'W6 - Operating cost'!$A$5:$A$69,'W6 - Preform cost'!$B5)/BF$29</f>
        <v>32.281134118354672</v>
      </c>
      <c r="BH5" s="55"/>
      <c r="BI5" s="55"/>
      <c r="BJ5" s="55"/>
      <c r="BL5" s="55"/>
      <c r="BM5" s="329">
        <f>SUMIFS('W6 - Operating cost'!BO$5:BO$69,'W6 - Operating cost'!$A$5:$A$69,'W6 - Preform cost'!$B5)/BL$29</f>
        <v>33.895190824272404</v>
      </c>
      <c r="BN5" s="55"/>
      <c r="BO5" s="55"/>
      <c r="BP5" s="55"/>
      <c r="BR5" s="55"/>
      <c r="BS5" s="329">
        <f>SUMIFS('W6 - Operating cost'!BU$5:BU$69,'W6 - Operating cost'!$A$5:$A$69,'W6 - Preform cost'!$B5)/BR$29</f>
        <v>35.589950365486025</v>
      </c>
      <c r="BT5" s="55"/>
      <c r="BU5" s="55"/>
      <c r="BV5" s="55"/>
      <c r="BX5" s="55"/>
      <c r="BY5" s="329">
        <f>SUMIFS('W6 - Operating cost'!CA$5:CA$69,'W6 - Operating cost'!$A$5:$A$69,'W6 - Preform cost'!$B5)/BX$29</f>
        <v>37.369447883760323</v>
      </c>
      <c r="BZ5" s="55"/>
      <c r="CA5" s="55"/>
      <c r="CB5" s="55"/>
      <c r="CD5" s="55"/>
      <c r="CE5" s="329">
        <f>SUMIFS('W6 - Operating cost'!CG$5:CG$69,'W6 - Operating cost'!$A$5:$A$69,'W6 - Preform cost'!$B5)/CD$29</f>
        <v>39.237920277948341</v>
      </c>
      <c r="CF5" s="55"/>
      <c r="CG5" s="55"/>
      <c r="CH5" s="55"/>
      <c r="CJ5" s="55"/>
      <c r="CK5" s="329">
        <f>SUMIFS('W6 - Operating cost'!CM$5:CM$69,'W6 - Operating cost'!$A$5:$A$69,'W6 - Preform cost'!$B5)/CJ$29</f>
        <v>41.199816291845764</v>
      </c>
      <c r="CL5" s="55"/>
      <c r="CM5" s="55"/>
      <c r="CN5" s="55"/>
      <c r="CP5" s="55"/>
      <c r="CQ5" s="329" t="e">
        <f>SUMIFS('W6 - Operating cost'!CS$5:CS$69,'W6 - Operating cost'!$A$5:$A$69,'W6 - Preform cost'!$B5)/CP$29</f>
        <v>#N/A</v>
      </c>
      <c r="CR5" s="55"/>
      <c r="CS5" s="55"/>
      <c r="CT5" s="55"/>
      <c r="CV5" s="55"/>
      <c r="CW5" s="329" t="e">
        <f>SUMIFS('W6 - Operating cost'!CY$5:CY$69,'W6 - Operating cost'!$A$5:$A$69,'W6 - Preform cost'!$B5)/CV$29</f>
        <v>#N/A</v>
      </c>
      <c r="CX5" s="55"/>
      <c r="CY5" s="55"/>
      <c r="CZ5" s="55"/>
      <c r="DB5" s="55"/>
      <c r="DC5" s="329" t="e">
        <f>SUMIFS('W6 - Operating cost'!DE$5:DE$69,'W6 - Operating cost'!$A$5:$A$69,'W6 - Preform cost'!$B5)/DB$29</f>
        <v>#N/A</v>
      </c>
      <c r="DD5" s="55"/>
      <c r="DE5" s="55"/>
      <c r="DF5" s="55"/>
      <c r="DH5" s="55"/>
      <c r="DI5" s="329" t="e">
        <f>SUMIFS('W6 - Operating cost'!DK$5:DK$69,'W6 - Operating cost'!$A$5:$A$69,'W6 - Preform cost'!$B5)/DH$29</f>
        <v>#N/A</v>
      </c>
      <c r="DJ5" s="55"/>
      <c r="DK5" s="55"/>
      <c r="DL5" s="55"/>
      <c r="DN5" s="55"/>
      <c r="DO5" s="329" t="e">
        <f>SUMIFS('W6 - Operating cost'!DQ$5:DQ$69,'W6 - Operating cost'!$A$5:$A$69,'W6 - Preform cost'!$B5)/DN$29</f>
        <v>#N/A</v>
      </c>
      <c r="DP5" s="55"/>
      <c r="DQ5" s="55"/>
      <c r="DR5" s="55"/>
      <c r="DT5" s="55"/>
      <c r="DU5" s="329" t="e">
        <f>SUMIFS('W6 - Operating cost'!DW$5:DW$69,'W6 - Operating cost'!$A$5:$A$69,'W6 - Preform cost'!$B5)/DT$29</f>
        <v>#N/A</v>
      </c>
      <c r="DV5" s="55"/>
      <c r="DW5" s="55"/>
      <c r="DX5" s="55"/>
      <c r="DZ5" s="55"/>
      <c r="EA5" s="329" t="e">
        <f>SUMIFS('W6 - Operating cost'!EC$5:EC$69,'W6 - Operating cost'!$A$5:$A$69,'W6 - Preform cost'!$B5)/DZ$29</f>
        <v>#N/A</v>
      </c>
      <c r="EB5" s="55"/>
      <c r="EC5" s="55"/>
      <c r="ED5" s="55"/>
      <c r="EF5" s="55"/>
      <c r="EG5" s="329" t="e">
        <f>SUMIFS('W6 - Operating cost'!EI$5:EI$69,'W6 - Operating cost'!$A$5:$A$69,'W6 - Preform cost'!$B5)/EF$29</f>
        <v>#N/A</v>
      </c>
      <c r="EH5" s="55"/>
      <c r="EI5" s="55"/>
      <c r="EJ5" s="55"/>
      <c r="EL5" s="55"/>
      <c r="EM5" s="329" t="e">
        <f>SUMIFS('W6 - Operating cost'!EO$5:EO$69,'W6 - Operating cost'!$A$5:$A$69,'W6 - Preform cost'!$B5)/EL$29</f>
        <v>#N/A</v>
      </c>
      <c r="EN5" s="55"/>
      <c r="EO5" s="55"/>
      <c r="EP5" s="55"/>
      <c r="ER5" s="55"/>
      <c r="ES5" s="329" t="e">
        <f>SUMIFS('W6 - Operating cost'!EU$5:EU$69,'W6 - Operating cost'!$A$5:$A$69,'W6 - Preform cost'!$B5)/ER$29</f>
        <v>#N/A</v>
      </c>
      <c r="ET5" s="55"/>
      <c r="EU5" s="55"/>
      <c r="EV5" s="55"/>
    </row>
    <row r="6" spans="1:152" x14ac:dyDescent="0.25">
      <c r="A6" t="s">
        <v>624</v>
      </c>
      <c r="B6" s="55" t="s">
        <v>150</v>
      </c>
      <c r="C6" s="55" t="s">
        <v>148</v>
      </c>
      <c r="D6" s="55"/>
      <c r="E6" s="329">
        <f>'W6 - Operating cost'!D37*'W6 - Operating cost'!D38/'W6 - Operating cost'!D29</f>
        <v>27.847782258064516</v>
      </c>
      <c r="F6" s="55"/>
      <c r="G6" s="55"/>
      <c r="H6" s="55"/>
      <c r="J6" s="55"/>
      <c r="K6" s="329">
        <f>'W6 - Operating cost'!J37*'W6 - Operating cost'!J38/'W6 - Operating cost'!J29</f>
        <v>27.847782258064516</v>
      </c>
      <c r="L6" s="55"/>
      <c r="M6" s="55"/>
      <c r="N6" s="55"/>
      <c r="P6" s="55"/>
      <c r="Q6" s="329">
        <f>'W6 - Operating cost'!P37*'W6 - Operating cost'!P38/'W6 - Operating cost'!P29</f>
        <v>29.24017137096774</v>
      </c>
      <c r="R6" s="55"/>
      <c r="S6" s="55"/>
      <c r="T6" s="55"/>
      <c r="V6" s="55"/>
      <c r="W6" s="329">
        <f>'W6 - Operating cost'!V37*'W6 - Operating cost'!V38/'W6 - Operating cost'!V29</f>
        <v>30.702179939516128</v>
      </c>
      <c r="X6" s="55"/>
      <c r="Y6" s="55"/>
      <c r="Z6" s="55"/>
      <c r="AB6" s="55"/>
      <c r="AC6" s="329">
        <f>'W6 - Operating cost'!AB37*'W6 - Operating cost'!AB38/'W6 - Operating cost'!AB29</f>
        <v>32.237288936491936</v>
      </c>
      <c r="AD6" s="55"/>
      <c r="AE6" s="55"/>
      <c r="AF6" s="55"/>
      <c r="AH6" s="55"/>
      <c r="AI6" s="329">
        <f>'W6 - Operating cost'!AH37*'W6 - Operating cost'!AH38/'W6 - Operating cost'!AH29</f>
        <v>33.849153383316526</v>
      </c>
      <c r="AJ6" s="55"/>
      <c r="AK6" s="55"/>
      <c r="AL6" s="55"/>
      <c r="AN6" s="55"/>
      <c r="AO6" s="329">
        <f>'W6 - Operating cost'!AN37*'W6 - Operating cost'!AN38/'W6 - Operating cost'!AN29</f>
        <v>35.541611052482359</v>
      </c>
      <c r="AP6" s="55"/>
      <c r="AQ6" s="55"/>
      <c r="AR6" s="55"/>
      <c r="AT6" s="55"/>
      <c r="AU6" s="329">
        <f>'W6 - Operating cost'!AT37*'W6 - Operating cost'!AT38/'W6 - Operating cost'!AT29</f>
        <v>37.318691605106473</v>
      </c>
      <c r="AV6" s="55"/>
      <c r="AW6" s="55"/>
      <c r="AX6" s="55"/>
      <c r="AZ6" s="55"/>
      <c r="BA6" s="329">
        <f>'W6 - Operating cost'!AZ37*'W6 - Operating cost'!AZ38/'W6 - Operating cost'!AZ29</f>
        <v>39.184626185361807</v>
      </c>
      <c r="BB6" s="55"/>
      <c r="BC6" s="55"/>
      <c r="BD6" s="55"/>
      <c r="BF6" s="55"/>
      <c r="BG6" s="329">
        <f>'W6 - Operating cost'!BF37*'W6 - Operating cost'!BF38/'W6 - Operating cost'!BF29</f>
        <v>41.143857494629891</v>
      </c>
      <c r="BH6" s="55"/>
      <c r="BI6" s="55"/>
      <c r="BJ6" s="55"/>
      <c r="BL6" s="55"/>
      <c r="BM6" s="329">
        <f>'W6 - Operating cost'!BL37*'W6 - Operating cost'!BL38/'W6 - Operating cost'!BL29</f>
        <v>43.201050369361383</v>
      </c>
      <c r="BN6" s="55"/>
      <c r="BO6" s="55"/>
      <c r="BP6" s="55"/>
      <c r="BR6" s="55"/>
      <c r="BS6" s="329">
        <f>'W6 - Operating cost'!BR37*'W6 - Operating cost'!BR38/'W6 - Operating cost'!BR29</f>
        <v>45.36110288782946</v>
      </c>
      <c r="BT6" s="55"/>
      <c r="BU6" s="55"/>
      <c r="BV6" s="55"/>
      <c r="BX6" s="55"/>
      <c r="BY6" s="329">
        <f>'W6 - Operating cost'!BX37*'W6 - Operating cost'!BX38/'W6 - Operating cost'!BX29</f>
        <v>47.629158032220936</v>
      </c>
      <c r="BZ6" s="55"/>
      <c r="CA6" s="55"/>
      <c r="CB6" s="55"/>
      <c r="CD6" s="55"/>
      <c r="CE6" s="329">
        <f>'W6 - Operating cost'!CD37*'W6 - Operating cost'!CD38/'W6 - Operating cost'!CD29</f>
        <v>50.010615933831971</v>
      </c>
      <c r="CF6" s="55"/>
      <c r="CG6" s="55"/>
      <c r="CH6" s="55"/>
      <c r="CJ6" s="55"/>
      <c r="CK6" s="329">
        <f>'W6 - Operating cost'!CJ37*'W6 - Operating cost'!CJ38/'W6 - Operating cost'!CJ29</f>
        <v>52.511146730523585</v>
      </c>
      <c r="CL6" s="55"/>
      <c r="CM6" s="55"/>
      <c r="CN6" s="55"/>
      <c r="CP6" s="55"/>
      <c r="CQ6" s="329">
        <f>'W6 - Operating cost'!CP37*'W6 - Operating cost'!CP38/'W6 - Operating cost'!CP29</f>
        <v>55.136704067049749</v>
      </c>
      <c r="CR6" s="55"/>
      <c r="CS6" s="55"/>
      <c r="CT6" s="55"/>
      <c r="CV6" s="55"/>
      <c r="CW6" s="329">
        <f>'W6 - Operating cost'!CV37*'W6 - Operating cost'!CV38/'W6 - Operating cost'!CV29</f>
        <v>57.89353927040225</v>
      </c>
      <c r="CX6" s="55"/>
      <c r="CY6" s="55"/>
      <c r="CZ6" s="55"/>
      <c r="DB6" s="55"/>
      <c r="DC6" s="329">
        <f>'W6 - Operating cost'!DB37*'W6 - Operating cost'!DB38/'W6 - Operating cost'!DB29</f>
        <v>60.78821623392237</v>
      </c>
      <c r="DD6" s="55"/>
      <c r="DE6" s="55"/>
      <c r="DF6" s="55"/>
      <c r="DH6" s="55"/>
      <c r="DI6" s="329">
        <f>'W6 - Operating cost'!DH37*'W6 - Operating cost'!DH38/'W6 - Operating cost'!DH29</f>
        <v>63.827627045618492</v>
      </c>
      <c r="DJ6" s="55"/>
      <c r="DK6" s="55"/>
      <c r="DL6" s="55"/>
      <c r="DN6" s="55"/>
      <c r="DO6" s="329">
        <f>'W6 - Operating cost'!DN37*'W6 - Operating cost'!DN38/'W6 - Operating cost'!DN29</f>
        <v>67.019008397899412</v>
      </c>
      <c r="DP6" s="55"/>
      <c r="DQ6" s="55"/>
      <c r="DR6" s="55"/>
      <c r="DT6" s="55"/>
      <c r="DU6" s="329">
        <f>'W6 - Operating cost'!DT37*'W6 - Operating cost'!DT38/'W6 - Operating cost'!DT29</f>
        <v>70.369958817794384</v>
      </c>
      <c r="DV6" s="55"/>
      <c r="DW6" s="55"/>
      <c r="DX6" s="55"/>
      <c r="DZ6" s="55"/>
      <c r="EA6" s="329">
        <f>'W6 - Operating cost'!DZ37*'W6 - Operating cost'!DZ38/'W6 - Operating cost'!DZ29</f>
        <v>73.888456758684114</v>
      </c>
      <c r="EB6" s="55"/>
      <c r="EC6" s="55"/>
      <c r="ED6" s="55"/>
      <c r="EF6" s="55"/>
      <c r="EG6" s="329">
        <f>'W6 - Operating cost'!EF37*'W6 - Operating cost'!EF38/'W6 - Operating cost'!EF29</f>
        <v>77.582879596618312</v>
      </c>
      <c r="EH6" s="55"/>
      <c r="EI6" s="55"/>
      <c r="EJ6" s="55"/>
      <c r="EL6" s="55"/>
      <c r="EM6" s="329">
        <f>'W6 - Operating cost'!EL37*'W6 - Operating cost'!EL38/'W6 - Operating cost'!EL29</f>
        <v>81.462023576449212</v>
      </c>
      <c r="EN6" s="55"/>
      <c r="EO6" s="55"/>
      <c r="EP6" s="55"/>
      <c r="ER6" s="55"/>
      <c r="ES6" s="329">
        <f>'W6 - Operating cost'!ER37*'W6 - Operating cost'!ER38/'W6 - Operating cost'!ER29</f>
        <v>85.535124755271681</v>
      </c>
      <c r="ET6" s="55"/>
      <c r="EU6" s="55"/>
      <c r="EV6" s="55"/>
    </row>
    <row r="7" spans="1:152" x14ac:dyDescent="0.25">
      <c r="A7" t="s">
        <v>623</v>
      </c>
      <c r="B7" s="55" t="s">
        <v>151</v>
      </c>
      <c r="C7" s="55" t="s">
        <v>148</v>
      </c>
      <c r="D7" s="55"/>
      <c r="E7" s="329">
        <f>'W6 - Operating cost'!F5/'W6 - Operating cost'!D30</f>
        <v>4.7599559447769781</v>
      </c>
      <c r="F7" s="55"/>
      <c r="G7" s="55"/>
      <c r="H7" s="55"/>
      <c r="J7" s="55"/>
      <c r="K7" s="329">
        <f>'W6 - Operating cost'!L5/'W6 - Operating cost'!J30</f>
        <v>3.3999685319835562</v>
      </c>
      <c r="L7" s="55"/>
      <c r="M7" s="55"/>
      <c r="N7" s="55"/>
      <c r="P7" s="55"/>
      <c r="Q7" s="329">
        <f>'W6 - Operating cost'!R5/'W6 - Operating cost'!P30</f>
        <v>2.4989768710079137</v>
      </c>
      <c r="R7" s="55"/>
      <c r="S7" s="55"/>
      <c r="T7" s="55"/>
      <c r="V7" s="55"/>
      <c r="W7" s="329">
        <f>'W6 - Operating cost'!X5/'W6 - Operating cost'!V30</f>
        <v>2.6239257145583093</v>
      </c>
      <c r="X7" s="55"/>
      <c r="Y7" s="55"/>
      <c r="Z7" s="55"/>
      <c r="AB7" s="55"/>
      <c r="AC7" s="329">
        <f>'W6 - Operating cost'!AD5/'W6 - Operating cost'!AB30</f>
        <v>2.7551220002862253</v>
      </c>
      <c r="AD7" s="55"/>
      <c r="AE7" s="55"/>
      <c r="AF7" s="55"/>
      <c r="AH7" s="55"/>
      <c r="AI7" s="329">
        <f>'W6 - Operating cost'!AJ5/'W6 - Operating cost'!AH30</f>
        <v>2.8928781003005359</v>
      </c>
      <c r="AJ7" s="55"/>
      <c r="AK7" s="55"/>
      <c r="AL7" s="55"/>
      <c r="AN7" s="55"/>
      <c r="AO7" s="329">
        <f>'W6 - Operating cost'!AP5/'W6 - Operating cost'!AN30</f>
        <v>3.0375220053155627</v>
      </c>
      <c r="AP7" s="55"/>
      <c r="AQ7" s="55"/>
      <c r="AR7" s="55"/>
      <c r="AT7" s="55"/>
      <c r="AU7" s="329">
        <f>'W6 - Operating cost'!AV5/'W6 - Operating cost'!AT30</f>
        <v>3.1893981055813412</v>
      </c>
      <c r="AV7" s="55"/>
      <c r="AW7" s="55"/>
      <c r="AX7" s="55"/>
      <c r="AZ7" s="55"/>
      <c r="BA7" s="329">
        <f>'W6 - Operating cost'!BB5/'W6 - Operating cost'!AZ30</f>
        <v>3.348868010860409</v>
      </c>
      <c r="BB7" s="55"/>
      <c r="BC7" s="55"/>
      <c r="BD7" s="55"/>
      <c r="BF7" s="55"/>
      <c r="BG7" s="329">
        <f>'W6 - Operating cost'!BH5/'W6 - Operating cost'!BF30</f>
        <v>3.5163114114034291</v>
      </c>
      <c r="BH7" s="55"/>
      <c r="BI7" s="55"/>
      <c r="BJ7" s="55"/>
      <c r="BL7" s="55"/>
      <c r="BM7" s="329">
        <f>'W6 - Operating cost'!BN5/'W6 - Operating cost'!BL30</f>
        <v>3.6921269819735998</v>
      </c>
      <c r="BN7" s="55"/>
      <c r="BO7" s="55"/>
      <c r="BP7" s="55"/>
      <c r="BR7" s="55"/>
      <c r="BS7" s="329">
        <f>'W6 - Operating cost'!BT5/'W6 - Operating cost'!BR30</f>
        <v>3.8767333310722796</v>
      </c>
      <c r="BT7" s="55"/>
      <c r="BU7" s="55"/>
      <c r="BV7" s="55"/>
      <c r="BX7" s="55"/>
      <c r="BY7" s="329">
        <f>'W6 - Operating cost'!BZ5/'W6 - Operating cost'!BX30</f>
        <v>4.0705699976258947</v>
      </c>
      <c r="BZ7" s="55"/>
      <c r="CA7" s="55"/>
      <c r="CB7" s="55"/>
      <c r="CD7" s="55"/>
      <c r="CE7" s="329">
        <f>'W6 - Operating cost'!CF5/'W6 - Operating cost'!CD30</f>
        <v>4.2740984975071887</v>
      </c>
      <c r="CF7" s="55"/>
      <c r="CG7" s="55"/>
      <c r="CH7" s="55"/>
      <c r="CJ7" s="55"/>
      <c r="CK7" s="329">
        <f>'W6 - Operating cost'!CL5/'W6 - Operating cost'!CJ30</f>
        <v>4.4878034223825489</v>
      </c>
      <c r="CL7" s="55"/>
      <c r="CM7" s="55"/>
      <c r="CN7" s="55"/>
      <c r="CP7" s="55"/>
      <c r="CQ7" s="329" t="e">
        <f>'W6 - Operating cost'!CR5/'W6 - Operating cost'!CP30</f>
        <v>#N/A</v>
      </c>
      <c r="CR7" s="55"/>
      <c r="CS7" s="55"/>
      <c r="CT7" s="55"/>
      <c r="CV7" s="55"/>
      <c r="CW7" s="329" t="e">
        <f>'W6 - Operating cost'!CX5/'W6 - Operating cost'!CV30</f>
        <v>#N/A</v>
      </c>
      <c r="CX7" s="55"/>
      <c r="CY7" s="55"/>
      <c r="CZ7" s="55"/>
      <c r="DB7" s="55"/>
      <c r="DC7" s="329" t="e">
        <f>'W6 - Operating cost'!DD5/'W6 - Operating cost'!DB30</f>
        <v>#N/A</v>
      </c>
      <c r="DD7" s="55"/>
      <c r="DE7" s="55"/>
      <c r="DF7" s="55"/>
      <c r="DH7" s="55"/>
      <c r="DI7" s="329" t="e">
        <f>'W6 - Operating cost'!DJ5/'W6 - Operating cost'!DH30</f>
        <v>#N/A</v>
      </c>
      <c r="DJ7" s="55"/>
      <c r="DK7" s="55"/>
      <c r="DL7" s="55"/>
      <c r="DN7" s="55"/>
      <c r="DO7" s="329" t="e">
        <f>'W6 - Operating cost'!DP5/'W6 - Operating cost'!DN30</f>
        <v>#N/A</v>
      </c>
      <c r="DP7" s="55"/>
      <c r="DQ7" s="55"/>
      <c r="DR7" s="55"/>
      <c r="DT7" s="55"/>
      <c r="DU7" s="329" t="e">
        <f>'W6 - Operating cost'!DV5/'W6 - Operating cost'!DT30</f>
        <v>#N/A</v>
      </c>
      <c r="DV7" s="55"/>
      <c r="DW7" s="55"/>
      <c r="DX7" s="55"/>
      <c r="DZ7" s="55"/>
      <c r="EA7" s="329" t="e">
        <f>'W6 - Operating cost'!EB5/'W6 - Operating cost'!DZ30</f>
        <v>#N/A</v>
      </c>
      <c r="EB7" s="55"/>
      <c r="EC7" s="55"/>
      <c r="ED7" s="55"/>
      <c r="EF7" s="55"/>
      <c r="EG7" s="329" t="e">
        <f>'W6 - Operating cost'!EH5/'W6 - Operating cost'!EF30</f>
        <v>#N/A</v>
      </c>
      <c r="EH7" s="55"/>
      <c r="EI7" s="55"/>
      <c r="EJ7" s="55"/>
      <c r="EL7" s="55"/>
      <c r="EM7" s="329" t="e">
        <f>'W6 - Operating cost'!EN5/'W6 - Operating cost'!EL30</f>
        <v>#N/A</v>
      </c>
      <c r="EN7" s="55"/>
      <c r="EO7" s="55"/>
      <c r="EP7" s="55"/>
      <c r="ER7" s="55"/>
      <c r="ES7" s="329" t="e">
        <f>'W6 - Operating cost'!ET5/'W6 - Operating cost'!ER30</f>
        <v>#N/A</v>
      </c>
      <c r="ET7" s="55"/>
      <c r="EU7" s="55"/>
      <c r="EV7" s="55"/>
    </row>
    <row r="8" spans="1:152" x14ac:dyDescent="0.25">
      <c r="A8" t="s">
        <v>623</v>
      </c>
      <c r="B8" s="55" t="s">
        <v>152</v>
      </c>
      <c r="C8" s="55" t="s">
        <v>148</v>
      </c>
      <c r="D8" s="55"/>
      <c r="E8" s="329">
        <f>('W6 - Operating cost'!F7+'W6 - Operating cost'!F8+'W6 - Operating cost'!F11+'W6 - Operating cost'!F12+'W6 - Operating cost'!F14)/'W6 - Operating cost'!D30</f>
        <v>24.355107917442208</v>
      </c>
      <c r="F8" s="55"/>
      <c r="G8" s="55"/>
      <c r="H8" s="55"/>
      <c r="J8" s="55"/>
      <c r="K8" s="329">
        <f>('W6 - Operating cost'!L7+'W6 - Operating cost'!L8+'W6 - Operating cost'!L11+'W6 - Operating cost'!L12+'W6 - Operating cost'!L14)/'W6 - Operating cost'!J30</f>
        <v>17.396505655315863</v>
      </c>
      <c r="L8" s="55"/>
      <c r="M8" s="55"/>
      <c r="N8" s="55"/>
      <c r="P8" s="55"/>
      <c r="Q8" s="329">
        <f>('W6 - Operating cost'!R7+'W6 - Operating cost'!R8+'W6 - Operating cost'!R11+'W6 - Operating cost'!R12+'W6 - Operating cost'!R14)/'W6 - Operating cost'!P30</f>
        <v>12.786431656657159</v>
      </c>
      <c r="R8" s="55"/>
      <c r="S8" s="55"/>
      <c r="T8" s="55"/>
      <c r="V8" s="55"/>
      <c r="W8" s="329">
        <f>('W6 - Operating cost'!X7+'W6 - Operating cost'!X8+'W6 - Operating cost'!X11+'W6 - Operating cost'!X12+'W6 - Operating cost'!X14)/'W6 - Operating cost'!V30</f>
        <v>13.425753239490016</v>
      </c>
      <c r="X8" s="55"/>
      <c r="Y8" s="55"/>
      <c r="Z8" s="55"/>
      <c r="AB8" s="55"/>
      <c r="AC8" s="329">
        <f>('W6 - Operating cost'!AD7+'W6 - Operating cost'!AD8+'W6 - Operating cost'!AD11+'W6 - Operating cost'!AD12+'W6 - Operating cost'!AD14)/'W6 - Operating cost'!AB30</f>
        <v>14.097040901464521</v>
      </c>
      <c r="AD8" s="55"/>
      <c r="AE8" s="55"/>
      <c r="AF8" s="55"/>
      <c r="AH8" s="55"/>
      <c r="AI8" s="329">
        <f>('W6 - Operating cost'!AJ7+'W6 - Operating cost'!AJ8+'W6 - Operating cost'!AJ11+'W6 - Operating cost'!AJ12+'W6 - Operating cost'!AJ14)/'W6 - Operating cost'!AH30</f>
        <v>14.801892946537743</v>
      </c>
      <c r="AJ8" s="55"/>
      <c r="AK8" s="55"/>
      <c r="AL8" s="55"/>
      <c r="AN8" s="55"/>
      <c r="AO8" s="329">
        <f>('W6 - Operating cost'!AP7+'W6 - Operating cost'!AP8+'W6 - Operating cost'!AP11+'W6 - Operating cost'!AP12+'W6 - Operating cost'!AP14)/'W6 - Operating cost'!AN30</f>
        <v>15.541987593864633</v>
      </c>
      <c r="AP8" s="55"/>
      <c r="AQ8" s="55"/>
      <c r="AR8" s="55"/>
      <c r="AT8" s="55"/>
      <c r="AU8" s="329">
        <f>('W6 - Operating cost'!AV7+'W6 - Operating cost'!AV8+'W6 - Operating cost'!AV11+'W6 - Operating cost'!AV12+'W6 - Operating cost'!AV14)/'W6 - Operating cost'!AT30</f>
        <v>16.319086973557862</v>
      </c>
      <c r="AV8" s="55"/>
      <c r="AW8" s="55"/>
      <c r="AX8" s="55"/>
      <c r="AZ8" s="55"/>
      <c r="BA8" s="329">
        <f>('W6 - Operating cost'!BB7+'W6 - Operating cost'!BB8+'W6 - Operating cost'!BB11+'W6 - Operating cost'!BB12+'W6 - Operating cost'!BB14)/'W6 - Operating cost'!AZ30</f>
        <v>17.135041322235757</v>
      </c>
      <c r="BB8" s="55"/>
      <c r="BC8" s="55"/>
      <c r="BD8" s="55"/>
      <c r="BF8" s="55"/>
      <c r="BG8" s="329">
        <f>('W6 - Operating cost'!BH7+'W6 - Operating cost'!BH8+'W6 - Operating cost'!BH11+'W6 - Operating cost'!BH12+'W6 - Operating cost'!BH14)/'W6 - Operating cost'!BF30</f>
        <v>17.991793388347542</v>
      </c>
      <c r="BH8" s="55"/>
      <c r="BI8" s="55"/>
      <c r="BJ8" s="55"/>
      <c r="BL8" s="55"/>
      <c r="BM8" s="329">
        <f>('W6 - Operating cost'!BN7+'W6 - Operating cost'!BN8+'W6 - Operating cost'!BN11+'W6 - Operating cost'!BN12+'W6 - Operating cost'!BN14)/'W6 - Operating cost'!BL30</f>
        <v>18.891383057764919</v>
      </c>
      <c r="BN8" s="55"/>
      <c r="BO8" s="55"/>
      <c r="BP8" s="55"/>
      <c r="BR8" s="55"/>
      <c r="BS8" s="329">
        <f>('W6 - Operating cost'!BT7+'W6 - Operating cost'!BT8+'W6 - Operating cost'!BT11+'W6 - Operating cost'!BT12+'W6 - Operating cost'!BT14)/'W6 - Operating cost'!BR30</f>
        <v>19.835952210653172</v>
      </c>
      <c r="BT8" s="55"/>
      <c r="BU8" s="55"/>
      <c r="BV8" s="55"/>
      <c r="BX8" s="55"/>
      <c r="BY8" s="329">
        <f>('W6 - Operating cost'!BZ7+'W6 - Operating cost'!BZ8+'W6 - Operating cost'!BZ11+'W6 - Operating cost'!BZ12+'W6 - Operating cost'!BZ14)/'W6 - Operating cost'!BX30</f>
        <v>20.827749821185829</v>
      </c>
      <c r="BZ8" s="55"/>
      <c r="CA8" s="55"/>
      <c r="CB8" s="55"/>
      <c r="CD8" s="55"/>
      <c r="CE8" s="329">
        <f>('W6 - Operating cost'!CF7+'W6 - Operating cost'!CF8+'W6 - Operating cost'!CF11+'W6 - Operating cost'!CF12+'W6 - Operating cost'!CF14)/'W6 - Operating cost'!CD30</f>
        <v>21.869137312245119</v>
      </c>
      <c r="CF8" s="55"/>
      <c r="CG8" s="55"/>
      <c r="CH8" s="55"/>
      <c r="CJ8" s="55"/>
      <c r="CK8" s="329">
        <f>('W6 - Operating cost'!CL7+'W6 - Operating cost'!CL8+'W6 - Operating cost'!CL11+'W6 - Operating cost'!CL12+'W6 - Operating cost'!CL14)/'W6 - Operating cost'!CJ30</f>
        <v>22.96259417785738</v>
      </c>
      <c r="CL8" s="55"/>
      <c r="CM8" s="55"/>
      <c r="CN8" s="55"/>
      <c r="CP8" s="55"/>
      <c r="CQ8" s="329" t="e">
        <f>('W6 - Operating cost'!CR7+'W6 - Operating cost'!CR8+'W6 - Operating cost'!CR11+'W6 - Operating cost'!CR12+'W6 - Operating cost'!CR14)/'W6 - Operating cost'!CP30</f>
        <v>#N/A</v>
      </c>
      <c r="CR8" s="55"/>
      <c r="CS8" s="55"/>
      <c r="CT8" s="55"/>
      <c r="CV8" s="55"/>
      <c r="CW8" s="329" t="e">
        <f>('W6 - Operating cost'!CX7+'W6 - Operating cost'!CX8+'W6 - Operating cost'!CX11+'W6 - Operating cost'!CX12+'W6 - Operating cost'!CX14)/'W6 - Operating cost'!CV30</f>
        <v>#N/A</v>
      </c>
      <c r="CX8" s="55"/>
      <c r="CY8" s="55"/>
      <c r="CZ8" s="55"/>
      <c r="DB8" s="55"/>
      <c r="DC8" s="329" t="e">
        <f>('W6 - Operating cost'!DD7+'W6 - Operating cost'!DD8+'W6 - Operating cost'!DD11+'W6 - Operating cost'!DD12+'W6 - Operating cost'!DD14)/'W6 - Operating cost'!DB30</f>
        <v>#N/A</v>
      </c>
      <c r="DD8" s="55"/>
      <c r="DE8" s="55"/>
      <c r="DF8" s="55"/>
      <c r="DH8" s="55"/>
      <c r="DI8" s="329" t="e">
        <f>('W6 - Operating cost'!DJ7+'W6 - Operating cost'!DJ8+'W6 - Operating cost'!DJ11+'W6 - Operating cost'!DJ12+'W6 - Operating cost'!DJ14)/'W6 - Operating cost'!DH30</f>
        <v>#N/A</v>
      </c>
      <c r="DJ8" s="55"/>
      <c r="DK8" s="55"/>
      <c r="DL8" s="55"/>
      <c r="DN8" s="55"/>
      <c r="DO8" s="329" t="e">
        <f>('W6 - Operating cost'!DP7+'W6 - Operating cost'!DP8+'W6 - Operating cost'!DP11+'W6 - Operating cost'!DP12+'W6 - Operating cost'!DP14)/'W6 - Operating cost'!DN30</f>
        <v>#N/A</v>
      </c>
      <c r="DP8" s="55"/>
      <c r="DQ8" s="55"/>
      <c r="DR8" s="55"/>
      <c r="DT8" s="55"/>
      <c r="DU8" s="329" t="e">
        <f>('W6 - Operating cost'!DV7+'W6 - Operating cost'!DV8+'W6 - Operating cost'!DV11+'W6 - Operating cost'!DV12+'W6 - Operating cost'!DV14)/'W6 - Operating cost'!DT30</f>
        <v>#N/A</v>
      </c>
      <c r="DV8" s="55"/>
      <c r="DW8" s="55"/>
      <c r="DX8" s="55"/>
      <c r="DZ8" s="55"/>
      <c r="EA8" s="329" t="e">
        <f>('W6 - Operating cost'!EB7+'W6 - Operating cost'!EB8+'W6 - Operating cost'!EB11+'W6 - Operating cost'!EB12+'W6 - Operating cost'!EB14)/'W6 - Operating cost'!DZ30</f>
        <v>#N/A</v>
      </c>
      <c r="EB8" s="55"/>
      <c r="EC8" s="55"/>
      <c r="ED8" s="55"/>
      <c r="EF8" s="55"/>
      <c r="EG8" s="329" t="e">
        <f>('W6 - Operating cost'!EH7+'W6 - Operating cost'!EH8+'W6 - Operating cost'!EH11+'W6 - Operating cost'!EH12+'W6 - Operating cost'!EH14)/'W6 - Operating cost'!EF30</f>
        <v>#N/A</v>
      </c>
      <c r="EH8" s="55"/>
      <c r="EI8" s="55"/>
      <c r="EJ8" s="55"/>
      <c r="EL8" s="55"/>
      <c r="EM8" s="329" t="e">
        <f>('W6 - Operating cost'!EN7+'W6 - Operating cost'!EN8+'W6 - Operating cost'!EN11+'W6 - Operating cost'!EN12+'W6 - Operating cost'!EN14)/'W6 - Operating cost'!EL30</f>
        <v>#N/A</v>
      </c>
      <c r="EN8" s="55"/>
      <c r="EO8" s="55"/>
      <c r="EP8" s="55"/>
      <c r="ER8" s="55"/>
      <c r="ES8" s="329" t="e">
        <f>('W6 - Operating cost'!ET7+'W6 - Operating cost'!ET8+'W6 - Operating cost'!ET11+'W6 - Operating cost'!ET12+'W6 - Operating cost'!ET14)/'W6 - Operating cost'!ER30</f>
        <v>#N/A</v>
      </c>
      <c r="ET8" s="55"/>
      <c r="EU8" s="55"/>
      <c r="EV8" s="55"/>
    </row>
    <row r="9" spans="1:152" x14ac:dyDescent="0.25">
      <c r="A9" t="s">
        <v>624</v>
      </c>
      <c r="B9" s="55" t="s">
        <v>153</v>
      </c>
      <c r="C9" s="55" t="s">
        <v>148</v>
      </c>
      <c r="D9" s="55"/>
      <c r="E9" s="329">
        <f>('W6 - Operating cost'!E55/('W2'!$K$54*'W2'!$K$53)+'W6 - Operating cost'!E57)/'W6 - Operating cost'!E56</f>
        <v>4.7222222222222223</v>
      </c>
      <c r="F9" s="55"/>
      <c r="G9" s="55"/>
      <c r="H9" s="55"/>
      <c r="J9" s="55"/>
      <c r="K9" s="329">
        <f>('W6 - Operating cost'!K55/('W2'!$K$54*'W2'!$K$53)+'W6 - Operating cost'!K57)/'W6 - Operating cost'!K56</f>
        <v>4.7222222222222223</v>
      </c>
      <c r="L9" s="55"/>
      <c r="M9" s="55"/>
      <c r="N9" s="55"/>
      <c r="P9" s="55"/>
      <c r="Q9" s="329">
        <f>('W6 - Operating cost'!Q55/('W2'!$K$54*'W2'!$K$53)+'W6 - Operating cost'!Q57)/'W6 - Operating cost'!Q56</f>
        <v>4.958333333333333</v>
      </c>
      <c r="R9" s="55"/>
      <c r="S9" s="55"/>
      <c r="T9" s="55"/>
      <c r="V9" s="55"/>
      <c r="W9" s="329">
        <f>('W6 - Operating cost'!W55/('W2'!$K$54*'W2'!$K$53)+'W6 - Operating cost'!W57)/'W6 - Operating cost'!W56</f>
        <v>5.2062499999999998</v>
      </c>
      <c r="X9" s="55"/>
      <c r="Y9" s="55"/>
      <c r="Z9" s="55"/>
      <c r="AB9" s="55"/>
      <c r="AC9" s="329">
        <f>('W6 - Operating cost'!AC55/('W2'!$K$54*'W2'!$K$53)+'W6 - Operating cost'!AC57)/'W6 - Operating cost'!AC56</f>
        <v>5.4665625000000011</v>
      </c>
      <c r="AD9" s="55"/>
      <c r="AE9" s="55"/>
      <c r="AF9" s="55"/>
      <c r="AH9" s="55"/>
      <c r="AI9" s="329">
        <f>('W6 - Operating cost'!AI55/('W2'!$K$54*'W2'!$K$53)+'W6 - Operating cost'!AI57)/'W6 - Operating cost'!AI56</f>
        <v>5.7398906250000001</v>
      </c>
      <c r="AJ9" s="55"/>
      <c r="AK9" s="55"/>
      <c r="AL9" s="55"/>
      <c r="AN9" s="55"/>
      <c r="AO9" s="329">
        <f>('W6 - Operating cost'!AO55/('W2'!$K$54*'W2'!$K$53)+'W6 - Operating cost'!AO57)/'W6 - Operating cost'!AO56</f>
        <v>6.0268851562500005</v>
      </c>
      <c r="AP9" s="55"/>
      <c r="AQ9" s="55"/>
      <c r="AR9" s="55"/>
      <c r="AT9" s="55"/>
      <c r="AU9" s="329">
        <f>('W6 - Operating cost'!AU55/('W2'!$K$54*'W2'!$K$53)+'W6 - Operating cost'!AU57)/'W6 - Operating cost'!AU56</f>
        <v>6.3282294140625002</v>
      </c>
      <c r="AV9" s="55"/>
      <c r="AW9" s="55"/>
      <c r="AX9" s="55"/>
      <c r="AZ9" s="55"/>
      <c r="BA9" s="329">
        <f>('W6 - Operating cost'!BA55/('W2'!$K$54*'W2'!$K$53)+'W6 - Operating cost'!BA57)/'W6 - Operating cost'!BA56</f>
        <v>6.6446408847656269</v>
      </c>
      <c r="BB9" s="55"/>
      <c r="BC9" s="55"/>
      <c r="BD9" s="55"/>
      <c r="BF9" s="55"/>
      <c r="BG9" s="329">
        <f>('W6 - Operating cost'!BG55/('W2'!$K$54*'W2'!$K$53)+'W6 - Operating cost'!BG57)/'W6 - Operating cost'!BG56</f>
        <v>6.9768729290039069</v>
      </c>
      <c r="BH9" s="55"/>
      <c r="BI9" s="55"/>
      <c r="BJ9" s="55"/>
      <c r="BL9" s="55"/>
      <c r="BM9" s="329">
        <f>('W6 - Operating cost'!BM55/('W2'!$K$54*'W2'!$K$53)+'W6 - Operating cost'!BM57)/'W6 - Operating cost'!BM56</f>
        <v>7.325716575454102</v>
      </c>
      <c r="BN9" s="55"/>
      <c r="BO9" s="55"/>
      <c r="BP9" s="55"/>
      <c r="BR9" s="55"/>
      <c r="BS9" s="329">
        <f>('W6 - Operating cost'!BS55/('W2'!$K$54*'W2'!$K$53)+'W6 - Operating cost'!BS57)/'W6 - Operating cost'!BS56</f>
        <v>7.6920024042268071</v>
      </c>
      <c r="BT9" s="55"/>
      <c r="BU9" s="55"/>
      <c r="BV9" s="55"/>
      <c r="BX9" s="55"/>
      <c r="BY9" s="329">
        <f>('W6 - Operating cost'!BY55/('W2'!$K$54*'W2'!$K$53)+'W6 - Operating cost'!BY57)/'W6 - Operating cost'!BY56</f>
        <v>8.0766025244381492</v>
      </c>
      <c r="BZ9" s="55"/>
      <c r="CA9" s="55"/>
      <c r="CB9" s="55"/>
      <c r="CD9" s="55"/>
      <c r="CE9" s="329">
        <f>('W6 - Operating cost'!CE55/('W2'!$K$54*'W2'!$K$53)+'W6 - Operating cost'!CE57)/'W6 - Operating cost'!CE56</f>
        <v>8.4804326506600543</v>
      </c>
      <c r="CF9" s="55"/>
      <c r="CG9" s="55"/>
      <c r="CH9" s="55"/>
      <c r="CJ9" s="55"/>
      <c r="CK9" s="329">
        <f>('W6 - Operating cost'!CK55/('W2'!$K$54*'W2'!$K$53)+'W6 - Operating cost'!CK57)/'W6 - Operating cost'!CK56</f>
        <v>8.9044542831930578</v>
      </c>
      <c r="CL9" s="55"/>
      <c r="CM9" s="55"/>
      <c r="CN9" s="55"/>
      <c r="CP9" s="55"/>
      <c r="CQ9" s="329">
        <f>('W6 - Operating cost'!CQ55/('W2'!$K$54*'W2'!$K$53)+'W6 - Operating cost'!CQ57)/'W6 - Operating cost'!CQ56</f>
        <v>9.3496769973527094</v>
      </c>
      <c r="CR9" s="55"/>
      <c r="CS9" s="55"/>
      <c r="CT9" s="55"/>
      <c r="CV9" s="55"/>
      <c r="CW9" s="329">
        <f>('W6 - Operating cost'!CW55/('W2'!$K$54*'W2'!$K$53)+'W6 - Operating cost'!CW57)/'W6 - Operating cost'!CW56</f>
        <v>9.8171608472203484</v>
      </c>
      <c r="CX9" s="55"/>
      <c r="CY9" s="55"/>
      <c r="CZ9" s="55"/>
      <c r="DB9" s="55"/>
      <c r="DC9" s="329">
        <f>('W6 - Operating cost'!DC55/('W2'!$K$54*'W2'!$K$53)+'W6 - Operating cost'!DC57)/'W6 - Operating cost'!DC56</f>
        <v>10.308018889581366</v>
      </c>
      <c r="DD9" s="55"/>
      <c r="DE9" s="55"/>
      <c r="DF9" s="55"/>
      <c r="DH9" s="55"/>
      <c r="DI9" s="329">
        <f>('W6 - Operating cost'!DI55/('W2'!$K$54*'W2'!$K$53)+'W6 - Operating cost'!DI57)/'W6 - Operating cost'!DI56</f>
        <v>10.823419834060436</v>
      </c>
      <c r="DJ9" s="55"/>
      <c r="DK9" s="55"/>
      <c r="DL9" s="55"/>
      <c r="DN9" s="55"/>
      <c r="DO9" s="329">
        <f>('W6 - Operating cost'!DO55/('W2'!$K$54*'W2'!$K$53)+'W6 - Operating cost'!DO57)/'W6 - Operating cost'!DO56</f>
        <v>11.364590825763456</v>
      </c>
      <c r="DP9" s="55"/>
      <c r="DQ9" s="55"/>
      <c r="DR9" s="55"/>
      <c r="DT9" s="55"/>
      <c r="DU9" s="329">
        <f>('W6 - Operating cost'!DU55/('W2'!$K$54*'W2'!$K$53)+'W6 - Operating cost'!DU57)/'W6 - Operating cost'!DU56</f>
        <v>11.932820367051628</v>
      </c>
      <c r="DV9" s="55"/>
      <c r="DW9" s="55"/>
      <c r="DX9" s="55"/>
      <c r="DZ9" s="55"/>
      <c r="EA9" s="329">
        <f>('W6 - Operating cost'!EA55/('W2'!$K$54*'W2'!$K$53)+'W6 - Operating cost'!EA57)/'W6 - Operating cost'!EA56</f>
        <v>12.529461385404209</v>
      </c>
      <c r="EB9" s="55"/>
      <c r="EC9" s="55"/>
      <c r="ED9" s="55"/>
      <c r="EF9" s="55"/>
      <c r="EG9" s="329">
        <f>('W6 - Operating cost'!EG55/('W2'!$K$54*'W2'!$K$53)+'W6 - Operating cost'!EG57)/'W6 - Operating cost'!EG56</f>
        <v>13.155934454674419</v>
      </c>
      <c r="EH9" s="55"/>
      <c r="EI9" s="55"/>
      <c r="EJ9" s="55"/>
      <c r="EL9" s="55"/>
      <c r="EM9" s="329">
        <f>('W6 - Operating cost'!EM55/('W2'!$K$54*'W2'!$K$53)+'W6 - Operating cost'!EM57)/'W6 - Operating cost'!EM56</f>
        <v>13.81373117740814</v>
      </c>
      <c r="EN9" s="55"/>
      <c r="EO9" s="55"/>
      <c r="EP9" s="55"/>
      <c r="ER9" s="55"/>
      <c r="ES9" s="329">
        <f>('W6 - Operating cost'!ES55/('W2'!$K$54*'W2'!$K$53)+'W6 - Operating cost'!ES57)/'W6 - Operating cost'!ES56</f>
        <v>14.504417736278549</v>
      </c>
      <c r="ET9" s="55"/>
      <c r="EU9" s="55"/>
      <c r="EV9" s="55"/>
    </row>
    <row r="10" spans="1:152" x14ac:dyDescent="0.25">
      <c r="A10" t="s">
        <v>624</v>
      </c>
      <c r="B10" s="55" t="s">
        <v>154</v>
      </c>
      <c r="C10" s="55" t="s">
        <v>148</v>
      </c>
      <c r="D10" s="55"/>
      <c r="E10" s="329">
        <f>'W6 - Operating cost'!E54/'W6 - Operating cost'!E56</f>
        <v>13.333333333333334</v>
      </c>
      <c r="F10" s="55"/>
      <c r="G10" s="55"/>
      <c r="H10" s="55"/>
      <c r="J10" s="55"/>
      <c r="K10" s="329">
        <f>'W6 - Operating cost'!K54/15000</f>
        <v>13.333333333333334</v>
      </c>
      <c r="L10" s="55"/>
      <c r="M10" s="55"/>
      <c r="N10" s="55"/>
      <c r="P10" s="55"/>
      <c r="Q10" s="329">
        <f>'W6 - Operating cost'!Q54/15000</f>
        <v>14</v>
      </c>
      <c r="R10" s="55"/>
      <c r="S10" s="55"/>
      <c r="T10" s="55"/>
      <c r="V10" s="55"/>
      <c r="W10" s="329">
        <f>'W6 - Operating cost'!W54/15000</f>
        <v>14.7</v>
      </c>
      <c r="X10" s="55"/>
      <c r="Y10" s="55"/>
      <c r="Z10" s="55"/>
      <c r="AB10" s="55"/>
      <c r="AC10" s="329">
        <f>'W6 - Operating cost'!AC54/15000</f>
        <v>15.435000000000002</v>
      </c>
      <c r="AD10" s="55"/>
      <c r="AE10" s="55"/>
      <c r="AF10" s="55"/>
      <c r="AH10" s="55"/>
      <c r="AI10" s="329">
        <f>'W6 - Operating cost'!AI54/15000</f>
        <v>16.20675</v>
      </c>
      <c r="AJ10" s="55"/>
      <c r="AK10" s="55"/>
      <c r="AL10" s="55"/>
      <c r="AN10" s="55"/>
      <c r="AO10" s="329">
        <f>'W6 - Operating cost'!AO54/15000</f>
        <v>17.017087500000002</v>
      </c>
      <c r="AP10" s="55"/>
      <c r="AQ10" s="55"/>
      <c r="AR10" s="55"/>
      <c r="AT10" s="55"/>
      <c r="AU10" s="329">
        <f>'W6 - Operating cost'!AU54/15000</f>
        <v>17.867941875</v>
      </c>
      <c r="AV10" s="55"/>
      <c r="AW10" s="55"/>
      <c r="AX10" s="55"/>
      <c r="AZ10" s="55"/>
      <c r="BA10" s="329">
        <f>'W6 - Operating cost'!BA54/15000</f>
        <v>18.761338968750003</v>
      </c>
      <c r="BB10" s="55"/>
      <c r="BC10" s="55"/>
      <c r="BD10" s="55"/>
      <c r="BF10" s="55"/>
      <c r="BG10" s="329">
        <f>'W6 - Operating cost'!BG54/15000</f>
        <v>19.699405917187502</v>
      </c>
      <c r="BH10" s="55"/>
      <c r="BI10" s="55"/>
      <c r="BJ10" s="55"/>
      <c r="BL10" s="55"/>
      <c r="BM10" s="329">
        <f>'W6 - Operating cost'!BM54/15000</f>
        <v>20.684376213046878</v>
      </c>
      <c r="BN10" s="55"/>
      <c r="BO10" s="55"/>
      <c r="BP10" s="55"/>
      <c r="BR10" s="55"/>
      <c r="BS10" s="329">
        <f>'W6 - Operating cost'!BS54/15000</f>
        <v>21.718595023699223</v>
      </c>
      <c r="BT10" s="55"/>
      <c r="BU10" s="55"/>
      <c r="BV10" s="55"/>
      <c r="BX10" s="55"/>
      <c r="BY10" s="329">
        <f>'W6 - Operating cost'!BY54/15000</f>
        <v>22.804524774884186</v>
      </c>
      <c r="BZ10" s="55"/>
      <c r="CA10" s="55"/>
      <c r="CB10" s="55"/>
      <c r="CD10" s="55"/>
      <c r="CE10" s="329">
        <f>'W6 - Operating cost'!CE54/15000</f>
        <v>23.944751013628391</v>
      </c>
      <c r="CF10" s="55"/>
      <c r="CG10" s="55"/>
      <c r="CH10" s="55"/>
      <c r="CJ10" s="55"/>
      <c r="CK10" s="329">
        <f>'W6 - Operating cost'!CK54/15000</f>
        <v>25.141988564309813</v>
      </c>
      <c r="CL10" s="55"/>
      <c r="CM10" s="55"/>
      <c r="CN10" s="55"/>
      <c r="CP10" s="55"/>
      <c r="CQ10" s="329">
        <f>'W6 - Operating cost'!CQ54/15000</f>
        <v>26.399087992525299</v>
      </c>
      <c r="CR10" s="55"/>
      <c r="CS10" s="55"/>
      <c r="CT10" s="55"/>
      <c r="CV10" s="55"/>
      <c r="CW10" s="329">
        <f>'W6 - Operating cost'!CW54/15000</f>
        <v>27.719042392151572</v>
      </c>
      <c r="CX10" s="55"/>
      <c r="CY10" s="55"/>
      <c r="CZ10" s="55"/>
      <c r="DB10" s="55"/>
      <c r="DC10" s="329">
        <f>'W6 - Operating cost'!DC54/15000</f>
        <v>29.104994511759145</v>
      </c>
      <c r="DD10" s="55"/>
      <c r="DE10" s="55"/>
      <c r="DF10" s="55"/>
      <c r="DH10" s="55"/>
      <c r="DI10" s="329">
        <f>'W6 - Operating cost'!DI54/15000</f>
        <v>30.56024423734711</v>
      </c>
      <c r="DJ10" s="55"/>
      <c r="DK10" s="55"/>
      <c r="DL10" s="55"/>
      <c r="DN10" s="55"/>
      <c r="DO10" s="329">
        <f>'W6 - Operating cost'!DO54/15000</f>
        <v>32.088256449214462</v>
      </c>
      <c r="DP10" s="55"/>
      <c r="DQ10" s="55"/>
      <c r="DR10" s="55"/>
      <c r="DT10" s="55"/>
      <c r="DU10" s="329">
        <f>'W6 - Operating cost'!DU54/15000</f>
        <v>33.692669271675186</v>
      </c>
      <c r="DV10" s="55"/>
      <c r="DW10" s="55"/>
      <c r="DX10" s="55"/>
      <c r="DZ10" s="55"/>
      <c r="EA10" s="329">
        <f>'W6 - Operating cost'!EA54/15000</f>
        <v>35.377302735258944</v>
      </c>
      <c r="EB10" s="55"/>
      <c r="EC10" s="55"/>
      <c r="ED10" s="55"/>
      <c r="EF10" s="55"/>
      <c r="EG10" s="329">
        <f>'W6 - Operating cost'!EG54/15000</f>
        <v>37.146167872021891</v>
      </c>
      <c r="EH10" s="55"/>
      <c r="EI10" s="55"/>
      <c r="EJ10" s="55"/>
      <c r="EL10" s="55"/>
      <c r="EM10" s="329">
        <f>'W6 - Operating cost'!EM54/15000</f>
        <v>39.003476265622986</v>
      </c>
      <c r="EN10" s="55"/>
      <c r="EO10" s="55"/>
      <c r="EP10" s="55"/>
      <c r="ER10" s="55"/>
      <c r="ES10" s="329">
        <f>'W6 - Operating cost'!ES54/15000</f>
        <v>40.95365007890414</v>
      </c>
      <c r="ET10" s="55"/>
      <c r="EU10" s="55"/>
      <c r="EV10" s="55"/>
    </row>
    <row r="11" spans="1:152" x14ac:dyDescent="0.25">
      <c r="A11" t="s">
        <v>623</v>
      </c>
      <c r="B11" s="55" t="s">
        <v>155</v>
      </c>
      <c r="C11" s="55" t="s">
        <v>148</v>
      </c>
      <c r="D11" s="55"/>
      <c r="E11" s="329">
        <f>SUMIFS('W6 - Operating cost'!G$5:G$69,'W6 - Operating cost'!$A$5:$A$69,'W6 - Preform cost'!$B11)/D$29</f>
        <v>0</v>
      </c>
      <c r="F11" s="55"/>
      <c r="G11" s="55"/>
      <c r="H11" s="55"/>
      <c r="J11" s="55"/>
      <c r="K11" s="329">
        <f>SUMIFS('W6 - Operating cost'!M$5:M$69,'W6 - Operating cost'!$A$5:$A$69,'W6 - Preform cost'!$B11)/J$29</f>
        <v>0</v>
      </c>
      <c r="L11" s="55"/>
      <c r="M11" s="55"/>
      <c r="N11" s="55"/>
      <c r="P11" s="55"/>
      <c r="Q11" s="329">
        <f>SUMIFS('W6 - Operating cost'!S$5:S$69,'W6 - Operating cost'!$A$5:$A$69,'W6 - Preform cost'!$B11)/P$29</f>
        <v>0</v>
      </c>
      <c r="R11" s="55"/>
      <c r="S11" s="55"/>
      <c r="T11" s="55"/>
      <c r="V11" s="55"/>
      <c r="W11" s="329">
        <f>SUMIFS('W6 - Operating cost'!Y$5:Y$69,'W6 - Operating cost'!$A$5:$A$69,'W6 - Preform cost'!$B11)/V$29</f>
        <v>0</v>
      </c>
      <c r="X11" s="55"/>
      <c r="Y11" s="55"/>
      <c r="Z11" s="55"/>
      <c r="AB11" s="55"/>
      <c r="AC11" s="329">
        <f>SUMIFS('W6 - Operating cost'!AE$5:AE$69,'W6 - Operating cost'!$A$5:$A$69,'W6 - Preform cost'!$B11)/AB$29</f>
        <v>0</v>
      </c>
      <c r="AD11" s="55"/>
      <c r="AE11" s="55"/>
      <c r="AF11" s="55"/>
      <c r="AH11" s="55"/>
      <c r="AI11" s="329">
        <f>SUMIFS('W6 - Operating cost'!AK$5:AK$69,'W6 - Operating cost'!$A$5:$A$69,'W6 - Preform cost'!$B11)/AH$29</f>
        <v>0</v>
      </c>
      <c r="AJ11" s="55"/>
      <c r="AK11" s="55"/>
      <c r="AL11" s="55"/>
      <c r="AN11" s="55"/>
      <c r="AO11" s="329">
        <f>SUMIFS('W6 - Operating cost'!AQ$5:AQ$69,'W6 - Operating cost'!$A$5:$A$69,'W6 - Preform cost'!$B11)/AN$29</f>
        <v>0</v>
      </c>
      <c r="AP11" s="55"/>
      <c r="AQ11" s="55"/>
      <c r="AR11" s="55"/>
      <c r="AT11" s="55"/>
      <c r="AU11" s="329">
        <f>SUMIFS('W6 - Operating cost'!AW$5:AW$69,'W6 - Operating cost'!$A$5:$A$69,'W6 - Preform cost'!$B11)/AT$29</f>
        <v>0</v>
      </c>
      <c r="AV11" s="55"/>
      <c r="AW11" s="55"/>
      <c r="AX11" s="55"/>
      <c r="AZ11" s="55"/>
      <c r="BA11" s="329">
        <f>SUMIFS('W6 - Operating cost'!BC$5:BC$69,'W6 - Operating cost'!$A$5:$A$69,'W6 - Preform cost'!$B11)/AZ$29</f>
        <v>0</v>
      </c>
      <c r="BB11" s="55"/>
      <c r="BC11" s="55"/>
      <c r="BD11" s="55"/>
      <c r="BF11" s="55"/>
      <c r="BG11" s="329">
        <f>SUMIFS('W6 - Operating cost'!BI$5:BI$69,'W6 - Operating cost'!$A$5:$A$69,'W6 - Preform cost'!$B11)/BF$29</f>
        <v>0</v>
      </c>
      <c r="BH11" s="55"/>
      <c r="BI11" s="55"/>
      <c r="BJ11" s="55"/>
      <c r="BL11" s="55"/>
      <c r="BM11" s="329">
        <f>SUMIFS('W6 - Operating cost'!BO$5:BO$69,'W6 - Operating cost'!$A$5:$A$69,'W6 - Preform cost'!$B11)/BL$29</f>
        <v>0</v>
      </c>
      <c r="BN11" s="55"/>
      <c r="BO11" s="55"/>
      <c r="BP11" s="55"/>
      <c r="BR11" s="55"/>
      <c r="BS11" s="329">
        <f>SUMIFS('W6 - Operating cost'!BU$5:BU$69,'W6 - Operating cost'!$A$5:$A$69,'W6 - Preform cost'!$B11)/BR$29</f>
        <v>0</v>
      </c>
      <c r="BT11" s="55"/>
      <c r="BU11" s="55"/>
      <c r="BV11" s="55"/>
      <c r="BX11" s="55"/>
      <c r="BY11" s="329">
        <f>SUMIFS('W6 - Operating cost'!CA$5:CA$69,'W6 - Operating cost'!$A$5:$A$69,'W6 - Preform cost'!$B11)/BX$29</f>
        <v>0</v>
      </c>
      <c r="BZ11" s="55"/>
      <c r="CA11" s="55"/>
      <c r="CB11" s="55"/>
      <c r="CD11" s="55"/>
      <c r="CE11" s="329">
        <f>SUMIFS('W6 - Operating cost'!CG$5:CG$69,'W6 - Operating cost'!$A$5:$A$69,'W6 - Preform cost'!$B11)/CD$29</f>
        <v>0</v>
      </c>
      <c r="CF11" s="55"/>
      <c r="CG11" s="55"/>
      <c r="CH11" s="55"/>
      <c r="CJ11" s="55"/>
      <c r="CK11" s="329">
        <f>SUMIFS('W6 - Operating cost'!CM$5:CM$69,'W6 - Operating cost'!$A$5:$A$69,'W6 - Preform cost'!$B11)/CJ$29</f>
        <v>0</v>
      </c>
      <c r="CL11" s="55"/>
      <c r="CM11" s="55"/>
      <c r="CN11" s="55"/>
      <c r="CP11" s="55"/>
      <c r="CQ11" s="329" t="e">
        <f>SUMIFS('W6 - Operating cost'!CS$5:CS$69,'W6 - Operating cost'!$A$5:$A$69,'W6 - Preform cost'!$B11)/CP$29</f>
        <v>#N/A</v>
      </c>
      <c r="CR11" s="55"/>
      <c r="CS11" s="55"/>
      <c r="CT11" s="55"/>
      <c r="CV11" s="55"/>
      <c r="CW11" s="329" t="e">
        <f>SUMIFS('W6 - Operating cost'!CY$5:CY$69,'W6 - Operating cost'!$A$5:$A$69,'W6 - Preform cost'!$B11)/CV$29</f>
        <v>#N/A</v>
      </c>
      <c r="CX11" s="55"/>
      <c r="CY11" s="55"/>
      <c r="CZ11" s="55"/>
      <c r="DB11" s="55"/>
      <c r="DC11" s="329" t="e">
        <f>SUMIFS('W6 - Operating cost'!DE$5:DE$69,'W6 - Operating cost'!$A$5:$A$69,'W6 - Preform cost'!$B11)/DB$29</f>
        <v>#N/A</v>
      </c>
      <c r="DD11" s="55"/>
      <c r="DE11" s="55"/>
      <c r="DF11" s="55"/>
      <c r="DH11" s="55"/>
      <c r="DI11" s="329" t="e">
        <f>SUMIFS('W6 - Operating cost'!DK$5:DK$69,'W6 - Operating cost'!$A$5:$A$69,'W6 - Preform cost'!$B11)/DH$29</f>
        <v>#N/A</v>
      </c>
      <c r="DJ11" s="55"/>
      <c r="DK11" s="55"/>
      <c r="DL11" s="55"/>
      <c r="DN11" s="55"/>
      <c r="DO11" s="329" t="e">
        <f>SUMIFS('W6 - Operating cost'!DQ$5:DQ$69,'W6 - Operating cost'!$A$5:$A$69,'W6 - Preform cost'!$B11)/DN$29</f>
        <v>#N/A</v>
      </c>
      <c r="DP11" s="55"/>
      <c r="DQ11" s="55"/>
      <c r="DR11" s="55"/>
      <c r="DT11" s="55"/>
      <c r="DU11" s="329" t="e">
        <f>SUMIFS('W6 - Operating cost'!DW$5:DW$69,'W6 - Operating cost'!$A$5:$A$69,'W6 - Preform cost'!$B11)/DT$29</f>
        <v>#N/A</v>
      </c>
      <c r="DV11" s="55"/>
      <c r="DW11" s="55"/>
      <c r="DX11" s="55"/>
      <c r="DZ11" s="55"/>
      <c r="EA11" s="329" t="e">
        <f>SUMIFS('W6 - Operating cost'!EC$5:EC$69,'W6 - Operating cost'!$A$5:$A$69,'W6 - Preform cost'!$B11)/DZ$29</f>
        <v>#N/A</v>
      </c>
      <c r="EB11" s="55"/>
      <c r="EC11" s="55"/>
      <c r="ED11" s="55"/>
      <c r="EF11" s="55"/>
      <c r="EG11" s="329" t="e">
        <f>SUMIFS('W6 - Operating cost'!EI$5:EI$69,'W6 - Operating cost'!$A$5:$A$69,'W6 - Preform cost'!$B11)/EF$29</f>
        <v>#N/A</v>
      </c>
      <c r="EH11" s="55"/>
      <c r="EI11" s="55"/>
      <c r="EJ11" s="55"/>
      <c r="EL11" s="55"/>
      <c r="EM11" s="329" t="e">
        <f>SUMIFS('W6 - Operating cost'!EO$5:EO$69,'W6 - Operating cost'!$A$5:$A$69,'W6 - Preform cost'!$B11)/EL$29</f>
        <v>#N/A</v>
      </c>
      <c r="EN11" s="55"/>
      <c r="EO11" s="55"/>
      <c r="EP11" s="55"/>
      <c r="ER11" s="55"/>
      <c r="ES11" s="329" t="e">
        <f>SUMIFS('W6 - Operating cost'!EU$5:EU$69,'W6 - Operating cost'!$A$5:$A$69,'W6 - Preform cost'!$B11)/ER$29</f>
        <v>#N/A</v>
      </c>
      <c r="ET11" s="55"/>
      <c r="EU11" s="55"/>
      <c r="EV11" s="55"/>
    </row>
    <row r="12" spans="1:152" x14ac:dyDescent="0.25">
      <c r="A12" t="s">
        <v>623</v>
      </c>
      <c r="B12" s="55" t="s">
        <v>132</v>
      </c>
      <c r="C12" s="55" t="s">
        <v>148</v>
      </c>
      <c r="D12" s="55"/>
      <c r="E12" s="329"/>
      <c r="F12" s="55"/>
      <c r="G12" s="55"/>
      <c r="H12" s="55"/>
      <c r="J12" s="55"/>
      <c r="K12" s="55"/>
      <c r="L12" s="55"/>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c r="BL12" s="55"/>
      <c r="BM12" s="55"/>
      <c r="BN12" s="55"/>
      <c r="BO12" s="55"/>
      <c r="BP12" s="55"/>
      <c r="BR12" s="55"/>
      <c r="BS12" s="55"/>
      <c r="BT12" s="55"/>
      <c r="BU12" s="55"/>
      <c r="BV12" s="55"/>
      <c r="BX12" s="55"/>
      <c r="BY12" s="55"/>
      <c r="BZ12" s="55"/>
      <c r="CA12" s="55"/>
      <c r="CB12" s="55"/>
      <c r="CD12" s="55"/>
      <c r="CE12" s="55"/>
      <c r="CF12" s="55"/>
      <c r="CG12" s="55"/>
      <c r="CH12" s="55"/>
      <c r="CJ12" s="55"/>
      <c r="CK12" s="55"/>
      <c r="CL12" s="55"/>
      <c r="CM12" s="55"/>
      <c r="CN12" s="55"/>
      <c r="CP12" s="55"/>
      <c r="CQ12" s="55"/>
      <c r="CR12" s="55"/>
      <c r="CS12" s="55"/>
      <c r="CT12" s="55"/>
      <c r="CV12" s="55"/>
      <c r="CW12" s="55"/>
      <c r="CX12" s="55"/>
      <c r="CY12" s="55"/>
      <c r="CZ12" s="55"/>
      <c r="DB12" s="55"/>
      <c r="DC12" s="55"/>
      <c r="DD12" s="55"/>
      <c r="DE12" s="55"/>
      <c r="DF12" s="55"/>
      <c r="DH12" s="55"/>
      <c r="DI12" s="55"/>
      <c r="DJ12" s="55"/>
      <c r="DK12" s="55"/>
      <c r="DL12" s="55"/>
      <c r="DN12" s="55"/>
      <c r="DO12" s="55"/>
      <c r="DP12" s="55"/>
      <c r="DQ12" s="55"/>
      <c r="DR12" s="55"/>
      <c r="DT12" s="55"/>
      <c r="DU12" s="55"/>
      <c r="DV12" s="55"/>
      <c r="DW12" s="55"/>
      <c r="DX12" s="55"/>
      <c r="DZ12" s="55"/>
      <c r="EA12" s="55"/>
      <c r="EB12" s="55"/>
      <c r="EC12" s="55"/>
      <c r="ED12" s="55"/>
      <c r="EF12" s="55"/>
      <c r="EG12" s="55"/>
      <c r="EH12" s="55"/>
      <c r="EI12" s="55"/>
      <c r="EJ12" s="55"/>
      <c r="EL12" s="55"/>
      <c r="EM12" s="55"/>
      <c r="EN12" s="55"/>
      <c r="EO12" s="55"/>
      <c r="EP12" s="55"/>
      <c r="ER12" s="55"/>
      <c r="ES12" s="55"/>
      <c r="ET12" s="55"/>
      <c r="EU12" s="55"/>
      <c r="EV12" s="55"/>
    </row>
    <row r="13" spans="1:152" x14ac:dyDescent="0.25">
      <c r="A13" t="s">
        <v>623</v>
      </c>
      <c r="B13" s="55" t="s">
        <v>355</v>
      </c>
      <c r="C13" s="55" t="s">
        <v>148</v>
      </c>
      <c r="D13" s="55"/>
      <c r="E13" s="329">
        <f>'W6 - Operating cost'!G69/'W6 - Operating cost'!D31</f>
        <v>11.623824040969422</v>
      </c>
      <c r="F13" s="55"/>
      <c r="G13" s="55"/>
      <c r="H13" s="55"/>
      <c r="J13" s="55"/>
      <c r="K13" s="329">
        <f>'W6 - Operating cost'!M69/'W6 - Operating cost'!J31</f>
        <v>8.3027314578353018</v>
      </c>
      <c r="L13" s="55"/>
      <c r="M13" s="55"/>
      <c r="N13" s="55"/>
      <c r="P13" s="55"/>
      <c r="Q13" s="329">
        <f>'W6 - Operating cost'!S69/'W6 - Operating cost'!P31</f>
        <v>6.1025076215089467</v>
      </c>
      <c r="R13" s="55"/>
      <c r="S13" s="55"/>
      <c r="T13" s="55"/>
      <c r="V13" s="55"/>
      <c r="W13" s="329">
        <f>'W6 - Operating cost'!Y69/'W6 - Operating cost'!V31</f>
        <v>6.4076330025843937</v>
      </c>
      <c r="X13" s="55"/>
      <c r="Y13" s="55"/>
      <c r="Z13" s="55"/>
      <c r="AB13" s="55"/>
      <c r="AC13" s="329">
        <f>'W6 - Operating cost'!AE69/'W6 - Operating cost'!AB31</f>
        <v>6.7280146527136147</v>
      </c>
      <c r="AD13" s="55"/>
      <c r="AE13" s="55"/>
      <c r="AF13" s="55"/>
      <c r="AH13" s="55"/>
      <c r="AI13" s="329">
        <f>'W6 - Operating cost'!AK69/'W6 - Operating cost'!AH31</f>
        <v>7.0644153853492941</v>
      </c>
      <c r="AJ13" s="55"/>
      <c r="AK13" s="55"/>
      <c r="AL13" s="55"/>
      <c r="AN13" s="55"/>
      <c r="AO13" s="329">
        <f>'W6 - Operating cost'!AQ69/'W6 - Operating cost'!AN31</f>
        <v>7.4176361546167602</v>
      </c>
      <c r="AP13" s="55"/>
      <c r="AQ13" s="55"/>
      <c r="AR13" s="55"/>
      <c r="AT13" s="55"/>
      <c r="AU13" s="329">
        <f>'W6 - Operating cost'!AW69/'W6 - Operating cost'!AT31</f>
        <v>7.7885179623475969</v>
      </c>
      <c r="AV13" s="55"/>
      <c r="AW13" s="55"/>
      <c r="AX13" s="55"/>
      <c r="AZ13" s="55"/>
      <c r="BA13" s="329">
        <f>'W6 - Operating cost'!BC69/'W6 - Operating cost'!AZ31</f>
        <v>8.1779438604649783</v>
      </c>
      <c r="BB13" s="55"/>
      <c r="BC13" s="55"/>
      <c r="BD13" s="55"/>
      <c r="BF13" s="55"/>
      <c r="BG13" s="329">
        <f>'W6 - Operating cost'!BI69/'W6 - Operating cost'!BF31</f>
        <v>8.5868410534882251</v>
      </c>
      <c r="BH13" s="55"/>
      <c r="BI13" s="55"/>
      <c r="BJ13" s="55"/>
      <c r="BL13" s="55"/>
      <c r="BM13" s="329">
        <f>'W6 - Operating cost'!BO69/'W6 - Operating cost'!BL31</f>
        <v>9.0161831061626376</v>
      </c>
      <c r="BN13" s="55"/>
      <c r="BO13" s="55"/>
      <c r="BP13" s="55"/>
      <c r="BR13" s="55"/>
      <c r="BS13" s="329">
        <f>'W6 - Operating cost'!BU69/'W6 - Operating cost'!BR31</f>
        <v>9.4669922614707698</v>
      </c>
      <c r="BT13" s="55"/>
      <c r="BU13" s="55"/>
      <c r="BV13" s="55"/>
      <c r="BX13" s="55"/>
      <c r="BY13" s="329">
        <f>'W6 - Operating cost'!CA69/'W6 - Operating cost'!BX31</f>
        <v>9.9403418745443091</v>
      </c>
      <c r="BZ13" s="55"/>
      <c r="CA13" s="55"/>
      <c r="CB13" s="55"/>
      <c r="CD13" s="55"/>
      <c r="CE13" s="329">
        <f>'W6 - Operating cost'!CG69/'W6 - Operating cost'!CD31</f>
        <v>10.437358968271525</v>
      </c>
      <c r="CF13" s="55"/>
      <c r="CG13" s="55"/>
      <c r="CH13" s="55"/>
      <c r="CJ13" s="55"/>
      <c r="CK13" s="329">
        <f>'W6 - Operating cost'!CM69/'W6 - Operating cost'!CJ31</f>
        <v>10.959226916685099</v>
      </c>
      <c r="CL13" s="55"/>
      <c r="CM13" s="55"/>
      <c r="CN13" s="55"/>
      <c r="CP13" s="55"/>
      <c r="CQ13" s="329" t="e">
        <f>'W6 - Operating cost'!CS69/'W6 - Operating cost'!CP31</f>
        <v>#N/A</v>
      </c>
      <c r="CR13" s="55"/>
      <c r="CS13" s="55"/>
      <c r="CT13" s="55"/>
      <c r="CV13" s="55"/>
      <c r="CW13" s="329" t="e">
        <f>'W6 - Operating cost'!CY69/'W6 - Operating cost'!CV31</f>
        <v>#N/A</v>
      </c>
      <c r="CX13" s="55"/>
      <c r="CY13" s="55"/>
      <c r="CZ13" s="55"/>
      <c r="DB13" s="55"/>
      <c r="DC13" s="329" t="e">
        <f>'W6 - Operating cost'!DE69/'W6 - Operating cost'!DB31</f>
        <v>#N/A</v>
      </c>
      <c r="DD13" s="55"/>
      <c r="DE13" s="55"/>
      <c r="DF13" s="55"/>
      <c r="DH13" s="55"/>
      <c r="DI13" s="329" t="e">
        <f>'W6 - Operating cost'!DK69/'W6 - Operating cost'!DH31</f>
        <v>#N/A</v>
      </c>
      <c r="DJ13" s="55"/>
      <c r="DK13" s="55"/>
      <c r="DL13" s="55"/>
      <c r="DN13" s="55"/>
      <c r="DO13" s="329" t="e">
        <f>'W6 - Operating cost'!DQ69/'W6 - Operating cost'!DN31</f>
        <v>#N/A</v>
      </c>
      <c r="DP13" s="55"/>
      <c r="DQ13" s="55"/>
      <c r="DR13" s="55"/>
      <c r="DT13" s="55"/>
      <c r="DU13" s="329" t="e">
        <f>'W6 - Operating cost'!DW69/'W6 - Operating cost'!DT31</f>
        <v>#N/A</v>
      </c>
      <c r="DV13" s="55"/>
      <c r="DW13" s="55"/>
      <c r="DX13" s="55"/>
      <c r="DZ13" s="55"/>
      <c r="EA13" s="329" t="e">
        <f>'W6 - Operating cost'!EC69/'W6 - Operating cost'!DZ31</f>
        <v>#N/A</v>
      </c>
      <c r="EB13" s="55"/>
      <c r="EC13" s="55"/>
      <c r="ED13" s="55"/>
      <c r="EF13" s="55"/>
      <c r="EG13" s="329" t="e">
        <f>'W6 - Operating cost'!EI69/'W6 - Operating cost'!EF31</f>
        <v>#N/A</v>
      </c>
      <c r="EH13" s="55"/>
      <c r="EI13" s="55"/>
      <c r="EJ13" s="55"/>
      <c r="EL13" s="55"/>
      <c r="EM13" s="329" t="e">
        <f>'W6 - Operating cost'!EO69/'W6 - Operating cost'!EL31</f>
        <v>#N/A</v>
      </c>
      <c r="EN13" s="55"/>
      <c r="EO13" s="55"/>
      <c r="EP13" s="55"/>
      <c r="ER13" s="55"/>
      <c r="ES13" s="329" t="e">
        <f>'W6 - Operating cost'!EU69/'W6 - Operating cost'!ER31</f>
        <v>#N/A</v>
      </c>
      <c r="ET13" s="55"/>
      <c r="EU13" s="55"/>
      <c r="EV13" s="55"/>
    </row>
    <row r="14" spans="1:152" x14ac:dyDescent="0.25">
      <c r="A14" t="s">
        <v>623</v>
      </c>
      <c r="B14" s="55" t="s">
        <v>533</v>
      </c>
      <c r="C14" s="55" t="s">
        <v>148</v>
      </c>
      <c r="D14" s="55"/>
      <c r="E14" s="329">
        <f>'W6 - Operating cost'!G34/'W6 - Preform cost'!D29</f>
        <v>2.6734795294229672</v>
      </c>
      <c r="F14" s="55"/>
      <c r="G14" s="55"/>
      <c r="H14" s="55"/>
      <c r="J14" s="55"/>
      <c r="K14" s="329">
        <f>'W6 - Operating cost'!M34/'W6 - Preform cost'!J29</f>
        <v>1.9096282353021194</v>
      </c>
      <c r="L14" s="55"/>
      <c r="M14" s="55"/>
      <c r="N14" s="55"/>
      <c r="P14" s="55"/>
      <c r="Q14" s="329">
        <f>'W6 - Operating cost'!S34/'W6 - Preform cost'!P29</f>
        <v>1.4035767529470577</v>
      </c>
      <c r="R14" s="55"/>
      <c r="S14" s="55"/>
      <c r="T14" s="55"/>
      <c r="V14" s="55"/>
      <c r="W14" s="329">
        <f>'W6 - Operating cost'!Y34/'W6 - Preform cost'!V29</f>
        <v>1.4737555905944106</v>
      </c>
      <c r="X14" s="55"/>
      <c r="Y14" s="55"/>
      <c r="Z14" s="55"/>
      <c r="AB14" s="55"/>
      <c r="AC14" s="329">
        <f>'W6 - Operating cost'!AE34/'W6 - Preform cost'!AB29</f>
        <v>1.5474433701241315</v>
      </c>
      <c r="AD14" s="55"/>
      <c r="AE14" s="55"/>
      <c r="AF14" s="55"/>
      <c r="AH14" s="55"/>
      <c r="AI14" s="329">
        <f>'W6 - Operating cost'!AK34/'W6 - Preform cost'!AH29</f>
        <v>1.6248155386303378</v>
      </c>
      <c r="AJ14" s="55"/>
      <c r="AK14" s="55"/>
      <c r="AL14" s="55"/>
      <c r="AN14" s="55"/>
      <c r="AO14" s="329">
        <f>'W6 - Operating cost'!AQ34/'W6 - Preform cost'!AN29</f>
        <v>1.7060563155618549</v>
      </c>
      <c r="AP14" s="55"/>
      <c r="AQ14" s="55"/>
      <c r="AR14" s="55"/>
      <c r="AT14" s="55"/>
      <c r="AU14" s="329">
        <f>'W6 - Operating cost'!AW34/'W6 - Preform cost'!AT29</f>
        <v>1.7913591313399473</v>
      </c>
      <c r="AV14" s="55"/>
      <c r="AW14" s="55"/>
      <c r="AX14" s="55"/>
      <c r="AZ14" s="55"/>
      <c r="BA14" s="329">
        <f>'W6 - Operating cost'!BC34/'W6 - Preform cost'!AZ29</f>
        <v>1.8809270879069449</v>
      </c>
      <c r="BB14" s="55"/>
      <c r="BC14" s="55"/>
      <c r="BD14" s="55"/>
      <c r="BF14" s="55"/>
      <c r="BG14" s="329">
        <f>'W6 - Operating cost'!BI34/'W6 - Preform cost'!BF29</f>
        <v>1.9749734423022922</v>
      </c>
      <c r="BH14" s="55"/>
      <c r="BI14" s="55"/>
      <c r="BJ14" s="55"/>
      <c r="BL14" s="55"/>
      <c r="BM14" s="329">
        <f>'W6 - Operating cost'!BO34/'W6 - Preform cost'!BL29</f>
        <v>2.0737221144174063</v>
      </c>
      <c r="BN14" s="55"/>
      <c r="BO14" s="55"/>
      <c r="BP14" s="55"/>
      <c r="BR14" s="55"/>
      <c r="BS14" s="329">
        <f>'W6 - Operating cost'!BU34/'W6 - Preform cost'!BR29</f>
        <v>2.1774082201382772</v>
      </c>
      <c r="BT14" s="55"/>
      <c r="BU14" s="55"/>
      <c r="BV14" s="55"/>
      <c r="BX14" s="55"/>
      <c r="BY14" s="329">
        <f>'W6 - Operating cost'!CA34/'W6 - Preform cost'!BX29</f>
        <v>2.286278631145191</v>
      </c>
      <c r="BZ14" s="55"/>
      <c r="CA14" s="55"/>
      <c r="CB14" s="55"/>
      <c r="CD14" s="55"/>
      <c r="CE14" s="329">
        <f>'W6 - Operating cost'!CG34/'W6 - Preform cost'!CD29</f>
        <v>2.40059256270245</v>
      </c>
      <c r="CF14" s="55"/>
      <c r="CG14" s="55"/>
      <c r="CH14" s="55"/>
      <c r="CJ14" s="55"/>
      <c r="CK14" s="329">
        <f>'W6 - Operating cost'!CM34/'W6 - Preform cost'!CJ29</f>
        <v>2.5206221908375732</v>
      </c>
      <c r="CL14" s="55"/>
      <c r="CM14" s="55"/>
      <c r="CN14" s="55"/>
      <c r="CP14" s="55"/>
      <c r="CQ14" s="329" t="e">
        <f>'W6 - Operating cost'!CS34/'W6 - Preform cost'!CP29</f>
        <v>#N/A</v>
      </c>
      <c r="CR14" s="55"/>
      <c r="CS14" s="55"/>
      <c r="CT14" s="55"/>
      <c r="CV14" s="55"/>
      <c r="CW14" s="329" t="e">
        <f>'W6 - Operating cost'!CY34/'W6 - Preform cost'!CV29</f>
        <v>#N/A</v>
      </c>
      <c r="CX14" s="55"/>
      <c r="CY14" s="55"/>
      <c r="CZ14" s="55"/>
      <c r="DB14" s="55"/>
      <c r="DC14" s="329" t="e">
        <f>'W6 - Operating cost'!DE34/'W6 - Preform cost'!DB29</f>
        <v>#N/A</v>
      </c>
      <c r="DD14" s="55"/>
      <c r="DE14" s="55"/>
      <c r="DF14" s="55"/>
      <c r="DH14" s="55"/>
      <c r="DI14" s="329" t="e">
        <f>'W6 - Operating cost'!DK34/'W6 - Preform cost'!DH29</f>
        <v>#N/A</v>
      </c>
      <c r="DJ14" s="55"/>
      <c r="DK14" s="55"/>
      <c r="DL14" s="55"/>
      <c r="DN14" s="55"/>
      <c r="DO14" s="329" t="e">
        <f>'W6 - Operating cost'!DQ34/'W6 - Preform cost'!DN29</f>
        <v>#N/A</v>
      </c>
      <c r="DP14" s="55"/>
      <c r="DQ14" s="55"/>
      <c r="DR14" s="55"/>
      <c r="DT14" s="55"/>
      <c r="DU14" s="329" t="e">
        <f>'W6 - Operating cost'!DW34/'W6 - Preform cost'!DT29</f>
        <v>#N/A</v>
      </c>
      <c r="DV14" s="55"/>
      <c r="DW14" s="55"/>
      <c r="DX14" s="55"/>
      <c r="DZ14" s="55"/>
      <c r="EA14" s="329" t="e">
        <f>'W6 - Operating cost'!EC34/'W6 - Preform cost'!DZ29</f>
        <v>#N/A</v>
      </c>
      <c r="EB14" s="55"/>
      <c r="EC14" s="55"/>
      <c r="ED14" s="55"/>
      <c r="EF14" s="55"/>
      <c r="EG14" s="329" t="e">
        <f>'W6 - Operating cost'!EI34/'W6 - Preform cost'!EF29</f>
        <v>#N/A</v>
      </c>
      <c r="EH14" s="55"/>
      <c r="EI14" s="55"/>
      <c r="EJ14" s="55"/>
      <c r="EL14" s="55"/>
      <c r="EM14" s="329" t="e">
        <f>'W6 - Operating cost'!EO34/'W6 - Preform cost'!EL29</f>
        <v>#N/A</v>
      </c>
      <c r="EN14" s="55"/>
      <c r="EO14" s="55"/>
      <c r="EP14" s="55"/>
      <c r="ER14" s="55"/>
      <c r="ES14" s="329" t="e">
        <f>'W6 - Operating cost'!EU34/'W6 - Preform cost'!ER29</f>
        <v>#N/A</v>
      </c>
      <c r="ET14" s="55"/>
      <c r="EU14" s="55"/>
      <c r="EV14" s="55"/>
    </row>
    <row r="15" spans="1:152" x14ac:dyDescent="0.25">
      <c r="A15" t="s">
        <v>623</v>
      </c>
      <c r="B15" s="55" t="s">
        <v>523</v>
      </c>
      <c r="C15" s="55" t="s">
        <v>148</v>
      </c>
      <c r="D15" s="55"/>
      <c r="E15" s="329">
        <f>SUMIFS('W6 - Operating cost'!G$5:G$69,'W6 - Operating cost'!$A$5:$A$69,'W6 - Preform cost'!$B15)/D$29</f>
        <v>2.9132189629639544</v>
      </c>
      <c r="F15" s="55"/>
      <c r="G15" s="55"/>
      <c r="H15" s="55"/>
      <c r="J15" s="55"/>
      <c r="K15" s="329">
        <f>SUMIFS('W6 - Operating cost'!M$5:M$69,'W6 - Operating cost'!$A$5:$A$69,'W6 - Preform cost'!$B15)/J$29</f>
        <v>2.0808706878313963</v>
      </c>
      <c r="L15" s="55"/>
      <c r="M15" s="55"/>
      <c r="N15" s="55"/>
      <c r="P15" s="55"/>
      <c r="Q15" s="329">
        <f>SUMIFS('W6 - Operating cost'!S$5:S$69,'W6 - Operating cost'!$A$5:$A$69,'W6 - Preform cost'!$B15)/P$29</f>
        <v>1.4566094814819772</v>
      </c>
      <c r="R15" s="55"/>
      <c r="S15" s="55"/>
      <c r="T15" s="55"/>
      <c r="V15" s="55"/>
      <c r="W15" s="329">
        <f>SUMIFS('W6 - Operating cost'!Y$5:Y$69,'W6 - Operating cost'!$A$5:$A$69,'W6 - Preform cost'!$B15)/V$29</f>
        <v>1.4566094814819772</v>
      </c>
      <c r="X15" s="55"/>
      <c r="Y15" s="55"/>
      <c r="Z15" s="55"/>
      <c r="AB15" s="55"/>
      <c r="AC15" s="329">
        <f>SUMIFS('W6 - Operating cost'!AE$5:AE$69,'W6 - Operating cost'!$A$5:$A$69,'W6 - Preform cost'!$B15)/AB$29</f>
        <v>1.4566094814819772</v>
      </c>
      <c r="AD15" s="55"/>
      <c r="AE15" s="55"/>
      <c r="AF15" s="55"/>
      <c r="AH15" s="55"/>
      <c r="AI15" s="329">
        <f>SUMIFS('W6 - Operating cost'!AK$5:AK$69,'W6 - Operating cost'!$A$5:$A$69,'W6 - Preform cost'!$B15)/AH$29</f>
        <v>1.4566094814819772</v>
      </c>
      <c r="AJ15" s="55"/>
      <c r="AK15" s="55"/>
      <c r="AL15" s="55"/>
      <c r="AN15" s="55"/>
      <c r="AO15" s="329">
        <f>SUMIFS('W6 - Operating cost'!AQ$5:AQ$69,'W6 - Operating cost'!$A$5:$A$69,'W6 - Preform cost'!$B15)/AN$29</f>
        <v>1.4566094814819772</v>
      </c>
      <c r="AP15" s="55"/>
      <c r="AQ15" s="55"/>
      <c r="AR15" s="55"/>
      <c r="AT15" s="55"/>
      <c r="AU15" s="329">
        <f>SUMIFS('W6 - Operating cost'!AW$5:AW$69,'W6 - Operating cost'!$A$5:$A$69,'W6 - Preform cost'!$B15)/AT$29</f>
        <v>1.4566094814819772</v>
      </c>
      <c r="AV15" s="55"/>
      <c r="AW15" s="55"/>
      <c r="AX15" s="55"/>
      <c r="AZ15" s="55"/>
      <c r="BA15" s="329">
        <f>SUMIFS('W6 - Operating cost'!BC$5:BC$69,'W6 - Operating cost'!$A$5:$A$69,'W6 - Preform cost'!$B15)/AZ$29</f>
        <v>1.4566094814819772</v>
      </c>
      <c r="BB15" s="55"/>
      <c r="BC15" s="55"/>
      <c r="BD15" s="55"/>
      <c r="BF15" s="55"/>
      <c r="BG15" s="329">
        <f>SUMIFS('W6 - Operating cost'!BI$5:BI$69,'W6 - Operating cost'!$A$5:$A$69,'W6 - Preform cost'!$B15)/BF$29</f>
        <v>1.4566094814819772</v>
      </c>
      <c r="BH15" s="55"/>
      <c r="BI15" s="55"/>
      <c r="BJ15" s="55"/>
      <c r="BL15" s="55"/>
      <c r="BM15" s="329">
        <f>SUMIFS('W6 - Operating cost'!BO$5:BO$69,'W6 - Operating cost'!$A$5:$A$69,'W6 - Preform cost'!$B15)/BL$29</f>
        <v>1.4566094814819772</v>
      </c>
      <c r="BN15" s="55"/>
      <c r="BO15" s="55"/>
      <c r="BP15" s="55"/>
      <c r="BR15" s="55"/>
      <c r="BS15" s="329">
        <f>SUMIFS('W6 - Operating cost'!BU$5:BU$69,'W6 - Operating cost'!$A$5:$A$69,'W6 - Preform cost'!$B15)/BR$29</f>
        <v>1.4566094814819772</v>
      </c>
      <c r="BT15" s="55"/>
      <c r="BU15" s="55"/>
      <c r="BV15" s="55"/>
      <c r="BX15" s="55"/>
      <c r="BY15" s="329">
        <f>SUMIFS('W6 - Operating cost'!CA$5:CA$69,'W6 - Operating cost'!$A$5:$A$69,'W6 - Preform cost'!$B15)/BX$29</f>
        <v>1.4566094814819772</v>
      </c>
      <c r="BZ15" s="55"/>
      <c r="CA15" s="55"/>
      <c r="CB15" s="55"/>
      <c r="CD15" s="55"/>
      <c r="CE15" s="329">
        <f>SUMIFS('W6 - Operating cost'!CG$5:CG$69,'W6 - Operating cost'!$A$5:$A$69,'W6 - Preform cost'!$B15)/CD$29</f>
        <v>1.4566094814819772</v>
      </c>
      <c r="CF15" s="55"/>
      <c r="CG15" s="55"/>
      <c r="CH15" s="55"/>
      <c r="CJ15" s="55"/>
      <c r="CK15" s="329">
        <f>SUMIFS('W6 - Operating cost'!CM$5:CM$69,'W6 - Operating cost'!$A$5:$A$69,'W6 - Preform cost'!$B15)/CJ$29</f>
        <v>1.4566094814819772</v>
      </c>
      <c r="CL15" s="55"/>
      <c r="CM15" s="55"/>
      <c r="CN15" s="55"/>
      <c r="CP15" s="55"/>
      <c r="CQ15" s="329" t="e">
        <f>SUMIFS('W6 - Operating cost'!CS$5:CS$69,'W6 - Operating cost'!$A$5:$A$69,'W6 - Preform cost'!$B15)/CP$29</f>
        <v>#N/A</v>
      </c>
      <c r="CR15" s="55"/>
      <c r="CS15" s="55"/>
      <c r="CT15" s="55"/>
      <c r="CV15" s="55"/>
      <c r="CW15" s="329" t="e">
        <f>SUMIFS('W6 - Operating cost'!CY$5:CY$69,'W6 - Operating cost'!$A$5:$A$69,'W6 - Preform cost'!$B15)/CV$29</f>
        <v>#N/A</v>
      </c>
      <c r="CX15" s="55"/>
      <c r="CY15" s="55"/>
      <c r="CZ15" s="55"/>
      <c r="DB15" s="55"/>
      <c r="DC15" s="329" t="e">
        <f>SUMIFS('W6 - Operating cost'!DE$5:DE$69,'W6 - Operating cost'!$A$5:$A$69,'W6 - Preform cost'!$B15)/DB$29</f>
        <v>#N/A</v>
      </c>
      <c r="DD15" s="55"/>
      <c r="DE15" s="55"/>
      <c r="DF15" s="55"/>
      <c r="DH15" s="55"/>
      <c r="DI15" s="329" t="e">
        <f>SUMIFS('W6 - Operating cost'!DK$5:DK$69,'W6 - Operating cost'!$A$5:$A$69,'W6 - Preform cost'!$B15)/DH$29</f>
        <v>#N/A</v>
      </c>
      <c r="DJ15" s="55"/>
      <c r="DK15" s="55"/>
      <c r="DL15" s="55"/>
      <c r="DN15" s="55"/>
      <c r="DO15" s="329" t="e">
        <f>SUMIFS('W6 - Operating cost'!DQ$5:DQ$69,'W6 - Operating cost'!$A$5:$A$69,'W6 - Preform cost'!$B15)/DN$29</f>
        <v>#N/A</v>
      </c>
      <c r="DP15" s="55"/>
      <c r="DQ15" s="55"/>
      <c r="DR15" s="55"/>
      <c r="DT15" s="55"/>
      <c r="DU15" s="329" t="e">
        <f>SUMIFS('W6 - Operating cost'!DW$5:DW$69,'W6 - Operating cost'!$A$5:$A$69,'W6 - Preform cost'!$B15)/DT$29</f>
        <v>#N/A</v>
      </c>
      <c r="DV15" s="55"/>
      <c r="DW15" s="55"/>
      <c r="DX15" s="55"/>
      <c r="DZ15" s="55"/>
      <c r="EA15" s="329" t="e">
        <f>SUMIFS('W6 - Operating cost'!EC$5:EC$69,'W6 - Operating cost'!$A$5:$A$69,'W6 - Preform cost'!$B15)/DZ$29</f>
        <v>#N/A</v>
      </c>
      <c r="EB15" s="55"/>
      <c r="EC15" s="55"/>
      <c r="ED15" s="55"/>
      <c r="EF15" s="55"/>
      <c r="EG15" s="329" t="e">
        <f>SUMIFS('W6 - Operating cost'!EI$5:EI$69,'W6 - Operating cost'!$A$5:$A$69,'W6 - Preform cost'!$B15)/EF$29</f>
        <v>#N/A</v>
      </c>
      <c r="EH15" s="55"/>
      <c r="EI15" s="55"/>
      <c r="EJ15" s="55"/>
      <c r="EL15" s="55"/>
      <c r="EM15" s="329" t="e">
        <f>SUMIFS('W6 - Operating cost'!EO$5:EO$69,'W6 - Operating cost'!$A$5:$A$69,'W6 - Preform cost'!$B15)/EL$29</f>
        <v>#N/A</v>
      </c>
      <c r="EN15" s="55"/>
      <c r="EO15" s="55"/>
      <c r="EP15" s="55"/>
      <c r="ER15" s="55"/>
      <c r="ES15" s="329" t="e">
        <f>SUMIFS('W6 - Operating cost'!EU$5:EU$69,'W6 - Operating cost'!$A$5:$A$69,'W6 - Preform cost'!$B15)/ER$29</f>
        <v>#N/A</v>
      </c>
      <c r="ET15" s="55"/>
      <c r="EU15" s="55"/>
      <c r="EV15" s="55"/>
    </row>
    <row r="16" spans="1:152" x14ac:dyDescent="0.25">
      <c r="A16" t="s">
        <v>624</v>
      </c>
      <c r="B16" s="55" t="s">
        <v>534</v>
      </c>
      <c r="C16" s="55" t="s">
        <v>148</v>
      </c>
      <c r="D16" s="55"/>
      <c r="E16" s="329" cm="1">
        <f t="array" ref="E16">SUMPRODUCT('W2'!$M$12:$R$112*('W2'!$B$12:$B$112='W6 - Preform cost'!$B16)*('W2'!$M$7:$R$7='W6 - Operating cost'!$B$1))*SUM(E4:E9,E11:E15)</f>
        <v>9.759119951086122</v>
      </c>
      <c r="F16" s="55"/>
      <c r="G16" s="55"/>
      <c r="H16" s="55"/>
      <c r="J16" s="55"/>
      <c r="K16" s="329" cm="1">
        <f t="array" ref="K16">SUMPRODUCT('W2'!$M$12:$R$112*('W2'!$B$12:$B$112='W6 - Preform cost'!$B16)*('W2'!$M$7:$R$7='W6 - Operating cost'!$B$1))*SUM(K4:K9,K11:K15)</f>
        <v>7.3430285876933645</v>
      </c>
      <c r="L16" s="55"/>
      <c r="M16" s="55"/>
      <c r="N16" s="55"/>
      <c r="P16" s="55"/>
      <c r="Q16" s="329" cm="1">
        <f t="array" ref="Q16">SUMPRODUCT('W2'!$M$12:$R$112*('W2'!$B$12:$B$112='W6 - Preform cost'!$B16)*('W2'!$M$7:$R$7='W6 - Operating cost'!$B$1))*SUM(Q4:Q9,Q11:Q15)</f>
        <v>5.6832107259864415</v>
      </c>
      <c r="R16" s="55"/>
      <c r="S16" s="55"/>
      <c r="T16" s="55"/>
      <c r="V16" s="55"/>
      <c r="W16" s="329" cm="1">
        <f t="array" ref="W16">SUMPRODUCT('W2'!$M$12:$R$112*('W2'!$B$12:$B$112='W6 - Preform cost'!$B16)*('W2'!$M$7:$R$7='W6 - Operating cost'!$B$1))*SUM(W4:W9,W11:W15)</f>
        <v>5.8430739198659669</v>
      </c>
      <c r="X16" s="55"/>
      <c r="Y16" s="55"/>
      <c r="Z16" s="55"/>
      <c r="AB16" s="55"/>
      <c r="AC16" s="329" cm="1">
        <f t="array" ref="AC16">SUMPRODUCT('W2'!$M$12:$R$112*('W2'!$B$12:$B$112='W6 - Preform cost'!$B16)*('W2'!$M$7:$R$7='W6 - Operating cost'!$B$1))*SUM(AC4:AC9,AC11:AC15)</f>
        <v>6.0109302734394712</v>
      </c>
      <c r="AD16" s="55"/>
      <c r="AE16" s="55"/>
      <c r="AF16" s="55"/>
      <c r="AH16" s="55"/>
      <c r="AI16" s="329" cm="1">
        <f t="array" ref="AI16">SUMPRODUCT('W2'!$M$12:$R$112*('W2'!$B$12:$B$112='W6 - Preform cost'!$B16)*('W2'!$M$7:$R$7='W6 - Operating cost'!$B$1))*SUM(AI4:AI9,AI11:AI15)</f>
        <v>6.1871794446916475</v>
      </c>
      <c r="AJ16" s="55"/>
      <c r="AK16" s="55"/>
      <c r="AL16" s="55"/>
      <c r="AN16" s="55"/>
      <c r="AO16" s="329" cm="1">
        <f t="array" ref="AO16">SUMPRODUCT('W2'!$M$12:$R$112*('W2'!$B$12:$B$112='W6 - Preform cost'!$B16)*('W2'!$M$7:$R$7='W6 - Operating cost'!$B$1))*SUM(AO4:AO9,AO11:AO15)</f>
        <v>6.3722410745064346</v>
      </c>
      <c r="AP16" s="55"/>
      <c r="AQ16" s="55"/>
      <c r="AR16" s="55"/>
      <c r="AT16" s="55"/>
      <c r="AU16" s="329" cm="1">
        <f t="array" ref="AU16">SUMPRODUCT('W2'!$M$12:$R$112*('W2'!$B$12:$B$112='W6 - Preform cost'!$B16)*('W2'!$M$7:$R$7='W6 - Operating cost'!$B$1))*SUM(AU4:AU9,AU11:AU15)</f>
        <v>6.5665557858119614</v>
      </c>
      <c r="AV16" s="55"/>
      <c r="AW16" s="55"/>
      <c r="AX16" s="55"/>
      <c r="AZ16" s="55"/>
      <c r="BA16" s="329" cm="1">
        <f t="array" ref="BA16">SUMPRODUCT('W2'!$M$12:$R$112*('W2'!$B$12:$B$112='W6 - Preform cost'!$B16)*('W2'!$M$7:$R$7='W6 - Operating cost'!$B$1))*SUM(BA4:BA9,BA11:BA15)</f>
        <v>6.7705862326827644</v>
      </c>
      <c r="BB16" s="55"/>
      <c r="BC16" s="55"/>
      <c r="BD16" s="55"/>
      <c r="BF16" s="55"/>
      <c r="BG16" s="329" cm="1">
        <f t="array" ref="BG16">SUMPRODUCT('W2'!$M$12:$R$112*('W2'!$B$12:$B$112='W6 - Preform cost'!$B16)*('W2'!$M$7:$R$7='W6 - Operating cost'!$B$1))*SUM(BG4:BG9,BG11:BG15)</f>
        <v>6.9848182018971068</v>
      </c>
      <c r="BH16" s="55"/>
      <c r="BI16" s="55"/>
      <c r="BJ16" s="55"/>
      <c r="BL16" s="55"/>
      <c r="BM16" s="329" cm="1">
        <f t="array" ref="BM16">SUMPRODUCT('W2'!$M$12:$R$112*('W2'!$B$12:$B$112='W6 - Preform cost'!$B16)*('W2'!$M$7:$R$7='W6 - Operating cost'!$B$1))*SUM(BM4:BM9,BM11:BM15)</f>
        <v>7.2097617695721663</v>
      </c>
      <c r="BN16" s="55"/>
      <c r="BO16" s="55"/>
      <c r="BP16" s="55"/>
      <c r="BR16" s="55"/>
      <c r="BS16" s="329" cm="1">
        <f t="array" ref="BS16">SUMPRODUCT('W2'!$M$12:$R$112*('W2'!$B$12:$B$112='W6 - Preform cost'!$B16)*('W2'!$M$7:$R$7='W6 - Operating cost'!$B$1))*SUM(BS4:BS9,BS11:BS15)</f>
        <v>7.4459525156309816</v>
      </c>
      <c r="BT16" s="55"/>
      <c r="BU16" s="55"/>
      <c r="BV16" s="55"/>
      <c r="BX16" s="55"/>
      <c r="BY16" s="329" cm="1">
        <f t="array" ref="BY16">SUMPRODUCT('W2'!$M$12:$R$112*('W2'!$B$12:$B$112='W6 - Preform cost'!$B16)*('W2'!$M$7:$R$7='W6 - Operating cost'!$B$1))*SUM(BY4:BY9,BY11:BY15)</f>
        <v>5.2662703298561055</v>
      </c>
      <c r="BZ16" s="55"/>
      <c r="CA16" s="55"/>
      <c r="CB16" s="55"/>
      <c r="CD16" s="55"/>
      <c r="CE16" s="329" cm="1">
        <f t="array" ref="CE16">SUMPRODUCT('W2'!$M$12:$R$112*('W2'!$B$12:$B$112='W6 - Preform cost'!$B16)*('W2'!$M$7:$R$7='W6 - Operating cost'!$B$1))*SUM(CE4:CE9,CE11:CE15)</f>
        <v>5.5266706273859452</v>
      </c>
      <c r="CF16" s="55"/>
      <c r="CG16" s="55"/>
      <c r="CH16" s="55"/>
      <c r="CJ16" s="55"/>
      <c r="CK16" s="329" cm="1">
        <f t="array" ref="CK16">SUMPRODUCT('W2'!$M$12:$R$112*('W2'!$B$12:$B$112='W6 - Preform cost'!$B16)*('W2'!$M$7:$R$7='W6 - Operating cost'!$B$1))*SUM(CK4:CK9,CK11:CK15)</f>
        <v>5.8000909397922804</v>
      </c>
      <c r="CL16" s="55"/>
      <c r="CM16" s="55"/>
      <c r="CN16" s="55"/>
      <c r="CP16" s="55"/>
      <c r="CQ16" s="329" t="e" cm="1">
        <f t="array" ref="CQ16">SUMPRODUCT('W2'!$M$12:$R$112*('W2'!$B$12:$B$112='W6 - Preform cost'!$B16)*('W2'!$M$7:$R$7='W6 - Operating cost'!$B$1))*SUM(CQ4:CQ9,CQ11:CQ15)</f>
        <v>#N/A</v>
      </c>
      <c r="CR16" s="55"/>
      <c r="CS16" s="55"/>
      <c r="CT16" s="55"/>
      <c r="CV16" s="55"/>
      <c r="CW16" s="329" t="e" cm="1">
        <f t="array" ref="CW16">SUMPRODUCT('W2'!$M$12:$R$112*('W2'!$B$12:$B$112='W6 - Preform cost'!$B16)*('W2'!$M$7:$R$7='W6 - Operating cost'!$B$1))*SUM(CW4:CW9,CW11:CW15)</f>
        <v>#N/A</v>
      </c>
      <c r="CX16" s="55"/>
      <c r="CY16" s="55"/>
      <c r="CZ16" s="55"/>
      <c r="DB16" s="55"/>
      <c r="DC16" s="329" t="e" cm="1">
        <f t="array" ref="DC16">SUMPRODUCT('W2'!$M$12:$R$112*('W2'!$B$12:$B$112='W6 - Preform cost'!$B16)*('W2'!$M$7:$R$7='W6 - Operating cost'!$B$1))*SUM(DC4:DC9,DC11:DC15)</f>
        <v>#N/A</v>
      </c>
      <c r="DD16" s="55"/>
      <c r="DE16" s="55"/>
      <c r="DF16" s="55"/>
      <c r="DH16" s="55"/>
      <c r="DI16" s="329" t="e" cm="1">
        <f t="array" ref="DI16">SUMPRODUCT('W2'!$M$12:$R$112*('W2'!$B$12:$B$112='W6 - Preform cost'!$B16)*('W2'!$M$7:$R$7='W6 - Operating cost'!$B$1))*SUM(DI4:DI9,DI11:DI15)</f>
        <v>#N/A</v>
      </c>
      <c r="DJ16" s="55"/>
      <c r="DK16" s="55"/>
      <c r="DL16" s="55"/>
      <c r="DN16" s="55"/>
      <c r="DO16" s="329" t="e" cm="1">
        <f t="array" ref="DO16">SUMPRODUCT('W2'!$M$12:$R$112*('W2'!$B$12:$B$112='W6 - Preform cost'!$B16)*('W2'!$M$7:$R$7='W6 - Operating cost'!$B$1))*SUM(DO4:DO9,DO11:DO15)</f>
        <v>#N/A</v>
      </c>
      <c r="DP16" s="55"/>
      <c r="DQ16" s="55"/>
      <c r="DR16" s="55"/>
      <c r="DT16" s="55"/>
      <c r="DU16" s="329" t="e" cm="1">
        <f t="array" ref="DU16">SUMPRODUCT('W2'!$M$12:$R$112*('W2'!$B$12:$B$112='W6 - Preform cost'!$B16)*('W2'!$M$7:$R$7='W6 - Operating cost'!$B$1))*SUM(DU4:DU9,DU11:DU15)</f>
        <v>#N/A</v>
      </c>
      <c r="DV16" s="55"/>
      <c r="DW16" s="55"/>
      <c r="DX16" s="55"/>
      <c r="DZ16" s="55"/>
      <c r="EA16" s="329" t="e" cm="1">
        <f t="array" ref="EA16">SUMPRODUCT('W2'!$M$12:$R$112*('W2'!$B$12:$B$112='W6 - Preform cost'!$B16)*('W2'!$M$7:$R$7='W6 - Operating cost'!$B$1))*SUM(EA4:EA9,EA11:EA15)</f>
        <v>#N/A</v>
      </c>
      <c r="EB16" s="55"/>
      <c r="EC16" s="55"/>
      <c r="ED16" s="55"/>
      <c r="EF16" s="55"/>
      <c r="EG16" s="329" t="e" cm="1">
        <f t="array" ref="EG16">SUMPRODUCT('W2'!$M$12:$R$112*('W2'!$B$12:$B$112='W6 - Preform cost'!$B16)*('W2'!$M$7:$R$7='W6 - Operating cost'!$B$1))*SUM(EG4:EG9,EG11:EG15)</f>
        <v>#N/A</v>
      </c>
      <c r="EH16" s="55"/>
      <c r="EI16" s="55"/>
      <c r="EJ16" s="55"/>
      <c r="EL16" s="55"/>
      <c r="EM16" s="329" t="e" cm="1">
        <f t="array" ref="EM16">SUMPRODUCT('W2'!$M$12:$R$112*('W2'!$B$12:$B$112='W6 - Preform cost'!$B16)*('W2'!$M$7:$R$7='W6 - Operating cost'!$B$1))*SUM(EM4:EM9,EM11:EM15)</f>
        <v>#N/A</v>
      </c>
      <c r="EN16" s="55"/>
      <c r="EO16" s="55"/>
      <c r="EP16" s="55"/>
      <c r="ER16" s="55"/>
      <c r="ES16" s="329" t="e" cm="1">
        <f t="array" ref="ES16">SUMPRODUCT('W2'!$M$12:$R$112*('W2'!$B$12:$B$112='W6 - Preform cost'!$B16)*('W2'!$M$7:$R$7='W6 - Operating cost'!$B$1))*SUM(ES4:ES9,ES11:ES15)</f>
        <v>#N/A</v>
      </c>
      <c r="ET16" s="55"/>
      <c r="EU16" s="55"/>
      <c r="EV16" s="55"/>
    </row>
    <row r="17" spans="1:152" x14ac:dyDescent="0.25">
      <c r="A17" t="s">
        <v>625</v>
      </c>
      <c r="B17" s="55" t="s">
        <v>144</v>
      </c>
      <c r="C17" s="55" t="s">
        <v>148</v>
      </c>
      <c r="D17" s="55"/>
      <c r="E17" s="329" cm="1">
        <f t="array" ref="E17">SUMPRODUCT('Lãi vay'!$E$5:$AI$54*('Lãi vay'!$A$5:$A$54='W6 - Operating cost'!$B$1)*('Lãi vay'!$B$5:$B$54="lãi vay")*('Lãi vay'!$E$3:$AI$3='W6 - Operating cost'!H$2))/D29*'W6 - Operating cost'!$E$1</f>
        <v>71.373864592616897</v>
      </c>
      <c r="F17" s="55"/>
      <c r="G17" s="55"/>
      <c r="H17" s="55"/>
      <c r="J17" s="55"/>
      <c r="K17" s="329" cm="1">
        <f t="array" ref="K17">SUMPRODUCT('Lãi vay'!$E$5:$AI$54*('Lãi vay'!$A$5:$A$54='W6 - Operating cost'!$B$1)*('Lãi vay'!$B$5:$B$54="lãi vay")*('Lãi vay'!$E$3:$AI$3='W6 - Operating cost'!N$2))/J29*'W6 - Operating cost'!$E$1</f>
        <v>48.952548884066609</v>
      </c>
      <c r="L17" s="55"/>
      <c r="M17" s="55"/>
      <c r="N17" s="55"/>
      <c r="P17" s="55"/>
      <c r="Q17" s="329" cm="1">
        <f t="array" ref="Q17">SUMPRODUCT('Lãi vay'!$E$5:$AI$54*('Lãi vay'!$A$5:$A$54='W6 - Operating cost'!$B$1)*('Lãi vay'!$B$5:$B$54="lãi vay")*('Lãi vay'!$E$3:$AI$3='W6 - Operating cost'!T$2))/P29*'W6 - Operating cost'!$E$1</f>
        <v>32.747225775962477</v>
      </c>
      <c r="R17" s="55"/>
      <c r="S17" s="55"/>
      <c r="T17" s="55"/>
      <c r="V17" s="55"/>
      <c r="W17" s="329" cm="1">
        <f t="array" ref="W17">SUMPRODUCT('Lãi vay'!$E$5:$AI$54*('Lãi vay'!$A$5:$A$54='W6 - Operating cost'!$B$1)*('Lãi vay'!$B$5:$B$54="lãi vay")*('Lãi vay'!$E$3:$AI$3='W6 - Operating cost'!Z$2))/V29*'W6 - Operating cost'!$E$1</f>
        <v>31.121298242076431</v>
      </c>
      <c r="X17" s="55"/>
      <c r="Y17" s="55"/>
      <c r="Z17" s="55"/>
      <c r="AB17" s="55"/>
      <c r="AC17" s="329" cm="1">
        <f t="array" ref="AC17">SUMPRODUCT('Lãi vay'!$E$5:$AI$54*('Lãi vay'!$A$5:$A$54='W6 - Operating cost'!$B$1)*('Lãi vay'!$B$5:$B$54="lãi vay")*('Lãi vay'!$E$3:$AI$3='W6 - Operating cost'!AF$2))/AB29*'W6 - Operating cost'!$E$1</f>
        <v>29.381555780818363</v>
      </c>
      <c r="AD17" s="55"/>
      <c r="AE17" s="55"/>
      <c r="AF17" s="55"/>
      <c r="AH17" s="55"/>
      <c r="AI17" s="329" cm="1">
        <f t="array" ref="AI17">SUMPRODUCT('Lãi vay'!$E$5:$AI$54*('Lãi vay'!$A$5:$A$54='W6 - Operating cost'!$B$1)*('Lãi vay'!$B$5:$B$54="lãi vay")*('Lãi vay'!$E$3:$AI$3='W6 - Operating cost'!AL$2))/AH29*'W6 - Operating cost'!$E$1</f>
        <v>27.520031347272241</v>
      </c>
      <c r="AJ17" s="55"/>
      <c r="AK17" s="55"/>
      <c r="AL17" s="55"/>
      <c r="AN17" s="55"/>
      <c r="AO17" s="329" cm="1">
        <f t="array" ref="AO17">SUMPRODUCT('Lãi vay'!$E$5:$AI$54*('Lãi vay'!$A$5:$A$54='W6 - Operating cost'!$B$1)*('Lãi vay'!$B$5:$B$54="lãi vay")*('Lãi vay'!$E$3:$AI$3='W6 - Operating cost'!AR$2))/AN29*'W6 - Operating cost'!$E$1</f>
        <v>25.528200203377882</v>
      </c>
      <c r="AP17" s="55"/>
      <c r="AQ17" s="55"/>
      <c r="AR17" s="55"/>
      <c r="AT17" s="55"/>
      <c r="AU17" s="329" cm="1">
        <f t="array" ref="AU17">SUMPRODUCT('Lãi vay'!$E$5:$AI$54*('Lãi vay'!$A$5:$A$54='W6 - Operating cost'!$B$1)*('Lãi vay'!$B$5:$B$54="lãi vay")*('Lãi vay'!$E$3:$AI$3='W6 - Operating cost'!AX$2))/AT29*'W6 - Operating cost'!$E$1</f>
        <v>23.396940879410916</v>
      </c>
      <c r="AV17" s="55"/>
      <c r="AW17" s="55"/>
      <c r="AX17" s="55"/>
      <c r="AZ17" s="55"/>
      <c r="BA17" s="329" cm="1">
        <f t="array" ref="BA17">SUMPRODUCT('Lãi vay'!$E$5:$AI$54*('Lãi vay'!$A$5:$A$54='W6 - Operating cost'!$B$1)*('Lãi vay'!$B$5:$B$54="lãi vay")*('Lãi vay'!$E$3:$AI$3='W6 - Operating cost'!BD$2))/AZ29*'W6 - Operating cost'!$E$1</f>
        <v>21.11649340276627</v>
      </c>
      <c r="BB17" s="55"/>
      <c r="BC17" s="55"/>
      <c r="BD17" s="55"/>
      <c r="BF17" s="55"/>
      <c r="BG17" s="329" cm="1">
        <f t="array" ref="BG17">SUMPRODUCT('Lãi vay'!$E$5:$AI$54*('Lãi vay'!$A$5:$A$54='W6 - Operating cost'!$B$1)*('Lãi vay'!$B$5:$B$54="lãi vay")*('Lãi vay'!$E$3:$AI$3='W6 - Operating cost'!BJ$2))/BF29*'W6 - Operating cost'!$E$1</f>
        <v>18.676414602756491</v>
      </c>
      <c r="BH17" s="55"/>
      <c r="BI17" s="55"/>
      <c r="BJ17" s="55"/>
      <c r="BL17" s="55"/>
      <c r="BM17" s="329" cm="1">
        <f t="array" ref="BM17">SUMPRODUCT('Lãi vay'!$E$5:$AI$54*('Lãi vay'!$A$5:$A$54='W6 - Operating cost'!$B$1)*('Lãi vay'!$B$5:$B$54="lãi vay")*('Lãi vay'!$E$3:$AI$3='W6 - Operating cost'!BP$2))/BL29*'W6 - Operating cost'!$E$1</f>
        <v>16.065530286746032</v>
      </c>
      <c r="BN17" s="55"/>
      <c r="BO17" s="55"/>
      <c r="BP17" s="55"/>
      <c r="BR17" s="55"/>
      <c r="BS17" s="329" cm="1">
        <f t="array" ref="BS17">SUMPRODUCT('Lãi vay'!$E$5:$AI$54*('Lãi vay'!$A$5:$A$54='W6 - Operating cost'!$B$1)*('Lãi vay'!$B$5:$B$54="lãi vay")*('Lãi vay'!$E$3:$AI$3='W6 - Operating cost'!BV$2))/BR29*'W6 - Operating cost'!$E$1</f>
        <v>13.271884068614838</v>
      </c>
      <c r="BT17" s="55"/>
      <c r="BU17" s="55"/>
      <c r="BV17" s="55"/>
      <c r="BX17" s="55"/>
      <c r="BY17" s="329" cm="1">
        <f t="array" ref="BY17">SUMPRODUCT('Lãi vay'!$E$5:$AI$54*('Lãi vay'!$A$5:$A$54='W6 - Operating cost'!$B$1)*('Lãi vay'!$B$5:$B$54="lãi vay")*('Lãi vay'!$E$3:$AI$3='W6 - Operating cost'!CB$2))/BX29*'W6 - Operating cost'!$E$1</f>
        <v>10.282682615214462</v>
      </c>
      <c r="BZ17" s="55"/>
      <c r="CA17" s="55"/>
      <c r="CB17" s="55"/>
      <c r="CD17" s="55"/>
      <c r="CE17" s="329" cm="1">
        <f t="array" ref="CE17">SUMPRODUCT('Lãi vay'!$E$5:$AI$54*('Lãi vay'!$A$5:$A$54='W6 - Operating cost'!$B$1)*('Lãi vay'!$B$5:$B$54="lãi vay")*('Lãi vay'!$E$3:$AI$3='W6 - Operating cost'!CH$2))/CD29*'W6 - Operating cost'!$E$1</f>
        <v>7.0842370600760596</v>
      </c>
      <c r="CF17" s="55"/>
      <c r="CG17" s="55"/>
      <c r="CH17" s="55"/>
      <c r="CJ17" s="55"/>
      <c r="CK17" s="329" cm="1">
        <f t="array" ref="CK17">SUMPRODUCT('Lãi vay'!$E$5:$AI$54*('Lãi vay'!$A$5:$A$54='W6 - Operating cost'!$B$1)*('Lãi vay'!$B$5:$B$54="lãi vay")*('Lãi vay'!$E$3:$AI$3='W6 - Operating cost'!CN$2))/CJ29*'W6 - Operating cost'!$E$1</f>
        <v>3.6619003160779675</v>
      </c>
      <c r="CL17" s="55"/>
      <c r="CM17" s="55"/>
      <c r="CN17" s="55"/>
      <c r="CP17" s="55"/>
      <c r="CQ17" s="329" t="e" cm="1">
        <f t="array" ref="CQ17">SUMPRODUCT('Lãi vay'!$E$5:$AI$54*('Lãi vay'!$A$5:$A$54='W6 - Operating cost'!$B$1)*('Lãi vay'!$B$5:$B$54="lãi vay")*('Lãi vay'!$E$3:$AI$3='W6 - Operating cost'!CT$2))/CP29*'W6 - Operating cost'!$E$1</f>
        <v>#N/A</v>
      </c>
      <c r="CR17" s="55"/>
      <c r="CS17" s="55"/>
      <c r="CT17" s="55"/>
      <c r="CV17" s="55"/>
      <c r="CW17" s="329" t="e" cm="1">
        <f t="array" ref="CW17">SUMPRODUCT('Lãi vay'!$E$5:$AI$54*('Lãi vay'!$A$5:$A$54='W6 - Operating cost'!$B$1)*('Lãi vay'!$B$5:$B$54="lãi vay")*('Lãi vay'!$E$3:$AI$3='W6 - Operating cost'!CZ$2))/CV29*'W6 - Operating cost'!$E$1</f>
        <v>#N/A</v>
      </c>
      <c r="CX17" s="55"/>
      <c r="CY17" s="55"/>
      <c r="CZ17" s="55"/>
      <c r="DB17" s="55"/>
      <c r="DC17" s="329" t="e" cm="1">
        <f t="array" ref="DC17">SUMPRODUCT('Lãi vay'!$E$5:$AI$54*('Lãi vay'!$A$5:$A$54='W6 - Operating cost'!$B$1)*('Lãi vay'!$B$5:$B$54="lãi vay")*('Lãi vay'!$E$3:$AI$3='W6 - Operating cost'!DF$2))/DB29*'W6 - Operating cost'!$E$1</f>
        <v>#N/A</v>
      </c>
      <c r="DD17" s="55"/>
      <c r="DE17" s="55"/>
      <c r="DF17" s="55"/>
      <c r="DH17" s="55"/>
      <c r="DI17" s="329" t="e" cm="1">
        <f t="array" ref="DI17">SUMPRODUCT('Lãi vay'!$E$5:$AI$54*('Lãi vay'!$A$5:$A$54='W6 - Operating cost'!$B$1)*('Lãi vay'!$B$5:$B$54="lãi vay")*('Lãi vay'!$E$3:$AI$3='W6 - Operating cost'!DL$2))/DH29*'W6 - Operating cost'!$E$1</f>
        <v>#N/A</v>
      </c>
      <c r="DJ17" s="55"/>
      <c r="DK17" s="55"/>
      <c r="DL17" s="55"/>
      <c r="DN17" s="55"/>
      <c r="DO17" s="329" t="e" cm="1">
        <f t="array" ref="DO17">SUMPRODUCT('Lãi vay'!$E$5:$AI$54*('Lãi vay'!$A$5:$A$54='W6 - Operating cost'!$B$1)*('Lãi vay'!$B$5:$B$54="lãi vay")*('Lãi vay'!$E$3:$AI$3='W6 - Operating cost'!DR$2))/DN29*'W6 - Operating cost'!$E$1</f>
        <v>#N/A</v>
      </c>
      <c r="DP17" s="55"/>
      <c r="DQ17" s="55"/>
      <c r="DR17" s="55"/>
      <c r="DT17" s="55"/>
      <c r="DU17" s="329" t="e" cm="1">
        <f t="array" ref="DU17">SUMPRODUCT('Lãi vay'!$E$5:$AI$54*('Lãi vay'!$A$5:$A$54='W6 - Operating cost'!$B$1)*('Lãi vay'!$B$5:$B$54="lãi vay")*('Lãi vay'!$E$3:$AI$3='W6 - Operating cost'!DX$2))/DT29*'W6 - Operating cost'!$E$1</f>
        <v>#N/A</v>
      </c>
      <c r="DV17" s="55"/>
      <c r="DW17" s="55"/>
      <c r="DX17" s="55"/>
      <c r="DZ17" s="55"/>
      <c r="EA17" s="329" t="e" cm="1">
        <f t="array" ref="EA17">SUMPRODUCT('Lãi vay'!$E$5:$AI$54*('Lãi vay'!$A$5:$A$54='W6 - Operating cost'!$B$1)*('Lãi vay'!$B$5:$B$54="lãi vay")*('Lãi vay'!$E$3:$AI$3='W6 - Operating cost'!ED$2))/DZ29*'W6 - Operating cost'!$E$1</f>
        <v>#N/A</v>
      </c>
      <c r="EB17" s="55"/>
      <c r="EC17" s="55"/>
      <c r="ED17" s="55"/>
      <c r="EF17" s="55"/>
      <c r="EG17" s="329" t="e" cm="1">
        <f t="array" ref="EG17">SUMPRODUCT('Lãi vay'!$E$5:$AI$54*('Lãi vay'!$A$5:$A$54='W6 - Operating cost'!$B$1)*('Lãi vay'!$B$5:$B$54="lãi vay")*('Lãi vay'!$E$3:$AI$3='W6 - Operating cost'!EJ$2))/EF29*'W6 - Operating cost'!$E$1</f>
        <v>#N/A</v>
      </c>
      <c r="EH17" s="55"/>
      <c r="EI17" s="55"/>
      <c r="EJ17" s="55"/>
      <c r="EL17" s="55"/>
      <c r="EM17" s="329" t="e" cm="1">
        <f t="array" ref="EM17">SUMPRODUCT('Lãi vay'!$E$5:$AI$54*('Lãi vay'!$A$5:$A$54='W6 - Operating cost'!$B$1)*('Lãi vay'!$B$5:$B$54="lãi vay")*('Lãi vay'!$E$3:$AI$3='W6 - Operating cost'!EP$2))/EL29*'W6 - Operating cost'!$E$1</f>
        <v>#N/A</v>
      </c>
      <c r="EN17" s="55"/>
      <c r="EO17" s="55"/>
      <c r="EP17" s="55"/>
      <c r="ER17" s="55"/>
      <c r="ES17" s="329" t="e" cm="1">
        <f t="array" ref="ES17">SUMPRODUCT('Lãi vay'!$E$5:$AI$54*('Lãi vay'!$A$5:$A$54='W6 - Operating cost'!$B$1)*('Lãi vay'!$B$5:$B$54="lãi vay")*('Lãi vay'!$E$3:$AI$3='W6 - Operating cost'!EV$2))/ER29*'W6 - Operating cost'!$E$1</f>
        <v>#N/A</v>
      </c>
      <c r="ET17" s="55"/>
      <c r="EU17" s="55"/>
      <c r="EV17" s="55"/>
    </row>
    <row r="18" spans="1:152" x14ac:dyDescent="0.25">
      <c r="A18" t="s">
        <v>624</v>
      </c>
      <c r="B18" s="55" t="s">
        <v>156</v>
      </c>
      <c r="C18" s="55" t="s">
        <v>148</v>
      </c>
      <c r="D18" s="55"/>
      <c r="E18" s="329" cm="1">
        <f t="array" ref="E18">SUMPRODUCT('W2'!$M$12:$R$112*('W2'!$B$12:$B$112='W6 - Preform cost'!$B18)*('W2'!$M$7:$R$7='W6 - Operating cost'!$B$1))*POWER(1+'W6 - Operating cost'!$C$72,'W6 - Operating cost'!G1)*'W6 - Operating cost'!$E$1/PHOI_KG</f>
        <v>0</v>
      </c>
      <c r="F18" s="55"/>
      <c r="G18" s="55"/>
      <c r="H18" s="55"/>
      <c r="J18" s="55"/>
      <c r="K18" s="329" cm="1">
        <f t="array" ref="K18">SUMPRODUCT('W2'!$M$12:$R$112*('W2'!$B$12:$B$112='W6 - Preform cost'!$B18)*('W2'!$M$7:$R$7='W6 - Operating cost'!$B$1))*POWER(1+'W6 - Operating cost'!$C$72,'W6 - Operating cost'!M1)*'W6 - Operating cost'!$E$1/PHOI_KG</f>
        <v>0</v>
      </c>
      <c r="L18" s="55"/>
      <c r="M18" s="55"/>
      <c r="N18" s="55"/>
      <c r="P18" s="55"/>
      <c r="Q18" s="329" cm="1">
        <f t="array" ref="Q18">SUMPRODUCT('W2'!$M$12:$R$112*('W2'!$B$12:$B$112='W6 - Preform cost'!$B18)*('W2'!$M$7:$R$7='W6 - Operating cost'!$B$1))*POWER(1+'W6 - Operating cost'!$C$72,'W6 - Operating cost'!S1)*'W6 - Operating cost'!$E$1/PHOI_KG</f>
        <v>0</v>
      </c>
      <c r="R18" s="55"/>
      <c r="S18" s="55"/>
      <c r="T18" s="55"/>
      <c r="V18" s="55"/>
      <c r="W18" s="329" cm="1">
        <f t="array" ref="W18">SUMPRODUCT('W2'!$M$12:$R$112*('W2'!$B$12:$B$112='W6 - Preform cost'!$B18)*('W2'!$M$7:$R$7='W6 - Operating cost'!$B$1))*POWER(1+'W6 - Operating cost'!$C$72,'W6 - Operating cost'!Y1)*'W6 - Operating cost'!$E$1/PHOI_KG</f>
        <v>0</v>
      </c>
      <c r="X18" s="55"/>
      <c r="Y18" s="55"/>
      <c r="Z18" s="55"/>
      <c r="AB18" s="55"/>
      <c r="AC18" s="329" cm="1">
        <f t="array" ref="AC18">SUMPRODUCT('W2'!$M$12:$R$112*('W2'!$B$12:$B$112='W6 - Preform cost'!$B18)*('W2'!$M$7:$R$7='W6 - Operating cost'!$B$1))*POWER(1+'W6 - Operating cost'!$C$72,'W6 - Operating cost'!AE1)*'W6 - Operating cost'!$E$1/PHOI_KG</f>
        <v>0</v>
      </c>
      <c r="AD18" s="55"/>
      <c r="AE18" s="55"/>
      <c r="AF18" s="55"/>
      <c r="AH18" s="55"/>
      <c r="AI18" s="329" cm="1">
        <f t="array" ref="AI18">SUMPRODUCT('W2'!$M$12:$R$112*('W2'!$B$12:$B$112='W6 - Preform cost'!$B18)*('W2'!$M$7:$R$7='W6 - Operating cost'!$B$1))*POWER(1+'W6 - Operating cost'!$C$72,'W6 - Operating cost'!AK1)*'W6 - Operating cost'!$E$1/PHOI_KG</f>
        <v>0</v>
      </c>
      <c r="AJ18" s="55"/>
      <c r="AK18" s="55"/>
      <c r="AL18" s="55"/>
      <c r="AN18" s="55"/>
      <c r="AO18" s="329" cm="1">
        <f t="array" ref="AO18">SUMPRODUCT('W2'!$M$12:$R$112*('W2'!$B$12:$B$112='W6 - Preform cost'!$B18)*('W2'!$M$7:$R$7='W6 - Operating cost'!$B$1))*POWER(1+'W6 - Operating cost'!$C$72,'W6 - Operating cost'!AQ1)*'W6 - Operating cost'!$E$1/PHOI_KG</f>
        <v>0</v>
      </c>
      <c r="AP18" s="55"/>
      <c r="AQ18" s="55"/>
      <c r="AR18" s="55"/>
      <c r="AT18" s="55"/>
      <c r="AU18" s="329" cm="1">
        <f t="array" ref="AU18">SUMPRODUCT('W2'!$M$12:$R$112*('W2'!$B$12:$B$112='W6 - Preform cost'!$B18)*('W2'!$M$7:$R$7='W6 - Operating cost'!$B$1))*POWER(1+'W6 - Operating cost'!$C$72,'W6 - Operating cost'!AW1)*'W6 - Operating cost'!$E$1/PHOI_KG</f>
        <v>0</v>
      </c>
      <c r="AV18" s="55"/>
      <c r="AW18" s="55"/>
      <c r="AX18" s="55"/>
      <c r="AZ18" s="55"/>
      <c r="BA18" s="329" cm="1">
        <f t="array" ref="BA18">SUMPRODUCT('W2'!$M$12:$R$112*('W2'!$B$12:$B$112='W6 - Preform cost'!$B18)*('W2'!$M$7:$R$7='W6 - Operating cost'!$B$1))*POWER(1+'W6 - Operating cost'!$C$72,'W6 - Operating cost'!BC1)*'W6 - Operating cost'!$E$1/PHOI_KG</f>
        <v>0</v>
      </c>
      <c r="BB18" s="55"/>
      <c r="BC18" s="55"/>
      <c r="BD18" s="55"/>
      <c r="BF18" s="55"/>
      <c r="BG18" s="329" cm="1">
        <f t="array" ref="BG18">SUMPRODUCT('W2'!$M$12:$R$112*('W2'!$B$12:$B$112='W6 - Preform cost'!$B18)*('W2'!$M$7:$R$7='W6 - Operating cost'!$B$1))*POWER(1+'W6 - Operating cost'!$C$72,'W6 - Operating cost'!BI1)*'W6 - Operating cost'!$E$1/PHOI_KG</f>
        <v>0</v>
      </c>
      <c r="BH18" s="55"/>
      <c r="BI18" s="55"/>
      <c r="BJ18" s="55"/>
      <c r="BL18" s="55"/>
      <c r="BM18" s="329" cm="1">
        <f t="array" ref="BM18">SUMPRODUCT('W2'!$M$12:$R$112*('W2'!$B$12:$B$112='W6 - Preform cost'!$B18)*('W2'!$M$7:$R$7='W6 - Operating cost'!$B$1))*POWER(1+'W6 - Operating cost'!$C$72,'W6 - Operating cost'!BO1)*'W6 - Operating cost'!$E$1/PHOI_KG</f>
        <v>0</v>
      </c>
      <c r="BN18" s="55"/>
      <c r="BO18" s="55"/>
      <c r="BP18" s="55"/>
      <c r="BR18" s="55"/>
      <c r="BS18" s="329" cm="1">
        <f t="array" ref="BS18">SUMPRODUCT('W2'!$M$12:$R$112*('W2'!$B$12:$B$112='W6 - Preform cost'!$B18)*('W2'!$M$7:$R$7='W6 - Operating cost'!$B$1))*POWER(1+'W6 - Operating cost'!$C$72,'W6 - Operating cost'!BU1)*'W6 - Operating cost'!$E$1/PHOI_KG</f>
        <v>0</v>
      </c>
      <c r="BT18" s="55"/>
      <c r="BU18" s="55"/>
      <c r="BV18" s="55"/>
      <c r="BX18" s="55"/>
      <c r="BY18" s="329" cm="1">
        <f t="array" ref="BY18">SUMPRODUCT('W2'!$M$12:$R$112*('W2'!$B$12:$B$112='W6 - Preform cost'!$B18)*('W2'!$M$7:$R$7='W6 - Operating cost'!$B$1))*POWER(1+'W6 - Operating cost'!$C$72,'W6 - Operating cost'!CA1)*'W6 - Operating cost'!$E$1/PHOI_KG</f>
        <v>0</v>
      </c>
      <c r="BZ18" s="55"/>
      <c r="CA18" s="55"/>
      <c r="CB18" s="55"/>
      <c r="CD18" s="55"/>
      <c r="CE18" s="329" cm="1">
        <f t="array" ref="CE18">SUMPRODUCT('W2'!$M$12:$R$112*('W2'!$B$12:$B$112='W6 - Preform cost'!$B18)*('W2'!$M$7:$R$7='W6 - Operating cost'!$B$1))*POWER(1+'W6 - Operating cost'!$C$72,'W6 - Operating cost'!CG1)*'W6 - Operating cost'!$E$1/PHOI_KG</f>
        <v>0</v>
      </c>
      <c r="CF18" s="55"/>
      <c r="CG18" s="55"/>
      <c r="CH18" s="55"/>
      <c r="CJ18" s="55"/>
      <c r="CK18" s="329" cm="1">
        <f t="array" ref="CK18">SUMPRODUCT('W2'!$M$12:$R$112*('W2'!$B$12:$B$112='W6 - Preform cost'!$B18)*('W2'!$M$7:$R$7='W6 - Operating cost'!$B$1))*POWER(1+'W6 - Operating cost'!$C$72,'W6 - Operating cost'!CM1)*'W6 - Operating cost'!$E$1/PHOI_KG</f>
        <v>0</v>
      </c>
      <c r="CL18" s="55"/>
      <c r="CM18" s="55"/>
      <c r="CN18" s="55"/>
      <c r="CP18" s="55"/>
      <c r="CQ18" s="329" cm="1">
        <f t="array" ref="CQ18">SUMPRODUCT('W2'!$M$12:$R$112*('W2'!$B$12:$B$112='W6 - Preform cost'!$B18)*('W2'!$M$7:$R$7='W6 - Operating cost'!$B$1))*POWER(1+'W6 - Operating cost'!$C$72,'W6 - Operating cost'!CS1)*'W6 - Operating cost'!$E$1/PHOI_KG</f>
        <v>0</v>
      </c>
      <c r="CR18" s="55"/>
      <c r="CS18" s="55"/>
      <c r="CT18" s="55"/>
      <c r="CV18" s="55"/>
      <c r="CW18" s="329" cm="1">
        <f t="array" ref="CW18">SUMPRODUCT('W2'!$M$12:$R$112*('W2'!$B$12:$B$112='W6 - Preform cost'!$B18)*('W2'!$M$7:$R$7='W6 - Operating cost'!$B$1))*POWER(1+'W6 - Operating cost'!$C$72,'W6 - Operating cost'!CY1)*'W6 - Operating cost'!$E$1/PHOI_KG</f>
        <v>0</v>
      </c>
      <c r="CX18" s="55"/>
      <c r="CY18" s="55"/>
      <c r="CZ18" s="55"/>
      <c r="DB18" s="55"/>
      <c r="DC18" s="329" cm="1">
        <f t="array" ref="DC18">SUMPRODUCT('W2'!$M$12:$R$112*('W2'!$B$12:$B$112='W6 - Preform cost'!$B18)*('W2'!$M$7:$R$7='W6 - Operating cost'!$B$1))*POWER(1+'W6 - Operating cost'!$C$72,'W6 - Operating cost'!DE1)*'W6 - Operating cost'!$E$1/PHOI_KG</f>
        <v>0</v>
      </c>
      <c r="DD18" s="55"/>
      <c r="DE18" s="55"/>
      <c r="DF18" s="55"/>
      <c r="DH18" s="55"/>
      <c r="DI18" s="329" cm="1">
        <f t="array" ref="DI18">SUMPRODUCT('W2'!$M$12:$R$112*('W2'!$B$12:$B$112='W6 - Preform cost'!$B18)*('W2'!$M$7:$R$7='W6 - Operating cost'!$B$1))*POWER(1+'W6 - Operating cost'!$C$72,'W6 - Operating cost'!DK1)*'W6 - Operating cost'!$E$1/PHOI_KG</f>
        <v>0</v>
      </c>
      <c r="DJ18" s="55"/>
      <c r="DK18" s="55"/>
      <c r="DL18" s="55"/>
      <c r="DN18" s="55"/>
      <c r="DO18" s="329" cm="1">
        <f t="array" ref="DO18">SUMPRODUCT('W2'!$M$12:$R$112*('W2'!$B$12:$B$112='W6 - Preform cost'!$B18)*('W2'!$M$7:$R$7='W6 - Operating cost'!$B$1))*POWER(1+'W6 - Operating cost'!$C$72,'W6 - Operating cost'!DQ1)*'W6 - Operating cost'!$E$1/PHOI_KG</f>
        <v>0</v>
      </c>
      <c r="DP18" s="55"/>
      <c r="DQ18" s="55"/>
      <c r="DR18" s="55"/>
      <c r="DT18" s="55"/>
      <c r="DU18" s="329" cm="1">
        <f t="array" ref="DU18">SUMPRODUCT('W2'!$M$12:$R$112*('W2'!$B$12:$B$112='W6 - Preform cost'!$B18)*('W2'!$M$7:$R$7='W6 - Operating cost'!$B$1))*POWER(1+'W6 - Operating cost'!$C$72,'W6 - Operating cost'!DW1)*'W6 - Operating cost'!$E$1/PHOI_KG</f>
        <v>0</v>
      </c>
      <c r="DV18" s="55"/>
      <c r="DW18" s="55"/>
      <c r="DX18" s="55"/>
      <c r="DZ18" s="55"/>
      <c r="EA18" s="329" cm="1">
        <f t="array" ref="EA18">SUMPRODUCT('W2'!$M$12:$R$112*('W2'!$B$12:$B$112='W6 - Preform cost'!$B18)*('W2'!$M$7:$R$7='W6 - Operating cost'!$B$1))*POWER(1+'W6 - Operating cost'!$C$72,'W6 - Operating cost'!EC1)*'W6 - Operating cost'!$E$1/PHOI_KG</f>
        <v>0</v>
      </c>
      <c r="EB18" s="55"/>
      <c r="EC18" s="55"/>
      <c r="ED18" s="55"/>
      <c r="EF18" s="55"/>
      <c r="EG18" s="329" cm="1">
        <f t="array" ref="EG18">SUMPRODUCT('W2'!$M$12:$R$112*('W2'!$B$12:$B$112='W6 - Preform cost'!$B18)*('W2'!$M$7:$R$7='W6 - Operating cost'!$B$1))*POWER(1+'W6 - Operating cost'!$C$72,'W6 - Operating cost'!EI1)*'W6 - Operating cost'!$E$1/PHOI_KG</f>
        <v>0</v>
      </c>
      <c r="EH18" s="55"/>
      <c r="EI18" s="55"/>
      <c r="EJ18" s="55"/>
      <c r="EL18" s="55"/>
      <c r="EM18" s="329" cm="1">
        <f t="array" ref="EM18">SUMPRODUCT('W2'!$M$12:$R$112*('W2'!$B$12:$B$112='W6 - Preform cost'!$B18)*('W2'!$M$7:$R$7='W6 - Operating cost'!$B$1))*POWER(1+'W6 - Operating cost'!$C$72,'W6 - Operating cost'!EO1)*'W6 - Operating cost'!$E$1/PHOI_KG</f>
        <v>0</v>
      </c>
      <c r="EN18" s="55"/>
      <c r="EO18" s="55"/>
      <c r="EP18" s="55"/>
      <c r="ER18" s="55"/>
      <c r="ES18" s="329" cm="1">
        <f t="array" ref="ES18">SUMPRODUCT('W2'!$M$12:$R$112*('W2'!$B$12:$B$112='W6 - Preform cost'!$B18)*('W2'!$M$7:$R$7='W6 - Operating cost'!$B$1))*POWER(1+'W6 - Operating cost'!$C$72,'W6 - Operating cost'!EU1)*'W6 - Operating cost'!$E$1/PHOI_KG</f>
        <v>0</v>
      </c>
      <c r="ET18" s="55"/>
      <c r="EU18" s="55"/>
      <c r="EV18" s="55"/>
    </row>
    <row r="19" spans="1:152" s="142" customFormat="1" x14ac:dyDescent="0.25">
      <c r="B19" s="393" t="s">
        <v>158</v>
      </c>
      <c r="C19" s="393" t="s">
        <v>71</v>
      </c>
      <c r="D19" s="393"/>
      <c r="E19" s="394" cm="1">
        <f t="array" ref="E19">(SUMPRODUCT('W3'!$K$18:$AJ$1670*('W3'!$A$18:$A$1670='W6 - Operating cost'!$B$1)*('W3'!$F$18:$F$1670="Actual_Price")*('W3'!$K$14:$AJ$14='W6 - Operating cost'!H$2))-SUM(E4:E18,E24:E27))/SUM(E4:E18)</f>
        <v>-0.39618925160490631</v>
      </c>
      <c r="F19" s="393"/>
      <c r="G19" s="393"/>
      <c r="H19" s="393"/>
      <c r="J19" s="393"/>
      <c r="K19" s="394" cm="1">
        <f t="array" ref="K19">(SUMPRODUCT('W3'!$K$18:$AJ$1670*('W3'!$A$18:$A$1670='W6 - Operating cost'!$B$1)*('W3'!$F$18:$F$1670="Actual_Price")*('W3'!$K$14:$AJ$14='W6 - Operating cost'!N$2))-SUM(K4:K18,K24:K27))/SUM(K4:K18)</f>
        <v>-0.14473791423201085</v>
      </c>
      <c r="L19" s="393"/>
      <c r="M19" s="393"/>
      <c r="N19" s="393"/>
      <c r="P19" s="393"/>
      <c r="Q19" s="394" cm="1">
        <f t="array" ref="Q19">(SUMPRODUCT('W3'!$K$18:$AJ$1670*('W3'!$A$18:$A$1670='W6 - Operating cost'!$B$1)*('W3'!$F$18:$F$1670="Actual_Price")*('W3'!$K$14:$AJ$14='W6 - Operating cost'!T$2))-SUM(Q4:Q18,Q24:Q27))/SUM(Q4:Q18)</f>
        <v>0.13513316239222786</v>
      </c>
      <c r="R19" s="393"/>
      <c r="S19" s="393"/>
      <c r="T19" s="393"/>
      <c r="V19" s="393"/>
      <c r="W19" s="394" cm="1">
        <f t="array" ref="W19">(SUMPRODUCT('W3'!$K$18:$AJ$1670*('W3'!$A$18:$A$1670='W6 - Operating cost'!$B$1)*('W3'!$F$18:$F$1670="Actual_Price")*('W3'!$K$14:$AJ$14='W6 - Operating cost'!Z$2))-SUM(W4:W18,W24:W27))/SUM(W4:W18)</f>
        <v>0.13843222175036843</v>
      </c>
      <c r="X19" s="393"/>
      <c r="Y19" s="393"/>
      <c r="Z19" s="393"/>
      <c r="AB19" s="393"/>
      <c r="AC19" s="394" cm="1">
        <f t="array" ref="AC19">(SUMPRODUCT('W3'!$K$18:$AJ$1670*('W3'!$A$18:$A$1670='W6 - Operating cost'!$B$1)*('W3'!$F$18:$F$1670="Actual_Price")*('W3'!$K$14:$AJ$14='W6 - Operating cost'!AF$2))-SUM(AC4:AC18,AC24:AC27))/SUM(AC4:AC18)</f>
        <v>0.14129844984536294</v>
      </c>
      <c r="AD19" s="393"/>
      <c r="AE19" s="393"/>
      <c r="AF19" s="393"/>
      <c r="AH19" s="393"/>
      <c r="AI19" s="394" cm="1">
        <f t="array" ref="AI19">(SUMPRODUCT('W3'!$K$18:$AJ$1670*('W3'!$A$18:$A$1670='W6 - Operating cost'!$B$1)*('W3'!$F$18:$F$1670="Actual_Price")*('W3'!$K$14:$AJ$14='W6 - Operating cost'!AL$2))-SUM(AI4:AI18,AI24:AI27))/SUM(AI4:AI18)</f>
        <v>0.14373120681648199</v>
      </c>
      <c r="AJ19" s="393"/>
      <c r="AK19" s="393"/>
      <c r="AL19" s="393"/>
      <c r="AN19" s="393"/>
      <c r="AO19" s="394" cm="1">
        <f t="array" ref="AO19">(SUMPRODUCT('W3'!$K$18:$AJ$1670*('W3'!$A$18:$A$1670='W6 - Operating cost'!$B$1)*('W3'!$F$18:$F$1670="Actual_Price")*('W3'!$K$14:$AJ$14='W6 - Operating cost'!AR$2))-SUM(AO4:AO18,AO24:AO27))/SUM(AO4:AO18)</f>
        <v>0.14573114998593983</v>
      </c>
      <c r="AP19" s="393"/>
      <c r="AQ19" s="393"/>
      <c r="AR19" s="393"/>
      <c r="AT19" s="393"/>
      <c r="AU19" s="394" cm="1">
        <f t="array" ref="AU19">(SUMPRODUCT('W3'!$K$18:$AJ$1670*('W3'!$A$18:$A$1670='W6 - Operating cost'!$B$1)*('W3'!$F$18:$F$1670="Actual_Price")*('W3'!$K$14:$AJ$14='W6 - Operating cost'!AX$2))-SUM(AU4:AU18,AU24:AU27))/SUM(AU4:AU18)</f>
        <v>0.14730025178245859</v>
      </c>
      <c r="AV19" s="393"/>
      <c r="AW19" s="393"/>
      <c r="AX19" s="393"/>
      <c r="AZ19" s="393"/>
      <c r="BA19" s="394" cm="1">
        <f t="array" ref="BA19">(SUMPRODUCT('W3'!$K$18:$AJ$1670*('W3'!$A$18:$A$1670='W6 - Operating cost'!$B$1)*('W3'!$F$18:$F$1670="Actual_Price")*('W3'!$K$14:$AJ$14='W6 - Operating cost'!BD$2))-SUM(BA4:BA18,BA24:BA27))/SUM(BA4:BA18)</f>
        <v>0.1484418108687843</v>
      </c>
      <c r="BB19" s="393"/>
      <c r="BC19" s="393"/>
      <c r="BD19" s="393"/>
      <c r="BF19" s="393"/>
      <c r="BG19" s="394" cm="1">
        <f t="array" ref="BG19">(SUMPRODUCT('W3'!$K$18:$AJ$1670*('W3'!$A$18:$A$1670='W6 - Operating cost'!$B$1)*('W3'!$F$18:$F$1670="Actual_Price")*('W3'!$K$14:$AJ$14='W6 - Operating cost'!BJ$2))-SUM(BG4:BG18,BG24:BG27))/SUM(BG4:BG18)</f>
        <v>0.1491604564683055</v>
      </c>
      <c r="BH19" s="393"/>
      <c r="BI19" s="393"/>
      <c r="BJ19" s="393"/>
      <c r="BL19" s="393"/>
      <c r="BM19" s="394" cm="1">
        <f t="array" ref="BM19">(SUMPRODUCT('W3'!$K$18:$AJ$1670*('W3'!$A$18:$A$1670='W6 - Operating cost'!$B$1)*('W3'!$F$18:$F$1670="Actual_Price")*('W3'!$K$14:$AJ$14='W6 - Operating cost'!BP$2))-SUM(BM4:BM18,BM24:BM27))/SUM(BM4:BM18)</f>
        <v>0.14946214597782947</v>
      </c>
      <c r="BN19" s="393"/>
      <c r="BO19" s="393"/>
      <c r="BP19" s="393"/>
      <c r="BR19" s="393"/>
      <c r="BS19" s="394" cm="1">
        <f t="array" ref="BS19">(SUMPRODUCT('W3'!$K$18:$AJ$1670*('W3'!$A$18:$A$1670='W6 - Operating cost'!$B$1)*('W3'!$F$18:$F$1670="Actual_Price")*('W3'!$K$14:$AJ$14='W6 - Operating cost'!BV$2))-SUM(BS4:BS18,BS24:BS27))/SUM(BS4:BS18)</f>
        <v>0.14935415604615859</v>
      </c>
      <c r="BT19" s="393"/>
      <c r="BU19" s="393"/>
      <c r="BV19" s="393"/>
      <c r="BX19" s="393"/>
      <c r="BY19" s="394" cm="1">
        <f t="array" ref="BY19">(SUMPRODUCT('W3'!$K$18:$AJ$1670*('W3'!$A$18:$A$1670='W6 - Operating cost'!$B$1)*('W3'!$F$18:$F$1670="Actual_Price")*('W3'!$K$14:$AJ$14='W6 - Operating cost'!CB$2))-SUM(BY4:BY18,BY24:BY27))/SUM(BY4:BY18)</f>
        <v>0.57537707214914457</v>
      </c>
      <c r="BZ19" s="393"/>
      <c r="CA19" s="393"/>
      <c r="CB19" s="393"/>
      <c r="CD19" s="393"/>
      <c r="CE19" s="394" cm="1">
        <f t="array" ref="CE19">(SUMPRODUCT('W3'!$K$18:$AJ$1670*('W3'!$A$18:$A$1670='W6 - Operating cost'!$B$1)*('W3'!$F$18:$F$1670="Actual_Price")*('W3'!$K$14:$AJ$14='W6 - Operating cost'!CH$2))-SUM(CE4:CE18,CE24:CE27))/SUM(CE4:CE18)</f>
        <v>0.5626481158189196</v>
      </c>
      <c r="CF19" s="393"/>
      <c r="CG19" s="393"/>
      <c r="CH19" s="393"/>
      <c r="CJ19" s="393"/>
      <c r="CK19" s="394" cm="1">
        <f t="array" ref="CK19">(SUMPRODUCT('W3'!$K$18:$AJ$1670*('W3'!$A$18:$A$1670='W6 - Operating cost'!$B$1)*('W3'!$F$18:$F$1670="Actual_Price")*('W3'!$K$14:$AJ$14='W6 - Operating cost'!CN$2))-SUM(CK4:CK18,CK24:CK27))/SUM(CK4:CK18)</f>
        <v>0.54964112965163237</v>
      </c>
      <c r="CL19" s="393"/>
      <c r="CM19" s="393"/>
      <c r="CN19" s="393"/>
      <c r="CP19" s="393"/>
      <c r="CQ19" s="394" t="e" cm="1">
        <f t="array" ref="CQ19">(SUMPRODUCT('W3'!$K$18:$AJ$1670*('W3'!$A$18:$A$1670='W6 - Operating cost'!$B$1)*('W3'!$F$18:$F$1670="Actual_Price")*('W3'!$K$14:$AJ$14='W6 - Operating cost'!CT$2))-SUM(CQ4:CQ18,CQ24:CQ27))/SUM(CQ4:CQ18)</f>
        <v>#N/A</v>
      </c>
      <c r="CR19" s="393"/>
      <c r="CS19" s="393"/>
      <c r="CT19" s="393"/>
      <c r="CV19" s="393"/>
      <c r="CW19" s="394" t="e" cm="1">
        <f t="array" ref="CW19">(SUMPRODUCT('W3'!$K$18:$AJ$1670*('W3'!$A$18:$A$1670='W6 - Operating cost'!$B$1)*('W3'!$F$18:$F$1670="Actual_Price")*('W3'!$K$14:$AJ$14='W6 - Operating cost'!CZ$2))-SUM(CW4:CW18,CW24:CW27))/SUM(CW4:CW18)</f>
        <v>#N/A</v>
      </c>
      <c r="CX19" s="393"/>
      <c r="CY19" s="393"/>
      <c r="CZ19" s="393"/>
      <c r="DB19" s="393"/>
      <c r="DC19" s="394" t="e" cm="1">
        <f t="array" ref="DC19">(SUMPRODUCT('W3'!$K$18:$AJ$1670*('W3'!$A$18:$A$1670='W6 - Operating cost'!$B$1)*('W3'!$F$18:$F$1670="Actual_Price")*('W3'!$K$14:$AJ$14='W6 - Operating cost'!DF$2))-SUM(DC4:DC18,DC24:DC27))/SUM(DC4:DC18)</f>
        <v>#N/A</v>
      </c>
      <c r="DD19" s="393"/>
      <c r="DE19" s="393"/>
      <c r="DF19" s="393"/>
      <c r="DH19" s="393"/>
      <c r="DI19" s="394" t="e" cm="1">
        <f t="array" ref="DI19">(SUMPRODUCT('W3'!$K$18:$AJ$1670*('W3'!$A$18:$A$1670='W6 - Operating cost'!$B$1)*('W3'!$F$18:$F$1670="Actual_Price")*('W3'!$K$14:$AJ$14='W6 - Operating cost'!DL$2))-SUM(DI4:DI18,DI24:DI27))/SUM(DI4:DI18)</f>
        <v>#N/A</v>
      </c>
      <c r="DJ19" s="393"/>
      <c r="DK19" s="393"/>
      <c r="DL19" s="393"/>
      <c r="DN19" s="393"/>
      <c r="DO19" s="394" t="e" cm="1">
        <f t="array" ref="DO19">(SUMPRODUCT('W3'!$K$18:$AJ$1670*('W3'!$A$18:$A$1670='W6 - Operating cost'!$B$1)*('W3'!$F$18:$F$1670="Actual_Price")*('W3'!$K$14:$AJ$14='W6 - Operating cost'!DR$2))-SUM(DO4:DO18,DO24:DO27))/SUM(DO4:DO18)</f>
        <v>#N/A</v>
      </c>
      <c r="DP19" s="393"/>
      <c r="DQ19" s="393"/>
      <c r="DR19" s="393"/>
      <c r="DT19" s="393"/>
      <c r="DU19" s="394" t="e" cm="1">
        <f t="array" ref="DU19">(SUMPRODUCT('W3'!$K$18:$AJ$1670*('W3'!$A$18:$A$1670='W6 - Operating cost'!$B$1)*('W3'!$F$18:$F$1670="Actual_Price")*('W3'!$K$14:$AJ$14='W6 - Operating cost'!DX$2))-SUM(DU4:DU18,DU24:DU27))/SUM(DU4:DU18)</f>
        <v>#N/A</v>
      </c>
      <c r="DV19" s="393"/>
      <c r="DW19" s="393"/>
      <c r="DX19" s="393"/>
      <c r="DZ19" s="393"/>
      <c r="EA19" s="394" t="e" cm="1">
        <f t="array" ref="EA19">(SUMPRODUCT('W3'!$K$18:$AJ$1670*('W3'!$A$18:$A$1670='W6 - Operating cost'!$B$1)*('W3'!$F$18:$F$1670="Actual_Price")*('W3'!$K$14:$AJ$14='W6 - Operating cost'!ED$2))-SUM(EA4:EA18,EA24:EA27))/SUM(EA4:EA18)</f>
        <v>#N/A</v>
      </c>
      <c r="EB19" s="393"/>
      <c r="EC19" s="393"/>
      <c r="ED19" s="393"/>
      <c r="EF19" s="393"/>
      <c r="EG19" s="394" t="e" cm="1">
        <f t="array" ref="EG19">(SUMPRODUCT('W3'!$K$18:$AJ$1670*('W3'!$A$18:$A$1670='W6 - Operating cost'!$B$1)*('W3'!$F$18:$F$1670="Actual_Price")*('W3'!$K$14:$AJ$14='W6 - Operating cost'!EJ$2))-SUM(EG4:EG18,EG24:EG27))/SUM(EG4:EG18)</f>
        <v>#N/A</v>
      </c>
      <c r="EH19" s="393"/>
      <c r="EI19" s="393"/>
      <c r="EJ19" s="393"/>
      <c r="EL19" s="393"/>
      <c r="EM19" s="394" t="e" cm="1">
        <f t="array" ref="EM19">(SUMPRODUCT('W3'!$K$18:$AJ$1670*('W3'!$A$18:$A$1670='W6 - Operating cost'!$B$1)*('W3'!$F$18:$F$1670="Actual_Price")*('W3'!$K$14:$AJ$14='W6 - Operating cost'!EP$2))-SUM(EM4:EM18,EM24:EM27))/SUM(EM4:EM18)</f>
        <v>#N/A</v>
      </c>
      <c r="EN19" s="393"/>
      <c r="EO19" s="393"/>
      <c r="EP19" s="393"/>
      <c r="ER19" s="393"/>
      <c r="ES19" s="394" t="e" cm="1">
        <f t="array" ref="ES19">(SUMPRODUCT('W3'!$K$18:$AJ$1670*('W3'!$A$18:$A$1670='W6 - Operating cost'!$B$1)*('W3'!$F$18:$F$1670="Actual_Price")*('W3'!$K$14:$AJ$14='W6 - Operating cost'!EV$2))-SUM(ES4:ES18,ES24:ES27))/SUM(ES4:ES18)</f>
        <v>#N/A</v>
      </c>
      <c r="ET19" s="393"/>
      <c r="EU19" s="393"/>
      <c r="EV19" s="393"/>
    </row>
    <row r="20" spans="1:152" s="142" customFormat="1" x14ac:dyDescent="0.25">
      <c r="B20" s="393" t="s">
        <v>159</v>
      </c>
      <c r="C20" s="393" t="s">
        <v>148</v>
      </c>
      <c r="D20" s="393"/>
      <c r="E20" s="395">
        <f>E19*SUM(E4:E18)</f>
        <v>-134.08800052515721</v>
      </c>
      <c r="F20" s="393"/>
      <c r="G20" s="393"/>
      <c r="H20" s="393"/>
      <c r="J20" s="393"/>
      <c r="K20" s="395">
        <f>K19*SUM(K4:K18)</f>
        <v>-36.648309368395076</v>
      </c>
      <c r="L20" s="393"/>
      <c r="M20" s="393"/>
      <c r="N20" s="393"/>
      <c r="P20" s="393"/>
      <c r="Q20" s="395">
        <f>Q19*SUM(Q4:Q18)</f>
        <v>26.284846638712679</v>
      </c>
      <c r="R20" s="393"/>
      <c r="S20" s="393"/>
      <c r="T20" s="393"/>
      <c r="V20" s="393"/>
      <c r="W20" s="395">
        <f>W19*SUM(W4:W18)</f>
        <v>27.373756438182568</v>
      </c>
      <c r="X20" s="393"/>
      <c r="Y20" s="393"/>
      <c r="Z20" s="393"/>
      <c r="AB20" s="393"/>
      <c r="AC20" s="395">
        <f>AC19*SUM(AC4:AC18)</f>
        <v>28.415223233142456</v>
      </c>
      <c r="AD20" s="393"/>
      <c r="AE20" s="393"/>
      <c r="AF20" s="393"/>
      <c r="AH20" s="393"/>
      <c r="AI20" s="395">
        <f>AI19*SUM(AI4:AI18)</f>
        <v>29.406463031011072</v>
      </c>
      <c r="AJ20" s="393"/>
      <c r="AK20" s="393"/>
      <c r="AL20" s="393"/>
      <c r="AN20" s="393"/>
      <c r="AO20" s="395">
        <f>AO19*SUM(AO4:AO18)</f>
        <v>30.34465821765798</v>
      </c>
      <c r="AP20" s="393"/>
      <c r="AQ20" s="393"/>
      <c r="AR20" s="393"/>
      <c r="AT20" s="393"/>
      <c r="AU20" s="395">
        <f>AU19*SUM(AU4:AU18)</f>
        <v>31.226965954933576</v>
      </c>
      <c r="AV20" s="393"/>
      <c r="AW20" s="393"/>
      <c r="AX20" s="393"/>
      <c r="AZ20" s="393"/>
      <c r="BA20" s="395">
        <f>BA19*SUM(BA4:BA18)</f>
        <v>32.050527757339637</v>
      </c>
      <c r="BB20" s="393"/>
      <c r="BC20" s="393"/>
      <c r="BD20" s="393"/>
      <c r="BF20" s="393"/>
      <c r="BG20" s="395">
        <f>BG19*SUM(BG4:BG18)</f>
        <v>32.812480361021244</v>
      </c>
      <c r="BH20" s="393"/>
      <c r="BI20" s="393"/>
      <c r="BJ20" s="393"/>
      <c r="BL20" s="393"/>
      <c r="BM20" s="395">
        <f>BM19*SUM(BM4:BM18)</f>
        <v>33.509968007742032</v>
      </c>
      <c r="BN20" s="393"/>
      <c r="BO20" s="393"/>
      <c r="BP20" s="393"/>
      <c r="BR20" s="393"/>
      <c r="BS20" s="395">
        <f>BS19*SUM(BS4:BS18)</f>
        <v>34.140156276711082</v>
      </c>
      <c r="BT20" s="393"/>
      <c r="BU20" s="393"/>
      <c r="BV20" s="393"/>
      <c r="BX20" s="393"/>
      <c r="BY20" s="395">
        <f>BY19*SUM(BY4:BY18)</f>
        <v>97.8199918057079</v>
      </c>
      <c r="BZ20" s="393"/>
      <c r="CA20" s="393"/>
      <c r="CB20" s="393"/>
      <c r="CD20" s="393"/>
      <c r="CE20" s="395">
        <f>CE19*SUM(CE4:CE18)</f>
        <v>98.307242871949697</v>
      </c>
      <c r="CF20" s="393"/>
      <c r="CG20" s="393"/>
      <c r="CH20" s="393"/>
      <c r="CJ20" s="393"/>
      <c r="CK20" s="395">
        <f>CK19*SUM(CK4:CK18)</f>
        <v>98.718983964546737</v>
      </c>
      <c r="CL20" s="393"/>
      <c r="CM20" s="393"/>
      <c r="CN20" s="393"/>
      <c r="CP20" s="393"/>
      <c r="CQ20" s="395" t="e">
        <f>CQ19*SUM(CQ4:CQ18)</f>
        <v>#N/A</v>
      </c>
      <c r="CR20" s="393"/>
      <c r="CS20" s="393"/>
      <c r="CT20" s="393"/>
      <c r="CV20" s="393"/>
      <c r="CW20" s="395" t="e">
        <f>CW19*SUM(CW4:CW18)</f>
        <v>#N/A</v>
      </c>
      <c r="CX20" s="393"/>
      <c r="CY20" s="393"/>
      <c r="CZ20" s="393"/>
      <c r="DB20" s="393"/>
      <c r="DC20" s="395" t="e">
        <f>DC19*SUM(DC4:DC18)</f>
        <v>#N/A</v>
      </c>
      <c r="DD20" s="393"/>
      <c r="DE20" s="393"/>
      <c r="DF20" s="393"/>
      <c r="DH20" s="393"/>
      <c r="DI20" s="395" t="e">
        <f>DI19*SUM(DI4:DI18)</f>
        <v>#N/A</v>
      </c>
      <c r="DJ20" s="393"/>
      <c r="DK20" s="393"/>
      <c r="DL20" s="393"/>
      <c r="DN20" s="393"/>
      <c r="DO20" s="395" t="e">
        <f>DO19*SUM(DO4:DO18)</f>
        <v>#N/A</v>
      </c>
      <c r="DP20" s="393"/>
      <c r="DQ20" s="393"/>
      <c r="DR20" s="393"/>
      <c r="DT20" s="393"/>
      <c r="DU20" s="395" t="e">
        <f>DU19*SUM(DU4:DU18)</f>
        <v>#N/A</v>
      </c>
      <c r="DV20" s="393"/>
      <c r="DW20" s="393"/>
      <c r="DX20" s="393"/>
      <c r="DZ20" s="393"/>
      <c r="EA20" s="395" t="e">
        <f>EA19*SUM(EA4:EA18)</f>
        <v>#N/A</v>
      </c>
      <c r="EB20" s="393"/>
      <c r="EC20" s="393"/>
      <c r="ED20" s="393"/>
      <c r="EF20" s="393"/>
      <c r="EG20" s="395" t="e">
        <f>EG19*SUM(EG4:EG18)</f>
        <v>#N/A</v>
      </c>
      <c r="EH20" s="393"/>
      <c r="EI20" s="393"/>
      <c r="EJ20" s="393"/>
      <c r="EL20" s="393"/>
      <c r="EM20" s="395" t="e">
        <f>EM19*SUM(EM4:EM18)</f>
        <v>#N/A</v>
      </c>
      <c r="EN20" s="393"/>
      <c r="EO20" s="393"/>
      <c r="EP20" s="393"/>
      <c r="ER20" s="393"/>
      <c r="ES20" s="395" t="e">
        <f>ES19*SUM(ES4:ES18)</f>
        <v>#N/A</v>
      </c>
      <c r="ET20" s="393"/>
      <c r="EU20" s="393"/>
      <c r="EV20" s="393"/>
    </row>
    <row r="21" spans="1:152" s="1" customFormat="1" x14ac:dyDescent="0.25">
      <c r="B21" s="62" t="s">
        <v>160</v>
      </c>
      <c r="C21" s="325" t="s">
        <v>148</v>
      </c>
      <c r="D21" s="325"/>
      <c r="E21" s="326">
        <f>SUM(E4:E18,E20)</f>
        <v>204.35631612903217</v>
      </c>
      <c r="F21" s="325"/>
      <c r="G21" s="325"/>
      <c r="H21" s="325"/>
      <c r="J21" s="325"/>
      <c r="K21" s="391">
        <f>SUM(K4:K18,K20)</f>
        <v>216.55631612903235</v>
      </c>
      <c r="L21" s="325"/>
      <c r="M21" s="325"/>
      <c r="N21" s="325"/>
      <c r="P21" s="325"/>
      <c r="Q21" s="391">
        <f>SUM(Q4:Q18,Q20)</f>
        <v>220.79555129032263</v>
      </c>
      <c r="R21" s="960"/>
      <c r="S21" s="325"/>
      <c r="T21" s="325"/>
      <c r="V21" s="325"/>
      <c r="W21" s="391">
        <f>SUM(W4:W18,W20)</f>
        <v>225.11497659677411</v>
      </c>
      <c r="X21" s="325"/>
      <c r="Y21" s="325"/>
      <c r="Z21" s="325"/>
      <c r="AB21" s="325"/>
      <c r="AC21" s="391">
        <f>SUM(AC4:AC18,AC20)</f>
        <v>229.51596612338707</v>
      </c>
      <c r="AD21" s="325"/>
      <c r="AE21" s="325"/>
      <c r="AF21" s="325"/>
      <c r="AH21" s="325"/>
      <c r="AI21" s="391">
        <f>SUM(AI4:AI18,AI20)</f>
        <v>233.99990994026615</v>
      </c>
      <c r="AJ21" s="325"/>
      <c r="AK21" s="325"/>
      <c r="AL21" s="325"/>
      <c r="AN21" s="325"/>
      <c r="AO21" s="391">
        <f>SUM(AO4:AO18,AO20)</f>
        <v>238.56821385820317</v>
      </c>
      <c r="AP21" s="325"/>
      <c r="AQ21" s="325"/>
      <c r="AR21" s="325"/>
      <c r="AT21" s="325"/>
      <c r="AU21" s="391">
        <f>SUM(AU4:AU18,AU20)</f>
        <v>243.22229914045548</v>
      </c>
      <c r="AV21" s="325"/>
      <c r="AW21" s="325"/>
      <c r="AX21" s="325"/>
      <c r="AZ21" s="325"/>
      <c r="BA21" s="391">
        <f>SUM(BA4:BA18,BA20)</f>
        <v>247.9636021786078</v>
      </c>
      <c r="BB21" s="325"/>
      <c r="BC21" s="325"/>
      <c r="BD21" s="325"/>
      <c r="BF21" s="325"/>
      <c r="BG21" s="391">
        <f>SUM(BG4:BG18,BG20)</f>
        <v>252.79357413029001</v>
      </c>
      <c r="BH21" s="325"/>
      <c r="BI21" s="325"/>
      <c r="BJ21" s="325"/>
      <c r="BL21" s="325"/>
      <c r="BM21" s="391">
        <f>SUM(BM4:BM18,BM20)</f>
        <v>257.71368051641127</v>
      </c>
      <c r="BN21" s="325"/>
      <c r="BO21" s="325"/>
      <c r="BP21" s="325"/>
      <c r="BR21" s="325"/>
      <c r="BS21" s="391">
        <f>SUM(BS4:BS18,BS20)</f>
        <v>262.72540077543067</v>
      </c>
      <c r="BT21" s="325"/>
      <c r="BU21" s="325"/>
      <c r="BV21" s="325"/>
      <c r="BX21" s="325"/>
      <c r="BY21" s="391">
        <f>SUM(BY4:BY18,BY20)</f>
        <v>267.83022777206531</v>
      </c>
      <c r="BZ21" s="325"/>
      <c r="CA21" s="325"/>
      <c r="CB21" s="325"/>
      <c r="CD21" s="325"/>
      <c r="CE21" s="391">
        <f>SUM(CE4:CE18,CE20)</f>
        <v>273.02966725768869</v>
      </c>
      <c r="CF21" s="325"/>
      <c r="CG21" s="325"/>
      <c r="CH21" s="325"/>
      <c r="CJ21" s="325"/>
      <c r="CK21" s="391">
        <f>SUM(CK4:CK18,CK20)</f>
        <v>278.32523727953378</v>
      </c>
      <c r="CL21" s="325"/>
      <c r="CM21" s="325"/>
      <c r="CN21" s="325"/>
      <c r="CP21" s="325"/>
      <c r="CQ21" s="391" t="e">
        <f>SUM(CQ4:CQ18,CQ20)</f>
        <v>#N/A</v>
      </c>
      <c r="CR21" s="325"/>
      <c r="CS21" s="325"/>
      <c r="CT21" s="325"/>
      <c r="CV21" s="325"/>
      <c r="CW21" s="391" t="e">
        <f>SUM(CW4:CW18,CW20)</f>
        <v>#N/A</v>
      </c>
      <c r="CX21" s="325"/>
      <c r="CY21" s="325"/>
      <c r="CZ21" s="325"/>
      <c r="DB21" s="325"/>
      <c r="DC21" s="391" t="e">
        <f>SUM(DC4:DC18,DC20)</f>
        <v>#N/A</v>
      </c>
      <c r="DD21" s="325"/>
      <c r="DE21" s="325"/>
      <c r="DF21" s="325"/>
      <c r="DH21" s="325"/>
      <c r="DI21" s="391" t="e">
        <f>SUM(DI4:DI18,DI20)</f>
        <v>#N/A</v>
      </c>
      <c r="DJ21" s="325"/>
      <c r="DK21" s="325"/>
      <c r="DL21" s="325"/>
      <c r="DN21" s="325"/>
      <c r="DO21" s="391" t="e">
        <f>SUM(DO4:DO18,DO20)</f>
        <v>#N/A</v>
      </c>
      <c r="DP21" s="325"/>
      <c r="DQ21" s="325"/>
      <c r="DR21" s="325"/>
      <c r="DT21" s="325"/>
      <c r="DU21" s="391" t="e">
        <f>SUM(DU4:DU18,DU20)</f>
        <v>#N/A</v>
      </c>
      <c r="DV21" s="325"/>
      <c r="DW21" s="325"/>
      <c r="DX21" s="325"/>
      <c r="DZ21" s="325"/>
      <c r="EA21" s="391" t="e">
        <f>SUM(EA4:EA18,EA20)</f>
        <v>#N/A</v>
      </c>
      <c r="EB21" s="325"/>
      <c r="EC21" s="325"/>
      <c r="ED21" s="325"/>
      <c r="EF21" s="325"/>
      <c r="EG21" s="391" t="e">
        <f>SUM(EG4:EG18,EG20)</f>
        <v>#N/A</v>
      </c>
      <c r="EH21" s="325"/>
      <c r="EI21" s="325"/>
      <c r="EJ21" s="325"/>
      <c r="EL21" s="325"/>
      <c r="EM21" s="391" t="e">
        <f>SUM(EM4:EM18,EM20)</f>
        <v>#N/A</v>
      </c>
      <c r="EN21" s="325"/>
      <c r="EO21" s="325"/>
      <c r="EP21" s="325"/>
      <c r="ER21" s="325"/>
      <c r="ES21" s="391" t="e">
        <f>SUM(ES4:ES18,ES20)</f>
        <v>#N/A</v>
      </c>
      <c r="ET21" s="325"/>
      <c r="EU21" s="325"/>
      <c r="EV21" s="325"/>
    </row>
    <row r="22" spans="1:152" x14ac:dyDescent="0.25">
      <c r="B22" s="61" t="s">
        <v>161</v>
      </c>
      <c r="C22" s="54"/>
      <c r="D22" s="54"/>
      <c r="E22" s="54"/>
      <c r="F22" s="54"/>
      <c r="G22" s="54"/>
      <c r="H22" s="54"/>
      <c r="J22" s="54"/>
      <c r="K22" s="392"/>
      <c r="L22" s="54"/>
      <c r="M22" s="54"/>
      <c r="N22" s="54"/>
      <c r="P22" s="54"/>
      <c r="Q22" s="392"/>
      <c r="R22" s="54"/>
      <c r="S22" s="54"/>
      <c r="T22" s="54"/>
      <c r="V22" s="54"/>
      <c r="W22" s="392"/>
      <c r="X22" s="54"/>
      <c r="Y22" s="54"/>
      <c r="Z22" s="54"/>
      <c r="AB22" s="54"/>
      <c r="AC22" s="392"/>
      <c r="AD22" s="54"/>
      <c r="AE22" s="54"/>
      <c r="AF22" s="54"/>
      <c r="AH22" s="54"/>
      <c r="AI22" s="392"/>
      <c r="AJ22" s="54"/>
      <c r="AK22" s="54"/>
      <c r="AL22" s="54"/>
      <c r="AN22" s="54"/>
      <c r="AO22" s="392"/>
      <c r="AP22" s="54"/>
      <c r="AQ22" s="54"/>
      <c r="AR22" s="54"/>
      <c r="AT22" s="54"/>
      <c r="AU22" s="392"/>
      <c r="AV22" s="54"/>
      <c r="AW22" s="54"/>
      <c r="AX22" s="54"/>
      <c r="AZ22" s="54"/>
      <c r="BA22" s="392"/>
      <c r="BB22" s="54"/>
      <c r="BC22" s="54"/>
      <c r="BD22" s="54"/>
      <c r="BF22" s="54"/>
      <c r="BG22" s="392"/>
      <c r="BH22" s="54"/>
      <c r="BI22" s="54"/>
      <c r="BJ22" s="54"/>
      <c r="BL22" s="54"/>
      <c r="BM22" s="392"/>
      <c r="BN22" s="54"/>
      <c r="BO22" s="54"/>
      <c r="BP22" s="54"/>
      <c r="BR22" s="54"/>
      <c r="BS22" s="392"/>
      <c r="BT22" s="54"/>
      <c r="BU22" s="54"/>
      <c r="BV22" s="54"/>
      <c r="BX22" s="54"/>
      <c r="BY22" s="392"/>
      <c r="BZ22" s="54"/>
      <c r="CA22" s="54"/>
      <c r="CB22" s="54"/>
      <c r="CD22" s="54"/>
      <c r="CE22" s="392"/>
      <c r="CF22" s="54"/>
      <c r="CG22" s="54"/>
      <c r="CH22" s="54"/>
      <c r="CJ22" s="54"/>
      <c r="CK22" s="392"/>
      <c r="CL22" s="54"/>
      <c r="CM22" s="54"/>
      <c r="CN22" s="54"/>
      <c r="CP22" s="54"/>
      <c r="CQ22" s="392"/>
      <c r="CR22" s="54"/>
      <c r="CS22" s="54"/>
      <c r="CT22" s="54"/>
      <c r="CV22" s="54"/>
      <c r="CW22" s="392"/>
      <c r="CX22" s="54"/>
      <c r="CY22" s="54"/>
      <c r="CZ22" s="54"/>
      <c r="DB22" s="54"/>
      <c r="DC22" s="392"/>
      <c r="DD22" s="54"/>
      <c r="DE22" s="54"/>
      <c r="DF22" s="54"/>
      <c r="DH22" s="54"/>
      <c r="DI22" s="392"/>
      <c r="DJ22" s="54"/>
      <c r="DK22" s="54"/>
      <c r="DL22" s="54"/>
      <c r="DN22" s="54"/>
      <c r="DO22" s="392"/>
      <c r="DP22" s="54"/>
      <c r="DQ22" s="54"/>
      <c r="DR22" s="54"/>
      <c r="DT22" s="54"/>
      <c r="DU22" s="392"/>
      <c r="DV22" s="54"/>
      <c r="DW22" s="54"/>
      <c r="DX22" s="54"/>
      <c r="DZ22" s="54"/>
      <c r="EA22" s="392"/>
      <c r="EB22" s="54"/>
      <c r="EC22" s="54"/>
      <c r="ED22" s="54"/>
      <c r="EF22" s="54"/>
      <c r="EG22" s="392"/>
      <c r="EH22" s="54"/>
      <c r="EI22" s="54"/>
      <c r="EJ22" s="54"/>
      <c r="EL22" s="54"/>
      <c r="EM22" s="392"/>
      <c r="EN22" s="54"/>
      <c r="EO22" s="54"/>
      <c r="EP22" s="54"/>
      <c r="ER22" s="54"/>
      <c r="ES22" s="392"/>
      <c r="ET22" s="54"/>
      <c r="EU22" s="54"/>
      <c r="EV22" s="54"/>
    </row>
    <row r="23" spans="1:152" x14ac:dyDescent="0.25">
      <c r="A23" t="s">
        <v>624</v>
      </c>
      <c r="B23" s="55" t="s">
        <v>162</v>
      </c>
      <c r="C23" s="55" t="s">
        <v>163</v>
      </c>
      <c r="D23" s="55"/>
      <c r="E23" s="100">
        <f>IF('W6 - Operating cost'!$D$1="USD",INDEX('W2'!$M$56:$R$56,MATCH('W6 - Operating cost'!$B$1,'W2'!$M$7:$R$7,0))*(1+'W6 - Operating cost'!G$1)*POWER(1+INDEX('Cover Page'!$H$8:$W$8,MATCH('W6 - Operating cost'!$B$1,'Cover Page'!$H$5:$W$5,0)),'W6 - Operating cost'!G$1)*10^3,INDEX('W2'!$M$56:$R$56,MATCH('W6 - Operating cost'!$B$1,'W2'!$M$7:$R$7,0))*POWER(1+INDEX('Cover Page'!$H$8:$W$8,MATCH('W6 - Operating cost'!$B$1,'Cover Page'!$H$5:$W$5,0)),'W6 - Operating cost'!G$1)/EXR*10^3)</f>
        <v>960</v>
      </c>
      <c r="F23" s="55"/>
      <c r="G23" s="55"/>
      <c r="H23" s="55"/>
      <c r="J23" s="55"/>
      <c r="K23" s="100">
        <f>IF('W6 - Operating cost'!$D$1="USD",INDEX('W2'!$M$56:$R$56,MATCH('W6 - Operating cost'!$B$1,'W2'!$M$7:$R$7,0))*(1+'W6 - Operating cost'!M$1)*POWER(1+INDEX('Cover Page'!$H$8:$W$8,MATCH('W6 - Operating cost'!$B$1,'Cover Page'!$H$5:$W$5,0)),'W6 - Operating cost'!M$1)*10^3,INDEX('W2'!$M$56:$R$56,MATCH('W6 - Operating cost'!$B$1,'W2'!$M$7:$R$7,0))*POWER(1+INDEX('Cover Page'!$H$8:$W$8,MATCH('W6 - Operating cost'!$B$1,'Cover Page'!$H$5:$W$5,0)),'W6 - Operating cost'!M$1)/EXR*10^3)</f>
        <v>960</v>
      </c>
      <c r="L23" s="55"/>
      <c r="M23" s="55"/>
      <c r="N23" s="55"/>
      <c r="P23" s="55"/>
      <c r="Q23" s="100">
        <f>IF('W6 - Operating cost'!$D$1="USD",INDEX('W2'!$M$56:$R$56,MATCH('W6 - Operating cost'!$B$1,'W2'!$M$7:$R$7,0))*(1+'W6 - Operating cost'!S$1)*POWER(1+INDEX('Cover Page'!$H$8:$W$8,MATCH('W6 - Operating cost'!$B$1,'Cover Page'!$H$5:$W$5,0)),'W6 - Operating cost'!S$1)*10^3,INDEX('W2'!$M$56:$R$56,MATCH('W6 - Operating cost'!$B$1,'W2'!$M$7:$R$7,0))*POWER(1+INDEX('Cover Page'!$H$8:$W$8,MATCH('W6 - Operating cost'!$B$1,'Cover Page'!$H$5:$W$5,0)),'W6 - Operating cost'!S$1)/EXR*10^3)</f>
        <v>979.2</v>
      </c>
      <c r="R23" s="55"/>
      <c r="S23" s="55"/>
      <c r="T23" s="55"/>
      <c r="V23" s="55"/>
      <c r="W23" s="100">
        <f>IF('W6 - Operating cost'!$D$1="USD",INDEX('W2'!$M$56:$R$56,MATCH('W6 - Operating cost'!$B$1,'W2'!$M$7:$R$7,0))*(1+'W6 - Operating cost'!Y$1)*POWER(1+INDEX('Cover Page'!$H$8:$W$8,MATCH('W6 - Operating cost'!$B$1,'Cover Page'!$H$5:$W$5,0)),'W6 - Operating cost'!Y$1)*10^3,INDEX('W2'!$M$56:$R$56,MATCH('W6 - Operating cost'!$B$1,'W2'!$M$7:$R$7,0))*POWER(1+INDEX('Cover Page'!$H$8:$W$8,MATCH('W6 - Operating cost'!$B$1,'Cover Page'!$H$5:$W$5,0)),'W6 - Operating cost'!Y$1)/EXR*10^3)</f>
        <v>998.78399999999988</v>
      </c>
      <c r="X23" s="55"/>
      <c r="Y23" s="55"/>
      <c r="Z23" s="55"/>
      <c r="AB23" s="55"/>
      <c r="AC23" s="100">
        <f>IF('W6 - Operating cost'!$D$1="USD",INDEX('W2'!$M$56:$R$56,MATCH('W6 - Operating cost'!$B$1,'W2'!$M$7:$R$7,0))*(1+'W6 - Operating cost'!AE$1)*POWER(1+INDEX('Cover Page'!$H$8:$W$8,MATCH('W6 - Operating cost'!$B$1,'Cover Page'!$H$5:$W$5,0)),'W6 - Operating cost'!AE$1)*10^3,INDEX('W2'!$M$56:$R$56,MATCH('W6 - Operating cost'!$B$1,'W2'!$M$7:$R$7,0))*POWER(1+INDEX('Cover Page'!$H$8:$W$8,MATCH('W6 - Operating cost'!$B$1,'Cover Page'!$H$5:$W$5,0)),'W6 - Operating cost'!AE$1)/EXR*10^3)</f>
        <v>1018.7596799999999</v>
      </c>
      <c r="AD23" s="55"/>
      <c r="AE23" s="55"/>
      <c r="AF23" s="55"/>
      <c r="AH23" s="55"/>
      <c r="AI23" s="100">
        <f>IF('W6 - Operating cost'!$D$1="USD",INDEX('W2'!$M$56:$R$56,MATCH('W6 - Operating cost'!$B$1,'W2'!$M$7:$R$7,0))*(1+'W6 - Operating cost'!AK$1)*POWER(1+INDEX('Cover Page'!$H$8:$W$8,MATCH('W6 - Operating cost'!$B$1,'Cover Page'!$H$5:$W$5,0)),'W6 - Operating cost'!AK$1)*10^3,INDEX('W2'!$M$56:$R$56,MATCH('W6 - Operating cost'!$B$1,'W2'!$M$7:$R$7,0))*POWER(1+INDEX('Cover Page'!$H$8:$W$8,MATCH('W6 - Operating cost'!$B$1,'Cover Page'!$H$5:$W$5,0)),'W6 - Operating cost'!AK$1)/EXR*10^3)</f>
        <v>1039.1348736</v>
      </c>
      <c r="AJ23" s="55"/>
      <c r="AK23" s="55"/>
      <c r="AL23" s="55"/>
      <c r="AN23" s="55"/>
      <c r="AO23" s="100">
        <f>IF('W6 - Operating cost'!$D$1="USD",INDEX('W2'!$M$56:$R$56,MATCH('W6 - Operating cost'!$B$1,'W2'!$M$7:$R$7,0))*(1+'W6 - Operating cost'!AQ$1)*POWER(1+INDEX('Cover Page'!$H$8:$W$8,MATCH('W6 - Operating cost'!$B$1,'Cover Page'!$H$5:$W$5,0)),'W6 - Operating cost'!AQ$1)*10^3,INDEX('W2'!$M$56:$R$56,MATCH('W6 - Operating cost'!$B$1,'W2'!$M$7:$R$7,0))*POWER(1+INDEX('Cover Page'!$H$8:$W$8,MATCH('W6 - Operating cost'!$B$1,'Cover Page'!$H$5:$W$5,0)),'W6 - Operating cost'!AQ$1)/EXR*10^3)</f>
        <v>1059.9175710720001</v>
      </c>
      <c r="AP23" s="55"/>
      <c r="AQ23" s="55"/>
      <c r="AR23" s="55"/>
      <c r="AT23" s="55"/>
      <c r="AU23" s="100">
        <f>IF('W6 - Operating cost'!$D$1="USD",INDEX('W2'!$M$56:$R$56,MATCH('W6 - Operating cost'!$B$1,'W2'!$M$7:$R$7,0))*(1+'W6 - Operating cost'!AW$1)*POWER(1+INDEX('Cover Page'!$H$8:$W$8,MATCH('W6 - Operating cost'!$B$1,'Cover Page'!$H$5:$W$5,0)),'W6 - Operating cost'!AW$1)*10^3,INDEX('W2'!$M$56:$R$56,MATCH('W6 - Operating cost'!$B$1,'W2'!$M$7:$R$7,0))*POWER(1+INDEX('Cover Page'!$H$8:$W$8,MATCH('W6 - Operating cost'!$B$1,'Cover Page'!$H$5:$W$5,0)),'W6 - Operating cost'!AW$1)/EXR*10^3)</f>
        <v>1081.1159224934402</v>
      </c>
      <c r="AV23" s="55"/>
      <c r="AW23" s="55"/>
      <c r="AX23" s="55"/>
      <c r="AZ23" s="55"/>
      <c r="BA23" s="100">
        <f>IF('W6 - Operating cost'!$D$1="USD",INDEX('W2'!$M$56:$R$56,MATCH('W6 - Operating cost'!$B$1,'W2'!$M$7:$R$7,0))*(1+'W6 - Operating cost'!BC$1)*POWER(1+INDEX('Cover Page'!$H$8:$W$8,MATCH('W6 - Operating cost'!$B$1,'Cover Page'!$H$5:$W$5,0)),'W6 - Operating cost'!BC$1)*10^3,INDEX('W2'!$M$56:$R$56,MATCH('W6 - Operating cost'!$B$1,'W2'!$M$7:$R$7,0))*POWER(1+INDEX('Cover Page'!$H$8:$W$8,MATCH('W6 - Operating cost'!$B$1,'Cover Page'!$H$5:$W$5,0)),'W6 - Operating cost'!BC$1)/EXR*10^3)</f>
        <v>1102.7382409433087</v>
      </c>
      <c r="BB23" s="55"/>
      <c r="BC23" s="55"/>
      <c r="BD23" s="55"/>
      <c r="BF23" s="55"/>
      <c r="BG23" s="100">
        <f>IF('W6 - Operating cost'!$D$1="USD",INDEX('W2'!$M$56:$R$56,MATCH('W6 - Operating cost'!$B$1,'W2'!$M$7:$R$7,0))*(1+'W6 - Operating cost'!BI$1)*POWER(1+INDEX('Cover Page'!$H$8:$W$8,MATCH('W6 - Operating cost'!$B$1,'Cover Page'!$H$5:$W$5,0)),'W6 - Operating cost'!BI$1)*10^3,INDEX('W2'!$M$56:$R$56,MATCH('W6 - Operating cost'!$B$1,'W2'!$M$7:$R$7,0))*POWER(1+INDEX('Cover Page'!$H$8:$W$8,MATCH('W6 - Operating cost'!$B$1,'Cover Page'!$H$5:$W$5,0)),'W6 - Operating cost'!BI$1)/EXR*10^3)</f>
        <v>1124.793005762175</v>
      </c>
      <c r="BH23" s="55"/>
      <c r="BI23" s="55"/>
      <c r="BJ23" s="55"/>
      <c r="BL23" s="55"/>
      <c r="BM23" s="100">
        <f>IF('W6 - Operating cost'!$D$1="USD",INDEX('W2'!$M$56:$R$56,MATCH('W6 - Operating cost'!$B$1,'W2'!$M$7:$R$7,0))*(1+'W6 - Operating cost'!BO$1)*POWER(1+INDEX('Cover Page'!$H$8:$W$8,MATCH('W6 - Operating cost'!$B$1,'Cover Page'!$H$5:$W$5,0)),'W6 - Operating cost'!BO$1)*10^3,INDEX('W2'!$M$56:$R$56,MATCH('W6 - Operating cost'!$B$1,'W2'!$M$7:$R$7,0))*POWER(1+INDEX('Cover Page'!$H$8:$W$8,MATCH('W6 - Operating cost'!$B$1,'Cover Page'!$H$5:$W$5,0)),'W6 - Operating cost'!BO$1)/EXR*10^3)</f>
        <v>1147.2888658774184</v>
      </c>
      <c r="BN23" s="55"/>
      <c r="BO23" s="55"/>
      <c r="BP23" s="55"/>
      <c r="BR23" s="55"/>
      <c r="BS23" s="100">
        <f>IF('W6 - Operating cost'!$D$1="USD",INDEX('W2'!$M$56:$R$56,MATCH('W6 - Operating cost'!$B$1,'W2'!$M$7:$R$7,0))*(1+'W6 - Operating cost'!BU$1)*POWER(1+INDEX('Cover Page'!$H$8:$W$8,MATCH('W6 - Operating cost'!$B$1,'Cover Page'!$H$5:$W$5,0)),'W6 - Operating cost'!BU$1)*10^3,INDEX('W2'!$M$56:$R$56,MATCH('W6 - Operating cost'!$B$1,'W2'!$M$7:$R$7,0))*POWER(1+INDEX('Cover Page'!$H$8:$W$8,MATCH('W6 - Operating cost'!$B$1,'Cover Page'!$H$5:$W$5,0)),'W6 - Operating cost'!BU$1)/EXR*10^3)</f>
        <v>1170.2346431949668</v>
      </c>
      <c r="BT23" s="55"/>
      <c r="BU23" s="55"/>
      <c r="BV23" s="55"/>
      <c r="BX23" s="55"/>
      <c r="BY23" s="100">
        <f>IF('W6 - Operating cost'!$D$1="USD",INDEX('W2'!$M$56:$R$56,MATCH('W6 - Operating cost'!$B$1,'W2'!$M$7:$R$7,0))*(1+'W6 - Operating cost'!CA$1)*POWER(1+INDEX('Cover Page'!$H$8:$W$8,MATCH('W6 - Operating cost'!$B$1,'Cover Page'!$H$5:$W$5,0)),'W6 - Operating cost'!CA$1)*10^3,INDEX('W2'!$M$56:$R$56,MATCH('W6 - Operating cost'!$B$1,'W2'!$M$7:$R$7,0))*POWER(1+INDEX('Cover Page'!$H$8:$W$8,MATCH('W6 - Operating cost'!$B$1,'Cover Page'!$H$5:$W$5,0)),'W6 - Operating cost'!CA$1)/EXR*10^3)</f>
        <v>1193.6393360588659</v>
      </c>
      <c r="BZ23" s="55"/>
      <c r="CA23" s="55"/>
      <c r="CB23" s="55"/>
      <c r="CD23" s="55"/>
      <c r="CE23" s="100">
        <f>IF('W6 - Operating cost'!$D$1="USD",INDEX('W2'!$M$56:$R$56,MATCH('W6 - Operating cost'!$B$1,'W2'!$M$7:$R$7,0))*(1+'W6 - Operating cost'!CG$1)*POWER(1+INDEX('Cover Page'!$H$8:$W$8,MATCH('W6 - Operating cost'!$B$1,'Cover Page'!$H$5:$W$5,0)),'W6 - Operating cost'!CG$1)*10^3,INDEX('W2'!$M$56:$R$56,MATCH('W6 - Operating cost'!$B$1,'W2'!$M$7:$R$7,0))*POWER(1+INDEX('Cover Page'!$H$8:$W$8,MATCH('W6 - Operating cost'!$B$1,'Cover Page'!$H$5:$W$5,0)),'W6 - Operating cost'!CG$1)/EXR*10^3)</f>
        <v>1217.5121227800435</v>
      </c>
      <c r="CF23" s="55"/>
      <c r="CG23" s="55"/>
      <c r="CH23" s="55"/>
      <c r="CJ23" s="55"/>
      <c r="CK23" s="100">
        <f>IF('W6 - Operating cost'!$D$1="USD",INDEX('W2'!$M$56:$R$56,MATCH('W6 - Operating cost'!$B$1,'W2'!$M$7:$R$7,0))*(1+'W6 - Operating cost'!CM$1)*POWER(1+INDEX('Cover Page'!$H$8:$W$8,MATCH('W6 - Operating cost'!$B$1,'Cover Page'!$H$5:$W$5,0)),'W6 - Operating cost'!CM$1)*10^3,INDEX('W2'!$M$56:$R$56,MATCH('W6 - Operating cost'!$B$1,'W2'!$M$7:$R$7,0))*POWER(1+INDEX('Cover Page'!$H$8:$W$8,MATCH('W6 - Operating cost'!$B$1,'Cover Page'!$H$5:$W$5,0)),'W6 - Operating cost'!CM$1)/EXR*10^3)</f>
        <v>1241.8623652356441</v>
      </c>
      <c r="CL23" s="55"/>
      <c r="CM23" s="55"/>
      <c r="CN23" s="55"/>
      <c r="CP23" s="55"/>
      <c r="CQ23" s="100">
        <f>IF('W6 - Operating cost'!$D$1="USD",INDEX('W2'!$M$56:$R$56,MATCH('W6 - Operating cost'!$B$1,'W2'!$M$7:$R$7,0))*(1+'W6 - Operating cost'!CS$1)*POWER(1+INDEX('Cover Page'!$H$8:$W$8,MATCH('W6 - Operating cost'!$B$1,'Cover Page'!$H$5:$W$5,0)),'W6 - Operating cost'!CS$1)*10^3,INDEX('W2'!$M$56:$R$56,MATCH('W6 - Operating cost'!$B$1,'W2'!$M$7:$R$7,0))*POWER(1+INDEX('Cover Page'!$H$8:$W$8,MATCH('W6 - Operating cost'!$B$1,'Cover Page'!$H$5:$W$5,0)),'W6 - Operating cost'!CS$1)/EXR*10^3)</f>
        <v>1266.6996125403571</v>
      </c>
      <c r="CR23" s="55"/>
      <c r="CS23" s="55"/>
      <c r="CT23" s="55"/>
      <c r="CV23" s="55"/>
      <c r="CW23" s="100">
        <f>IF('W6 - Operating cost'!$D$1="USD",INDEX('W2'!$M$56:$R$56,MATCH('W6 - Operating cost'!$B$1,'W2'!$M$7:$R$7,0))*(1+'W6 - Operating cost'!CY$1)*POWER(1+INDEX('Cover Page'!$H$8:$W$8,MATCH('W6 - Operating cost'!$B$1,'Cover Page'!$H$5:$W$5,0)),'W6 - Operating cost'!CY$1)*10^3,INDEX('W2'!$M$56:$R$56,MATCH('W6 - Operating cost'!$B$1,'W2'!$M$7:$R$7,0))*POWER(1+INDEX('Cover Page'!$H$8:$W$8,MATCH('W6 - Operating cost'!$B$1,'Cover Page'!$H$5:$W$5,0)),'W6 - Operating cost'!CY$1)/EXR*10^3)</f>
        <v>1292.033604791164</v>
      </c>
      <c r="CX23" s="55"/>
      <c r="CY23" s="55"/>
      <c r="CZ23" s="55"/>
      <c r="DB23" s="55"/>
      <c r="DC23" s="100">
        <f>IF('W6 - Operating cost'!$D$1="USD",INDEX('W2'!$M$56:$R$56,MATCH('W6 - Operating cost'!$B$1,'W2'!$M$7:$R$7,0))*(1+'W6 - Operating cost'!DE$1)*POWER(1+INDEX('Cover Page'!$H$8:$W$8,MATCH('W6 - Operating cost'!$B$1,'Cover Page'!$H$5:$W$5,0)),'W6 - Operating cost'!DE$1)*10^3,INDEX('W2'!$M$56:$R$56,MATCH('W6 - Operating cost'!$B$1,'W2'!$M$7:$R$7,0))*POWER(1+INDEX('Cover Page'!$H$8:$W$8,MATCH('W6 - Operating cost'!$B$1,'Cover Page'!$H$5:$W$5,0)),'W6 - Operating cost'!DE$1)/EXR*10^3)</f>
        <v>1317.8742768869877</v>
      </c>
      <c r="DD23" s="55"/>
      <c r="DE23" s="55"/>
      <c r="DF23" s="55"/>
      <c r="DH23" s="55"/>
      <c r="DI23" s="100">
        <f>IF('W6 - Operating cost'!$D$1="USD",INDEX('W2'!$M$56:$R$56,MATCH('W6 - Operating cost'!$B$1,'W2'!$M$7:$R$7,0))*(1+'W6 - Operating cost'!DK$1)*POWER(1+INDEX('Cover Page'!$H$8:$W$8,MATCH('W6 - Operating cost'!$B$1,'Cover Page'!$H$5:$W$5,0)),'W6 - Operating cost'!DK$1)*10^3,INDEX('W2'!$M$56:$R$56,MATCH('W6 - Operating cost'!$B$1,'W2'!$M$7:$R$7,0))*POWER(1+INDEX('Cover Page'!$H$8:$W$8,MATCH('W6 - Operating cost'!$B$1,'Cover Page'!$H$5:$W$5,0)),'W6 - Operating cost'!DK$1)/EXR*10^3)</f>
        <v>1344.2317624247273</v>
      </c>
      <c r="DJ23" s="55"/>
      <c r="DK23" s="55"/>
      <c r="DL23" s="55"/>
      <c r="DN23" s="55"/>
      <c r="DO23" s="100">
        <f>IF('W6 - Operating cost'!$D$1="USD",INDEX('W2'!$M$56:$R$56,MATCH('W6 - Operating cost'!$B$1,'W2'!$M$7:$R$7,0))*(1+'W6 - Operating cost'!DQ$1)*POWER(1+INDEX('Cover Page'!$H$8:$W$8,MATCH('W6 - Operating cost'!$B$1,'Cover Page'!$H$5:$W$5,0)),'W6 - Operating cost'!DQ$1)*10^3,INDEX('W2'!$M$56:$R$56,MATCH('W6 - Operating cost'!$B$1,'W2'!$M$7:$R$7,0))*POWER(1+INDEX('Cover Page'!$H$8:$W$8,MATCH('W6 - Operating cost'!$B$1,'Cover Page'!$H$5:$W$5,0)),'W6 - Operating cost'!DQ$1)/EXR*10^3)</f>
        <v>1371.1163976732219</v>
      </c>
      <c r="DP23" s="55"/>
      <c r="DQ23" s="55"/>
      <c r="DR23" s="55"/>
      <c r="DT23" s="55"/>
      <c r="DU23" s="100">
        <f>IF('W6 - Operating cost'!$D$1="USD",INDEX('W2'!$M$56:$R$56,MATCH('W6 - Operating cost'!$B$1,'W2'!$M$7:$R$7,0))*(1+'W6 - Operating cost'!DW$1)*POWER(1+INDEX('Cover Page'!$H$8:$W$8,MATCH('W6 - Operating cost'!$B$1,'Cover Page'!$H$5:$W$5,0)),'W6 - Operating cost'!DW$1)*10^3,INDEX('W2'!$M$56:$R$56,MATCH('W6 - Operating cost'!$B$1,'W2'!$M$7:$R$7,0))*POWER(1+INDEX('Cover Page'!$H$8:$W$8,MATCH('W6 - Operating cost'!$B$1,'Cover Page'!$H$5:$W$5,0)),'W6 - Operating cost'!DW$1)/EXR*10^3)</f>
        <v>1398.5387256266863</v>
      </c>
      <c r="DV23" s="55"/>
      <c r="DW23" s="55"/>
      <c r="DX23" s="55"/>
      <c r="DZ23" s="55"/>
      <c r="EA23" s="100">
        <f>IF('W6 - Operating cost'!$D$1="USD",INDEX('W2'!$M$56:$R$56,MATCH('W6 - Operating cost'!$B$1,'W2'!$M$7:$R$7,0))*(1+'W6 - Operating cost'!EC$1)*POWER(1+INDEX('Cover Page'!$H$8:$W$8,MATCH('W6 - Operating cost'!$B$1,'Cover Page'!$H$5:$W$5,0)),'W6 - Operating cost'!EC$1)*10^3,INDEX('W2'!$M$56:$R$56,MATCH('W6 - Operating cost'!$B$1,'W2'!$M$7:$R$7,0))*POWER(1+INDEX('Cover Page'!$H$8:$W$8,MATCH('W6 - Operating cost'!$B$1,'Cover Page'!$H$5:$W$5,0)),'W6 - Operating cost'!EC$1)/EXR*10^3)</f>
        <v>1426.5095001392201</v>
      </c>
      <c r="EB23" s="55"/>
      <c r="EC23" s="55"/>
      <c r="ED23" s="55"/>
      <c r="EF23" s="55"/>
      <c r="EG23" s="100">
        <f>IF('W6 - Operating cost'!$D$1="USD",INDEX('W2'!$M$56:$R$56,MATCH('W6 - Operating cost'!$B$1,'W2'!$M$7:$R$7,0))*(1+'W6 - Operating cost'!EI$1)*POWER(1+INDEX('Cover Page'!$H$8:$W$8,MATCH('W6 - Operating cost'!$B$1,'Cover Page'!$H$5:$W$5,0)),'W6 - Operating cost'!EI$1)*10^3,INDEX('W2'!$M$56:$R$56,MATCH('W6 - Operating cost'!$B$1,'W2'!$M$7:$R$7,0))*POWER(1+INDEX('Cover Page'!$H$8:$W$8,MATCH('W6 - Operating cost'!$B$1,'Cover Page'!$H$5:$W$5,0)),'W6 - Operating cost'!EI$1)/EXR*10^3)</f>
        <v>1455.0396901420045</v>
      </c>
      <c r="EH23" s="55"/>
      <c r="EI23" s="55"/>
      <c r="EJ23" s="55"/>
      <c r="EL23" s="55"/>
      <c r="EM23" s="100">
        <f>IF('W6 - Operating cost'!$D$1="USD",INDEX('W2'!$M$56:$R$56,MATCH('W6 - Operating cost'!$B$1,'W2'!$M$7:$R$7,0))*(1+'W6 - Operating cost'!EO$1)*POWER(1+INDEX('Cover Page'!$H$8:$W$8,MATCH('W6 - Operating cost'!$B$1,'Cover Page'!$H$5:$W$5,0)),'W6 - Operating cost'!EO$1)*10^3,INDEX('W2'!$M$56:$R$56,MATCH('W6 - Operating cost'!$B$1,'W2'!$M$7:$R$7,0))*POWER(1+INDEX('Cover Page'!$H$8:$W$8,MATCH('W6 - Operating cost'!$B$1,'Cover Page'!$H$5:$W$5,0)),'W6 - Operating cost'!EO$1)/EXR*10^3)</f>
        <v>1484.1404839448444</v>
      </c>
      <c r="EN23" s="55"/>
      <c r="EO23" s="55"/>
      <c r="EP23" s="55"/>
      <c r="ER23" s="55"/>
      <c r="ES23" s="100">
        <f>IF('W6 - Operating cost'!$D$1="USD",INDEX('W2'!$M$56:$R$56,MATCH('W6 - Operating cost'!$B$1,'W2'!$M$7:$R$7,0))*(1+'W6 - Operating cost'!EU$1)*POWER(1+INDEX('Cover Page'!$H$8:$W$8,MATCH('W6 - Operating cost'!$B$1,'Cover Page'!$H$5:$W$5,0)),'W6 - Operating cost'!EU$1)*10^3,INDEX('W2'!$M$56:$R$56,MATCH('W6 - Operating cost'!$B$1,'W2'!$M$7:$R$7,0))*POWER(1+INDEX('Cover Page'!$H$8:$W$8,MATCH('W6 - Operating cost'!$B$1,'Cover Page'!$H$5:$W$5,0)),'W6 - Operating cost'!EU$1)/EXR*10^3)</f>
        <v>1513.8232936237412</v>
      </c>
      <c r="ET23" s="55"/>
      <c r="EU23" s="55"/>
      <c r="EV23" s="55"/>
    </row>
    <row r="24" spans="1:152" x14ac:dyDescent="0.25">
      <c r="A24" t="s">
        <v>624</v>
      </c>
      <c r="B24" s="55" t="s">
        <v>164</v>
      </c>
      <c r="C24" s="55" t="s">
        <v>148</v>
      </c>
      <c r="D24" s="55"/>
      <c r="E24" s="329">
        <f>E23*EXR*'Cover Page'!$F$25/10^6</f>
        <v>374.4</v>
      </c>
      <c r="F24" s="55"/>
      <c r="G24" s="55"/>
      <c r="H24" s="55"/>
      <c r="J24" s="55"/>
      <c r="K24" s="329">
        <f>K23*EXR*'Cover Page'!$F$25/10^6</f>
        <v>374.4</v>
      </c>
      <c r="L24" s="55"/>
      <c r="M24" s="55"/>
      <c r="N24" s="55"/>
      <c r="P24" s="55"/>
      <c r="Q24" s="329">
        <f>Q23*EXR*'Cover Page'!$F$25/10^6</f>
        <v>381.88799999999998</v>
      </c>
      <c r="R24" s="55"/>
      <c r="S24" s="55"/>
      <c r="T24" s="55"/>
      <c r="V24" s="55"/>
      <c r="W24" s="329">
        <f>W23*EXR*'Cover Page'!$F$25/10^6</f>
        <v>389.52575999999993</v>
      </c>
      <c r="X24" s="55"/>
      <c r="Y24" s="55"/>
      <c r="Z24" s="55"/>
      <c r="AB24" s="55"/>
      <c r="AC24" s="329">
        <f>AC23*EXR*'Cover Page'!$F$25/10^6</f>
        <v>397.31627519999995</v>
      </c>
      <c r="AD24" s="55"/>
      <c r="AE24" s="55"/>
      <c r="AF24" s="55"/>
      <c r="AH24" s="55"/>
      <c r="AI24" s="329">
        <f>AI23*EXR*'Cover Page'!$F$25/10^6</f>
        <v>405.26260070400002</v>
      </c>
      <c r="AJ24" s="55"/>
      <c r="AK24" s="55"/>
      <c r="AL24" s="55"/>
      <c r="AN24" s="55"/>
      <c r="AO24" s="329">
        <f>AO23*EXR*'Cover Page'!$F$25/10^6</f>
        <v>413.36785271808003</v>
      </c>
      <c r="AP24" s="55"/>
      <c r="AQ24" s="55"/>
      <c r="AR24" s="55"/>
      <c r="AT24" s="55"/>
      <c r="AU24" s="329">
        <f>AU23*EXR*'Cover Page'!$F$25/10^6</f>
        <v>421.63520977244167</v>
      </c>
      <c r="AV24" s="55"/>
      <c r="AW24" s="55"/>
      <c r="AX24" s="55"/>
      <c r="AZ24" s="55"/>
      <c r="BA24" s="329">
        <f>BA23*EXR*'Cover Page'!$F$25/10^6</f>
        <v>430.06791396789043</v>
      </c>
      <c r="BB24" s="55"/>
      <c r="BC24" s="55"/>
      <c r="BD24" s="55"/>
      <c r="BF24" s="55"/>
      <c r="BG24" s="329">
        <f>BG23*EXR*'Cover Page'!$F$25/10^6</f>
        <v>438.66927224724822</v>
      </c>
      <c r="BH24" s="55"/>
      <c r="BI24" s="55"/>
      <c r="BJ24" s="55"/>
      <c r="BL24" s="55"/>
      <c r="BM24" s="329">
        <f>BM23*EXR*'Cover Page'!$F$25/10^6</f>
        <v>447.44265769219322</v>
      </c>
      <c r="BN24" s="55"/>
      <c r="BO24" s="55"/>
      <c r="BP24" s="55"/>
      <c r="BR24" s="55"/>
      <c r="BS24" s="329">
        <f>BS23*EXR*'Cover Page'!$F$25/10^6</f>
        <v>456.39151084603702</v>
      </c>
      <c r="BT24" s="55"/>
      <c r="BU24" s="55"/>
      <c r="BV24" s="55"/>
      <c r="BX24" s="55"/>
      <c r="BY24" s="329">
        <f>BY23*EXR*'Cover Page'!$F$25/10^6</f>
        <v>465.51934106295766</v>
      </c>
      <c r="BZ24" s="55"/>
      <c r="CA24" s="55"/>
      <c r="CB24" s="55"/>
      <c r="CD24" s="55"/>
      <c r="CE24" s="329">
        <f>CE23*EXR*'Cover Page'!$F$25/10^6</f>
        <v>474.82972788421694</v>
      </c>
      <c r="CF24" s="55"/>
      <c r="CG24" s="55"/>
      <c r="CH24" s="55"/>
      <c r="CJ24" s="55"/>
      <c r="CK24" s="329">
        <f>CK23*EXR*'Cover Page'!$F$25/10^6</f>
        <v>484.3263224419012</v>
      </c>
      <c r="CL24" s="55"/>
      <c r="CM24" s="55"/>
      <c r="CN24" s="55"/>
      <c r="CP24" s="55"/>
      <c r="CQ24" s="329">
        <f>CQ23*EXR*'Cover Page'!$F$25/10^6</f>
        <v>494.01284889073924</v>
      </c>
      <c r="CR24" s="55"/>
      <c r="CS24" s="55"/>
      <c r="CT24" s="55"/>
      <c r="CV24" s="55"/>
      <c r="CW24" s="329">
        <f>CW23*EXR*'Cover Page'!$F$25/10^6</f>
        <v>503.8931058685539</v>
      </c>
      <c r="CX24" s="55"/>
      <c r="CY24" s="55"/>
      <c r="CZ24" s="55"/>
      <c r="DB24" s="55"/>
      <c r="DC24" s="329">
        <f>DC23*EXR*'Cover Page'!$F$25/10^6</f>
        <v>513.97096798592509</v>
      </c>
      <c r="DD24" s="55"/>
      <c r="DE24" s="55"/>
      <c r="DF24" s="55"/>
      <c r="DH24" s="55"/>
      <c r="DI24" s="329">
        <f>DI23*EXR*'Cover Page'!$F$25/10^6</f>
        <v>524.25038734564362</v>
      </c>
      <c r="DJ24" s="55"/>
      <c r="DK24" s="55"/>
      <c r="DL24" s="55"/>
      <c r="DN24" s="55"/>
      <c r="DO24" s="329">
        <f>DO23*EXR*'Cover Page'!$F$25/10^6</f>
        <v>534.73539509255647</v>
      </c>
      <c r="DP24" s="55"/>
      <c r="DQ24" s="55"/>
      <c r="DR24" s="55"/>
      <c r="DT24" s="55"/>
      <c r="DU24" s="329">
        <f>DU23*EXR*'Cover Page'!$F$25/10^6</f>
        <v>545.43010299440766</v>
      </c>
      <c r="DV24" s="55"/>
      <c r="DW24" s="55"/>
      <c r="DX24" s="55"/>
      <c r="DZ24" s="55"/>
      <c r="EA24" s="329">
        <f>EA23*EXR*'Cover Page'!$F$25/10^6</f>
        <v>556.33870505429593</v>
      </c>
      <c r="EB24" s="55"/>
      <c r="EC24" s="55"/>
      <c r="ED24" s="55"/>
      <c r="EF24" s="55"/>
      <c r="EG24" s="329">
        <f>EG23*EXR*'Cover Page'!$F$25/10^6</f>
        <v>567.46547915538179</v>
      </c>
      <c r="EH24" s="55"/>
      <c r="EI24" s="55"/>
      <c r="EJ24" s="55"/>
      <c r="EL24" s="55"/>
      <c r="EM24" s="329">
        <f>EM23*EXR*'Cover Page'!$F$25/10^6</f>
        <v>578.81478873848937</v>
      </c>
      <c r="EN24" s="55"/>
      <c r="EO24" s="55"/>
      <c r="EP24" s="55"/>
      <c r="ER24" s="55"/>
      <c r="ES24" s="329">
        <f>ES23*EXR*'Cover Page'!$F$25/10^6</f>
        <v>590.3910845132591</v>
      </c>
      <c r="ET24" s="55"/>
      <c r="EU24" s="55"/>
      <c r="EV24" s="55"/>
    </row>
    <row r="25" spans="1:152" x14ac:dyDescent="0.25">
      <c r="A25" t="s">
        <v>624</v>
      </c>
      <c r="B25" s="55" t="s">
        <v>165</v>
      </c>
      <c r="C25" s="55" t="s">
        <v>148</v>
      </c>
      <c r="D25" s="55"/>
      <c r="E25" s="100">
        <f>'W6 - Operating cost'!G60/'W6 - Preform cost'!D29</f>
        <v>3.0630387096774196</v>
      </c>
      <c r="F25" s="55"/>
      <c r="G25" s="55"/>
      <c r="H25" s="55"/>
      <c r="J25" s="55"/>
      <c r="K25" s="100">
        <f>'W6 - Operating cost'!M60/'W6 - Preform cost'!J29</f>
        <v>3.0630387096774201</v>
      </c>
      <c r="L25" s="55"/>
      <c r="M25" s="55"/>
      <c r="N25" s="55"/>
      <c r="P25" s="55"/>
      <c r="Q25" s="100">
        <f>'W6 - Operating cost'!S60/'W6 - Preform cost'!P29</f>
        <v>3.2161906451612907</v>
      </c>
      <c r="R25" s="55"/>
      <c r="S25" s="55"/>
      <c r="T25" s="55"/>
      <c r="V25" s="55"/>
      <c r="W25" s="100">
        <f>'W6 - Operating cost'!Y60/'W6 - Preform cost'!V29</f>
        <v>3.3770001774193554</v>
      </c>
      <c r="X25" s="55"/>
      <c r="Y25" s="55"/>
      <c r="Z25" s="55"/>
      <c r="AB25" s="55"/>
      <c r="AC25" s="100">
        <f>'W6 - Operating cost'!AE60/'W6 - Preform cost'!AB29</f>
        <v>3.5458501862903238</v>
      </c>
      <c r="AD25" s="55"/>
      <c r="AE25" s="55"/>
      <c r="AF25" s="55"/>
      <c r="AH25" s="55"/>
      <c r="AI25" s="100">
        <f>'W6 - Operating cost'!AK60/'W6 - Preform cost'!AH29</f>
        <v>3.7231426956048388</v>
      </c>
      <c r="AJ25" s="55"/>
      <c r="AK25" s="55"/>
      <c r="AL25" s="55"/>
      <c r="AN25" s="55"/>
      <c r="AO25" s="100">
        <f>'W6 - Operating cost'!AQ60/'W6 - Preform cost'!AN29</f>
        <v>3.9092998303850819</v>
      </c>
      <c r="AP25" s="55"/>
      <c r="AQ25" s="55"/>
      <c r="AR25" s="55"/>
      <c r="AT25" s="55"/>
      <c r="AU25" s="100">
        <f>'W6 - Operating cost'!AW60/'W6 - Preform cost'!AT29</f>
        <v>4.1047648219043351</v>
      </c>
      <c r="AV25" s="55"/>
      <c r="AW25" s="55"/>
      <c r="AX25" s="55"/>
      <c r="AZ25" s="55"/>
      <c r="BA25" s="100">
        <f>'W6 - Operating cost'!BC60/'W6 - Preform cost'!AZ29</f>
        <v>4.3100030629995532</v>
      </c>
      <c r="BB25" s="55"/>
      <c r="BC25" s="55"/>
      <c r="BD25" s="55"/>
      <c r="BF25" s="55"/>
      <c r="BG25" s="100">
        <f>'W6 - Operating cost'!BI60/'W6 - Preform cost'!BF29</f>
        <v>4.5255032161495299</v>
      </c>
      <c r="BH25" s="55"/>
      <c r="BI25" s="55"/>
      <c r="BJ25" s="55"/>
      <c r="BL25" s="55"/>
      <c r="BM25" s="100">
        <f>'W6 - Operating cost'!BO60/'W6 - Preform cost'!BL29</f>
        <v>4.7517783769570059</v>
      </c>
      <c r="BN25" s="55"/>
      <c r="BO25" s="55"/>
      <c r="BP25" s="55"/>
      <c r="BR25" s="55"/>
      <c r="BS25" s="100">
        <f>'W6 - Operating cost'!BU60/'W6 - Preform cost'!BR29</f>
        <v>4.9893672958048576</v>
      </c>
      <c r="BT25" s="55"/>
      <c r="BU25" s="55"/>
      <c r="BV25" s="55"/>
      <c r="BX25" s="55"/>
      <c r="BY25" s="100">
        <f>'W6 - Operating cost'!CA60/'W6 - Preform cost'!BX29</f>
        <v>5.2388356605950994</v>
      </c>
      <c r="BZ25" s="55"/>
      <c r="CA25" s="55"/>
      <c r="CB25" s="55"/>
      <c r="CD25" s="55"/>
      <c r="CE25" s="100">
        <f>'W6 - Operating cost'!CG60/'W6 - Preform cost'!CD29</f>
        <v>5.5007774436248544</v>
      </c>
      <c r="CF25" s="55"/>
      <c r="CG25" s="55"/>
      <c r="CH25" s="55"/>
      <c r="CJ25" s="55"/>
      <c r="CK25" s="100">
        <f>'W6 - Operating cost'!CM60/'W6 - Preform cost'!CJ29</f>
        <v>5.7758163158060976</v>
      </c>
      <c r="CL25" s="55"/>
      <c r="CM25" s="55"/>
      <c r="CN25" s="55"/>
      <c r="CP25" s="55"/>
      <c r="CQ25" s="100" t="e">
        <f>'W6 - Operating cost'!CS60/'W6 - Preform cost'!CP29</f>
        <v>#N/A</v>
      </c>
      <c r="CR25" s="55"/>
      <c r="CS25" s="55"/>
      <c r="CT25" s="55"/>
      <c r="CV25" s="55"/>
      <c r="CW25" s="100" t="e">
        <f>'W6 - Operating cost'!CY60/'W6 - Preform cost'!CV29</f>
        <v>#N/A</v>
      </c>
      <c r="CX25" s="55"/>
      <c r="CY25" s="55"/>
      <c r="CZ25" s="55"/>
      <c r="DB25" s="55"/>
      <c r="DC25" s="100" t="e">
        <f>'W6 - Operating cost'!DE60/'W6 - Preform cost'!DB29</f>
        <v>#N/A</v>
      </c>
      <c r="DD25" s="55"/>
      <c r="DE25" s="55"/>
      <c r="DF25" s="55"/>
      <c r="DH25" s="55"/>
      <c r="DI25" s="100" t="e">
        <f>'W6 - Operating cost'!DK60/'W6 - Preform cost'!DH29</f>
        <v>#N/A</v>
      </c>
      <c r="DJ25" s="55"/>
      <c r="DK25" s="55"/>
      <c r="DL25" s="55"/>
      <c r="DN25" s="55"/>
      <c r="DO25" s="100" t="e">
        <f>'W6 - Operating cost'!DQ60/'W6 - Preform cost'!DN29</f>
        <v>#N/A</v>
      </c>
      <c r="DP25" s="55"/>
      <c r="DQ25" s="55"/>
      <c r="DR25" s="55"/>
      <c r="DT25" s="55"/>
      <c r="DU25" s="100" t="e">
        <f>'W6 - Operating cost'!DW60/'W6 - Preform cost'!DT29</f>
        <v>#N/A</v>
      </c>
      <c r="DV25" s="55"/>
      <c r="DW25" s="55"/>
      <c r="DX25" s="55"/>
      <c r="DZ25" s="55"/>
      <c r="EA25" s="100" t="e">
        <f>'W6 - Operating cost'!EC60/'W6 - Preform cost'!DZ29</f>
        <v>#N/A</v>
      </c>
      <c r="EB25" s="55"/>
      <c r="EC25" s="55"/>
      <c r="ED25" s="55"/>
      <c r="EF25" s="55"/>
      <c r="EG25" s="100" t="e">
        <f>'W6 - Operating cost'!EI60/'W6 - Preform cost'!EF29</f>
        <v>#N/A</v>
      </c>
      <c r="EH25" s="55"/>
      <c r="EI25" s="55"/>
      <c r="EJ25" s="55"/>
      <c r="EL25" s="55"/>
      <c r="EM25" s="100" t="e">
        <f>'W6 - Operating cost'!EO60/'W6 - Preform cost'!EL29</f>
        <v>#N/A</v>
      </c>
      <c r="EN25" s="55"/>
      <c r="EO25" s="55"/>
      <c r="EP25" s="55"/>
      <c r="ER25" s="55"/>
      <c r="ES25" s="100" t="e">
        <f>'W6 - Operating cost'!EU60/'W6 - Preform cost'!ER29</f>
        <v>#N/A</v>
      </c>
      <c r="ET25" s="55"/>
      <c r="EU25" s="55"/>
      <c r="EV25" s="55"/>
    </row>
    <row r="26" spans="1:152" x14ac:dyDescent="0.25">
      <c r="A26" t="s">
        <v>624</v>
      </c>
      <c r="B26" s="55" t="s">
        <v>143</v>
      </c>
      <c r="C26" s="55" t="s">
        <v>148</v>
      </c>
      <c r="D26" s="55"/>
      <c r="E26" s="329">
        <f>E24/(1-'W6 - Operating cost'!$D$25)-E24</f>
        <v>28.180645161290329</v>
      </c>
      <c r="F26" s="55"/>
      <c r="G26" s="55"/>
      <c r="H26" s="55"/>
      <c r="J26" s="55"/>
      <c r="K26" s="329">
        <f>K24/(1-'W6 - Operating cost'!$D$25)-K24</f>
        <v>28.180645161290329</v>
      </c>
      <c r="L26" s="55"/>
      <c r="M26" s="55"/>
      <c r="N26" s="55"/>
      <c r="P26" s="55"/>
      <c r="Q26" s="329">
        <f>Q24/(1-'W6 - Operating cost'!$D$25)-Q24</f>
        <v>28.744258064516146</v>
      </c>
      <c r="R26" s="55"/>
      <c r="S26" s="55"/>
      <c r="T26" s="55"/>
      <c r="V26" s="55"/>
      <c r="W26" s="329">
        <f>W24/(1-'W6 - Operating cost'!$D$25)-W24</f>
        <v>29.319143225806499</v>
      </c>
      <c r="X26" s="55"/>
      <c r="Y26" s="55"/>
      <c r="Z26" s="55"/>
      <c r="AB26" s="55"/>
      <c r="AC26" s="329">
        <f>AC24/(1-'W6 - Operating cost'!$D$25)-AC24</f>
        <v>29.90552609032261</v>
      </c>
      <c r="AD26" s="55"/>
      <c r="AE26" s="55"/>
      <c r="AF26" s="55"/>
      <c r="AH26" s="55"/>
      <c r="AI26" s="329">
        <f>AI24/(1-'W6 - Operating cost'!$D$25)-AI24</f>
        <v>30.503636612129071</v>
      </c>
      <c r="AJ26" s="55"/>
      <c r="AK26" s="55"/>
      <c r="AL26" s="55"/>
      <c r="AN26" s="55"/>
      <c r="AO26" s="329">
        <f>AO24/(1-'W6 - Operating cost'!$D$25)-AO24</f>
        <v>31.113709344371671</v>
      </c>
      <c r="AP26" s="55"/>
      <c r="AQ26" s="55"/>
      <c r="AR26" s="55"/>
      <c r="AT26" s="55"/>
      <c r="AU26" s="329">
        <f>AU24/(1-'W6 - Operating cost'!$D$25)-AU24</f>
        <v>31.73598353125908</v>
      </c>
      <c r="AV26" s="55"/>
      <c r="AW26" s="55"/>
      <c r="AX26" s="55"/>
      <c r="AZ26" s="55"/>
      <c r="BA26" s="329">
        <f>BA24/(1-'W6 - Operating cost'!$D$25)-BA24</f>
        <v>32.370703201884282</v>
      </c>
      <c r="BB26" s="55"/>
      <c r="BC26" s="55"/>
      <c r="BD26" s="55"/>
      <c r="BF26" s="55"/>
      <c r="BG26" s="329">
        <f>BG24/(1-'W6 - Operating cost'!$D$25)-BG24</f>
        <v>33.018117265921944</v>
      </c>
      <c r="BH26" s="55"/>
      <c r="BI26" s="55"/>
      <c r="BJ26" s="55"/>
      <c r="BL26" s="55"/>
      <c r="BM26" s="329">
        <f>BM24/(1-'W6 - Operating cost'!$D$25)-BM24</f>
        <v>33.678479611240391</v>
      </c>
      <c r="BN26" s="55"/>
      <c r="BO26" s="55"/>
      <c r="BP26" s="55"/>
      <c r="BR26" s="55"/>
      <c r="BS26" s="329">
        <f>BS24/(1-'W6 - Operating cost'!$D$25)-BS24</f>
        <v>34.352049203465185</v>
      </c>
      <c r="BT26" s="55"/>
      <c r="BU26" s="55"/>
      <c r="BV26" s="55"/>
      <c r="BX26" s="55"/>
      <c r="BY26" s="329">
        <f>BY24/(1-'W6 - Operating cost'!$D$25)-BY24</f>
        <v>35.039090187534498</v>
      </c>
      <c r="BZ26" s="55"/>
      <c r="CA26" s="55"/>
      <c r="CB26" s="55"/>
      <c r="CD26" s="55"/>
      <c r="CE26" s="329">
        <f>CE24/(1-'W6 - Operating cost'!$D$25)-CE24</f>
        <v>35.739871991285156</v>
      </c>
      <c r="CF26" s="55"/>
      <c r="CG26" s="55"/>
      <c r="CH26" s="55"/>
      <c r="CJ26" s="55"/>
      <c r="CK26" s="329">
        <f>CK24/(1-'W6 - Operating cost'!$D$25)-CK24</f>
        <v>36.454669431110915</v>
      </c>
      <c r="CL26" s="55"/>
      <c r="CM26" s="55"/>
      <c r="CN26" s="55"/>
      <c r="CP26" s="55"/>
      <c r="CQ26" s="329">
        <f>CQ24/(1-'W6 - Operating cost'!$D$25)-CQ24</f>
        <v>37.18376281973309</v>
      </c>
      <c r="CR26" s="55"/>
      <c r="CS26" s="55"/>
      <c r="CT26" s="55"/>
      <c r="CV26" s="55"/>
      <c r="CW26" s="329">
        <f>CW24/(1-'W6 - Operating cost'!$D$25)-CW24</f>
        <v>37.927438076127714</v>
      </c>
      <c r="CX26" s="55"/>
      <c r="CY26" s="55"/>
      <c r="CZ26" s="55"/>
      <c r="DB26" s="55"/>
      <c r="DC26" s="329">
        <f>DC24/(1-'W6 - Operating cost'!$D$25)-DC24</f>
        <v>38.685986837650262</v>
      </c>
      <c r="DD26" s="55"/>
      <c r="DE26" s="55"/>
      <c r="DF26" s="55"/>
      <c r="DH26" s="55"/>
      <c r="DI26" s="329">
        <f>DI24/(1-'W6 - Operating cost'!$D$25)-DI24</f>
        <v>39.459706574403299</v>
      </c>
      <c r="DJ26" s="55"/>
      <c r="DK26" s="55"/>
      <c r="DL26" s="55"/>
      <c r="DN26" s="55"/>
      <c r="DO26" s="329">
        <f>DO24/(1-'W6 - Operating cost'!$D$25)-DO24</f>
        <v>40.248900705891401</v>
      </c>
      <c r="DP26" s="55"/>
      <c r="DQ26" s="55"/>
      <c r="DR26" s="55"/>
      <c r="DT26" s="55"/>
      <c r="DU26" s="329">
        <f>DU24/(1-'W6 - Operating cost'!$D$25)-DU24</f>
        <v>41.053878720009266</v>
      </c>
      <c r="DV26" s="55"/>
      <c r="DW26" s="55"/>
      <c r="DX26" s="55"/>
      <c r="DZ26" s="55"/>
      <c r="EA26" s="329">
        <f>EA24/(1-'W6 - Operating cost'!$D$25)-EA24</f>
        <v>41.874956294409458</v>
      </c>
      <c r="EB26" s="55"/>
      <c r="EC26" s="55"/>
      <c r="ED26" s="55"/>
      <c r="EF26" s="55"/>
      <c r="EG26" s="329">
        <f>EG24/(1-'W6 - Operating cost'!$D$25)-EG24</f>
        <v>42.712455420297601</v>
      </c>
      <c r="EH26" s="55"/>
      <c r="EI26" s="55"/>
      <c r="EJ26" s="55"/>
      <c r="EL26" s="55"/>
      <c r="EM26" s="329">
        <f>EM24/(1-'W6 - Operating cost'!$D$25)-EM24</f>
        <v>43.566704528703553</v>
      </c>
      <c r="EN26" s="55"/>
      <c r="EO26" s="55"/>
      <c r="EP26" s="55"/>
      <c r="ER26" s="55"/>
      <c r="ES26" s="329">
        <f>ES24/(1-'W6 - Operating cost'!$D$25)-ES24</f>
        <v>44.438038619277563</v>
      </c>
      <c r="ET26" s="55"/>
      <c r="EU26" s="55"/>
      <c r="EV26" s="55"/>
    </row>
    <row r="27" spans="1:15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c r="BL27" s="55"/>
      <c r="BM27" s="55"/>
      <c r="BN27" s="55"/>
      <c r="BO27" s="55"/>
      <c r="BP27" s="55"/>
      <c r="BR27" s="55"/>
      <c r="BS27" s="55"/>
      <c r="BT27" s="55"/>
      <c r="BU27" s="55"/>
      <c r="BV27" s="55"/>
      <c r="BX27" s="55"/>
      <c r="BY27" s="55"/>
      <c r="BZ27" s="55"/>
      <c r="CA27" s="55"/>
      <c r="CB27" s="55"/>
      <c r="CD27" s="55"/>
      <c r="CE27" s="55"/>
      <c r="CF27" s="55"/>
      <c r="CG27" s="55"/>
      <c r="CH27" s="55"/>
      <c r="CJ27" s="55"/>
      <c r="CK27" s="55"/>
      <c r="CL27" s="55"/>
      <c r="CM27" s="55"/>
      <c r="CN27" s="55"/>
      <c r="CP27" s="55"/>
      <c r="CQ27" s="55"/>
      <c r="CR27" s="55"/>
      <c r="CS27" s="55"/>
      <c r="CT27" s="55"/>
      <c r="CV27" s="55"/>
      <c r="CW27" s="55"/>
      <c r="CX27" s="55"/>
      <c r="CY27" s="55"/>
      <c r="CZ27" s="55"/>
      <c r="DB27" s="55"/>
      <c r="DC27" s="55"/>
      <c r="DD27" s="55"/>
      <c r="DE27" s="55"/>
      <c r="DF27" s="55"/>
      <c r="DH27" s="55"/>
      <c r="DI27" s="55"/>
      <c r="DJ27" s="55"/>
      <c r="DK27" s="55"/>
      <c r="DL27" s="55"/>
      <c r="DN27" s="55"/>
      <c r="DO27" s="55"/>
      <c r="DP27" s="55"/>
      <c r="DQ27" s="55"/>
      <c r="DR27" s="55"/>
      <c r="DT27" s="55"/>
      <c r="DU27" s="55"/>
      <c r="DV27" s="55"/>
      <c r="DW27" s="55"/>
      <c r="DX27" s="55"/>
      <c r="DZ27" s="55"/>
      <c r="EA27" s="55"/>
      <c r="EB27" s="55"/>
      <c r="EC27" s="55"/>
      <c r="ED27" s="55"/>
      <c r="EF27" s="55"/>
      <c r="EG27" s="55"/>
      <c r="EH27" s="55"/>
      <c r="EI27" s="55"/>
      <c r="EJ27" s="55"/>
      <c r="EL27" s="55"/>
      <c r="EM27" s="55"/>
      <c r="EN27" s="55"/>
      <c r="EO27" s="55"/>
      <c r="EP27" s="55"/>
      <c r="ER27" s="55"/>
      <c r="ES27" s="55"/>
      <c r="ET27" s="55"/>
      <c r="EU27" s="55"/>
      <c r="EV27" s="55"/>
    </row>
    <row r="28" spans="1:152" s="1" customFormat="1" x14ac:dyDescent="0.25">
      <c r="B28" s="62" t="s">
        <v>362</v>
      </c>
      <c r="C28" s="325" t="s">
        <v>148</v>
      </c>
      <c r="D28" s="325"/>
      <c r="E28" s="326">
        <f>E21+E24+E26+E25</f>
        <v>609.99999999999989</v>
      </c>
      <c r="F28" s="325"/>
      <c r="G28" s="325"/>
      <c r="H28" s="325"/>
      <c r="J28" s="325"/>
      <c r="K28" s="326">
        <f>K21+K24+K26+K25</f>
        <v>622.20000000000016</v>
      </c>
      <c r="L28" s="325"/>
      <c r="M28" s="325"/>
      <c r="N28" s="325"/>
      <c r="P28" s="325"/>
      <c r="Q28" s="326">
        <f>Q21+Q24+Q26+Q25</f>
        <v>634.64400000000001</v>
      </c>
      <c r="R28" s="325"/>
      <c r="S28" s="325"/>
      <c r="T28" s="325"/>
      <c r="V28" s="325"/>
      <c r="W28" s="326">
        <f>W21+W24+W26+W25</f>
        <v>647.33688000000006</v>
      </c>
      <c r="X28" s="325"/>
      <c r="Y28" s="325"/>
      <c r="Z28" s="325"/>
      <c r="AB28" s="325"/>
      <c r="AC28" s="326">
        <f>AC21+AC24+AC26+AC25</f>
        <v>660.28361759999996</v>
      </c>
      <c r="AD28" s="325"/>
      <c r="AE28" s="325"/>
      <c r="AF28" s="325"/>
      <c r="AH28" s="325"/>
      <c r="AI28" s="326">
        <f>AI21+AI24+AI26+AI25</f>
        <v>673.48928995200004</v>
      </c>
      <c r="AJ28" s="325"/>
      <c r="AK28" s="325"/>
      <c r="AL28" s="325"/>
      <c r="AN28" s="325"/>
      <c r="AO28" s="326">
        <f>AO21+AO24+AO26+AO25</f>
        <v>686.9590757510399</v>
      </c>
      <c r="AP28" s="325"/>
      <c r="AQ28" s="325"/>
      <c r="AR28" s="325"/>
      <c r="AT28" s="325"/>
      <c r="AU28" s="326">
        <f>AU21+AU24+AU26+AU25</f>
        <v>700.69825726606064</v>
      </c>
      <c r="AV28" s="325"/>
      <c r="AW28" s="325"/>
      <c r="AX28" s="325"/>
      <c r="AZ28" s="325"/>
      <c r="BA28" s="326">
        <f>BA21+BA24+BA26+BA25</f>
        <v>714.71222241138196</v>
      </c>
      <c r="BB28" s="325"/>
      <c r="BC28" s="325"/>
      <c r="BD28" s="325"/>
      <c r="BF28" s="325"/>
      <c r="BG28" s="326">
        <f>BG21+BG24+BG26+BG25</f>
        <v>729.00646685960976</v>
      </c>
      <c r="BH28" s="325"/>
      <c r="BI28" s="325"/>
      <c r="BJ28" s="325"/>
      <c r="BL28" s="325"/>
      <c r="BM28" s="326">
        <f>BM21+BM24+BM26+BM25</f>
        <v>743.58659619680179</v>
      </c>
      <c r="BN28" s="325"/>
      <c r="BO28" s="325"/>
      <c r="BP28" s="325"/>
      <c r="BR28" s="325"/>
      <c r="BS28" s="326">
        <f>BS21+BS24+BS26+BS25</f>
        <v>758.45832812073775</v>
      </c>
      <c r="BT28" s="325"/>
      <c r="BU28" s="325"/>
      <c r="BV28" s="325"/>
      <c r="BX28" s="325"/>
      <c r="BY28" s="326">
        <f>BY21+BY24+BY26+BY25</f>
        <v>773.62749468315258</v>
      </c>
      <c r="BZ28" s="325"/>
      <c r="CA28" s="325"/>
      <c r="CB28" s="325"/>
      <c r="CD28" s="325"/>
      <c r="CE28" s="326">
        <f t="shared" ref="CE28" si="0">CE21+CE24+CE26+CE25</f>
        <v>789.10004457681566</v>
      </c>
      <c r="CF28" s="325"/>
      <c r="CG28" s="325"/>
      <c r="CH28" s="325"/>
      <c r="CJ28" s="325"/>
      <c r="CK28" s="326">
        <f t="shared" ref="CK28" si="1">CK21+CK24+CK26+CK25</f>
        <v>804.88204546835198</v>
      </c>
      <c r="CL28" s="325"/>
      <c r="CM28" s="325"/>
      <c r="CN28" s="325"/>
      <c r="CP28" s="325"/>
      <c r="CQ28" s="326" t="e">
        <f t="shared" ref="CQ28" si="2">CQ21+CQ24+CQ26+CQ25</f>
        <v>#N/A</v>
      </c>
      <c r="CR28" s="325"/>
      <c r="CS28" s="325"/>
      <c r="CT28" s="325"/>
      <c r="CV28" s="325"/>
      <c r="CW28" s="326" t="e">
        <f t="shared" ref="CW28" si="3">CW21+CW24+CW26+CW25</f>
        <v>#N/A</v>
      </c>
      <c r="CX28" s="325"/>
      <c r="CY28" s="325"/>
      <c r="CZ28" s="325"/>
      <c r="DB28" s="325"/>
      <c r="DC28" s="326" t="e">
        <f t="shared" ref="DC28" si="4">DC21+DC24+DC26+DC25</f>
        <v>#N/A</v>
      </c>
      <c r="DD28" s="325"/>
      <c r="DE28" s="325"/>
      <c r="DF28" s="325"/>
      <c r="DH28" s="325"/>
      <c r="DI28" s="326" t="e">
        <f t="shared" ref="DI28" si="5">DI21+DI24+DI26+DI25</f>
        <v>#N/A</v>
      </c>
      <c r="DJ28" s="325"/>
      <c r="DK28" s="325"/>
      <c r="DL28" s="325"/>
      <c r="DN28" s="325"/>
      <c r="DO28" s="326" t="e">
        <f t="shared" ref="DO28" si="6">DO21+DO24+DO26+DO25</f>
        <v>#N/A</v>
      </c>
      <c r="DP28" s="325"/>
      <c r="DQ28" s="325"/>
      <c r="DR28" s="325"/>
      <c r="DT28" s="325"/>
      <c r="DU28" s="326" t="e">
        <f t="shared" ref="DU28" si="7">DU21+DU24+DU26+DU25</f>
        <v>#N/A</v>
      </c>
      <c r="DV28" s="325"/>
      <c r="DW28" s="325"/>
      <c r="DX28" s="325"/>
      <c r="DZ28" s="325"/>
      <c r="EA28" s="326" t="e">
        <f t="shared" ref="EA28" si="8">EA21+EA24+EA26+EA25</f>
        <v>#N/A</v>
      </c>
      <c r="EB28" s="325"/>
      <c r="EC28" s="325"/>
      <c r="ED28" s="325"/>
      <c r="EF28" s="325"/>
      <c r="EG28" s="326" t="e">
        <f t="shared" ref="EG28" si="9">EG21+EG24+EG26+EG25</f>
        <v>#N/A</v>
      </c>
      <c r="EH28" s="325"/>
      <c r="EI28" s="325"/>
      <c r="EJ28" s="325"/>
      <c r="EL28" s="325"/>
      <c r="EM28" s="326" t="e">
        <f t="shared" ref="EM28" si="10">EM21+EM24+EM26+EM25</f>
        <v>#N/A</v>
      </c>
      <c r="EN28" s="325"/>
      <c r="EO28" s="325"/>
      <c r="EP28" s="325"/>
      <c r="ER28" s="325"/>
      <c r="ES28" s="326" t="e">
        <f t="shared" ref="ES28" si="11">ES21+ES24+ES26+ES25</f>
        <v>#N/A</v>
      </c>
      <c r="ET28" s="325"/>
      <c r="EU28" s="325"/>
      <c r="EV28" s="325"/>
    </row>
    <row r="29" spans="1:152" x14ac:dyDescent="0.25">
      <c r="B29" t="s">
        <v>122</v>
      </c>
      <c r="D29" s="15">
        <f>'W6 - Operating cost'!D31</f>
        <v>206472499.20000002</v>
      </c>
      <c r="J29" s="15">
        <f>'W6 - Operating cost'!J31</f>
        <v>289061498.88</v>
      </c>
      <c r="P29" s="15">
        <f>'W6 - Operating cost'!P31</f>
        <v>412944998.40000004</v>
      </c>
      <c r="V29" s="15">
        <f>'W6 - Operating cost'!V31</f>
        <v>412944998.40000004</v>
      </c>
      <c r="AB29" s="15">
        <f>'W6 - Operating cost'!AB31</f>
        <v>412944998.40000004</v>
      </c>
      <c r="AH29" s="15">
        <f>'W6 - Operating cost'!AH31</f>
        <v>412944998.40000004</v>
      </c>
      <c r="AN29" s="15">
        <f>'W6 - Operating cost'!AN31</f>
        <v>412944998.40000004</v>
      </c>
      <c r="AT29" s="15">
        <f>'W6 - Operating cost'!AT31</f>
        <v>412944998.40000004</v>
      </c>
      <c r="AZ29" s="15">
        <f>'W6 - Operating cost'!AZ31</f>
        <v>412944998.40000004</v>
      </c>
      <c r="BF29" s="15">
        <f>'W6 - Operating cost'!BF31</f>
        <v>412944998.40000004</v>
      </c>
      <c r="BL29" s="15">
        <f>'W6 - Operating cost'!BL31</f>
        <v>412944998.40000004</v>
      </c>
      <c r="BR29" s="15">
        <f>'W6 - Operating cost'!BR31</f>
        <v>412944998.40000004</v>
      </c>
      <c r="BX29" s="15">
        <f>'W6 - Operating cost'!BX31</f>
        <v>412944998.40000004</v>
      </c>
      <c r="CD29" s="15">
        <f>'W6 - Operating cost'!CD31</f>
        <v>412944998.40000004</v>
      </c>
      <c r="CJ29" s="15">
        <f>'W6 - Operating cost'!CJ31</f>
        <v>412944998.40000004</v>
      </c>
      <c r="CP29" s="15" t="e">
        <f>'W6 - Operating cost'!CP31</f>
        <v>#N/A</v>
      </c>
      <c r="CV29" s="15" t="e">
        <f>'W6 - Operating cost'!CV31</f>
        <v>#N/A</v>
      </c>
      <c r="DB29" s="15" t="e">
        <f>'W6 - Operating cost'!DB31</f>
        <v>#N/A</v>
      </c>
      <c r="DH29" s="15" t="e">
        <f>'W6 - Operating cost'!DH31</f>
        <v>#N/A</v>
      </c>
      <c r="DN29" s="15" t="e">
        <f>'W6 - Operating cost'!DN31</f>
        <v>#N/A</v>
      </c>
      <c r="DT29" s="15" t="e">
        <f>'W6 - Operating cost'!DT31</f>
        <v>#N/A</v>
      </c>
      <c r="DZ29" s="15" t="e">
        <f>'W6 - Operating cost'!DZ31</f>
        <v>#N/A</v>
      </c>
      <c r="EF29" s="15" t="e">
        <f>'W6 - Operating cost'!EF31</f>
        <v>#N/A</v>
      </c>
      <c r="EL29" s="15" t="e">
        <f>'W6 - Operating cost'!EL31</f>
        <v>#N/A</v>
      </c>
      <c r="ER29" s="15" t="e">
        <f>'W6 - Operating cost'!ER31</f>
        <v>#N/A</v>
      </c>
    </row>
    <row r="30" spans="1:152" x14ac:dyDescent="0.25">
      <c r="E30" s="15"/>
    </row>
    <row r="31" spans="1:152" x14ac:dyDescent="0.25">
      <c r="B31" t="s">
        <v>631</v>
      </c>
      <c r="E31" s="64">
        <f>SUM(E4:E18)</f>
        <v>338.44431665418938</v>
      </c>
      <c r="K31" s="64">
        <f t="shared" ref="K31" si="12">SUM(K4:K18)</f>
        <v>253.20462549742743</v>
      </c>
      <c r="Q31" s="64">
        <f t="shared" ref="Q31" si="13">SUM(Q4:Q18)</f>
        <v>194.51070465160996</v>
      </c>
      <c r="R31" s="15"/>
      <c r="W31" s="64">
        <f t="shared" ref="W31" si="14">SUM(W4:W18)</f>
        <v>197.74122015859155</v>
      </c>
      <c r="AC31" s="64">
        <f t="shared" ref="AC31" si="15">SUM(AC4:AC18)</f>
        <v>201.10074289024462</v>
      </c>
      <c r="AI31" s="64">
        <f t="shared" ref="AI31" si="16">SUM(AI4:AI18)</f>
        <v>204.59344690925508</v>
      </c>
      <c r="AO31" s="64">
        <f t="shared" ref="AO31" si="17">SUM(AO4:AO18)</f>
        <v>208.22355564054519</v>
      </c>
      <c r="AU31" s="64">
        <f t="shared" ref="AU31" si="18">SUM(AU4:AU18)</f>
        <v>211.9953331855219</v>
      </c>
      <c r="BA31" s="64">
        <f t="shared" ref="BA31" si="19">SUM(BA4:BA18)</f>
        <v>215.91307442126816</v>
      </c>
      <c r="BG31" s="64">
        <f t="shared" ref="BG31" si="20">SUM(BG4:BG18)</f>
        <v>219.98109376926877</v>
      </c>
      <c r="BM31" s="64">
        <f t="shared" ref="BM31" si="21">SUM(BM4:BM18)</f>
        <v>224.20371250866921</v>
      </c>
      <c r="BS31" s="64">
        <f t="shared" ref="BS31" si="22">SUM(BS4:BS18)</f>
        <v>228.58524449871959</v>
      </c>
      <c r="BY31" s="64">
        <f t="shared" ref="BY31" si="23">SUM(BY4:BY18)</f>
        <v>170.01023596635738</v>
      </c>
      <c r="CE31" s="64">
        <f t="shared" ref="CE31" si="24">SUM(CE4:CE18)</f>
        <v>174.722424385739</v>
      </c>
      <c r="CK31" s="64">
        <f t="shared" ref="CK31" si="25">SUM(CK4:CK18)</f>
        <v>179.60625331498707</v>
      </c>
      <c r="CQ31" s="64" t="e">
        <f t="shared" ref="CQ31" si="26">SUM(CQ4:CQ18)</f>
        <v>#N/A</v>
      </c>
      <c r="CW31" s="64" t="e">
        <f t="shared" ref="CW31" si="27">SUM(CW4:CW18)</f>
        <v>#N/A</v>
      </c>
      <c r="DC31" s="64" t="e">
        <f t="shared" ref="DC31" si="28">SUM(DC4:DC18)</f>
        <v>#N/A</v>
      </c>
      <c r="DI31" s="64" t="e">
        <f t="shared" ref="DI31" si="29">SUM(DI4:DI18)</f>
        <v>#N/A</v>
      </c>
      <c r="DO31" s="64" t="e">
        <f t="shared" ref="DO31" si="30">SUM(DO4:DO18)</f>
        <v>#N/A</v>
      </c>
      <c r="DU31" s="64" t="e">
        <f t="shared" ref="DU31" si="31">SUM(DU4:DU18)</f>
        <v>#N/A</v>
      </c>
      <c r="EA31" s="64" t="e">
        <f t="shared" ref="EA31" si="32">SUM(EA4:EA18)</f>
        <v>#N/A</v>
      </c>
      <c r="EG31" s="64" t="e">
        <f t="shared" ref="EG31" si="33">SUM(EG4:EG18)</f>
        <v>#N/A</v>
      </c>
      <c r="EM31" s="64" t="e">
        <f t="shared" ref="EM31" si="34">SUM(EM4:EM18)</f>
        <v>#N/A</v>
      </c>
      <c r="ES31" s="64" t="e">
        <f t="shared" ref="ES31" si="35">SUM(ES4:ES18)</f>
        <v>#N/A</v>
      </c>
    </row>
    <row r="32" spans="1:152" x14ac:dyDescent="0.25">
      <c r="B32" t="s">
        <v>677</v>
      </c>
      <c r="E32" s="650">
        <f>E28-E20</f>
        <v>744.0880005251571</v>
      </c>
      <c r="K32" s="650">
        <f t="shared" ref="K32" si="36">K28-K20</f>
        <v>658.84830936839523</v>
      </c>
      <c r="Q32" s="650">
        <f t="shared" ref="Q32" si="37">Q28-Q20</f>
        <v>608.35915336128733</v>
      </c>
      <c r="W32" s="650">
        <f t="shared" ref="W32" si="38">W28-W20</f>
        <v>619.9631235618175</v>
      </c>
      <c r="AC32" s="650">
        <f t="shared" ref="AC32" si="39">AC28-AC20</f>
        <v>631.8683943668575</v>
      </c>
      <c r="AI32" s="650">
        <f t="shared" ref="AI32" si="40">AI28-AI20</f>
        <v>644.08282692098896</v>
      </c>
      <c r="AO32" s="650">
        <f t="shared" ref="AO32" si="41">AO28-AO20</f>
        <v>656.61441753338192</v>
      </c>
      <c r="AU32" s="650">
        <f t="shared" ref="AU32" si="42">AU28-AU20</f>
        <v>669.47129131112706</v>
      </c>
      <c r="BA32" s="650">
        <f t="shared" ref="BA32" si="43">BA28-BA20</f>
        <v>682.66169465404232</v>
      </c>
      <c r="BG32" s="650">
        <f t="shared" ref="BG32" si="44">BG28-BG20</f>
        <v>696.19398649858852</v>
      </c>
      <c r="BM32" s="650">
        <f t="shared" ref="BM32" si="45">BM28-BM20</f>
        <v>710.07662818905976</v>
      </c>
      <c r="BS32" s="650">
        <f t="shared" ref="BS32" si="46">BS28-BS20</f>
        <v>724.31817184402666</v>
      </c>
      <c r="BY32" s="650">
        <f t="shared" ref="BY32" si="47">BY28-BY20</f>
        <v>675.80750287744468</v>
      </c>
      <c r="CE32" s="650">
        <f t="shared" ref="CE32" si="48">CE28-CE20</f>
        <v>690.79280170486595</v>
      </c>
      <c r="CK32" s="650">
        <f t="shared" ref="CK32" si="49">CK28-CK20</f>
        <v>706.16306150380524</v>
      </c>
      <c r="CQ32" s="650" t="e">
        <f t="shared" ref="CQ32" si="50">CQ28-CQ20</f>
        <v>#N/A</v>
      </c>
      <c r="CW32" s="650" t="e">
        <f t="shared" ref="CW32" si="51">CW28-CW20</f>
        <v>#N/A</v>
      </c>
      <c r="DC32" s="650" t="e">
        <f t="shared" ref="DC32" si="52">DC28-DC20</f>
        <v>#N/A</v>
      </c>
      <c r="DI32" s="650" t="e">
        <f t="shared" ref="DI32" si="53">DI28-DI20</f>
        <v>#N/A</v>
      </c>
      <c r="DO32" s="650" t="e">
        <f t="shared" ref="DO32" si="54">DO28-DO20</f>
        <v>#N/A</v>
      </c>
      <c r="DU32" s="650" t="e">
        <f t="shared" ref="DU32" si="55">DU28-DU20</f>
        <v>#N/A</v>
      </c>
      <c r="EA32" s="650" t="e">
        <f t="shared" ref="EA32" si="56">EA28-EA20</f>
        <v>#N/A</v>
      </c>
      <c r="EG32" s="650" t="e">
        <f t="shared" ref="EG32" si="57">EG28-EG20</f>
        <v>#N/A</v>
      </c>
      <c r="EM32" s="650" t="e">
        <f t="shared" ref="EM32" si="58">EM28-EM20</f>
        <v>#N/A</v>
      </c>
      <c r="ES32" s="650" t="e">
        <f t="shared" ref="ES32" si="59">ES28-ES20</f>
        <v>#N/A</v>
      </c>
    </row>
    <row r="33" spans="5:149" x14ac:dyDescent="0.25">
      <c r="K33" s="324"/>
      <c r="Q33" s="324"/>
      <c r="R33" s="15"/>
      <c r="W33" s="324"/>
      <c r="AC33" s="324"/>
      <c r="AI33" s="324"/>
      <c r="AO33" s="324"/>
      <c r="AU33" s="324"/>
      <c r="BA33" s="324"/>
      <c r="BM33" s="324"/>
      <c r="BS33" s="324"/>
      <c r="BY33" s="324"/>
      <c r="CE33" s="324"/>
      <c r="CK33" s="324"/>
      <c r="CQ33" s="324"/>
      <c r="CW33" s="324"/>
      <c r="DC33" s="324"/>
      <c r="DI33" s="324"/>
      <c r="DO33" s="324"/>
      <c r="DU33" s="324"/>
      <c r="EA33" s="324"/>
      <c r="EG33" s="324"/>
      <c r="EM33" s="324"/>
      <c r="ES33" s="324"/>
    </row>
    <row r="34" spans="5:149" x14ac:dyDescent="0.25">
      <c r="Q34" s="64"/>
      <c r="R34" s="70"/>
      <c r="ES34" s="324"/>
    </row>
    <row r="35" spans="5:149" x14ac:dyDescent="0.25">
      <c r="K35" s="324"/>
      <c r="Q35" s="324"/>
      <c r="R35" s="15"/>
      <c r="W35" s="324"/>
      <c r="AC35" s="324"/>
      <c r="AI35" s="324"/>
      <c r="AO35" s="324"/>
      <c r="AU35" s="324"/>
      <c r="BA35" s="324"/>
      <c r="BG35" s="324"/>
      <c r="BM35" s="324"/>
      <c r="BS35" s="324"/>
      <c r="BY35" s="324"/>
      <c r="CE35" s="324"/>
      <c r="CK35" s="324"/>
      <c r="CQ35" s="324"/>
      <c r="CW35" s="324"/>
      <c r="DC35" s="324"/>
      <c r="DI35" s="324"/>
      <c r="DO35" s="324"/>
      <c r="DU35" s="324"/>
      <c r="EA35" s="324"/>
      <c r="EG35" s="324"/>
      <c r="EM35" s="324"/>
      <c r="ES35" s="324"/>
    </row>
    <row r="37" spans="5:149" x14ac:dyDescent="0.25">
      <c r="E37"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F089A-139C-46F6-A479-AD756D7AD67F}">
  <dimension ref="A1:E74"/>
  <sheetViews>
    <sheetView topLeftCell="A20" workbookViewId="0">
      <selection activeCell="E63" sqref="E63"/>
    </sheetView>
  </sheetViews>
  <sheetFormatPr defaultRowHeight="15" x14ac:dyDescent="0.25"/>
  <cols>
    <col min="1" max="1" width="16.25" customWidth="1"/>
    <col min="2" max="2" width="22.125" customWidth="1"/>
    <col min="3" max="3" width="18.75" customWidth="1"/>
    <col min="4" max="4" width="26" customWidth="1"/>
    <col min="5" max="5" width="32.5" customWidth="1"/>
    <col min="7" max="7" width="16.5" bestFit="1" customWidth="1"/>
  </cols>
  <sheetData>
    <row r="1" spans="1:5" x14ac:dyDescent="0.25">
      <c r="A1" s="443" t="s">
        <v>605</v>
      </c>
      <c r="B1" s="443"/>
      <c r="C1" s="321"/>
    </row>
    <row r="3" spans="1:5" ht="30" x14ac:dyDescent="0.25">
      <c r="A3" s="444" t="s">
        <v>606</v>
      </c>
      <c r="B3" s="444" t="s">
        <v>607</v>
      </c>
      <c r="C3" s="444" t="s">
        <v>608</v>
      </c>
      <c r="D3" s="444" t="s">
        <v>609</v>
      </c>
      <c r="E3" s="444" t="s">
        <v>610</v>
      </c>
    </row>
    <row r="4" spans="1:5" x14ac:dyDescent="0.25">
      <c r="A4" s="445">
        <v>0</v>
      </c>
      <c r="B4" s="445"/>
      <c r="C4" s="100">
        <v>150000000000</v>
      </c>
      <c r="D4" s="55"/>
      <c r="E4" s="55"/>
    </row>
    <row r="5" spans="1:5" x14ac:dyDescent="0.25">
      <c r="A5" s="445">
        <v>1</v>
      </c>
      <c r="B5" s="445">
        <v>29</v>
      </c>
      <c r="C5" s="100">
        <v>145000000000</v>
      </c>
      <c r="D5" s="55"/>
      <c r="E5" s="55"/>
    </row>
    <row r="6" spans="1:5" x14ac:dyDescent="0.25">
      <c r="A6" s="445">
        <v>2</v>
      </c>
      <c r="B6" s="445">
        <v>28</v>
      </c>
      <c r="C6" s="100">
        <v>140000000000</v>
      </c>
      <c r="D6" s="55"/>
      <c r="E6" s="55"/>
    </row>
    <row r="7" spans="1:5" x14ac:dyDescent="0.25">
      <c r="A7" s="445">
        <v>3</v>
      </c>
      <c r="B7" s="445">
        <v>27</v>
      </c>
      <c r="C7" s="100">
        <v>135000000000</v>
      </c>
      <c r="D7" s="55"/>
      <c r="E7" s="55"/>
    </row>
    <row r="8" spans="1:5" x14ac:dyDescent="0.25">
      <c r="A8" s="445">
        <v>4</v>
      </c>
      <c r="B8" s="445">
        <v>26</v>
      </c>
      <c r="C8" s="100">
        <v>130000000000</v>
      </c>
      <c r="D8" s="55"/>
      <c r="E8" s="55"/>
    </row>
    <row r="9" spans="1:5" x14ac:dyDescent="0.25">
      <c r="A9" s="445">
        <v>5</v>
      </c>
      <c r="B9" s="445">
        <v>25</v>
      </c>
      <c r="C9" s="100">
        <v>125000000000</v>
      </c>
      <c r="D9" s="55"/>
      <c r="E9" s="55"/>
    </row>
    <row r="10" spans="1:5" x14ac:dyDescent="0.25">
      <c r="A10" s="445">
        <v>6</v>
      </c>
      <c r="B10" s="445">
        <v>24</v>
      </c>
      <c r="C10" s="100">
        <v>120000000000</v>
      </c>
      <c r="D10" s="55"/>
      <c r="E10" s="55"/>
    </row>
    <row r="11" spans="1:5" x14ac:dyDescent="0.25">
      <c r="A11" s="445">
        <v>7</v>
      </c>
      <c r="B11" s="445">
        <v>23</v>
      </c>
      <c r="C11" s="100">
        <v>115000000000</v>
      </c>
      <c r="D11" s="55"/>
      <c r="E11" s="55"/>
    </row>
    <row r="12" spans="1:5" x14ac:dyDescent="0.25">
      <c r="A12" s="445">
        <v>8</v>
      </c>
      <c r="B12" s="445">
        <v>22</v>
      </c>
      <c r="C12" s="100">
        <v>110000000000</v>
      </c>
      <c r="D12" s="55"/>
      <c r="E12" s="55"/>
    </row>
    <row r="13" spans="1:5" x14ac:dyDescent="0.25">
      <c r="A13" s="445">
        <v>9</v>
      </c>
      <c r="B13" s="445">
        <v>21</v>
      </c>
      <c r="C13" s="100">
        <v>105000000000</v>
      </c>
      <c r="D13" s="55"/>
      <c r="E13" s="55"/>
    </row>
    <row r="14" spans="1:5" x14ac:dyDescent="0.25">
      <c r="A14" s="445">
        <v>10</v>
      </c>
      <c r="B14" s="445">
        <v>20</v>
      </c>
      <c r="C14" s="100">
        <v>100000000000</v>
      </c>
      <c r="D14" s="55"/>
      <c r="E14" s="55"/>
    </row>
    <row r="15" spans="1:5" x14ac:dyDescent="0.25">
      <c r="A15" s="445">
        <v>11</v>
      </c>
      <c r="B15" s="445">
        <v>19</v>
      </c>
      <c r="C15" s="100">
        <v>95000000000</v>
      </c>
      <c r="D15" s="55"/>
      <c r="E15" s="55"/>
    </row>
    <row r="16" spans="1:5" x14ac:dyDescent="0.25">
      <c r="A16" s="445">
        <v>12</v>
      </c>
      <c r="B16" s="445">
        <v>18</v>
      </c>
      <c r="C16" s="100">
        <v>90000000000</v>
      </c>
      <c r="D16" s="55"/>
      <c r="E16" s="55"/>
    </row>
    <row r="17" spans="1:5" x14ac:dyDescent="0.25">
      <c r="A17" s="445">
        <v>13</v>
      </c>
      <c r="B17" s="445">
        <v>17</v>
      </c>
      <c r="C17" s="100">
        <v>85000000000</v>
      </c>
      <c r="D17" s="55"/>
      <c r="E17" s="55"/>
    </row>
    <row r="18" spans="1:5" x14ac:dyDescent="0.25">
      <c r="A18" s="445">
        <v>14</v>
      </c>
      <c r="B18" s="445">
        <v>16</v>
      </c>
      <c r="C18" s="100">
        <v>80000000000</v>
      </c>
      <c r="D18" s="55"/>
      <c r="E18" s="55"/>
    </row>
    <row r="19" spans="1:5" x14ac:dyDescent="0.25">
      <c r="A19" s="445">
        <v>15</v>
      </c>
      <c r="B19" s="445">
        <v>15</v>
      </c>
      <c r="C19" s="100">
        <v>75000000000</v>
      </c>
      <c r="D19" s="55"/>
      <c r="E19" s="55"/>
    </row>
    <row r="20" spans="1:5" x14ac:dyDescent="0.25">
      <c r="A20" s="445">
        <v>16</v>
      </c>
      <c r="B20" s="445">
        <v>14</v>
      </c>
      <c r="C20" s="100">
        <v>70000000000</v>
      </c>
      <c r="D20" s="55"/>
      <c r="E20" s="55"/>
    </row>
    <row r="21" spans="1:5" x14ac:dyDescent="0.25">
      <c r="A21" s="445">
        <v>17</v>
      </c>
      <c r="B21" s="445">
        <v>13</v>
      </c>
      <c r="C21" s="100">
        <v>65000000000</v>
      </c>
      <c r="D21" s="55"/>
      <c r="E21" s="55"/>
    </row>
    <row r="22" spans="1:5" x14ac:dyDescent="0.25">
      <c r="A22" s="445">
        <v>18</v>
      </c>
      <c r="B22" s="445">
        <v>12</v>
      </c>
      <c r="C22" s="100">
        <v>60000000000</v>
      </c>
      <c r="D22" s="55"/>
      <c r="E22" s="55"/>
    </row>
    <row r="23" spans="1:5" x14ac:dyDescent="0.25">
      <c r="A23" s="445">
        <v>19</v>
      </c>
      <c r="B23" s="445">
        <v>11</v>
      </c>
      <c r="C23" s="100">
        <v>55000000000</v>
      </c>
      <c r="D23" s="55"/>
      <c r="E23" s="55"/>
    </row>
    <row r="24" spans="1:5" x14ac:dyDescent="0.25">
      <c r="A24" s="445">
        <v>20</v>
      </c>
      <c r="B24" s="445">
        <v>10</v>
      </c>
      <c r="C24" s="100">
        <v>50000000000</v>
      </c>
      <c r="D24" s="55"/>
      <c r="E24" s="55"/>
    </row>
    <row r="25" spans="1:5" x14ac:dyDescent="0.25">
      <c r="A25" s="445">
        <v>21</v>
      </c>
      <c r="B25" s="445">
        <v>9</v>
      </c>
      <c r="C25" s="100">
        <v>45000000000</v>
      </c>
      <c r="D25" s="55"/>
      <c r="E25" s="55"/>
    </row>
    <row r="26" spans="1:5" x14ac:dyDescent="0.25">
      <c r="A26" s="445">
        <v>22</v>
      </c>
      <c r="B26" s="445">
        <v>8</v>
      </c>
      <c r="C26" s="100">
        <v>40000000000</v>
      </c>
      <c r="D26" s="55"/>
      <c r="E26" s="55"/>
    </row>
    <row r="27" spans="1:5" x14ac:dyDescent="0.25">
      <c r="A27" s="445">
        <v>23</v>
      </c>
      <c r="B27" s="445">
        <v>7</v>
      </c>
      <c r="C27" s="100">
        <v>35000000000</v>
      </c>
      <c r="D27" s="55"/>
      <c r="E27" s="55"/>
    </row>
    <row r="28" spans="1:5" x14ac:dyDescent="0.25">
      <c r="A28" s="445">
        <v>24</v>
      </c>
      <c r="B28" s="445">
        <v>6</v>
      </c>
      <c r="C28" s="100">
        <v>30000000000</v>
      </c>
      <c r="D28" s="55"/>
      <c r="E28" s="55"/>
    </row>
    <row r="29" spans="1:5" x14ac:dyDescent="0.25">
      <c r="A29" s="445">
        <v>25</v>
      </c>
      <c r="B29" s="445">
        <v>5</v>
      </c>
      <c r="C29" s="100">
        <v>25000000000</v>
      </c>
      <c r="D29" s="55"/>
      <c r="E29" s="55"/>
    </row>
    <row r="30" spans="1:5" x14ac:dyDescent="0.25">
      <c r="A30" s="445">
        <v>26</v>
      </c>
      <c r="B30" s="445">
        <v>4</v>
      </c>
      <c r="C30" s="100">
        <v>20000000000</v>
      </c>
      <c r="D30" s="55"/>
      <c r="E30" s="55"/>
    </row>
    <row r="31" spans="1:5" x14ac:dyDescent="0.25">
      <c r="A31" s="445">
        <v>27</v>
      </c>
      <c r="B31" s="445">
        <v>3</v>
      </c>
      <c r="C31" s="100">
        <v>15000000000</v>
      </c>
      <c r="D31" s="55"/>
      <c r="E31" s="55"/>
    </row>
    <row r="32" spans="1:5" x14ac:dyDescent="0.25">
      <c r="A32" s="445">
        <v>28</v>
      </c>
      <c r="B32" s="445">
        <v>2</v>
      </c>
      <c r="C32" s="100">
        <v>10000000000</v>
      </c>
      <c r="D32" s="55"/>
      <c r="E32" s="55"/>
    </row>
    <row r="33" spans="1:5" x14ac:dyDescent="0.25">
      <c r="A33" s="445">
        <v>29</v>
      </c>
      <c r="B33" s="445">
        <v>1</v>
      </c>
      <c r="C33" s="100">
        <v>5000000000</v>
      </c>
      <c r="D33" s="55"/>
      <c r="E33" s="55"/>
    </row>
    <row r="34" spans="1:5" x14ac:dyDescent="0.25">
      <c r="A34" s="445">
        <v>30</v>
      </c>
      <c r="B34" s="445">
        <v>0</v>
      </c>
      <c r="C34" s="100">
        <v>0</v>
      </c>
      <c r="D34" s="55"/>
      <c r="E34" s="55"/>
    </row>
    <row r="36" spans="1:5" x14ac:dyDescent="0.25">
      <c r="A36" s="446" t="s">
        <v>611</v>
      </c>
    </row>
    <row r="38" spans="1:5" x14ac:dyDescent="0.25">
      <c r="A38" s="443" t="s">
        <v>612</v>
      </c>
      <c r="B38" s="443"/>
      <c r="C38" s="321"/>
    </row>
    <row r="40" spans="1:5" ht="30" x14ac:dyDescent="0.25">
      <c r="A40" s="444" t="s">
        <v>606</v>
      </c>
      <c r="B40" s="444" t="s">
        <v>607</v>
      </c>
      <c r="C40" s="444" t="s">
        <v>608</v>
      </c>
      <c r="D40" s="444" t="s">
        <v>609</v>
      </c>
      <c r="E40" s="444" t="s">
        <v>610</v>
      </c>
    </row>
    <row r="41" spans="1:5" x14ac:dyDescent="0.25">
      <c r="A41" s="445">
        <v>0</v>
      </c>
      <c r="B41" s="445"/>
      <c r="C41" s="100">
        <v>294175000000</v>
      </c>
      <c r="D41" s="55"/>
      <c r="E41" s="55"/>
    </row>
    <row r="42" spans="1:5" x14ac:dyDescent="0.25">
      <c r="A42" s="445">
        <v>1</v>
      </c>
      <c r="B42" s="445">
        <v>14</v>
      </c>
      <c r="C42" s="100">
        <v>274563333333.33334</v>
      </c>
      <c r="D42" s="55"/>
      <c r="E42" s="55"/>
    </row>
    <row r="43" spans="1:5" x14ac:dyDescent="0.25">
      <c r="A43" s="445">
        <v>2</v>
      </c>
      <c r="B43" s="445">
        <v>13</v>
      </c>
      <c r="C43" s="100">
        <v>254951666666.66666</v>
      </c>
      <c r="D43" s="55"/>
      <c r="E43" s="55"/>
    </row>
    <row r="44" spans="1:5" x14ac:dyDescent="0.25">
      <c r="A44" s="445">
        <v>3</v>
      </c>
      <c r="B44" s="445">
        <v>12</v>
      </c>
      <c r="C44" s="100">
        <v>235340000000</v>
      </c>
      <c r="D44" s="55"/>
      <c r="E44" s="55"/>
    </row>
    <row r="45" spans="1:5" x14ac:dyDescent="0.25">
      <c r="A45" s="445">
        <v>4</v>
      </c>
      <c r="B45" s="445">
        <v>11</v>
      </c>
      <c r="C45" s="100">
        <v>215728333333.33334</v>
      </c>
      <c r="D45" s="55"/>
      <c r="E45" s="55"/>
    </row>
    <row r="46" spans="1:5" x14ac:dyDescent="0.25">
      <c r="A46" s="445">
        <v>5</v>
      </c>
      <c r="B46" s="445">
        <v>10</v>
      </c>
      <c r="C46" s="100">
        <v>196116666666.66666</v>
      </c>
      <c r="D46" s="55"/>
      <c r="E46" s="55"/>
    </row>
    <row r="47" spans="1:5" x14ac:dyDescent="0.25">
      <c r="A47" s="445">
        <v>6</v>
      </c>
      <c r="B47" s="445">
        <v>9</v>
      </c>
      <c r="C47" s="100">
        <v>176505000000</v>
      </c>
      <c r="D47" s="55"/>
      <c r="E47" s="55"/>
    </row>
    <row r="48" spans="1:5" x14ac:dyDescent="0.25">
      <c r="A48" s="445">
        <v>7</v>
      </c>
      <c r="B48" s="445">
        <v>8</v>
      </c>
      <c r="C48" s="100">
        <v>156893333333.33334</v>
      </c>
      <c r="D48" s="55"/>
      <c r="E48" s="55"/>
    </row>
    <row r="49" spans="1:5" x14ac:dyDescent="0.25">
      <c r="A49" s="445">
        <v>8</v>
      </c>
      <c r="B49" s="445">
        <v>7</v>
      </c>
      <c r="C49" s="100">
        <v>137281666666.66667</v>
      </c>
      <c r="D49" s="55"/>
      <c r="E49" s="55"/>
    </row>
    <row r="50" spans="1:5" x14ac:dyDescent="0.25">
      <c r="A50" s="445">
        <v>9</v>
      </c>
      <c r="B50" s="445">
        <v>6</v>
      </c>
      <c r="C50" s="100">
        <v>117670000000</v>
      </c>
      <c r="D50" s="55"/>
      <c r="E50" s="55"/>
    </row>
    <row r="51" spans="1:5" x14ac:dyDescent="0.25">
      <c r="A51" s="445">
        <v>10</v>
      </c>
      <c r="B51" s="445">
        <v>5</v>
      </c>
      <c r="C51" s="100">
        <v>98058333333.333328</v>
      </c>
      <c r="D51" s="55"/>
      <c r="E51" s="55"/>
    </row>
    <row r="52" spans="1:5" x14ac:dyDescent="0.25">
      <c r="A52" s="445">
        <v>11</v>
      </c>
      <c r="B52" s="445">
        <v>4</v>
      </c>
      <c r="C52" s="100">
        <v>78446666666.666672</v>
      </c>
      <c r="D52" s="55"/>
      <c r="E52" s="55"/>
    </row>
    <row r="53" spans="1:5" x14ac:dyDescent="0.25">
      <c r="A53" s="445">
        <v>12</v>
      </c>
      <c r="B53" s="445">
        <v>3</v>
      </c>
      <c r="C53" s="100">
        <v>58835000000</v>
      </c>
      <c r="D53" s="55"/>
      <c r="E53" s="55"/>
    </row>
    <row r="54" spans="1:5" x14ac:dyDescent="0.25">
      <c r="A54" s="445">
        <v>13</v>
      </c>
      <c r="B54" s="445">
        <v>2</v>
      </c>
      <c r="C54" s="100">
        <v>39223333333.333336</v>
      </c>
      <c r="D54" s="55"/>
      <c r="E54" s="55"/>
    </row>
    <row r="55" spans="1:5" x14ac:dyDescent="0.25">
      <c r="A55" s="445">
        <v>14</v>
      </c>
      <c r="B55" s="445">
        <v>1</v>
      </c>
      <c r="C55" s="100">
        <v>19611666666.666668</v>
      </c>
      <c r="D55" s="55"/>
      <c r="E55" s="55"/>
    </row>
    <row r="56" spans="1:5" x14ac:dyDescent="0.25">
      <c r="A56" s="445">
        <v>15</v>
      </c>
      <c r="B56" s="445">
        <v>0</v>
      </c>
      <c r="C56" s="100">
        <v>0</v>
      </c>
      <c r="D56" s="55"/>
      <c r="E56" s="55"/>
    </row>
    <row r="58" spans="1:5" x14ac:dyDescent="0.25">
      <c r="A58" s="446" t="s">
        <v>611</v>
      </c>
    </row>
    <row r="60" spans="1:5" x14ac:dyDescent="0.25">
      <c r="A60" s="443" t="s">
        <v>613</v>
      </c>
      <c r="B60" s="443"/>
      <c r="C60" s="321"/>
    </row>
    <row r="63" spans="1:5" ht="30" x14ac:dyDescent="0.25">
      <c r="A63" s="444" t="s">
        <v>606</v>
      </c>
      <c r="B63" s="444" t="s">
        <v>607</v>
      </c>
      <c r="C63" s="444" t="s">
        <v>608</v>
      </c>
      <c r="D63" s="444" t="s">
        <v>609</v>
      </c>
      <c r="E63" s="444" t="s">
        <v>610</v>
      </c>
    </row>
    <row r="64" spans="1:5" x14ac:dyDescent="0.25">
      <c r="A64" s="445">
        <v>0</v>
      </c>
      <c r="B64" s="445"/>
      <c r="C64" s="100">
        <v>15625000000</v>
      </c>
      <c r="D64" s="55"/>
      <c r="E64" s="55"/>
    </row>
    <row r="65" spans="1:5" x14ac:dyDescent="0.25">
      <c r="A65" s="445">
        <v>1</v>
      </c>
      <c r="B65" s="445">
        <v>9</v>
      </c>
      <c r="C65" s="100">
        <v>14062500000</v>
      </c>
      <c r="D65" s="55"/>
      <c r="E65" s="55"/>
    </row>
    <row r="66" spans="1:5" x14ac:dyDescent="0.25">
      <c r="A66" s="445">
        <v>2</v>
      </c>
      <c r="B66" s="445">
        <v>8</v>
      </c>
      <c r="C66" s="100">
        <v>12500000000</v>
      </c>
      <c r="D66" s="55"/>
      <c r="E66" s="55"/>
    </row>
    <row r="67" spans="1:5" x14ac:dyDescent="0.25">
      <c r="A67" s="445">
        <v>3</v>
      </c>
      <c r="B67" s="445">
        <v>7</v>
      </c>
      <c r="C67" s="100">
        <v>10937500000</v>
      </c>
      <c r="D67" s="55"/>
      <c r="E67" s="55"/>
    </row>
    <row r="68" spans="1:5" x14ac:dyDescent="0.25">
      <c r="A68" s="445">
        <v>4</v>
      </c>
      <c r="B68" s="445">
        <v>6</v>
      </c>
      <c r="C68" s="100">
        <v>9375000000</v>
      </c>
      <c r="D68" s="55"/>
      <c r="E68" s="55"/>
    </row>
    <row r="69" spans="1:5" x14ac:dyDescent="0.25">
      <c r="A69" s="445">
        <v>5</v>
      </c>
      <c r="B69" s="445">
        <v>5</v>
      </c>
      <c r="C69" s="100">
        <v>7812500000</v>
      </c>
      <c r="D69" s="55"/>
      <c r="E69" s="55"/>
    </row>
    <row r="70" spans="1:5" x14ac:dyDescent="0.25">
      <c r="A70" s="445">
        <v>6</v>
      </c>
      <c r="B70" s="445">
        <v>4</v>
      </c>
      <c r="C70" s="100">
        <v>6250000000</v>
      </c>
      <c r="D70" s="55"/>
      <c r="E70" s="55"/>
    </row>
    <row r="71" spans="1:5" x14ac:dyDescent="0.25">
      <c r="A71" s="445">
        <v>7</v>
      </c>
      <c r="B71" s="445">
        <v>3</v>
      </c>
      <c r="C71" s="100">
        <v>4687500000</v>
      </c>
      <c r="D71" s="55"/>
      <c r="E71" s="55"/>
    </row>
    <row r="72" spans="1:5" x14ac:dyDescent="0.25">
      <c r="A72" s="445">
        <v>8</v>
      </c>
      <c r="B72" s="445">
        <v>2</v>
      </c>
      <c r="C72" s="100">
        <v>3125000000</v>
      </c>
      <c r="D72" s="55"/>
      <c r="E72" s="55"/>
    </row>
    <row r="73" spans="1:5" x14ac:dyDescent="0.25">
      <c r="A73" s="445">
        <v>9</v>
      </c>
      <c r="B73" s="445">
        <v>1</v>
      </c>
      <c r="C73" s="100">
        <v>1562500000</v>
      </c>
      <c r="D73" s="55"/>
      <c r="E73" s="55"/>
    </row>
    <row r="74" spans="1:5" x14ac:dyDescent="0.25">
      <c r="A74" s="445">
        <v>10</v>
      </c>
      <c r="B74" s="445">
        <v>0</v>
      </c>
      <c r="C74" s="100">
        <v>0</v>
      </c>
      <c r="D74" s="55"/>
      <c r="E74" s="55"/>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E878C-7708-410F-8637-EF6AE3953E99}">
  <sheetPr>
    <tabColor theme="0" tint="-0.249977111117893"/>
  </sheetPr>
  <dimension ref="A1:BJ36"/>
  <sheetViews>
    <sheetView zoomScaleNormal="100" workbookViewId="0">
      <selection activeCell="L34" sqref="L34"/>
    </sheetView>
  </sheetViews>
  <sheetFormatPr defaultRowHeight="15" x14ac:dyDescent="0.25"/>
  <cols>
    <col min="2" max="2" width="28" customWidth="1"/>
    <col min="3" max="3" width="10.5" customWidth="1"/>
    <col min="4" max="4" width="20" customWidth="1"/>
    <col min="5" max="5" width="15.375" bestFit="1" customWidth="1"/>
    <col min="6" max="6" width="8.5"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0.75"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s>
  <sheetData>
    <row r="1" spans="1:62" ht="17.25" x14ac:dyDescent="0.3">
      <c r="B1" s="50" t="s">
        <v>350</v>
      </c>
      <c r="C1" s="49"/>
      <c r="D1" s="49"/>
      <c r="E1" s="49"/>
      <c r="F1" s="49"/>
      <c r="G1" s="49"/>
      <c r="H1" s="49"/>
      <c r="J1" s="50" t="s">
        <v>641</v>
      </c>
      <c r="K1" s="49"/>
      <c r="L1" s="49"/>
      <c r="M1" s="49"/>
      <c r="N1" s="49"/>
      <c r="P1" s="50" t="s">
        <v>642</v>
      </c>
      <c r="Q1" s="49"/>
      <c r="R1" s="49"/>
      <c r="S1" s="49"/>
      <c r="T1" s="49"/>
      <c r="V1" s="50" t="s">
        <v>643</v>
      </c>
      <c r="W1" s="49"/>
      <c r="X1" s="49"/>
      <c r="Y1" s="49"/>
      <c r="Z1" s="49"/>
      <c r="AB1" s="50" t="s">
        <v>644</v>
      </c>
      <c r="AC1" s="49"/>
      <c r="AD1" s="49"/>
      <c r="AE1" s="49"/>
      <c r="AF1" s="49"/>
      <c r="AH1" s="50" t="s">
        <v>645</v>
      </c>
      <c r="AI1" s="49"/>
      <c r="AJ1" s="49"/>
      <c r="AK1" s="49"/>
      <c r="AL1" s="49"/>
      <c r="AN1" s="50" t="s">
        <v>646</v>
      </c>
      <c r="AO1" s="49"/>
      <c r="AP1" s="49"/>
      <c r="AQ1" s="49"/>
      <c r="AR1" s="49"/>
      <c r="AT1" s="50" t="s">
        <v>647</v>
      </c>
      <c r="AU1" s="49"/>
      <c r="AV1" s="49"/>
      <c r="AW1" s="49"/>
      <c r="AX1" s="49"/>
      <c r="AZ1" s="50" t="s">
        <v>648</v>
      </c>
      <c r="BA1" s="49"/>
      <c r="BB1" s="49"/>
      <c r="BC1" s="49"/>
      <c r="BD1" s="49"/>
      <c r="BF1" s="50" t="s">
        <v>649</v>
      </c>
      <c r="BG1" s="49"/>
      <c r="BH1" s="49"/>
      <c r="BI1" s="49"/>
      <c r="BJ1" s="49"/>
    </row>
    <row r="2" spans="1:6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row>
    <row r="3" spans="1:6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row>
    <row r="4" spans="1:62" x14ac:dyDescent="0.25">
      <c r="A4" t="s">
        <v>623</v>
      </c>
      <c r="B4" s="55" t="s">
        <v>147</v>
      </c>
      <c r="C4" s="55" t="s">
        <v>148</v>
      </c>
      <c r="D4" s="55"/>
      <c r="E4" s="329">
        <v>144.8266459545213</v>
      </c>
      <c r="F4" s="55"/>
      <c r="G4" s="55"/>
      <c r="H4" s="55"/>
      <c r="J4" s="55"/>
      <c r="K4" s="329">
        <v>103.44760425322951</v>
      </c>
      <c r="L4" s="138"/>
      <c r="M4" s="134"/>
      <c r="N4" s="55"/>
      <c r="P4" s="55"/>
      <c r="Q4" s="329">
        <v>72.413322977260648</v>
      </c>
      <c r="R4" s="55"/>
      <c r="S4" s="55"/>
      <c r="T4" s="55"/>
      <c r="V4" s="55"/>
      <c r="W4" s="329">
        <v>72.413322977260648</v>
      </c>
      <c r="X4" s="55"/>
      <c r="Y4" s="55"/>
      <c r="Z4" s="55"/>
      <c r="AB4" s="55"/>
      <c r="AC4" s="329">
        <v>72.413322977260648</v>
      </c>
      <c r="AD4" s="55"/>
      <c r="AE4" s="55"/>
      <c r="AF4" s="55"/>
      <c r="AH4" s="55"/>
      <c r="AI4" s="329">
        <v>72.413322977260648</v>
      </c>
      <c r="AJ4" s="55"/>
      <c r="AK4" s="55"/>
      <c r="AL4" s="55"/>
      <c r="AN4" s="55"/>
      <c r="AO4" s="329">
        <v>72.413322977260648</v>
      </c>
      <c r="AP4" s="55"/>
      <c r="AQ4" s="55"/>
      <c r="AR4" s="55"/>
      <c r="AT4" s="55"/>
      <c r="AU4" s="329">
        <v>72.413322977260648</v>
      </c>
      <c r="AV4" s="55"/>
      <c r="AW4" s="55"/>
      <c r="AX4" s="55"/>
      <c r="AZ4" s="55"/>
      <c r="BA4" s="329">
        <v>72.413322977260648</v>
      </c>
      <c r="BB4" s="55"/>
      <c r="BC4" s="55"/>
      <c r="BD4" s="55"/>
      <c r="BF4" s="55"/>
      <c r="BG4" s="329">
        <v>72.413322977260648</v>
      </c>
      <c r="BH4" s="55"/>
      <c r="BI4" s="55"/>
      <c r="BJ4" s="55"/>
    </row>
    <row r="5" spans="1:62" x14ac:dyDescent="0.25">
      <c r="A5" t="s">
        <v>623</v>
      </c>
      <c r="B5" s="55" t="s">
        <v>149</v>
      </c>
      <c r="C5" s="55" t="s">
        <v>148</v>
      </c>
      <c r="D5" s="55"/>
      <c r="E5" s="329">
        <v>50.689326084082452</v>
      </c>
      <c r="F5" s="55"/>
      <c r="G5" s="55"/>
      <c r="H5" s="55"/>
      <c r="J5" s="55"/>
      <c r="K5" s="329">
        <v>36.206661488630331</v>
      </c>
      <c r="L5" s="138"/>
      <c r="M5" s="55"/>
      <c r="N5" s="55"/>
      <c r="P5" s="55"/>
      <c r="Q5" s="329">
        <v>26.611896194143288</v>
      </c>
      <c r="R5" s="55"/>
      <c r="S5" s="55"/>
      <c r="T5" s="55"/>
      <c r="V5" s="55"/>
      <c r="W5" s="329">
        <v>27.942491003850453</v>
      </c>
      <c r="X5" s="55"/>
      <c r="Y5" s="55"/>
      <c r="Z5" s="55"/>
      <c r="AB5" s="55"/>
      <c r="AC5" s="329">
        <v>29.339615554042979</v>
      </c>
      <c r="AD5" s="55"/>
      <c r="AE5" s="55"/>
      <c r="AF5" s="55"/>
      <c r="AH5" s="55"/>
      <c r="AI5" s="329">
        <v>30.806596331745123</v>
      </c>
      <c r="AJ5" s="55"/>
      <c r="AK5" s="55"/>
      <c r="AL5" s="55"/>
      <c r="AN5" s="55"/>
      <c r="AO5" s="329">
        <v>32.346926148332386</v>
      </c>
      <c r="AP5" s="55"/>
      <c r="AQ5" s="55"/>
      <c r="AR5" s="55"/>
      <c r="AT5" s="55"/>
      <c r="AU5" s="329">
        <v>33.964272455748997</v>
      </c>
      <c r="AV5" s="55"/>
      <c r="AW5" s="55"/>
      <c r="AX5" s="55"/>
      <c r="AZ5" s="55"/>
      <c r="BA5" s="329">
        <v>35.66248607853646</v>
      </c>
      <c r="BB5" s="55"/>
      <c r="BC5" s="55"/>
      <c r="BD5" s="55"/>
      <c r="BF5" s="55"/>
      <c r="BG5" s="329">
        <v>37.445610382463272</v>
      </c>
      <c r="BH5" s="55"/>
      <c r="BI5" s="55"/>
      <c r="BJ5" s="55"/>
    </row>
    <row r="6" spans="1:62" x14ac:dyDescent="0.25">
      <c r="A6" t="s">
        <v>624</v>
      </c>
      <c r="B6" s="55" t="s">
        <v>150</v>
      </c>
      <c r="C6" s="55" t="s">
        <v>148</v>
      </c>
      <c r="D6" s="55"/>
      <c r="E6" s="329">
        <v>25.705645161290324</v>
      </c>
      <c r="F6" s="55"/>
      <c r="G6" s="55"/>
      <c r="H6" s="55"/>
      <c r="J6" s="55"/>
      <c r="K6" s="329">
        <v>25.705645161290324</v>
      </c>
      <c r="L6" s="138"/>
      <c r="M6" s="55"/>
      <c r="N6" s="55"/>
      <c r="P6" s="55"/>
      <c r="Q6" s="329">
        <v>26.99092741935484</v>
      </c>
      <c r="R6" s="55"/>
      <c r="S6" s="55"/>
      <c r="T6" s="55"/>
      <c r="V6" s="55"/>
      <c r="W6" s="329">
        <v>28.34047379032258</v>
      </c>
      <c r="X6" s="55"/>
      <c r="Y6" s="55"/>
      <c r="Z6" s="55"/>
      <c r="AB6" s="55"/>
      <c r="AC6" s="329">
        <v>29.757497479838715</v>
      </c>
      <c r="AD6" s="55"/>
      <c r="AE6" s="55"/>
      <c r="AF6" s="55"/>
      <c r="AH6" s="55"/>
      <c r="AI6" s="329">
        <v>31.24537235383065</v>
      </c>
      <c r="AJ6" s="55"/>
      <c r="AK6" s="55"/>
      <c r="AL6" s="55"/>
      <c r="AN6" s="55"/>
      <c r="AO6" s="329">
        <v>32.807640971522183</v>
      </c>
      <c r="AP6" s="55"/>
      <c r="AQ6" s="55"/>
      <c r="AR6" s="55"/>
      <c r="AT6" s="55"/>
      <c r="AU6" s="329">
        <v>34.448023020098283</v>
      </c>
      <c r="AV6" s="55"/>
      <c r="AW6" s="55"/>
      <c r="AX6" s="55"/>
      <c r="AZ6" s="55"/>
      <c r="BA6" s="329">
        <v>36.170424171103207</v>
      </c>
      <c r="BB6" s="55"/>
      <c r="BC6" s="55"/>
      <c r="BD6" s="55"/>
      <c r="BF6" s="55"/>
      <c r="BG6" s="329">
        <v>37.978945379658363</v>
      </c>
      <c r="BH6" s="55"/>
      <c r="BI6" s="55"/>
      <c r="BJ6" s="55"/>
    </row>
    <row r="7" spans="1:62" x14ac:dyDescent="0.25">
      <c r="A7" t="s">
        <v>623</v>
      </c>
      <c r="B7" s="55" t="s">
        <v>151</v>
      </c>
      <c r="C7" s="55" t="s">
        <v>148</v>
      </c>
      <c r="D7" s="55"/>
      <c r="E7" s="329">
        <v>5.143112109994707</v>
      </c>
      <c r="F7" s="55"/>
      <c r="G7" s="55"/>
      <c r="H7" s="55"/>
      <c r="J7" s="55"/>
      <c r="K7" s="329">
        <v>3.6736515071390774</v>
      </c>
      <c r="L7" s="138"/>
      <c r="M7" s="55"/>
      <c r="N7" s="55"/>
      <c r="P7" s="55"/>
      <c r="Q7" s="329">
        <v>2.7001338577472214</v>
      </c>
      <c r="R7" s="55"/>
      <c r="S7" s="55"/>
      <c r="T7" s="55"/>
      <c r="V7" s="55"/>
      <c r="W7" s="329">
        <v>2.8351405506345824</v>
      </c>
      <c r="X7" s="55"/>
      <c r="Y7" s="55"/>
      <c r="Z7" s="55"/>
      <c r="AB7" s="55"/>
      <c r="AC7" s="329">
        <v>2.9768975781663123</v>
      </c>
      <c r="AD7" s="55"/>
      <c r="AE7" s="55"/>
      <c r="AF7" s="55"/>
      <c r="AH7" s="55"/>
      <c r="AI7" s="329">
        <v>3.1257424570746273</v>
      </c>
      <c r="AJ7" s="55"/>
      <c r="AK7" s="55"/>
      <c r="AL7" s="55"/>
      <c r="AN7" s="55"/>
      <c r="AO7" s="329">
        <v>3.2820295799283583</v>
      </c>
      <c r="AP7" s="55"/>
      <c r="AQ7" s="55"/>
      <c r="AR7" s="55"/>
      <c r="AT7" s="55"/>
      <c r="AU7" s="329">
        <v>3.4461310589247764</v>
      </c>
      <c r="AV7" s="55"/>
      <c r="AW7" s="55"/>
      <c r="AX7" s="55"/>
      <c r="AZ7" s="55"/>
      <c r="BA7" s="329">
        <v>3.6184376118710162</v>
      </c>
      <c r="BB7" s="55"/>
      <c r="BC7" s="55"/>
      <c r="BD7" s="55"/>
      <c r="BF7" s="55"/>
      <c r="BG7" s="329">
        <v>3.7993594924645668</v>
      </c>
      <c r="BH7" s="55"/>
      <c r="BI7" s="55"/>
      <c r="BJ7" s="55"/>
    </row>
    <row r="8" spans="1:62" x14ac:dyDescent="0.25">
      <c r="A8" t="s">
        <v>623</v>
      </c>
      <c r="B8" s="55" t="s">
        <v>152</v>
      </c>
      <c r="C8" s="55" t="s">
        <v>148</v>
      </c>
      <c r="D8" s="55"/>
      <c r="E8" s="329">
        <v>26.315590296139586</v>
      </c>
      <c r="F8" s="55"/>
      <c r="G8" s="55"/>
      <c r="H8" s="55"/>
      <c r="J8" s="55"/>
      <c r="K8" s="329">
        <v>18.79685021152828</v>
      </c>
      <c r="L8" s="138"/>
      <c r="M8" s="55"/>
      <c r="N8" s="55"/>
      <c r="P8" s="55"/>
      <c r="Q8" s="329">
        <v>13.815684905473285</v>
      </c>
      <c r="R8" s="55"/>
      <c r="S8" s="55"/>
      <c r="T8" s="55"/>
      <c r="V8" s="55"/>
      <c r="W8" s="329">
        <v>14.506469150746947</v>
      </c>
      <c r="X8" s="55"/>
      <c r="Y8" s="55"/>
      <c r="Z8" s="55"/>
      <c r="AB8" s="55"/>
      <c r="AC8" s="329">
        <v>15.2317926082843</v>
      </c>
      <c r="AD8" s="55"/>
      <c r="AE8" s="55"/>
      <c r="AF8" s="55"/>
      <c r="AH8" s="55"/>
      <c r="AI8" s="329">
        <v>15.993382238698509</v>
      </c>
      <c r="AJ8" s="55"/>
      <c r="AK8" s="55"/>
      <c r="AL8" s="55"/>
      <c r="AN8" s="55"/>
      <c r="AO8" s="329">
        <v>16.793051350633434</v>
      </c>
      <c r="AP8" s="55"/>
      <c r="AQ8" s="55"/>
      <c r="AR8" s="55"/>
      <c r="AT8" s="55"/>
      <c r="AU8" s="329">
        <v>17.632703918165106</v>
      </c>
      <c r="AV8" s="55"/>
      <c r="AW8" s="55"/>
      <c r="AX8" s="55"/>
      <c r="AZ8" s="55"/>
      <c r="BA8" s="329">
        <v>18.514339114073366</v>
      </c>
      <c r="BB8" s="55"/>
      <c r="BC8" s="55"/>
      <c r="BD8" s="55"/>
      <c r="BF8" s="55"/>
      <c r="BG8" s="329">
        <v>19.440056069777032</v>
      </c>
      <c r="BH8" s="55"/>
      <c r="BI8" s="55"/>
      <c r="BJ8" s="55"/>
    </row>
    <row r="9" spans="1:62" x14ac:dyDescent="0.25">
      <c r="A9" t="s">
        <v>624</v>
      </c>
      <c r="B9" s="55" t="s">
        <v>153</v>
      </c>
      <c r="C9" s="55" t="s">
        <v>148</v>
      </c>
      <c r="D9" s="55"/>
      <c r="E9" s="329">
        <v>12.25</v>
      </c>
      <c r="F9" s="55"/>
      <c r="G9" s="55"/>
      <c r="H9" s="55"/>
      <c r="J9" s="55"/>
      <c r="K9" s="329">
        <v>12.25</v>
      </c>
      <c r="L9" s="138"/>
      <c r="M9" s="55"/>
      <c r="N9" s="55"/>
      <c r="P9" s="55"/>
      <c r="Q9" s="329">
        <v>12.862500000000001</v>
      </c>
      <c r="R9" s="55"/>
      <c r="S9" s="55"/>
      <c r="T9" s="55"/>
      <c r="V9" s="55"/>
      <c r="W9" s="329">
        <v>13.505625</v>
      </c>
      <c r="X9" s="55"/>
      <c r="Y9" s="55"/>
      <c r="Z9" s="55"/>
      <c r="AB9" s="55"/>
      <c r="AC9" s="329">
        <v>14.180906250000001</v>
      </c>
      <c r="AD9" s="55"/>
      <c r="AE9" s="55"/>
      <c r="AF9" s="55"/>
      <c r="AH9" s="55"/>
      <c r="AI9" s="329">
        <v>14.8899515625</v>
      </c>
      <c r="AJ9" s="55"/>
      <c r="AK9" s="55"/>
      <c r="AL9" s="55"/>
      <c r="AN9" s="55"/>
      <c r="AO9" s="329">
        <v>15.634449140625003</v>
      </c>
      <c r="AP9" s="55"/>
      <c r="AQ9" s="55"/>
      <c r="AR9" s="55"/>
      <c r="AT9" s="55"/>
      <c r="AU9" s="329">
        <v>16.416171597656252</v>
      </c>
      <c r="AV9" s="55"/>
      <c r="AW9" s="55"/>
      <c r="AX9" s="55"/>
      <c r="AZ9" s="55"/>
      <c r="BA9" s="329">
        <v>17.236980177539067</v>
      </c>
      <c r="BB9" s="55"/>
      <c r="BC9" s="55"/>
      <c r="BD9" s="55"/>
      <c r="BF9" s="55"/>
      <c r="BG9" s="329">
        <v>18.098829186416015</v>
      </c>
      <c r="BH9" s="55"/>
      <c r="BI9" s="55"/>
      <c r="BJ9" s="55"/>
    </row>
    <row r="10" spans="1:62" x14ac:dyDescent="0.25">
      <c r="A10" t="s">
        <v>624</v>
      </c>
      <c r="B10" s="55" t="s">
        <v>154</v>
      </c>
      <c r="C10" s="55" t="s">
        <v>148</v>
      </c>
      <c r="D10" s="55"/>
      <c r="E10" s="329">
        <v>13.333333333333334</v>
      </c>
      <c r="F10" s="55"/>
      <c r="G10" s="55"/>
      <c r="H10" s="55"/>
      <c r="J10" s="55"/>
      <c r="K10" s="329">
        <v>13.333333333333334</v>
      </c>
      <c r="L10" s="138"/>
      <c r="M10" s="55"/>
      <c r="N10" s="55"/>
      <c r="P10" s="55"/>
      <c r="Q10" s="329">
        <v>14</v>
      </c>
      <c r="R10" s="55"/>
      <c r="S10" s="55"/>
      <c r="T10" s="55"/>
      <c r="V10" s="55"/>
      <c r="W10" s="329">
        <v>14.7</v>
      </c>
      <c r="X10" s="55"/>
      <c r="Y10" s="55"/>
      <c r="Z10" s="55"/>
      <c r="AB10" s="55"/>
      <c r="AC10" s="329">
        <v>15.435000000000002</v>
      </c>
      <c r="AD10" s="55"/>
      <c r="AE10" s="55"/>
      <c r="AF10" s="55"/>
      <c r="AH10" s="55"/>
      <c r="AI10" s="329">
        <v>16.20675</v>
      </c>
      <c r="AJ10" s="55"/>
      <c r="AK10" s="55"/>
      <c r="AL10" s="55"/>
      <c r="AN10" s="55"/>
      <c r="AO10" s="329">
        <v>17.017087500000002</v>
      </c>
      <c r="AP10" s="55"/>
      <c r="AQ10" s="55"/>
      <c r="AR10" s="55"/>
      <c r="AT10" s="55"/>
      <c r="AU10" s="329">
        <v>17.867941875</v>
      </c>
      <c r="AV10" s="55"/>
      <c r="AW10" s="55"/>
      <c r="AX10" s="55"/>
      <c r="AZ10" s="55"/>
      <c r="BA10" s="329">
        <v>18.761338968750003</v>
      </c>
      <c r="BB10" s="55"/>
      <c r="BC10" s="55"/>
      <c r="BD10" s="55"/>
      <c r="BF10" s="55"/>
      <c r="BG10" s="329">
        <v>19.699405917187502</v>
      </c>
      <c r="BH10" s="55"/>
      <c r="BI10" s="55"/>
      <c r="BJ10" s="55"/>
    </row>
    <row r="11" spans="1:62" x14ac:dyDescent="0.25">
      <c r="A11" t="s">
        <v>623</v>
      </c>
      <c r="B11" s="55" t="s">
        <v>155</v>
      </c>
      <c r="C11" s="55" t="s">
        <v>148</v>
      </c>
      <c r="D11" s="55"/>
      <c r="E11" s="329">
        <v>31.398730830248518</v>
      </c>
      <c r="F11" s="55"/>
      <c r="G11" s="55"/>
      <c r="H11" s="55"/>
      <c r="J11" s="55"/>
      <c r="K11" s="329">
        <v>22.427664878748946</v>
      </c>
      <c r="L11" s="138"/>
      <c r="M11" s="55"/>
      <c r="N11" s="55"/>
      <c r="P11" s="55"/>
      <c r="Q11" s="329">
        <v>15.699365415124259</v>
      </c>
      <c r="R11" s="55"/>
      <c r="S11" s="55"/>
      <c r="T11" s="55"/>
      <c r="V11" s="55"/>
      <c r="W11" s="329">
        <v>15.699365415124259</v>
      </c>
      <c r="X11" s="55"/>
      <c r="Y11" s="55"/>
      <c r="Z11" s="55"/>
      <c r="AB11" s="55"/>
      <c r="AC11" s="329">
        <v>15.699365415124259</v>
      </c>
      <c r="AD11" s="55"/>
      <c r="AE11" s="55"/>
      <c r="AF11" s="55"/>
      <c r="AH11" s="55"/>
      <c r="AI11" s="329">
        <v>15.699365415124259</v>
      </c>
      <c r="AJ11" s="55"/>
      <c r="AK11" s="55"/>
      <c r="AL11" s="55"/>
      <c r="AN11" s="55"/>
      <c r="AO11" s="329">
        <v>15.699365415124259</v>
      </c>
      <c r="AP11" s="55"/>
      <c r="AQ11" s="55"/>
      <c r="AR11" s="55"/>
      <c r="AT11" s="55"/>
      <c r="AU11" s="329">
        <v>15.699365415124259</v>
      </c>
      <c r="AV11" s="55"/>
      <c r="AW11" s="55"/>
      <c r="AX11" s="55"/>
      <c r="AZ11" s="55"/>
      <c r="BA11" s="329">
        <v>15.699365415124259</v>
      </c>
      <c r="BB11" s="55"/>
      <c r="BC11" s="55"/>
      <c r="BD11" s="55"/>
      <c r="BF11" s="55"/>
      <c r="BG11" s="329">
        <v>15.699365415124259</v>
      </c>
      <c r="BH11" s="55"/>
      <c r="BI11" s="55"/>
      <c r="BJ11" s="55"/>
    </row>
    <row r="12" spans="1:62" x14ac:dyDescent="0.25">
      <c r="A12" t="s">
        <v>623</v>
      </c>
      <c r="B12" s="55" t="s">
        <v>132</v>
      </c>
      <c r="C12" s="55" t="s">
        <v>148</v>
      </c>
      <c r="D12" s="55"/>
      <c r="E12" s="329"/>
      <c r="F12" s="55"/>
      <c r="G12" s="55"/>
      <c r="H12" s="55"/>
      <c r="J12" s="55"/>
      <c r="K12" s="55"/>
      <c r="L12" s="138"/>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row>
    <row r="13" spans="1:62" x14ac:dyDescent="0.25">
      <c r="A13" t="s">
        <v>623</v>
      </c>
      <c r="B13" s="55" t="s">
        <v>355</v>
      </c>
      <c r="C13" s="55" t="s">
        <v>148</v>
      </c>
      <c r="D13" s="55"/>
      <c r="E13" s="329">
        <v>13.187466948704378</v>
      </c>
      <c r="F13" s="55"/>
      <c r="G13" s="55"/>
      <c r="H13" s="55"/>
      <c r="J13" s="55"/>
      <c r="K13" s="329">
        <v>9.4196192490745574</v>
      </c>
      <c r="L13" s="138"/>
      <c r="M13" s="55"/>
      <c r="N13" s="55"/>
      <c r="P13" s="55"/>
      <c r="Q13" s="329">
        <v>6.9234201480697983</v>
      </c>
      <c r="R13" s="55"/>
      <c r="S13" s="55"/>
      <c r="T13" s="55"/>
      <c r="V13" s="55"/>
      <c r="W13" s="329">
        <v>7.2695911554732886</v>
      </c>
      <c r="X13" s="55"/>
      <c r="Y13" s="55"/>
      <c r="Z13" s="55"/>
      <c r="AB13" s="55"/>
      <c r="AC13" s="329">
        <v>7.633070713246954</v>
      </c>
      <c r="AD13" s="55"/>
      <c r="AE13" s="55"/>
      <c r="AF13" s="55"/>
      <c r="AH13" s="55"/>
      <c r="AI13" s="329">
        <v>8.0147242489092996</v>
      </c>
      <c r="AJ13" s="55"/>
      <c r="AK13" s="55"/>
      <c r="AL13" s="55"/>
      <c r="AN13" s="55"/>
      <c r="AO13" s="329">
        <v>8.4154604613547672</v>
      </c>
      <c r="AP13" s="55"/>
      <c r="AQ13" s="55"/>
      <c r="AR13" s="55"/>
      <c r="AT13" s="55"/>
      <c r="AU13" s="329">
        <v>8.8362334844225039</v>
      </c>
      <c r="AV13" s="55"/>
      <c r="AW13" s="55"/>
      <c r="AX13" s="55"/>
      <c r="AZ13" s="55"/>
      <c r="BA13" s="329">
        <v>9.2780451586436321</v>
      </c>
      <c r="BB13" s="55"/>
      <c r="BC13" s="55"/>
      <c r="BD13" s="55"/>
      <c r="BF13" s="55"/>
      <c r="BG13" s="329">
        <v>9.7419474165758118</v>
      </c>
      <c r="BH13" s="55"/>
      <c r="BI13" s="55"/>
      <c r="BJ13" s="55"/>
    </row>
    <row r="14" spans="1:62" x14ac:dyDescent="0.25">
      <c r="A14" t="s">
        <v>623</v>
      </c>
      <c r="B14" s="55" t="s">
        <v>533</v>
      </c>
      <c r="C14" s="55" t="s">
        <v>148</v>
      </c>
      <c r="D14" s="55"/>
      <c r="E14" s="329">
        <v>3.9562400846113133</v>
      </c>
      <c r="F14" s="55"/>
      <c r="G14" s="55"/>
      <c r="H14" s="55"/>
      <c r="J14" s="55"/>
      <c r="K14" s="329">
        <v>2.8258857747223671</v>
      </c>
      <c r="L14" s="138"/>
      <c r="M14" s="55"/>
      <c r="N14" s="55"/>
      <c r="P14" s="55"/>
      <c r="Q14" s="329">
        <v>2.0770260444209394</v>
      </c>
      <c r="R14" s="55"/>
      <c r="S14" s="55"/>
      <c r="T14" s="55"/>
      <c r="V14" s="55"/>
      <c r="W14" s="329">
        <v>2.1808773466419864</v>
      </c>
      <c r="X14" s="55"/>
      <c r="Y14" s="55"/>
      <c r="Z14" s="55"/>
      <c r="AB14" s="55"/>
      <c r="AC14" s="329">
        <v>2.2899212139740865</v>
      </c>
      <c r="AD14" s="55"/>
      <c r="AE14" s="55"/>
      <c r="AF14" s="55"/>
      <c r="AH14" s="55"/>
      <c r="AI14" s="329">
        <v>2.4044172746727899</v>
      </c>
      <c r="AJ14" s="55"/>
      <c r="AK14" s="55"/>
      <c r="AL14" s="55"/>
      <c r="AN14" s="55"/>
      <c r="AO14" s="329">
        <v>2.5246381384064303</v>
      </c>
      <c r="AP14" s="55"/>
      <c r="AQ14" s="55"/>
      <c r="AR14" s="55"/>
      <c r="AT14" s="55"/>
      <c r="AU14" s="329">
        <v>2.6508700453267511</v>
      </c>
      <c r="AV14" s="55"/>
      <c r="AW14" s="55"/>
      <c r="AX14" s="55"/>
      <c r="AZ14" s="55"/>
      <c r="BA14" s="329">
        <v>2.7834135475930895</v>
      </c>
      <c r="BB14" s="55"/>
      <c r="BC14" s="55"/>
      <c r="BD14" s="55"/>
      <c r="BF14" s="55"/>
      <c r="BG14" s="329">
        <v>2.9225842249727436</v>
      </c>
      <c r="BH14" s="55"/>
      <c r="BI14" s="55"/>
      <c r="BJ14" s="55"/>
    </row>
    <row r="15" spans="1:62" x14ac:dyDescent="0.25">
      <c r="A15" t="s">
        <v>623</v>
      </c>
      <c r="B15" s="55" t="s">
        <v>523</v>
      </c>
      <c r="C15" s="55" t="s">
        <v>148</v>
      </c>
      <c r="D15" s="55"/>
      <c r="E15" s="329">
        <v>4.4664694606028519</v>
      </c>
      <c r="F15" s="55"/>
      <c r="G15" s="55"/>
      <c r="H15" s="55"/>
      <c r="J15" s="55"/>
      <c r="K15" s="329">
        <v>3.1903353290020373</v>
      </c>
      <c r="L15" s="138"/>
      <c r="M15" s="55"/>
      <c r="N15" s="55"/>
      <c r="P15" s="55"/>
      <c r="Q15" s="329">
        <v>2.2332347303014259</v>
      </c>
      <c r="R15" s="55"/>
      <c r="S15" s="55"/>
      <c r="T15" s="55"/>
      <c r="V15" s="55"/>
      <c r="W15" s="329">
        <v>2.2332347303014259</v>
      </c>
      <c r="X15" s="55"/>
      <c r="Y15" s="55"/>
      <c r="Z15" s="55"/>
      <c r="AB15" s="55"/>
      <c r="AC15" s="329">
        <v>2.2332347303014259</v>
      </c>
      <c r="AD15" s="55"/>
      <c r="AE15" s="55"/>
      <c r="AF15" s="55"/>
      <c r="AH15" s="55"/>
      <c r="AI15" s="329">
        <v>2.2332347303014259</v>
      </c>
      <c r="AJ15" s="55"/>
      <c r="AK15" s="55"/>
      <c r="AL15" s="55"/>
      <c r="AN15" s="55"/>
      <c r="AO15" s="329">
        <v>2.2332347303014259</v>
      </c>
      <c r="AP15" s="55"/>
      <c r="AQ15" s="55"/>
      <c r="AR15" s="55"/>
      <c r="AT15" s="55"/>
      <c r="AU15" s="329">
        <v>2.2332347303014259</v>
      </c>
      <c r="AV15" s="55"/>
      <c r="AW15" s="55"/>
      <c r="AX15" s="55"/>
      <c r="AZ15" s="55"/>
      <c r="BA15" s="329">
        <v>2.2332347303014259</v>
      </c>
      <c r="BB15" s="55"/>
      <c r="BC15" s="55"/>
      <c r="BD15" s="55"/>
      <c r="BF15" s="55"/>
      <c r="BG15" s="329">
        <v>2.2332347303014259</v>
      </c>
      <c r="BH15" s="55"/>
      <c r="BI15" s="55"/>
      <c r="BJ15" s="55"/>
    </row>
    <row r="16" spans="1:62" x14ac:dyDescent="0.25">
      <c r="A16" t="s">
        <v>624</v>
      </c>
      <c r="B16" s="55" t="s">
        <v>534</v>
      </c>
      <c r="C16" s="55" t="s">
        <v>148</v>
      </c>
      <c r="D16" s="55"/>
      <c r="E16" s="329">
        <v>12.717569077207818</v>
      </c>
      <c r="F16" s="55"/>
      <c r="G16" s="101"/>
      <c r="H16" s="55"/>
      <c r="J16" s="55"/>
      <c r="K16" s="329">
        <v>9.5177567141346184</v>
      </c>
      <c r="L16" s="138"/>
      <c r="M16" s="101"/>
      <c r="N16" s="55"/>
      <c r="P16" s="55"/>
      <c r="Q16" s="329">
        <v>7.2931004676758286</v>
      </c>
      <c r="R16" s="55"/>
      <c r="S16" s="101"/>
      <c r="T16" s="55"/>
      <c r="V16" s="55"/>
      <c r="W16" s="329">
        <v>7.4770636448142458</v>
      </c>
      <c r="X16" s="55"/>
      <c r="Y16" s="101"/>
      <c r="Z16" s="55"/>
      <c r="AB16" s="55"/>
      <c r="AC16" s="329">
        <v>7.6702249808095857</v>
      </c>
      <c r="AD16" s="55"/>
      <c r="AE16" s="101"/>
      <c r="AF16" s="55"/>
      <c r="AH16" s="55"/>
      <c r="AI16" s="329">
        <v>7.8730443836046931</v>
      </c>
      <c r="AJ16" s="55"/>
      <c r="AK16" s="101"/>
      <c r="AL16" s="55"/>
      <c r="AN16" s="55"/>
      <c r="AO16" s="329">
        <v>8.0860047565395554</v>
      </c>
      <c r="AP16" s="55"/>
      <c r="AQ16" s="101"/>
      <c r="AR16" s="55"/>
      <c r="AT16" s="55"/>
      <c r="AU16" s="329">
        <v>8.3096131481211586</v>
      </c>
      <c r="AV16" s="55"/>
      <c r="AW16" s="101"/>
      <c r="AX16" s="55"/>
      <c r="AZ16" s="55"/>
      <c r="BA16" s="329">
        <v>8.5444019592818456</v>
      </c>
      <c r="BB16" s="55"/>
      <c r="BC16" s="101"/>
      <c r="BD16" s="55"/>
      <c r="BF16" s="55"/>
      <c r="BG16" s="329">
        <v>8.7909302110005658</v>
      </c>
      <c r="BH16" s="55"/>
      <c r="BI16" s="101"/>
      <c r="BJ16" s="55"/>
    </row>
    <row r="17" spans="1:62" x14ac:dyDescent="0.25">
      <c r="A17" t="s">
        <v>625</v>
      </c>
      <c r="B17" s="55" t="s">
        <v>144</v>
      </c>
      <c r="C17" s="55" t="s">
        <v>148</v>
      </c>
      <c r="D17" s="55"/>
      <c r="E17" s="329">
        <v>125.06114489687985</v>
      </c>
      <c r="F17" s="55"/>
      <c r="G17" s="55"/>
      <c r="H17" s="55"/>
      <c r="J17" s="55"/>
      <c r="K17" s="329">
        <v>88.540839979261904</v>
      </c>
      <c r="L17" s="138"/>
      <c r="M17" s="55"/>
      <c r="N17" s="55"/>
      <c r="P17" s="55"/>
      <c r="Q17" s="329">
        <v>61.382444765490177</v>
      </c>
      <c r="R17" s="55"/>
      <c r="S17" s="55"/>
      <c r="T17" s="55"/>
      <c r="V17" s="55"/>
      <c r="W17" s="329">
        <v>60.738610087897598</v>
      </c>
      <c r="X17" s="55"/>
      <c r="Y17" s="55"/>
      <c r="Z17" s="55"/>
      <c r="AB17" s="55"/>
      <c r="AC17" s="329">
        <v>60.043268636097608</v>
      </c>
      <c r="AD17" s="55"/>
      <c r="AE17" s="55"/>
      <c r="AF17" s="55"/>
      <c r="AH17" s="55"/>
      <c r="AI17" s="329">
        <v>59.292299868153613</v>
      </c>
      <c r="AJ17" s="55"/>
      <c r="AK17" s="55"/>
      <c r="AL17" s="55"/>
      <c r="AN17" s="55"/>
      <c r="AO17" s="329">
        <v>58.481253598774096</v>
      </c>
      <c r="AP17" s="55"/>
      <c r="AQ17" s="55"/>
      <c r="AR17" s="55"/>
      <c r="AT17" s="55"/>
      <c r="AU17" s="329">
        <v>57.605323627844221</v>
      </c>
      <c r="AV17" s="55"/>
      <c r="AW17" s="55"/>
      <c r="AX17" s="55"/>
      <c r="AZ17" s="55"/>
      <c r="BA17" s="329">
        <v>56.659319259239957</v>
      </c>
      <c r="BB17" s="55"/>
      <c r="BC17" s="55"/>
      <c r="BD17" s="55"/>
      <c r="BF17" s="55"/>
      <c r="BG17" s="329">
        <v>55.637634541147342</v>
      </c>
      <c r="BH17" s="55"/>
      <c r="BI17" s="55"/>
      <c r="BJ17" s="55"/>
    </row>
    <row r="18" spans="1:62" x14ac:dyDescent="0.25">
      <c r="A18" t="s">
        <v>624</v>
      </c>
      <c r="B18" s="55" t="s">
        <v>156</v>
      </c>
      <c r="C18" s="55" t="s">
        <v>148</v>
      </c>
      <c r="D18" s="55"/>
      <c r="E18" s="329">
        <v>7.426393071716209</v>
      </c>
      <c r="F18" s="55"/>
      <c r="G18" s="55"/>
      <c r="H18" s="55"/>
      <c r="J18" s="55"/>
      <c r="K18" s="329">
        <v>7.426393071716209</v>
      </c>
      <c r="L18" s="138"/>
      <c r="M18" s="55"/>
      <c r="N18" s="55"/>
      <c r="P18" s="55"/>
      <c r="Q18" s="329">
        <v>7.79771272530202</v>
      </c>
      <c r="R18" s="55"/>
      <c r="S18" s="55"/>
      <c r="T18" s="55"/>
      <c r="V18" s="55"/>
      <c r="W18" s="329">
        <v>8.1875983615671206</v>
      </c>
      <c r="X18" s="55"/>
      <c r="Y18" s="55"/>
      <c r="Z18" s="55"/>
      <c r="AB18" s="55"/>
      <c r="AC18" s="329">
        <v>8.5969782796454766</v>
      </c>
      <c r="AD18" s="55"/>
      <c r="AE18" s="55"/>
      <c r="AF18" s="55"/>
      <c r="AH18" s="55"/>
      <c r="AI18" s="329">
        <v>9.0268271936277511</v>
      </c>
      <c r="AJ18" s="55"/>
      <c r="AK18" s="55"/>
      <c r="AL18" s="55"/>
      <c r="AN18" s="55"/>
      <c r="AO18" s="329">
        <v>9.4781685533091391</v>
      </c>
      <c r="AP18" s="55"/>
      <c r="AQ18" s="55"/>
      <c r="AR18" s="55"/>
      <c r="AT18" s="55"/>
      <c r="AU18" s="329">
        <v>9.9520769809745939</v>
      </c>
      <c r="AV18" s="55"/>
      <c r="AW18" s="55"/>
      <c r="AX18" s="55"/>
      <c r="AZ18" s="55"/>
      <c r="BA18" s="329">
        <v>10.449680830023325</v>
      </c>
      <c r="BB18" s="55"/>
      <c r="BC18" s="55"/>
      <c r="BD18" s="55"/>
      <c r="BF18" s="55"/>
      <c r="BG18" s="329">
        <v>10.972164871524491</v>
      </c>
      <c r="BH18" s="55"/>
      <c r="BI18" s="55"/>
      <c r="BJ18" s="55"/>
    </row>
    <row r="19" spans="1:62" s="142" customFormat="1" x14ac:dyDescent="0.25">
      <c r="B19" s="393" t="s">
        <v>158</v>
      </c>
      <c r="C19" s="393" t="s">
        <v>71</v>
      </c>
      <c r="D19" s="393"/>
      <c r="E19" s="394">
        <v>-0.32438368036426141</v>
      </c>
      <c r="F19" s="393"/>
      <c r="G19" s="393"/>
      <c r="H19" s="393"/>
      <c r="J19" s="393"/>
      <c r="K19" s="394">
        <v>-5.627320010687447E-2</v>
      </c>
      <c r="L19" s="393"/>
      <c r="M19" s="393"/>
      <c r="N19" s="393"/>
      <c r="P19" s="393"/>
      <c r="Q19" s="394">
        <v>0.25886671865267041</v>
      </c>
      <c r="R19" s="393"/>
      <c r="S19" s="393"/>
      <c r="T19" s="393"/>
      <c r="V19" s="393"/>
      <c r="W19" s="394">
        <v>0.25989417784222829</v>
      </c>
      <c r="X19" s="393"/>
      <c r="Y19" s="393"/>
      <c r="Z19" s="393"/>
      <c r="AB19" s="393"/>
      <c r="AC19" s="394">
        <v>0.26029131655885313</v>
      </c>
      <c r="AD19" s="393"/>
      <c r="AE19" s="393"/>
      <c r="AF19" s="393"/>
      <c r="AH19" s="393"/>
      <c r="AI19" s="394">
        <v>0.26005639326992153</v>
      </c>
      <c r="AJ19" s="393"/>
      <c r="AK19" s="393"/>
      <c r="AL19" s="393"/>
      <c r="AN19" s="393"/>
      <c r="AO19" s="394">
        <v>0.25918949421577575</v>
      </c>
      <c r="AP19" s="393"/>
      <c r="AQ19" s="393"/>
      <c r="AR19" s="393"/>
      <c r="AT19" s="393"/>
      <c r="AU19" s="394">
        <v>0.25769255083102804</v>
      </c>
      <c r="AV19" s="393"/>
      <c r="AW19" s="393"/>
      <c r="AX19" s="393"/>
      <c r="AZ19" s="393"/>
      <c r="BA19" s="394">
        <v>0.25556934477883742</v>
      </c>
      <c r="BB19" s="393"/>
      <c r="BC19" s="393"/>
      <c r="BD19" s="393"/>
      <c r="BF19" s="393"/>
      <c r="BG19" s="394">
        <v>0.25282550045929897</v>
      </c>
      <c r="BH19" s="393"/>
      <c r="BI19" s="393"/>
      <c r="BJ19" s="393"/>
    </row>
    <row r="20" spans="1:62" s="142" customFormat="1" x14ac:dyDescent="0.25">
      <c r="B20" s="393" t="s">
        <v>159</v>
      </c>
      <c r="C20" s="393" t="s">
        <v>148</v>
      </c>
      <c r="D20" s="393"/>
      <c r="E20" s="395">
        <v>-154.56157933317945</v>
      </c>
      <c r="F20" s="393"/>
      <c r="G20" s="393"/>
      <c r="H20" s="393"/>
      <c r="J20" s="393"/>
      <c r="K20" s="395">
        <v>-20.076152975658253</v>
      </c>
      <c r="L20" s="393"/>
      <c r="M20" s="393"/>
      <c r="N20" s="393"/>
      <c r="P20" s="393"/>
      <c r="Q20" s="395">
        <v>70.619040085312662</v>
      </c>
      <c r="R20" s="393"/>
      <c r="S20" s="393"/>
      <c r="T20" s="393"/>
      <c r="V20" s="393"/>
      <c r="W20" s="395">
        <v>72.258342715754765</v>
      </c>
      <c r="X20" s="393"/>
      <c r="Y20" s="393"/>
      <c r="Z20" s="393"/>
      <c r="AB20" s="393"/>
      <c r="AC20" s="395">
        <v>73.792873632205243</v>
      </c>
      <c r="AD20" s="393"/>
      <c r="AE20" s="393"/>
      <c r="AF20" s="393"/>
      <c r="AH20" s="393"/>
      <c r="AI20" s="395">
        <v>75.214818414474124</v>
      </c>
      <c r="AJ20" s="393"/>
      <c r="AK20" s="393"/>
      <c r="AL20" s="393"/>
      <c r="AN20" s="393"/>
      <c r="AO20" s="395">
        <v>76.516013116865395</v>
      </c>
      <c r="AP20" s="393"/>
      <c r="AQ20" s="393"/>
      <c r="AR20" s="393"/>
      <c r="AT20" s="393"/>
      <c r="AU20" s="395">
        <v>77.687935032787607</v>
      </c>
      <c r="AV20" s="393"/>
      <c r="AW20" s="393"/>
      <c r="AX20" s="393"/>
      <c r="AZ20" s="393"/>
      <c r="BA20" s="395">
        <v>78.721693755770644</v>
      </c>
      <c r="BB20" s="393"/>
      <c r="BC20" s="393"/>
      <c r="BD20" s="393"/>
      <c r="BF20" s="393"/>
      <c r="BG20" s="395">
        <v>79.608022614339802</v>
      </c>
      <c r="BH20" s="393"/>
      <c r="BI20" s="393"/>
      <c r="BJ20" s="393"/>
    </row>
    <row r="21" spans="1:62" s="1" customFormat="1" x14ac:dyDescent="0.25">
      <c r="B21" s="62" t="s">
        <v>160</v>
      </c>
      <c r="C21" s="325" t="s">
        <v>148</v>
      </c>
      <c r="D21" s="325"/>
      <c r="E21" s="326">
        <v>321.91608797615322</v>
      </c>
      <c r="F21" s="325"/>
      <c r="G21" s="325"/>
      <c r="H21" s="325"/>
      <c r="J21" s="325"/>
      <c r="K21" s="391">
        <v>336.6860879761532</v>
      </c>
      <c r="L21" s="325"/>
      <c r="M21" s="325"/>
      <c r="N21" s="325"/>
      <c r="P21" s="325"/>
      <c r="Q21" s="391">
        <v>343.41980973567649</v>
      </c>
      <c r="R21" s="325"/>
      <c r="S21" s="325"/>
      <c r="T21" s="325"/>
      <c r="V21" s="325"/>
      <c r="W21" s="391">
        <v>350.28820593038984</v>
      </c>
      <c r="X21" s="325"/>
      <c r="Y21" s="325"/>
      <c r="Z21" s="325"/>
      <c r="AB21" s="325"/>
      <c r="AC21" s="391">
        <v>357.29397004899761</v>
      </c>
      <c r="AD21" s="325"/>
      <c r="AE21" s="325"/>
      <c r="AF21" s="325"/>
      <c r="AH21" s="325"/>
      <c r="AI21" s="391">
        <v>364.43984944997749</v>
      </c>
      <c r="AJ21" s="325"/>
      <c r="AK21" s="325"/>
      <c r="AL21" s="325"/>
      <c r="AN21" s="325"/>
      <c r="AO21" s="391">
        <v>371.72864643897714</v>
      </c>
      <c r="AP21" s="325"/>
      <c r="AQ21" s="325"/>
      <c r="AR21" s="325"/>
      <c r="AT21" s="325"/>
      <c r="AU21" s="391">
        <v>379.16321936775654</v>
      </c>
      <c r="AV21" s="325"/>
      <c r="AW21" s="325"/>
      <c r="AX21" s="325"/>
      <c r="AZ21" s="325"/>
      <c r="BA21" s="391">
        <v>386.74648375511202</v>
      </c>
      <c r="BB21" s="325"/>
      <c r="BC21" s="325"/>
      <c r="BD21" s="325"/>
      <c r="BF21" s="325"/>
      <c r="BG21" s="391">
        <v>394.48141343021382</v>
      </c>
      <c r="BH21" s="325"/>
      <c r="BI21" s="325"/>
      <c r="BJ21" s="325"/>
    </row>
    <row r="22" spans="1:62" x14ac:dyDescent="0.25">
      <c r="B22" s="61" t="s">
        <v>161</v>
      </c>
      <c r="C22" s="54"/>
      <c r="D22" s="54"/>
      <c r="E22" s="54"/>
      <c r="F22" s="54"/>
      <c r="G22" s="54"/>
      <c r="H22" s="54"/>
      <c r="J22" s="54"/>
      <c r="K22" s="392"/>
      <c r="L22" s="54"/>
      <c r="M22" s="54"/>
      <c r="N22" s="54"/>
      <c r="P22" s="54"/>
      <c r="Q22" s="392"/>
      <c r="R22" s="54"/>
      <c r="S22" s="54"/>
      <c r="T22" s="54"/>
      <c r="V22" s="54"/>
      <c r="W22" s="392"/>
      <c r="X22" s="54"/>
      <c r="Y22" s="54"/>
      <c r="Z22" s="54"/>
      <c r="AB22" s="54"/>
      <c r="AC22" s="392"/>
      <c r="AD22" s="54"/>
      <c r="AE22" s="54"/>
      <c r="AF22" s="54"/>
      <c r="AH22" s="54"/>
      <c r="AI22" s="392"/>
      <c r="AJ22" s="54"/>
      <c r="AK22" s="54"/>
      <c r="AL22" s="54"/>
      <c r="AN22" s="54"/>
      <c r="AO22" s="392"/>
      <c r="AP22" s="54"/>
      <c r="AQ22" s="54"/>
      <c r="AR22" s="54"/>
      <c r="AT22" s="54"/>
      <c r="AU22" s="392"/>
      <c r="AV22" s="54"/>
      <c r="AW22" s="54"/>
      <c r="AX22" s="54"/>
      <c r="AZ22" s="54"/>
      <c r="BA22" s="392"/>
      <c r="BB22" s="54"/>
      <c r="BC22" s="54"/>
      <c r="BD22" s="54"/>
      <c r="BF22" s="54"/>
      <c r="BG22" s="392"/>
      <c r="BH22" s="54"/>
      <c r="BI22" s="54"/>
      <c r="BJ22" s="54"/>
    </row>
    <row r="23" spans="1:62" x14ac:dyDescent="0.25">
      <c r="A23" t="s">
        <v>624</v>
      </c>
      <c r="B23" s="55" t="s">
        <v>162</v>
      </c>
      <c r="C23" s="55" t="s">
        <v>163</v>
      </c>
      <c r="D23" s="55"/>
      <c r="E23" s="100">
        <v>1033.1281018191401</v>
      </c>
      <c r="F23" s="55"/>
      <c r="G23" s="55"/>
      <c r="H23" s="55"/>
      <c r="J23" s="55"/>
      <c r="K23" s="329">
        <v>1033.1281018191401</v>
      </c>
      <c r="L23" s="55"/>
      <c r="M23" s="55"/>
      <c r="N23" s="55"/>
      <c r="P23" s="55"/>
      <c r="Q23" s="329">
        <v>1053.7906638555228</v>
      </c>
      <c r="R23" s="55"/>
      <c r="S23" s="55"/>
      <c r="T23" s="55"/>
      <c r="V23" s="55"/>
      <c r="W23" s="329">
        <v>1074.8664771326332</v>
      </c>
      <c r="X23" s="55"/>
      <c r="Y23" s="55"/>
      <c r="Z23" s="55"/>
      <c r="AB23" s="55"/>
      <c r="AC23" s="329">
        <v>1096.363806675286</v>
      </c>
      <c r="AD23" s="55"/>
      <c r="AE23" s="55"/>
      <c r="AF23" s="55"/>
      <c r="AH23" s="55"/>
      <c r="AI23" s="329">
        <v>1118.2910828087918</v>
      </c>
      <c r="AJ23" s="55"/>
      <c r="AK23" s="55"/>
      <c r="AL23" s="55"/>
      <c r="AN23" s="55"/>
      <c r="AO23" s="329">
        <v>1140.6569044649675</v>
      </c>
      <c r="AP23" s="55"/>
      <c r="AQ23" s="55"/>
      <c r="AR23" s="55"/>
      <c r="AT23" s="55"/>
      <c r="AU23" s="329">
        <v>1163.4700425542669</v>
      </c>
      <c r="AV23" s="55"/>
      <c r="AW23" s="55"/>
      <c r="AX23" s="55"/>
      <c r="AZ23" s="55"/>
      <c r="BA23" s="329">
        <v>1186.7394434053519</v>
      </c>
      <c r="BB23" s="55"/>
      <c r="BC23" s="55"/>
      <c r="BD23" s="55"/>
      <c r="BF23" s="55"/>
      <c r="BG23" s="329">
        <v>1210.4742322734592</v>
      </c>
      <c r="BH23" s="55"/>
      <c r="BI23" s="55"/>
      <c r="BJ23" s="55"/>
    </row>
    <row r="24" spans="1:62" x14ac:dyDescent="0.25">
      <c r="A24" t="s">
        <v>624</v>
      </c>
      <c r="B24" s="55" t="s">
        <v>164</v>
      </c>
      <c r="C24" s="55" t="s">
        <v>148</v>
      </c>
      <c r="D24" s="55"/>
      <c r="E24" s="329">
        <v>387.42303818217749</v>
      </c>
      <c r="F24" s="55"/>
      <c r="G24" s="55"/>
      <c r="H24" s="55"/>
      <c r="J24" s="55"/>
      <c r="K24" s="329">
        <v>387.42303818217749</v>
      </c>
      <c r="L24" s="55"/>
      <c r="M24" s="55"/>
      <c r="N24" s="55"/>
      <c r="P24" s="55"/>
      <c r="Q24" s="329">
        <v>395.17149894582099</v>
      </c>
      <c r="R24" s="55"/>
      <c r="S24" s="55"/>
      <c r="T24" s="55"/>
      <c r="V24" s="55"/>
      <c r="W24" s="329">
        <v>403.07492892473743</v>
      </c>
      <c r="X24" s="55"/>
      <c r="Y24" s="55"/>
      <c r="Z24" s="55"/>
      <c r="AB24" s="55"/>
      <c r="AC24" s="329">
        <v>411.13642750323226</v>
      </c>
      <c r="AD24" s="55"/>
      <c r="AE24" s="55"/>
      <c r="AF24" s="55"/>
      <c r="AH24" s="55"/>
      <c r="AI24" s="329">
        <v>419.35915605329689</v>
      </c>
      <c r="AJ24" s="55"/>
      <c r="AK24" s="55"/>
      <c r="AL24" s="55"/>
      <c r="AN24" s="55"/>
      <c r="AO24" s="329">
        <v>427.74633917436279</v>
      </c>
      <c r="AP24" s="55"/>
      <c r="AQ24" s="55"/>
      <c r="AR24" s="55"/>
      <c r="AT24" s="55"/>
      <c r="AU24" s="329">
        <v>436.30126595785003</v>
      </c>
      <c r="AV24" s="55"/>
      <c r="AW24" s="55"/>
      <c r="AX24" s="55"/>
      <c r="AZ24" s="55"/>
      <c r="BA24" s="329">
        <v>445.02729127700695</v>
      </c>
      <c r="BB24" s="55"/>
      <c r="BC24" s="55"/>
      <c r="BD24" s="55"/>
      <c r="BF24" s="55"/>
      <c r="BG24" s="329">
        <v>453.92783710254719</v>
      </c>
      <c r="BH24" s="55"/>
      <c r="BI24" s="55"/>
      <c r="BJ24" s="55"/>
    </row>
    <row r="25" spans="1:62" x14ac:dyDescent="0.25">
      <c r="B25" s="55" t="s">
        <v>165</v>
      </c>
      <c r="C25" s="55" t="s">
        <v>148</v>
      </c>
      <c r="D25" s="55"/>
      <c r="E25" s="55"/>
      <c r="F25" s="55"/>
      <c r="G25" s="55"/>
      <c r="H25" s="55"/>
      <c r="J25" s="55"/>
      <c r="K25" s="329"/>
      <c r="L25" s="55"/>
      <c r="M25" s="55"/>
      <c r="N25" s="55"/>
      <c r="P25" s="55"/>
      <c r="Q25" s="329"/>
      <c r="R25" s="55"/>
      <c r="S25" s="55"/>
      <c r="T25" s="55"/>
      <c r="V25" s="55"/>
      <c r="W25" s="329"/>
      <c r="X25" s="55"/>
      <c r="Y25" s="55"/>
      <c r="Z25" s="55"/>
      <c r="AB25" s="55"/>
      <c r="AC25" s="329"/>
      <c r="AD25" s="55"/>
      <c r="AE25" s="55"/>
      <c r="AF25" s="55"/>
      <c r="AH25" s="55"/>
      <c r="AI25" s="329"/>
      <c r="AJ25" s="55"/>
      <c r="AK25" s="55"/>
      <c r="AL25" s="55"/>
      <c r="AN25" s="55"/>
      <c r="AO25" s="329"/>
      <c r="AP25" s="55"/>
      <c r="AQ25" s="55"/>
      <c r="AR25" s="55"/>
      <c r="AT25" s="55"/>
      <c r="AU25" s="329"/>
      <c r="AV25" s="55"/>
      <c r="AW25" s="55"/>
      <c r="AX25" s="55"/>
      <c r="AZ25" s="55"/>
      <c r="BA25" s="329"/>
      <c r="BB25" s="55"/>
      <c r="BC25" s="55"/>
      <c r="BD25" s="55"/>
      <c r="BF25" s="55"/>
      <c r="BG25" s="329"/>
      <c r="BH25" s="55"/>
      <c r="BI25" s="55"/>
      <c r="BJ25" s="55"/>
    </row>
    <row r="26" spans="1:62" x14ac:dyDescent="0.25">
      <c r="A26" t="s">
        <v>624</v>
      </c>
      <c r="B26" s="55" t="s">
        <v>143</v>
      </c>
      <c r="C26" s="55" t="s">
        <v>148</v>
      </c>
      <c r="D26" s="55"/>
      <c r="E26" s="329">
        <v>29.160873841669279</v>
      </c>
      <c r="F26" s="55"/>
      <c r="G26" s="55"/>
      <c r="H26" s="55"/>
      <c r="J26" s="55"/>
      <c r="K26" s="329">
        <v>29.160873841669279</v>
      </c>
      <c r="L26" s="55"/>
      <c r="M26" s="55"/>
      <c r="N26" s="55"/>
      <c r="P26" s="55"/>
      <c r="Q26" s="329">
        <v>29.744091318502662</v>
      </c>
      <c r="R26" s="55"/>
      <c r="S26" s="55"/>
      <c r="T26" s="55"/>
      <c r="V26" s="55"/>
      <c r="W26" s="329">
        <v>30.338973144872714</v>
      </c>
      <c r="X26" s="55"/>
      <c r="Y26" s="55"/>
      <c r="Z26" s="55"/>
      <c r="AB26" s="55"/>
      <c r="AC26" s="329">
        <v>30.945752607770174</v>
      </c>
      <c r="AD26" s="55"/>
      <c r="AE26" s="55"/>
      <c r="AF26" s="55"/>
      <c r="AH26" s="55"/>
      <c r="AI26" s="329">
        <v>31.564667659925579</v>
      </c>
      <c r="AJ26" s="55"/>
      <c r="AK26" s="55"/>
      <c r="AL26" s="55"/>
      <c r="AN26" s="55"/>
      <c r="AO26" s="329">
        <v>32.195961013124084</v>
      </c>
      <c r="AP26" s="55"/>
      <c r="AQ26" s="55"/>
      <c r="AR26" s="55"/>
      <c r="AT26" s="55"/>
      <c r="AU26" s="329">
        <v>32.839880233386566</v>
      </c>
      <c r="AV26" s="55"/>
      <c r="AW26" s="55"/>
      <c r="AX26" s="55"/>
      <c r="AZ26" s="55"/>
      <c r="BA26" s="329">
        <v>33.496677838054296</v>
      </c>
      <c r="BB26" s="55"/>
      <c r="BC26" s="55"/>
      <c r="BD26" s="55"/>
      <c r="BF26" s="55"/>
      <c r="BG26" s="329">
        <v>34.166611394815384</v>
      </c>
      <c r="BH26" s="55"/>
      <c r="BI26" s="55"/>
      <c r="BJ26" s="55"/>
    </row>
    <row r="27" spans="1:6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row>
    <row r="28" spans="1:62" s="1" customFormat="1" x14ac:dyDescent="0.25">
      <c r="B28" s="62" t="s">
        <v>362</v>
      </c>
      <c r="C28" s="325" t="s">
        <v>148</v>
      </c>
      <c r="D28" s="325"/>
      <c r="E28" s="326">
        <v>738.5</v>
      </c>
      <c r="F28" s="325"/>
      <c r="G28" s="325"/>
      <c r="H28" s="325"/>
      <c r="J28" s="325"/>
      <c r="K28" s="326">
        <v>753.27</v>
      </c>
      <c r="L28" s="325"/>
      <c r="M28" s="325"/>
      <c r="N28" s="325"/>
      <c r="P28" s="325"/>
      <c r="Q28" s="326">
        <v>768.33540000000005</v>
      </c>
      <c r="R28" s="325"/>
      <c r="S28" s="325"/>
      <c r="T28" s="325"/>
      <c r="V28" s="325"/>
      <c r="W28" s="326">
        <v>783.70210799999995</v>
      </c>
      <c r="X28" s="325"/>
      <c r="Y28" s="325"/>
      <c r="Z28" s="325"/>
      <c r="AB28" s="325"/>
      <c r="AC28" s="326">
        <v>799.37615015999995</v>
      </c>
      <c r="AD28" s="325"/>
      <c r="AE28" s="325"/>
      <c r="AF28" s="325"/>
      <c r="AH28" s="325"/>
      <c r="AI28" s="326">
        <v>815.36367316320002</v>
      </c>
      <c r="AJ28" s="325"/>
      <c r="AK28" s="325"/>
      <c r="AL28" s="325"/>
      <c r="AN28" s="325"/>
      <c r="AO28" s="326">
        <v>831.670946626464</v>
      </c>
      <c r="AP28" s="325"/>
      <c r="AQ28" s="325"/>
      <c r="AR28" s="325"/>
      <c r="AT28" s="325"/>
      <c r="AU28" s="326">
        <v>848.30436555899314</v>
      </c>
      <c r="AV28" s="325"/>
      <c r="AW28" s="325"/>
      <c r="AX28" s="325"/>
      <c r="AZ28" s="325"/>
      <c r="BA28" s="326">
        <v>865.27045287017313</v>
      </c>
      <c r="BB28" s="325"/>
      <c r="BC28" s="325"/>
      <c r="BD28" s="325"/>
      <c r="BF28" s="325"/>
      <c r="BG28" s="326">
        <v>882.57586192757651</v>
      </c>
      <c r="BH28" s="325"/>
      <c r="BI28" s="325"/>
      <c r="BJ28" s="325"/>
    </row>
    <row r="29" spans="1:62" x14ac:dyDescent="0.25">
      <c r="B29" t="s">
        <v>122</v>
      </c>
      <c r="D29" s="15">
        <v>191090526.31578964</v>
      </c>
      <c r="J29" s="15">
        <v>267526736.84210545</v>
      </c>
      <c r="P29" s="15">
        <v>382181052.63157928</v>
      </c>
      <c r="V29" s="15">
        <v>382181052.63157928</v>
      </c>
      <c r="AB29" s="15">
        <v>382181052.63157928</v>
      </c>
      <c r="AH29" s="15">
        <v>382181052.63157928</v>
      </c>
      <c r="AN29" s="15">
        <v>382181052.63157928</v>
      </c>
      <c r="AT29" s="15">
        <v>382181052.63157928</v>
      </c>
      <c r="AZ29" s="15">
        <v>382181052.63157928</v>
      </c>
      <c r="BF29" s="15">
        <v>382181052.63157928</v>
      </c>
    </row>
    <row r="30" spans="1:62" x14ac:dyDescent="0.25">
      <c r="E30" s="15"/>
      <c r="H30" s="127">
        <v>0</v>
      </c>
      <c r="N30" s="127">
        <v>1</v>
      </c>
      <c r="T30" s="127">
        <v>2</v>
      </c>
      <c r="Z30" s="127">
        <v>3</v>
      </c>
      <c r="AF30" s="127">
        <v>4</v>
      </c>
      <c r="AL30" s="127">
        <v>5</v>
      </c>
      <c r="AR30" s="127">
        <v>6</v>
      </c>
      <c r="AX30" s="127">
        <v>7</v>
      </c>
      <c r="BD30" s="127">
        <v>8</v>
      </c>
      <c r="BJ30" s="127">
        <v>9</v>
      </c>
    </row>
    <row r="31" spans="1:62" x14ac:dyDescent="0.25">
      <c r="B31" s="322" t="s">
        <v>650</v>
      </c>
      <c r="C31" s="323">
        <v>0.02</v>
      </c>
      <c r="D31" s="32"/>
      <c r="E31" s="64">
        <f>E28-E20</f>
        <v>893.06157933317945</v>
      </c>
      <c r="J31" s="32"/>
      <c r="K31" s="64">
        <f>K28-K20</f>
        <v>773.34615297565824</v>
      </c>
      <c r="P31" s="32"/>
      <c r="Q31" s="64">
        <f>Q28-Q20</f>
        <v>697.71635991468736</v>
      </c>
      <c r="V31" s="32"/>
      <c r="W31" s="64">
        <f t="shared" ref="W31" si="0">W28-W20</f>
        <v>711.44376528424516</v>
      </c>
      <c r="AB31" s="32"/>
      <c r="AC31" s="64">
        <f t="shared" ref="AC31" si="1">AC28-AC20</f>
        <v>725.58327652779474</v>
      </c>
      <c r="AH31" s="32"/>
      <c r="AI31" s="64">
        <f t="shared" ref="AI31" si="2">AI28-AI20</f>
        <v>740.14885474872585</v>
      </c>
      <c r="AN31" s="32"/>
      <c r="AO31" s="64">
        <f t="shared" ref="AO31" si="3">AO28-AO20</f>
        <v>755.15493350959855</v>
      </c>
      <c r="AT31" s="32"/>
      <c r="AU31" s="64">
        <f t="shared" ref="AU31" si="4">AU28-AU20</f>
        <v>770.61643052620548</v>
      </c>
      <c r="AZ31" s="32"/>
      <c r="BA31" s="64">
        <f t="shared" ref="BA31" si="5">BA28-BA20</f>
        <v>786.54875911440251</v>
      </c>
      <c r="BF31" s="32"/>
      <c r="BG31" s="64">
        <f t="shared" ref="BG31" si="6">BG28-BG20</f>
        <v>802.96783931323671</v>
      </c>
    </row>
    <row r="32" spans="1:62" x14ac:dyDescent="0.25">
      <c r="B32" s="322" t="s">
        <v>651</v>
      </c>
      <c r="C32" s="323">
        <v>0.02</v>
      </c>
      <c r="E32" s="650">
        <f>SUM(E4:E18)</f>
        <v>476.47766730933267</v>
      </c>
      <c r="K32" s="650">
        <f>SUM(K4:K18)</f>
        <v>356.76224095181146</v>
      </c>
      <c r="Q32" s="650">
        <f>SUM(Q4:Q18)</f>
        <v>272.80076965036375</v>
      </c>
      <c r="W32" s="650">
        <f>SUM(W4:W18)</f>
        <v>278.02986321463504</v>
      </c>
      <c r="AC32" s="650">
        <f>SUM(AC4:AC18)</f>
        <v>283.50109641679234</v>
      </c>
    </row>
    <row r="33" spans="5:59" x14ac:dyDescent="0.25">
      <c r="E33" s="665">
        <f>E20/E28</f>
        <v>-0.20929123809502972</v>
      </c>
      <c r="K33" s="665">
        <f>K20/K28</f>
        <v>-2.6652001242128659E-2</v>
      </c>
      <c r="Q33" s="665">
        <f>Q20/Q28</f>
        <v>9.1911735532831954E-2</v>
      </c>
      <c r="W33" s="324"/>
      <c r="AC33" s="324"/>
      <c r="AI33" s="324"/>
      <c r="AO33" s="324"/>
      <c r="AU33" s="324"/>
      <c r="BA33" s="324"/>
      <c r="BG33" s="324"/>
    </row>
    <row r="34" spans="5:59" x14ac:dyDescent="0.25">
      <c r="E34" s="603"/>
    </row>
    <row r="35" spans="5:59" x14ac:dyDescent="0.25">
      <c r="K35" s="324"/>
      <c r="Q35" s="324"/>
      <c r="W35" s="324"/>
      <c r="AC35" s="324"/>
      <c r="AI35" s="324"/>
      <c r="AO35" s="324"/>
      <c r="AU35" s="324"/>
      <c r="BA35" s="324"/>
      <c r="BG35" s="324"/>
    </row>
    <row r="36" spans="5:59" x14ac:dyDescent="0.25">
      <c r="E36" s="64"/>
      <c r="K36" s="324"/>
      <c r="Q36" s="324"/>
      <c r="W36" s="324"/>
      <c r="AC36" s="324"/>
      <c r="AI36" s="324"/>
      <c r="AO36" s="324"/>
      <c r="AU36" s="324"/>
      <c r="BA36" s="324"/>
      <c r="BG36" s="32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F40C-834F-4466-B7F7-C1299E8259A6}">
  <sheetPr>
    <tabColor theme="0" tint="-0.249977111117893"/>
  </sheetPr>
  <dimension ref="A1:EV37"/>
  <sheetViews>
    <sheetView showGridLines="0" zoomScale="85" zoomScaleNormal="85" workbookViewId="0">
      <selection activeCell="L34" sqref="L34"/>
    </sheetView>
  </sheetViews>
  <sheetFormatPr defaultRowHeight="15" x14ac:dyDescent="0.25"/>
  <cols>
    <col min="1" max="1" width="10" bestFit="1" customWidth="1"/>
    <col min="2" max="2" width="28" customWidth="1"/>
    <col min="3" max="3" width="10.5" customWidth="1"/>
    <col min="4" max="4" width="20" customWidth="1"/>
    <col min="5" max="5" width="17.125" customWidth="1"/>
    <col min="6" max="6" width="17.75" bestFit="1"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0.75"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 min="63" max="63" width="1.75" customWidth="1"/>
    <col min="64" max="64" width="19.25" bestFit="1" customWidth="1"/>
    <col min="65" max="65" width="11.75" bestFit="1" customWidth="1"/>
    <col min="66" max="66" width="10.75" customWidth="1"/>
    <col min="67" max="67" width="10.25" customWidth="1"/>
    <col min="68" max="68" width="10.75" customWidth="1"/>
    <col min="69" max="69" width="1.75" customWidth="1"/>
    <col min="70" max="70" width="19.25" bestFit="1" customWidth="1"/>
    <col min="71" max="71" width="11.75" bestFit="1" customWidth="1"/>
    <col min="72" max="72" width="10.75" customWidth="1"/>
    <col min="73" max="73" width="10.25" customWidth="1"/>
    <col min="74" max="74" width="10.75" customWidth="1"/>
    <col min="75" max="75" width="1.75" customWidth="1"/>
    <col min="76" max="76" width="19.25" bestFit="1" customWidth="1"/>
    <col min="77" max="77" width="11.75" bestFit="1" customWidth="1"/>
    <col min="78" max="78" width="10.75" customWidth="1"/>
    <col min="79" max="79" width="10.25" customWidth="1"/>
    <col min="80" max="80" width="10.75" customWidth="1"/>
    <col min="81" max="81" width="1.75" customWidth="1"/>
    <col min="82" max="82" width="19.25" bestFit="1" customWidth="1"/>
    <col min="83" max="83" width="11.75" bestFit="1" customWidth="1"/>
    <col min="84" max="84" width="10.75" customWidth="1"/>
    <col min="85" max="85" width="10.25" customWidth="1"/>
    <col min="86" max="86" width="10.75" customWidth="1"/>
    <col min="87" max="87" width="1.75" customWidth="1"/>
    <col min="88" max="88" width="19.25" bestFit="1" customWidth="1"/>
    <col min="89" max="89" width="11.75" bestFit="1" customWidth="1"/>
    <col min="90" max="90" width="10.75" customWidth="1"/>
    <col min="91" max="91" width="10.25" customWidth="1"/>
    <col min="92" max="92" width="10.75" customWidth="1"/>
    <col min="93" max="93" width="1.75" customWidth="1"/>
    <col min="94" max="94" width="19.25" bestFit="1" customWidth="1"/>
    <col min="95" max="95" width="11.75" bestFit="1" customWidth="1"/>
    <col min="96" max="96" width="10.75" customWidth="1"/>
    <col min="97" max="97" width="10.25" customWidth="1"/>
    <col min="98" max="98" width="10.75" customWidth="1"/>
    <col min="99" max="99" width="1.75" customWidth="1"/>
    <col min="100" max="100" width="19.25" bestFit="1" customWidth="1"/>
    <col min="101" max="101" width="11.75" bestFit="1" customWidth="1"/>
    <col min="102" max="102" width="10.75" customWidth="1"/>
    <col min="103" max="103" width="10.25" customWidth="1"/>
    <col min="104" max="104" width="10.75" customWidth="1"/>
    <col min="105" max="105" width="1.75" customWidth="1"/>
    <col min="106" max="106" width="19.25" bestFit="1" customWidth="1"/>
    <col min="107" max="107" width="11.75" bestFit="1" customWidth="1"/>
    <col min="108" max="108" width="10.75" customWidth="1"/>
    <col min="109" max="109" width="10.25" customWidth="1"/>
    <col min="110" max="110" width="10.75" customWidth="1"/>
    <col min="111" max="111" width="1.75" customWidth="1"/>
    <col min="112" max="112" width="19.25" bestFit="1" customWidth="1"/>
    <col min="113" max="113" width="11.75" bestFit="1" customWidth="1"/>
    <col min="114" max="114" width="10.75" customWidth="1"/>
    <col min="115" max="115" width="10.25" customWidth="1"/>
    <col min="116" max="116" width="10.75" customWidth="1"/>
    <col min="117" max="117" width="1.75" customWidth="1"/>
    <col min="118" max="118" width="19.25" bestFit="1" customWidth="1"/>
    <col min="119" max="119" width="11.75" bestFit="1" customWidth="1"/>
    <col min="120" max="120" width="10.75" customWidth="1"/>
    <col min="121" max="121" width="10.25" customWidth="1"/>
    <col min="122" max="122" width="10.75" customWidth="1"/>
    <col min="123" max="123" width="1.75" customWidth="1"/>
    <col min="124" max="124" width="19.25" bestFit="1" customWidth="1"/>
    <col min="125" max="125" width="11.75" bestFit="1" customWidth="1"/>
    <col min="126" max="126" width="10.75" customWidth="1"/>
    <col min="127" max="127" width="10.25" customWidth="1"/>
    <col min="128" max="128" width="10.75" customWidth="1"/>
    <col min="129" max="129" width="1.75" customWidth="1"/>
    <col min="130" max="130" width="19.25" bestFit="1" customWidth="1"/>
    <col min="131" max="131" width="11.75" bestFit="1" customWidth="1"/>
    <col min="132" max="132" width="10.75" customWidth="1"/>
    <col min="133" max="133" width="10.25" customWidth="1"/>
    <col min="134" max="134" width="10.75" customWidth="1"/>
    <col min="135" max="135" width="1.75" customWidth="1"/>
    <col min="136" max="136" width="19.25" bestFit="1" customWidth="1"/>
    <col min="137" max="137" width="11.75" bestFit="1" customWidth="1"/>
    <col min="138" max="138" width="10.75" customWidth="1"/>
    <col min="139" max="139" width="10.25" customWidth="1"/>
    <col min="140" max="140" width="10.75" customWidth="1"/>
    <col min="141" max="141" width="1.75" customWidth="1"/>
    <col min="142" max="142" width="19.25" bestFit="1" customWidth="1"/>
    <col min="143" max="143" width="11.75" bestFit="1" customWidth="1"/>
    <col min="144" max="144" width="10.75" customWidth="1"/>
    <col min="145" max="145" width="10.25" customWidth="1"/>
    <col min="146" max="146" width="10.75" customWidth="1"/>
    <col min="147" max="147" width="1.75" customWidth="1"/>
    <col min="148" max="148" width="19.25" bestFit="1" customWidth="1"/>
    <col min="149" max="149" width="11.75" bestFit="1" customWidth="1"/>
    <col min="150" max="150" width="10.75" customWidth="1"/>
    <col min="151" max="151" width="10.25" customWidth="1"/>
    <col min="152" max="152" width="10.75" customWidth="1"/>
  </cols>
  <sheetData>
    <row r="1" spans="1:152" ht="17.25" x14ac:dyDescent="0.3">
      <c r="B1" s="50" t="s">
        <v>350</v>
      </c>
      <c r="C1" s="49"/>
      <c r="D1" s="49"/>
      <c r="E1" s="49"/>
      <c r="F1" s="49"/>
      <c r="G1" s="49"/>
      <c r="H1" s="49"/>
      <c r="J1" s="50" t="s">
        <v>641</v>
      </c>
      <c r="K1" s="49"/>
      <c r="L1" s="49"/>
      <c r="M1" s="49"/>
      <c r="N1" s="49"/>
      <c r="P1" s="50" t="s">
        <v>642</v>
      </c>
      <c r="Q1" s="49"/>
      <c r="R1" s="49"/>
      <c r="S1" s="49"/>
      <c r="T1" s="49"/>
      <c r="V1" s="50" t="s">
        <v>643</v>
      </c>
      <c r="W1" s="49"/>
      <c r="X1" s="49"/>
      <c r="Y1" s="49"/>
      <c r="Z1" s="49"/>
      <c r="AB1" s="50" t="s">
        <v>644</v>
      </c>
      <c r="AC1" s="49"/>
      <c r="AD1" s="49"/>
      <c r="AE1" s="49"/>
      <c r="AF1" s="49"/>
      <c r="AH1" s="50" t="s">
        <v>645</v>
      </c>
      <c r="AI1" s="49"/>
      <c r="AJ1" s="49"/>
      <c r="AK1" s="49"/>
      <c r="AL1" s="49"/>
      <c r="AN1" s="50" t="s">
        <v>646</v>
      </c>
      <c r="AO1" s="49"/>
      <c r="AP1" s="49"/>
      <c r="AQ1" s="49"/>
      <c r="AR1" s="49"/>
      <c r="AT1" s="50" t="s">
        <v>647</v>
      </c>
      <c r="AU1" s="49"/>
      <c r="AV1" s="49"/>
      <c r="AW1" s="49"/>
      <c r="AX1" s="49"/>
      <c r="AZ1" s="50" t="s">
        <v>648</v>
      </c>
      <c r="BA1" s="49"/>
      <c r="BB1" s="49"/>
      <c r="BC1" s="49"/>
      <c r="BD1" s="49"/>
      <c r="BF1" s="50" t="s">
        <v>649</v>
      </c>
      <c r="BG1" s="49"/>
      <c r="BH1" s="49"/>
      <c r="BI1" s="49"/>
      <c r="BJ1" s="49"/>
      <c r="BL1" s="50" t="s">
        <v>700</v>
      </c>
      <c r="BM1" s="49"/>
      <c r="BN1" s="49"/>
      <c r="BO1" s="49"/>
      <c r="BP1" s="49"/>
      <c r="BR1" s="50" t="s">
        <v>701</v>
      </c>
      <c r="BS1" s="49"/>
      <c r="BT1" s="49"/>
      <c r="BU1" s="49"/>
      <c r="BV1" s="49"/>
      <c r="BX1" s="50" t="s">
        <v>702</v>
      </c>
      <c r="BY1" s="49"/>
      <c r="BZ1" s="49"/>
      <c r="CA1" s="49"/>
      <c r="CB1" s="49"/>
      <c r="CD1" s="50" t="s">
        <v>703</v>
      </c>
      <c r="CE1" s="49"/>
      <c r="CF1" s="49"/>
      <c r="CG1" s="49"/>
      <c r="CH1" s="49"/>
      <c r="CJ1" s="50" t="s">
        <v>704</v>
      </c>
      <c r="CK1" s="49"/>
      <c r="CL1" s="49"/>
      <c r="CM1" s="49"/>
      <c r="CN1" s="49"/>
      <c r="CP1" s="50" t="s">
        <v>705</v>
      </c>
      <c r="CQ1" s="49"/>
      <c r="CR1" s="49"/>
      <c r="CS1" s="49"/>
      <c r="CT1" s="49"/>
      <c r="CV1" s="50" t="s">
        <v>706</v>
      </c>
      <c r="CW1" s="49"/>
      <c r="CX1" s="49"/>
      <c r="CY1" s="49"/>
      <c r="CZ1" s="49"/>
      <c r="DB1" s="50" t="s">
        <v>707</v>
      </c>
      <c r="DC1" s="49"/>
      <c r="DD1" s="49"/>
      <c r="DE1" s="49"/>
      <c r="DF1" s="49"/>
      <c r="DH1" s="50" t="s">
        <v>708</v>
      </c>
      <c r="DI1" s="49"/>
      <c r="DJ1" s="49"/>
      <c r="DK1" s="49"/>
      <c r="DL1" s="49"/>
      <c r="DN1" s="50" t="s">
        <v>709</v>
      </c>
      <c r="DO1" s="49"/>
      <c r="DP1" s="49"/>
      <c r="DQ1" s="49"/>
      <c r="DR1" s="49"/>
      <c r="DT1" s="50" t="s">
        <v>710</v>
      </c>
      <c r="DU1" s="49"/>
      <c r="DV1" s="49"/>
      <c r="DW1" s="49"/>
      <c r="DX1" s="49"/>
      <c r="DZ1" s="50" t="s">
        <v>711</v>
      </c>
      <c r="EA1" s="49"/>
      <c r="EB1" s="49"/>
      <c r="EC1" s="49"/>
      <c r="ED1" s="49"/>
      <c r="EF1" s="50" t="s">
        <v>712</v>
      </c>
      <c r="EG1" s="49"/>
      <c r="EH1" s="49"/>
      <c r="EI1" s="49"/>
      <c r="EJ1" s="49"/>
      <c r="EL1" s="50" t="s">
        <v>713</v>
      </c>
      <c r="EM1" s="49"/>
      <c r="EN1" s="49"/>
      <c r="EO1" s="49"/>
      <c r="EP1" s="49"/>
      <c r="ER1" s="50" t="s">
        <v>714</v>
      </c>
      <c r="ES1" s="49"/>
      <c r="ET1" s="49"/>
      <c r="EU1" s="49"/>
      <c r="EV1" s="49"/>
    </row>
    <row r="2" spans="1:15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c r="BL2" s="52" t="s">
        <v>82</v>
      </c>
      <c r="BM2" s="52" t="s">
        <v>83</v>
      </c>
      <c r="BN2" s="52" t="s">
        <v>84</v>
      </c>
      <c r="BO2" s="52" t="s">
        <v>85</v>
      </c>
      <c r="BP2" s="52" t="s">
        <v>86</v>
      </c>
      <c r="BR2" s="52" t="s">
        <v>82</v>
      </c>
      <c r="BS2" s="52" t="s">
        <v>83</v>
      </c>
      <c r="BT2" s="52" t="s">
        <v>84</v>
      </c>
      <c r="BU2" s="52" t="s">
        <v>85</v>
      </c>
      <c r="BV2" s="52" t="s">
        <v>86</v>
      </c>
      <c r="BX2" s="52" t="s">
        <v>82</v>
      </c>
      <c r="BY2" s="52" t="s">
        <v>83</v>
      </c>
      <c r="BZ2" s="52" t="s">
        <v>84</v>
      </c>
      <c r="CA2" s="52" t="s">
        <v>85</v>
      </c>
      <c r="CB2" s="52" t="s">
        <v>86</v>
      </c>
      <c r="CD2" s="52" t="s">
        <v>82</v>
      </c>
      <c r="CE2" s="52" t="s">
        <v>83</v>
      </c>
      <c r="CF2" s="52" t="s">
        <v>84</v>
      </c>
      <c r="CG2" s="52" t="s">
        <v>85</v>
      </c>
      <c r="CH2" s="52" t="s">
        <v>86</v>
      </c>
      <c r="CJ2" s="52" t="s">
        <v>82</v>
      </c>
      <c r="CK2" s="52" t="s">
        <v>83</v>
      </c>
      <c r="CL2" s="52" t="s">
        <v>84</v>
      </c>
      <c r="CM2" s="52" t="s">
        <v>85</v>
      </c>
      <c r="CN2" s="52" t="s">
        <v>86</v>
      </c>
      <c r="CP2" s="52" t="s">
        <v>82</v>
      </c>
      <c r="CQ2" s="52" t="s">
        <v>83</v>
      </c>
      <c r="CR2" s="52" t="s">
        <v>84</v>
      </c>
      <c r="CS2" s="52" t="s">
        <v>85</v>
      </c>
      <c r="CT2" s="52" t="s">
        <v>86</v>
      </c>
      <c r="CV2" s="52" t="s">
        <v>82</v>
      </c>
      <c r="CW2" s="52" t="s">
        <v>83</v>
      </c>
      <c r="CX2" s="52" t="s">
        <v>84</v>
      </c>
      <c r="CY2" s="52" t="s">
        <v>85</v>
      </c>
      <c r="CZ2" s="52" t="s">
        <v>86</v>
      </c>
      <c r="DB2" s="52" t="s">
        <v>82</v>
      </c>
      <c r="DC2" s="52" t="s">
        <v>83</v>
      </c>
      <c r="DD2" s="52" t="s">
        <v>84</v>
      </c>
      <c r="DE2" s="52" t="s">
        <v>85</v>
      </c>
      <c r="DF2" s="52" t="s">
        <v>86</v>
      </c>
      <c r="DH2" s="52" t="s">
        <v>82</v>
      </c>
      <c r="DI2" s="52" t="s">
        <v>83</v>
      </c>
      <c r="DJ2" s="52" t="s">
        <v>84</v>
      </c>
      <c r="DK2" s="52" t="s">
        <v>85</v>
      </c>
      <c r="DL2" s="52" t="s">
        <v>86</v>
      </c>
      <c r="DN2" s="52" t="s">
        <v>82</v>
      </c>
      <c r="DO2" s="52" t="s">
        <v>83</v>
      </c>
      <c r="DP2" s="52" t="s">
        <v>84</v>
      </c>
      <c r="DQ2" s="52" t="s">
        <v>85</v>
      </c>
      <c r="DR2" s="52" t="s">
        <v>86</v>
      </c>
      <c r="DT2" s="52" t="s">
        <v>82</v>
      </c>
      <c r="DU2" s="52" t="s">
        <v>83</v>
      </c>
      <c r="DV2" s="52" t="s">
        <v>84</v>
      </c>
      <c r="DW2" s="52" t="s">
        <v>85</v>
      </c>
      <c r="DX2" s="52" t="s">
        <v>86</v>
      </c>
      <c r="DZ2" s="52" t="s">
        <v>82</v>
      </c>
      <c r="EA2" s="52" t="s">
        <v>83</v>
      </c>
      <c r="EB2" s="52" t="s">
        <v>84</v>
      </c>
      <c r="EC2" s="52" t="s">
        <v>85</v>
      </c>
      <c r="ED2" s="52" t="s">
        <v>86</v>
      </c>
      <c r="EF2" s="52" t="s">
        <v>82</v>
      </c>
      <c r="EG2" s="52" t="s">
        <v>83</v>
      </c>
      <c r="EH2" s="52" t="s">
        <v>84</v>
      </c>
      <c r="EI2" s="52" t="s">
        <v>85</v>
      </c>
      <c r="EJ2" s="52" t="s">
        <v>86</v>
      </c>
      <c r="EL2" s="52" t="s">
        <v>82</v>
      </c>
      <c r="EM2" s="52" t="s">
        <v>83</v>
      </c>
      <c r="EN2" s="52" t="s">
        <v>84</v>
      </c>
      <c r="EO2" s="52" t="s">
        <v>85</v>
      </c>
      <c r="EP2" s="52" t="s">
        <v>86</v>
      </c>
      <c r="ER2" s="52" t="s">
        <v>82</v>
      </c>
      <c r="ES2" s="52" t="s">
        <v>83</v>
      </c>
      <c r="ET2" s="52" t="s">
        <v>84</v>
      </c>
      <c r="EU2" s="52" t="s">
        <v>85</v>
      </c>
      <c r="EV2" s="52" t="s">
        <v>86</v>
      </c>
    </row>
    <row r="3" spans="1:15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c r="BL3" s="54"/>
      <c r="BM3" s="54"/>
      <c r="BN3" s="54"/>
      <c r="BO3" s="54"/>
      <c r="BP3" s="54"/>
      <c r="BR3" s="54"/>
      <c r="BS3" s="54"/>
      <c r="BT3" s="54"/>
      <c r="BU3" s="54"/>
      <c r="BV3" s="54"/>
      <c r="BX3" s="54"/>
      <c r="BY3" s="54"/>
      <c r="BZ3" s="54"/>
      <c r="CA3" s="54"/>
      <c r="CB3" s="54"/>
      <c r="CD3" s="54"/>
      <c r="CE3" s="54"/>
      <c r="CF3" s="54"/>
      <c r="CG3" s="54"/>
      <c r="CH3" s="54"/>
      <c r="CJ3" s="54"/>
      <c r="CK3" s="54"/>
      <c r="CL3" s="54"/>
      <c r="CM3" s="54"/>
      <c r="CN3" s="54"/>
      <c r="CP3" s="54"/>
      <c r="CQ3" s="54"/>
      <c r="CR3" s="54"/>
      <c r="CS3" s="54"/>
      <c r="CT3" s="54"/>
      <c r="CV3" s="54"/>
      <c r="CW3" s="54"/>
      <c r="CX3" s="54"/>
      <c r="CY3" s="54"/>
      <c r="CZ3" s="54"/>
      <c r="DB3" s="54"/>
      <c r="DC3" s="54"/>
      <c r="DD3" s="54"/>
      <c r="DE3" s="54"/>
      <c r="DF3" s="54"/>
      <c r="DH3" s="54"/>
      <c r="DI3" s="54"/>
      <c r="DJ3" s="54"/>
      <c r="DK3" s="54"/>
      <c r="DL3" s="54"/>
      <c r="DN3" s="54"/>
      <c r="DO3" s="54"/>
      <c r="DP3" s="54"/>
      <c r="DQ3" s="54"/>
      <c r="DR3" s="54"/>
      <c r="DT3" s="54"/>
      <c r="DU3" s="54"/>
      <c r="DV3" s="54"/>
      <c r="DW3" s="54"/>
      <c r="DX3" s="54"/>
      <c r="DZ3" s="54"/>
      <c r="EA3" s="54"/>
      <c r="EB3" s="54"/>
      <c r="EC3" s="54"/>
      <c r="ED3" s="54"/>
      <c r="EF3" s="54"/>
      <c r="EG3" s="54"/>
      <c r="EH3" s="54"/>
      <c r="EI3" s="54"/>
      <c r="EJ3" s="54"/>
      <c r="EL3" s="54"/>
      <c r="EM3" s="54"/>
      <c r="EN3" s="54"/>
      <c r="EO3" s="54"/>
      <c r="EP3" s="54"/>
      <c r="ER3" s="54"/>
      <c r="ES3" s="54"/>
      <c r="ET3" s="54"/>
      <c r="EU3" s="54"/>
      <c r="EV3" s="54"/>
    </row>
    <row r="4" spans="1:152" x14ac:dyDescent="0.25">
      <c r="A4" t="s">
        <v>623</v>
      </c>
      <c r="B4" s="55" t="s">
        <v>147</v>
      </c>
      <c r="C4" s="55" t="s">
        <v>148</v>
      </c>
      <c r="D4" s="55"/>
      <c r="E4" s="329">
        <v>96.551097303014217</v>
      </c>
      <c r="F4" s="55"/>
      <c r="G4" s="55"/>
      <c r="H4" s="55"/>
      <c r="J4" s="55"/>
      <c r="K4" s="329">
        <v>68.965069502153028</v>
      </c>
      <c r="L4" s="55"/>
      <c r="M4" s="55"/>
      <c r="N4" s="55"/>
      <c r="P4" s="55"/>
      <c r="Q4" s="329">
        <v>48.275548651507108</v>
      </c>
      <c r="R4" s="55"/>
      <c r="S4" s="55"/>
      <c r="T4" s="55"/>
      <c r="V4" s="55"/>
      <c r="W4" s="329">
        <v>48.275548651507108</v>
      </c>
      <c r="X4" s="55"/>
      <c r="Y4" s="55"/>
      <c r="Z4" s="55"/>
      <c r="AB4" s="55"/>
      <c r="AC4" s="329">
        <v>48.275548651507108</v>
      </c>
      <c r="AD4" s="55"/>
      <c r="AE4" s="55"/>
      <c r="AF4" s="55"/>
      <c r="AH4" s="55"/>
      <c r="AI4" s="329">
        <v>48.275548651507108</v>
      </c>
      <c r="AJ4" s="55"/>
      <c r="AK4" s="55"/>
      <c r="AL4" s="55"/>
      <c r="AN4" s="55"/>
      <c r="AO4" s="329">
        <v>48.275548651507108</v>
      </c>
      <c r="AP4" s="55"/>
      <c r="AQ4" s="55"/>
      <c r="AR4" s="55"/>
      <c r="AT4" s="55"/>
      <c r="AU4" s="329">
        <v>48.275548651507108</v>
      </c>
      <c r="AV4" s="55"/>
      <c r="AW4" s="55"/>
      <c r="AX4" s="55"/>
      <c r="AZ4" s="55"/>
      <c r="BA4" s="329">
        <v>48.275548651507108</v>
      </c>
      <c r="BB4" s="55"/>
      <c r="BC4" s="55"/>
      <c r="BD4" s="55"/>
      <c r="BF4" s="55"/>
      <c r="BG4" s="329">
        <v>48.275548651507108</v>
      </c>
      <c r="BH4" s="55"/>
      <c r="BI4" s="55"/>
      <c r="BJ4" s="55"/>
      <c r="BL4" s="55"/>
      <c r="BM4" s="329">
        <v>48.275548651507108</v>
      </c>
      <c r="BN4" s="55"/>
      <c r="BO4" s="55"/>
      <c r="BP4" s="55"/>
      <c r="BR4" s="55"/>
      <c r="BS4" s="329">
        <v>48.275548651507108</v>
      </c>
      <c r="BT4" s="55"/>
      <c r="BU4" s="55"/>
      <c r="BV4" s="55"/>
      <c r="BX4" s="55"/>
      <c r="BY4" s="329">
        <v>48.275548651507108</v>
      </c>
      <c r="BZ4" s="55"/>
      <c r="CA4" s="55"/>
      <c r="CB4" s="55"/>
      <c r="CD4" s="55"/>
      <c r="CE4" s="329">
        <v>48.275548651507108</v>
      </c>
      <c r="CF4" s="55"/>
      <c r="CG4" s="55"/>
      <c r="CH4" s="55"/>
      <c r="CJ4" s="55"/>
      <c r="CK4" s="329">
        <v>48.275548651507108</v>
      </c>
      <c r="CL4" s="55"/>
      <c r="CM4" s="55"/>
      <c r="CN4" s="55"/>
      <c r="CP4" s="55"/>
      <c r="CQ4" s="329">
        <v>0</v>
      </c>
      <c r="CR4" s="55"/>
      <c r="CS4" s="55"/>
      <c r="CT4" s="55"/>
      <c r="CV4" s="55"/>
      <c r="CW4" s="329">
        <v>0</v>
      </c>
      <c r="CX4" s="55"/>
      <c r="CY4" s="55"/>
      <c r="CZ4" s="55"/>
      <c r="DB4" s="55"/>
      <c r="DC4" s="329">
        <v>0</v>
      </c>
      <c r="DD4" s="55"/>
      <c r="DE4" s="55"/>
      <c r="DF4" s="55"/>
      <c r="DH4" s="55"/>
      <c r="DI4" s="329">
        <v>0</v>
      </c>
      <c r="DJ4" s="55"/>
      <c r="DK4" s="55"/>
      <c r="DL4" s="55"/>
      <c r="DN4" s="55"/>
      <c r="DO4" s="329">
        <v>0</v>
      </c>
      <c r="DP4" s="55"/>
      <c r="DQ4" s="55"/>
      <c r="DR4" s="55"/>
      <c r="DT4" s="55"/>
      <c r="DU4" s="329">
        <v>0</v>
      </c>
      <c r="DV4" s="55"/>
      <c r="DW4" s="55"/>
      <c r="DX4" s="55"/>
      <c r="DZ4" s="55"/>
      <c r="EA4" s="329">
        <v>0</v>
      </c>
      <c r="EB4" s="55"/>
      <c r="EC4" s="55"/>
      <c r="ED4" s="55"/>
      <c r="EF4" s="55"/>
      <c r="EG4" s="329">
        <v>0</v>
      </c>
      <c r="EH4" s="55"/>
      <c r="EI4" s="55"/>
      <c r="EJ4" s="55"/>
      <c r="EL4" s="55"/>
      <c r="EM4" s="329">
        <v>0</v>
      </c>
      <c r="EN4" s="55"/>
      <c r="EO4" s="55"/>
      <c r="EP4" s="55"/>
      <c r="ER4" s="55"/>
      <c r="ES4" s="329">
        <v>0</v>
      </c>
      <c r="ET4" s="55"/>
      <c r="EU4" s="55"/>
      <c r="EV4" s="55"/>
    </row>
    <row r="5" spans="1:152" x14ac:dyDescent="0.25">
      <c r="A5" t="s">
        <v>623</v>
      </c>
      <c r="B5" s="55" t="s">
        <v>149</v>
      </c>
      <c r="C5" s="55" t="s">
        <v>148</v>
      </c>
      <c r="D5" s="55"/>
      <c r="E5" s="329">
        <v>50.689326084082452</v>
      </c>
      <c r="F5" s="55"/>
      <c r="G5" s="55"/>
      <c r="H5" s="55"/>
      <c r="J5" s="55"/>
      <c r="K5" s="329">
        <v>36.206661488630331</v>
      </c>
      <c r="L5" s="55"/>
      <c r="M5" s="55"/>
      <c r="N5" s="55"/>
      <c r="P5" s="55"/>
      <c r="Q5" s="329">
        <v>26.611896194143288</v>
      </c>
      <c r="R5" s="55"/>
      <c r="S5" s="55"/>
      <c r="T5" s="55"/>
      <c r="V5" s="55"/>
      <c r="W5" s="329">
        <v>27.942491003850453</v>
      </c>
      <c r="X5" s="55"/>
      <c r="Y5" s="55"/>
      <c r="Z5" s="55"/>
      <c r="AB5" s="55"/>
      <c r="AC5" s="329">
        <v>29.339615554042979</v>
      </c>
      <c r="AD5" s="55"/>
      <c r="AE5" s="55"/>
      <c r="AF5" s="55"/>
      <c r="AH5" s="55"/>
      <c r="AI5" s="329">
        <v>30.806596331745123</v>
      </c>
      <c r="AJ5" s="55"/>
      <c r="AK5" s="55"/>
      <c r="AL5" s="55"/>
      <c r="AN5" s="55"/>
      <c r="AO5" s="329">
        <v>32.346926148332386</v>
      </c>
      <c r="AP5" s="55"/>
      <c r="AQ5" s="55"/>
      <c r="AR5" s="55"/>
      <c r="AT5" s="55"/>
      <c r="AU5" s="329">
        <v>33.964272455748997</v>
      </c>
      <c r="AV5" s="55"/>
      <c r="AW5" s="55"/>
      <c r="AX5" s="55"/>
      <c r="AZ5" s="55"/>
      <c r="BA5" s="329">
        <v>35.66248607853646</v>
      </c>
      <c r="BB5" s="55"/>
      <c r="BC5" s="55"/>
      <c r="BD5" s="55"/>
      <c r="BF5" s="55"/>
      <c r="BG5" s="329">
        <v>37.445610382463272</v>
      </c>
      <c r="BH5" s="55"/>
      <c r="BI5" s="55"/>
      <c r="BJ5" s="55"/>
      <c r="BL5" s="55"/>
      <c r="BM5" s="329">
        <v>39.317890901586431</v>
      </c>
      <c r="BN5" s="55"/>
      <c r="BO5" s="55"/>
      <c r="BP5" s="55"/>
      <c r="BR5" s="55"/>
      <c r="BS5" s="329">
        <v>41.28378544666576</v>
      </c>
      <c r="BT5" s="55"/>
      <c r="BU5" s="55"/>
      <c r="BV5" s="55"/>
      <c r="BX5" s="55"/>
      <c r="BY5" s="329">
        <v>43.347974718999055</v>
      </c>
      <c r="BZ5" s="55"/>
      <c r="CA5" s="55"/>
      <c r="CB5" s="55"/>
      <c r="CD5" s="55"/>
      <c r="CE5" s="329">
        <v>45.515373454948993</v>
      </c>
      <c r="CF5" s="55"/>
      <c r="CG5" s="55"/>
      <c r="CH5" s="55"/>
      <c r="CJ5" s="55"/>
      <c r="CK5" s="329">
        <v>47.79114212769646</v>
      </c>
      <c r="CL5" s="55"/>
      <c r="CM5" s="55"/>
      <c r="CN5" s="55"/>
      <c r="CP5" s="55"/>
      <c r="CQ5" s="329">
        <v>50.180699234081267</v>
      </c>
      <c r="CR5" s="55"/>
      <c r="CS5" s="55"/>
      <c r="CT5" s="55"/>
      <c r="CV5" s="55"/>
      <c r="CW5" s="329">
        <v>52.689734195785356</v>
      </c>
      <c r="CX5" s="55"/>
      <c r="CY5" s="55"/>
      <c r="CZ5" s="55"/>
      <c r="DB5" s="55"/>
      <c r="DC5" s="329">
        <v>55.324220905574613</v>
      </c>
      <c r="DD5" s="55"/>
      <c r="DE5" s="55"/>
      <c r="DF5" s="55"/>
      <c r="DH5" s="55"/>
      <c r="DI5" s="329">
        <v>58.09043195085335</v>
      </c>
      <c r="DJ5" s="55"/>
      <c r="DK5" s="55"/>
      <c r="DL5" s="55"/>
      <c r="DN5" s="55"/>
      <c r="DO5" s="329">
        <v>60.994953548396019</v>
      </c>
      <c r="DP5" s="55"/>
      <c r="DQ5" s="55"/>
      <c r="DR5" s="55"/>
      <c r="DT5" s="55"/>
      <c r="DU5" s="329">
        <v>64.044701225815814</v>
      </c>
      <c r="DV5" s="55"/>
      <c r="DW5" s="55"/>
      <c r="DX5" s="55"/>
      <c r="DZ5" s="55"/>
      <c r="EA5" s="329">
        <v>67.246936287106607</v>
      </c>
      <c r="EB5" s="55"/>
      <c r="EC5" s="55"/>
      <c r="ED5" s="55"/>
      <c r="EF5" s="55"/>
      <c r="EG5" s="329">
        <v>70.609283101461926</v>
      </c>
      <c r="EH5" s="55"/>
      <c r="EI5" s="55"/>
      <c r="EJ5" s="55"/>
      <c r="EL5" s="55"/>
      <c r="EM5" s="329">
        <v>74.139747256535017</v>
      </c>
      <c r="EN5" s="55"/>
      <c r="EO5" s="55"/>
      <c r="EP5" s="55"/>
      <c r="ER5" s="55"/>
      <c r="ES5" s="329">
        <v>77.846734619361783</v>
      </c>
      <c r="ET5" s="55"/>
      <c r="EU5" s="55"/>
      <c r="EV5" s="55"/>
    </row>
    <row r="6" spans="1:152" x14ac:dyDescent="0.25">
      <c r="A6" t="s">
        <v>624</v>
      </c>
      <c r="B6" s="55" t="s">
        <v>150</v>
      </c>
      <c r="C6" s="55" t="s">
        <v>148</v>
      </c>
      <c r="D6" s="55"/>
      <c r="E6" s="329">
        <v>25.705645161290324</v>
      </c>
      <c r="F6" s="55"/>
      <c r="G6" s="55"/>
      <c r="H6" s="55"/>
      <c r="J6" s="55"/>
      <c r="K6" s="329">
        <v>25.705645161290324</v>
      </c>
      <c r="L6" s="55"/>
      <c r="M6" s="55"/>
      <c r="N6" s="55"/>
      <c r="P6" s="55"/>
      <c r="Q6" s="329">
        <v>26.99092741935484</v>
      </c>
      <c r="R6" s="55"/>
      <c r="S6" s="55"/>
      <c r="T6" s="55"/>
      <c r="V6" s="55"/>
      <c r="W6" s="329">
        <v>28.34047379032258</v>
      </c>
      <c r="X6" s="55"/>
      <c r="Y6" s="55"/>
      <c r="Z6" s="55"/>
      <c r="AB6" s="55"/>
      <c r="AC6" s="329">
        <v>29.757497479838715</v>
      </c>
      <c r="AD6" s="55"/>
      <c r="AE6" s="55"/>
      <c r="AF6" s="55"/>
      <c r="AH6" s="55"/>
      <c r="AI6" s="329">
        <v>31.24537235383065</v>
      </c>
      <c r="AJ6" s="55"/>
      <c r="AK6" s="55"/>
      <c r="AL6" s="55"/>
      <c r="AN6" s="55"/>
      <c r="AO6" s="329">
        <v>32.807640971522183</v>
      </c>
      <c r="AP6" s="55"/>
      <c r="AQ6" s="55"/>
      <c r="AR6" s="55"/>
      <c r="AT6" s="55"/>
      <c r="AU6" s="329">
        <v>34.448023020098283</v>
      </c>
      <c r="AV6" s="55"/>
      <c r="AW6" s="55"/>
      <c r="AX6" s="55"/>
      <c r="AZ6" s="55"/>
      <c r="BA6" s="329">
        <v>36.170424171103207</v>
      </c>
      <c r="BB6" s="55"/>
      <c r="BC6" s="55"/>
      <c r="BD6" s="55"/>
      <c r="BF6" s="55"/>
      <c r="BG6" s="329">
        <v>37.978945379658363</v>
      </c>
      <c r="BH6" s="55"/>
      <c r="BI6" s="55"/>
      <c r="BJ6" s="55"/>
      <c r="BL6" s="55"/>
      <c r="BM6" s="329">
        <v>39.877892648641286</v>
      </c>
      <c r="BN6" s="55"/>
      <c r="BO6" s="55"/>
      <c r="BP6" s="55"/>
      <c r="BR6" s="55"/>
      <c r="BS6" s="329">
        <v>41.871787281073345</v>
      </c>
      <c r="BT6" s="55"/>
      <c r="BU6" s="55"/>
      <c r="BV6" s="55"/>
      <c r="BX6" s="55"/>
      <c r="BY6" s="329">
        <v>43.965376645127016</v>
      </c>
      <c r="BZ6" s="55"/>
      <c r="CA6" s="55"/>
      <c r="CB6" s="55"/>
      <c r="CD6" s="55"/>
      <c r="CE6" s="329">
        <v>46.163645477383362</v>
      </c>
      <c r="CF6" s="55"/>
      <c r="CG6" s="55"/>
      <c r="CH6" s="55"/>
      <c r="CJ6" s="55"/>
      <c r="CK6" s="329">
        <v>48.47182775125254</v>
      </c>
      <c r="CL6" s="55"/>
      <c r="CM6" s="55"/>
      <c r="CN6" s="55"/>
      <c r="CP6" s="55"/>
      <c r="CQ6" s="329">
        <v>50.895419138815157</v>
      </c>
      <c r="CR6" s="55"/>
      <c r="CS6" s="55"/>
      <c r="CT6" s="55"/>
      <c r="CV6" s="55"/>
      <c r="CW6" s="329">
        <v>53.440190095755923</v>
      </c>
      <c r="CX6" s="55"/>
      <c r="CY6" s="55"/>
      <c r="CZ6" s="55"/>
      <c r="DB6" s="55"/>
      <c r="DC6" s="329">
        <v>56.112199600543725</v>
      </c>
      <c r="DD6" s="55"/>
      <c r="DE6" s="55"/>
      <c r="DF6" s="55"/>
      <c r="DH6" s="55"/>
      <c r="DI6" s="329">
        <v>58.917809580570911</v>
      </c>
      <c r="DJ6" s="55"/>
      <c r="DK6" s="55"/>
      <c r="DL6" s="55"/>
      <c r="DN6" s="55"/>
      <c r="DO6" s="329">
        <v>61.863700059599459</v>
      </c>
      <c r="DP6" s="55"/>
      <c r="DQ6" s="55"/>
      <c r="DR6" s="55"/>
      <c r="DT6" s="55"/>
      <c r="DU6" s="329">
        <v>64.956885062579431</v>
      </c>
      <c r="DV6" s="55"/>
      <c r="DW6" s="55"/>
      <c r="DX6" s="55"/>
      <c r="DZ6" s="55"/>
      <c r="EA6" s="329">
        <v>68.204729315708391</v>
      </c>
      <c r="EB6" s="55"/>
      <c r="EC6" s="55"/>
      <c r="ED6" s="55"/>
      <c r="EF6" s="55"/>
      <c r="EG6" s="329">
        <v>71.614965781493808</v>
      </c>
      <c r="EH6" s="55"/>
      <c r="EI6" s="55"/>
      <c r="EJ6" s="55"/>
      <c r="EL6" s="55"/>
      <c r="EM6" s="329">
        <v>75.195714070568513</v>
      </c>
      <c r="EN6" s="55"/>
      <c r="EO6" s="55"/>
      <c r="EP6" s="55"/>
      <c r="ER6" s="55"/>
      <c r="ES6" s="329">
        <v>78.95549977409695</v>
      </c>
      <c r="ET6" s="55"/>
      <c r="EU6" s="55"/>
      <c r="EV6" s="55"/>
    </row>
    <row r="7" spans="1:152" x14ac:dyDescent="0.25">
      <c r="A7" t="s">
        <v>623</v>
      </c>
      <c r="B7" s="55" t="s">
        <v>151</v>
      </c>
      <c r="C7" s="55" t="s">
        <v>148</v>
      </c>
      <c r="D7" s="55"/>
      <c r="E7" s="329">
        <v>5.1431121099947079</v>
      </c>
      <c r="F7" s="55"/>
      <c r="G7" s="55"/>
      <c r="H7" s="55"/>
      <c r="J7" s="55"/>
      <c r="K7" s="329">
        <v>3.673651507139077</v>
      </c>
      <c r="L7" s="55"/>
      <c r="M7" s="55"/>
      <c r="N7" s="55"/>
      <c r="P7" s="55"/>
      <c r="Q7" s="329">
        <v>2.7001338577472214</v>
      </c>
      <c r="R7" s="55"/>
      <c r="S7" s="55"/>
      <c r="T7" s="55"/>
      <c r="V7" s="55"/>
      <c r="W7" s="329">
        <v>2.8351405506345824</v>
      </c>
      <c r="X7" s="55"/>
      <c r="Y7" s="55"/>
      <c r="Z7" s="55"/>
      <c r="AB7" s="55"/>
      <c r="AC7" s="329">
        <v>2.9768975781663123</v>
      </c>
      <c r="AD7" s="55"/>
      <c r="AE7" s="55"/>
      <c r="AF7" s="55"/>
      <c r="AH7" s="55"/>
      <c r="AI7" s="329">
        <v>3.1257424570746273</v>
      </c>
      <c r="AJ7" s="55"/>
      <c r="AK7" s="55"/>
      <c r="AL7" s="55"/>
      <c r="AN7" s="55"/>
      <c r="AO7" s="329">
        <v>3.2820295799283588</v>
      </c>
      <c r="AP7" s="55"/>
      <c r="AQ7" s="55"/>
      <c r="AR7" s="55"/>
      <c r="AT7" s="55"/>
      <c r="AU7" s="329">
        <v>3.4461310589247769</v>
      </c>
      <c r="AV7" s="55"/>
      <c r="AW7" s="55"/>
      <c r="AX7" s="55"/>
      <c r="AZ7" s="55"/>
      <c r="BA7" s="329">
        <v>3.6184376118710166</v>
      </c>
      <c r="BB7" s="55"/>
      <c r="BC7" s="55"/>
      <c r="BD7" s="55"/>
      <c r="BF7" s="55"/>
      <c r="BG7" s="329">
        <v>3.7993594924645668</v>
      </c>
      <c r="BH7" s="55"/>
      <c r="BI7" s="55"/>
      <c r="BJ7" s="55"/>
      <c r="BL7" s="55"/>
      <c r="BM7" s="329">
        <v>3.9893274670877945</v>
      </c>
      <c r="BN7" s="55"/>
      <c r="BO7" s="55"/>
      <c r="BP7" s="55"/>
      <c r="BR7" s="55"/>
      <c r="BS7" s="329">
        <v>4.1887938404421838</v>
      </c>
      <c r="BT7" s="55"/>
      <c r="BU7" s="55"/>
      <c r="BV7" s="55"/>
      <c r="BX7" s="55"/>
      <c r="BY7" s="329">
        <v>4.3982335324642943</v>
      </c>
      <c r="BZ7" s="55"/>
      <c r="CA7" s="55"/>
      <c r="CB7" s="55"/>
      <c r="CD7" s="55"/>
      <c r="CE7" s="329">
        <v>4.6181452090875084</v>
      </c>
      <c r="CF7" s="55"/>
      <c r="CG7" s="55"/>
      <c r="CH7" s="55"/>
      <c r="CJ7" s="55"/>
      <c r="CK7" s="329">
        <v>4.8490524695418848</v>
      </c>
      <c r="CL7" s="55"/>
      <c r="CM7" s="55"/>
      <c r="CN7" s="55"/>
      <c r="CP7" s="55"/>
      <c r="CQ7" s="329">
        <v>5.0915050930189771</v>
      </c>
      <c r="CR7" s="55"/>
      <c r="CS7" s="55"/>
      <c r="CT7" s="55"/>
      <c r="CV7" s="55"/>
      <c r="CW7" s="329">
        <v>5.3460803476699281</v>
      </c>
      <c r="CX7" s="55"/>
      <c r="CY7" s="55"/>
      <c r="CZ7" s="55"/>
      <c r="DB7" s="55"/>
      <c r="DC7" s="329">
        <v>5.6133843650534239</v>
      </c>
      <c r="DD7" s="55"/>
      <c r="DE7" s="55"/>
      <c r="DF7" s="55"/>
      <c r="DH7" s="55"/>
      <c r="DI7" s="329">
        <v>5.8940535833060963</v>
      </c>
      <c r="DJ7" s="55"/>
      <c r="DK7" s="55"/>
      <c r="DL7" s="55"/>
      <c r="DN7" s="55"/>
      <c r="DO7" s="329">
        <v>6.1887562624713999</v>
      </c>
      <c r="DP7" s="55"/>
      <c r="DQ7" s="55"/>
      <c r="DR7" s="55"/>
      <c r="DT7" s="55"/>
      <c r="DU7" s="329">
        <v>6.4981940755949701</v>
      </c>
      <c r="DV7" s="55"/>
      <c r="DW7" s="55"/>
      <c r="DX7" s="55"/>
      <c r="DZ7" s="55"/>
      <c r="EA7" s="329">
        <v>6.8231037793747182</v>
      </c>
      <c r="EB7" s="55"/>
      <c r="EC7" s="55"/>
      <c r="ED7" s="55"/>
      <c r="EF7" s="55"/>
      <c r="EG7" s="329">
        <v>7.1642589683434554</v>
      </c>
      <c r="EH7" s="55"/>
      <c r="EI7" s="55"/>
      <c r="EJ7" s="55"/>
      <c r="EL7" s="55"/>
      <c r="EM7" s="329">
        <v>7.522471916760626</v>
      </c>
      <c r="EN7" s="55"/>
      <c r="EO7" s="55"/>
      <c r="EP7" s="55"/>
      <c r="ER7" s="55"/>
      <c r="ES7" s="329">
        <v>7.8985955125986598</v>
      </c>
      <c r="ET7" s="55"/>
      <c r="EU7" s="55"/>
      <c r="EV7" s="55"/>
    </row>
    <row r="8" spans="1:152" x14ac:dyDescent="0.25">
      <c r="A8" t="s">
        <v>623</v>
      </c>
      <c r="B8" s="55" t="s">
        <v>152</v>
      </c>
      <c r="C8" s="55" t="s">
        <v>148</v>
      </c>
      <c r="D8" s="55"/>
      <c r="E8" s="329">
        <v>26.315590296139586</v>
      </c>
      <c r="F8" s="55"/>
      <c r="G8" s="55"/>
      <c r="H8" s="55"/>
      <c r="J8" s="55"/>
      <c r="K8" s="329">
        <v>18.796850211528277</v>
      </c>
      <c r="L8" s="55"/>
      <c r="M8" s="55"/>
      <c r="N8" s="55"/>
      <c r="P8" s="55"/>
      <c r="Q8" s="329">
        <v>13.815684905473285</v>
      </c>
      <c r="R8" s="55"/>
      <c r="S8" s="55"/>
      <c r="T8" s="55"/>
      <c r="V8" s="55"/>
      <c r="W8" s="329">
        <v>14.506469150746947</v>
      </c>
      <c r="X8" s="55"/>
      <c r="Y8" s="55"/>
      <c r="Z8" s="55"/>
      <c r="AB8" s="55"/>
      <c r="AC8" s="329">
        <v>15.231792608284298</v>
      </c>
      <c r="AD8" s="55"/>
      <c r="AE8" s="55"/>
      <c r="AF8" s="55"/>
      <c r="AH8" s="55"/>
      <c r="AI8" s="329">
        <v>15.993382238698509</v>
      </c>
      <c r="AJ8" s="55"/>
      <c r="AK8" s="55"/>
      <c r="AL8" s="55"/>
      <c r="AN8" s="55"/>
      <c r="AO8" s="329">
        <v>16.793051350633437</v>
      </c>
      <c r="AP8" s="55"/>
      <c r="AQ8" s="55"/>
      <c r="AR8" s="55"/>
      <c r="AT8" s="55"/>
      <c r="AU8" s="329">
        <v>17.632703918165106</v>
      </c>
      <c r="AV8" s="55"/>
      <c r="AW8" s="55"/>
      <c r="AX8" s="55"/>
      <c r="AZ8" s="55"/>
      <c r="BA8" s="329">
        <v>18.514339114073366</v>
      </c>
      <c r="BB8" s="55"/>
      <c r="BC8" s="55"/>
      <c r="BD8" s="55"/>
      <c r="BF8" s="55"/>
      <c r="BG8" s="329">
        <v>19.440056069777032</v>
      </c>
      <c r="BH8" s="55"/>
      <c r="BI8" s="55"/>
      <c r="BJ8" s="55"/>
      <c r="BL8" s="55"/>
      <c r="BM8" s="329">
        <v>20.412058873265885</v>
      </c>
      <c r="BN8" s="55"/>
      <c r="BO8" s="55"/>
      <c r="BP8" s="55"/>
      <c r="BR8" s="55"/>
      <c r="BS8" s="329">
        <v>21.43266181692918</v>
      </c>
      <c r="BT8" s="55"/>
      <c r="BU8" s="55"/>
      <c r="BV8" s="55"/>
      <c r="BX8" s="55"/>
      <c r="BY8" s="329">
        <v>22.504294907775641</v>
      </c>
      <c r="BZ8" s="55"/>
      <c r="CA8" s="55"/>
      <c r="CB8" s="55"/>
      <c r="CD8" s="55"/>
      <c r="CE8" s="329">
        <v>23.629509653164419</v>
      </c>
      <c r="CF8" s="55"/>
      <c r="CG8" s="55"/>
      <c r="CH8" s="55"/>
      <c r="CJ8" s="55"/>
      <c r="CK8" s="329">
        <v>24.810985135822644</v>
      </c>
      <c r="CL8" s="55"/>
      <c r="CM8" s="55"/>
      <c r="CN8" s="55"/>
      <c r="CP8" s="55"/>
      <c r="CQ8" s="329">
        <v>26.051534392613771</v>
      </c>
      <c r="CR8" s="55"/>
      <c r="CS8" s="55"/>
      <c r="CT8" s="55"/>
      <c r="CV8" s="55"/>
      <c r="CW8" s="329">
        <v>27.354111112244468</v>
      </c>
      <c r="CX8" s="55"/>
      <c r="CY8" s="55"/>
      <c r="CZ8" s="55"/>
      <c r="DB8" s="55"/>
      <c r="DC8" s="329">
        <v>28.721816667856686</v>
      </c>
      <c r="DD8" s="55"/>
      <c r="DE8" s="55"/>
      <c r="DF8" s="55"/>
      <c r="DH8" s="55"/>
      <c r="DI8" s="329">
        <v>30.157907501249529</v>
      </c>
      <c r="DJ8" s="55"/>
      <c r="DK8" s="55"/>
      <c r="DL8" s="55"/>
      <c r="DN8" s="55"/>
      <c r="DO8" s="329">
        <v>31.665802876312</v>
      </c>
      <c r="DP8" s="55"/>
      <c r="DQ8" s="55"/>
      <c r="DR8" s="55"/>
      <c r="DT8" s="55"/>
      <c r="DU8" s="329">
        <v>33.249093020127603</v>
      </c>
      <c r="DV8" s="55"/>
      <c r="DW8" s="55"/>
      <c r="DX8" s="55"/>
      <c r="DZ8" s="55"/>
      <c r="EA8" s="329">
        <v>34.911547671133981</v>
      </c>
      <c r="EB8" s="55"/>
      <c r="EC8" s="55"/>
      <c r="ED8" s="55"/>
      <c r="EF8" s="55"/>
      <c r="EG8" s="329">
        <v>36.657125054690681</v>
      </c>
      <c r="EH8" s="55"/>
      <c r="EI8" s="55"/>
      <c r="EJ8" s="55"/>
      <c r="EL8" s="55"/>
      <c r="EM8" s="329">
        <v>38.489981307425218</v>
      </c>
      <c r="EN8" s="55"/>
      <c r="EO8" s="55"/>
      <c r="EP8" s="55"/>
      <c r="ER8" s="55"/>
      <c r="ES8" s="329">
        <v>40.414480372796476</v>
      </c>
      <c r="ET8" s="55"/>
      <c r="EU8" s="55"/>
      <c r="EV8" s="55"/>
    </row>
    <row r="9" spans="1:152" x14ac:dyDescent="0.25">
      <c r="A9" t="s">
        <v>624</v>
      </c>
      <c r="B9" s="55" t="s">
        <v>153</v>
      </c>
      <c r="C9" s="55" t="s">
        <v>148</v>
      </c>
      <c r="D9" s="55"/>
      <c r="E9" s="329">
        <v>12.25</v>
      </c>
      <c r="F9" s="55"/>
      <c r="G9" s="55"/>
      <c r="H9" s="55"/>
      <c r="J9" s="55"/>
      <c r="K9" s="329">
        <v>12.25</v>
      </c>
      <c r="L9" s="55"/>
      <c r="M9" s="55"/>
      <c r="N9" s="55"/>
      <c r="P9" s="55"/>
      <c r="Q9" s="329">
        <v>12.862500000000001</v>
      </c>
      <c r="R9" s="55"/>
      <c r="S9" s="55"/>
      <c r="T9" s="55"/>
      <c r="V9" s="55"/>
      <c r="W9" s="329">
        <v>13.505625</v>
      </c>
      <c r="X9" s="55"/>
      <c r="Y9" s="55"/>
      <c r="Z9" s="55"/>
      <c r="AB9" s="55"/>
      <c r="AC9" s="329">
        <v>14.180906250000001</v>
      </c>
      <c r="AD9" s="55"/>
      <c r="AE9" s="55"/>
      <c r="AF9" s="55"/>
      <c r="AH9" s="55"/>
      <c r="AI9" s="329">
        <v>14.8899515625</v>
      </c>
      <c r="AJ9" s="55"/>
      <c r="AK9" s="55"/>
      <c r="AL9" s="55"/>
      <c r="AN9" s="55"/>
      <c r="AO9" s="329">
        <v>15.634449140625003</v>
      </c>
      <c r="AP9" s="55"/>
      <c r="AQ9" s="55"/>
      <c r="AR9" s="55"/>
      <c r="AT9" s="55"/>
      <c r="AU9" s="329">
        <v>16.416171597656252</v>
      </c>
      <c r="AV9" s="55"/>
      <c r="AW9" s="55"/>
      <c r="AX9" s="55"/>
      <c r="AZ9" s="55"/>
      <c r="BA9" s="329">
        <v>17.236980177539067</v>
      </c>
      <c r="BB9" s="55"/>
      <c r="BC9" s="55"/>
      <c r="BD9" s="55"/>
      <c r="BF9" s="55"/>
      <c r="BG9" s="329">
        <v>18.098829186416015</v>
      </c>
      <c r="BH9" s="55"/>
      <c r="BI9" s="55"/>
      <c r="BJ9" s="55"/>
      <c r="BL9" s="55"/>
      <c r="BM9" s="329">
        <v>19.003770645736818</v>
      </c>
      <c r="BN9" s="55"/>
      <c r="BO9" s="55"/>
      <c r="BP9" s="55"/>
      <c r="BR9" s="55"/>
      <c r="BS9" s="329">
        <v>19.953959178023656</v>
      </c>
      <c r="BT9" s="55"/>
      <c r="BU9" s="55"/>
      <c r="BV9" s="55"/>
      <c r="BX9" s="55"/>
      <c r="BY9" s="329">
        <v>20.951657136924844</v>
      </c>
      <c r="BZ9" s="55"/>
      <c r="CA9" s="55"/>
      <c r="CB9" s="55"/>
      <c r="CD9" s="55"/>
      <c r="CE9" s="329">
        <v>21.999239993771084</v>
      </c>
      <c r="CF9" s="55"/>
      <c r="CG9" s="55"/>
      <c r="CH9" s="55"/>
      <c r="CJ9" s="55"/>
      <c r="CK9" s="329">
        <v>23.099201993459641</v>
      </c>
      <c r="CL9" s="55"/>
      <c r="CM9" s="55"/>
      <c r="CN9" s="55"/>
      <c r="CP9" s="55"/>
      <c r="CQ9" s="329">
        <v>24.254162093132617</v>
      </c>
      <c r="CR9" s="55"/>
      <c r="CS9" s="55"/>
      <c r="CT9" s="55"/>
      <c r="CV9" s="55"/>
      <c r="CW9" s="329">
        <v>25.466870197789255</v>
      </c>
      <c r="CX9" s="55"/>
      <c r="CY9" s="55"/>
      <c r="CZ9" s="55"/>
      <c r="DB9" s="55"/>
      <c r="DC9" s="329">
        <v>26.740213707678716</v>
      </c>
      <c r="DD9" s="55"/>
      <c r="DE9" s="55"/>
      <c r="DF9" s="55"/>
      <c r="DH9" s="55"/>
      <c r="DI9" s="329">
        <v>28.077224393062654</v>
      </c>
      <c r="DJ9" s="55"/>
      <c r="DK9" s="55"/>
      <c r="DL9" s="55"/>
      <c r="DN9" s="55"/>
      <c r="DO9" s="329">
        <v>29.481085612715788</v>
      </c>
      <c r="DP9" s="55"/>
      <c r="DQ9" s="55"/>
      <c r="DR9" s="55"/>
      <c r="DT9" s="55"/>
      <c r="DU9" s="329">
        <v>30.955139893351578</v>
      </c>
      <c r="DV9" s="55"/>
      <c r="DW9" s="55"/>
      <c r="DX9" s="55"/>
      <c r="DZ9" s="55"/>
      <c r="EA9" s="329">
        <v>32.502896888019158</v>
      </c>
      <c r="EB9" s="55"/>
      <c r="EC9" s="55"/>
      <c r="ED9" s="55"/>
      <c r="EF9" s="55"/>
      <c r="EG9" s="329">
        <v>34.128041732420115</v>
      </c>
      <c r="EH9" s="55"/>
      <c r="EI9" s="55"/>
      <c r="EJ9" s="55"/>
      <c r="EL9" s="55"/>
      <c r="EM9" s="329">
        <v>35.834443819041113</v>
      </c>
      <c r="EN9" s="55"/>
      <c r="EO9" s="55"/>
      <c r="EP9" s="55"/>
      <c r="ER9" s="55"/>
      <c r="ES9" s="329">
        <v>37.626166009993177</v>
      </c>
      <c r="ET9" s="55"/>
      <c r="EU9" s="55"/>
      <c r="EV9" s="55"/>
    </row>
    <row r="10" spans="1:152" x14ac:dyDescent="0.25">
      <c r="A10" t="s">
        <v>624</v>
      </c>
      <c r="B10" s="55" t="s">
        <v>154</v>
      </c>
      <c r="C10" s="55" t="s">
        <v>148</v>
      </c>
      <c r="D10" s="55"/>
      <c r="E10" s="329">
        <v>13.333333333333334</v>
      </c>
      <c r="F10" s="55"/>
      <c r="G10" s="55"/>
      <c r="H10" s="55"/>
      <c r="J10" s="55"/>
      <c r="K10" s="329">
        <v>13.333333333333334</v>
      </c>
      <c r="L10" s="55"/>
      <c r="M10" s="55"/>
      <c r="N10" s="55"/>
      <c r="P10" s="55"/>
      <c r="Q10" s="329">
        <v>14</v>
      </c>
      <c r="R10" s="55"/>
      <c r="S10" s="55"/>
      <c r="T10" s="55"/>
      <c r="V10" s="55"/>
      <c r="W10" s="329">
        <v>14.7</v>
      </c>
      <c r="X10" s="55"/>
      <c r="Y10" s="55"/>
      <c r="Z10" s="55"/>
      <c r="AB10" s="55"/>
      <c r="AC10" s="329">
        <v>15.435000000000002</v>
      </c>
      <c r="AD10" s="55"/>
      <c r="AE10" s="55"/>
      <c r="AF10" s="55"/>
      <c r="AH10" s="55"/>
      <c r="AI10" s="329">
        <v>16.20675</v>
      </c>
      <c r="AJ10" s="55"/>
      <c r="AK10" s="55"/>
      <c r="AL10" s="55"/>
      <c r="AN10" s="55"/>
      <c r="AO10" s="329">
        <v>17.017087500000002</v>
      </c>
      <c r="AP10" s="55"/>
      <c r="AQ10" s="55"/>
      <c r="AR10" s="55"/>
      <c r="AT10" s="55"/>
      <c r="AU10" s="329">
        <v>17.867941875</v>
      </c>
      <c r="AV10" s="55"/>
      <c r="AW10" s="55"/>
      <c r="AX10" s="55"/>
      <c r="AZ10" s="55"/>
      <c r="BA10" s="329">
        <v>18.761338968750003</v>
      </c>
      <c r="BB10" s="55"/>
      <c r="BC10" s="55"/>
      <c r="BD10" s="55"/>
      <c r="BF10" s="55"/>
      <c r="BG10" s="329">
        <v>19.699405917187502</v>
      </c>
      <c r="BH10" s="55"/>
      <c r="BI10" s="55"/>
      <c r="BJ10" s="55"/>
      <c r="BL10" s="55"/>
      <c r="BM10" s="329">
        <v>20.684376213046878</v>
      </c>
      <c r="BN10" s="55"/>
      <c r="BO10" s="55"/>
      <c r="BP10" s="55"/>
      <c r="BR10" s="55"/>
      <c r="BS10" s="329">
        <v>21.718595023699223</v>
      </c>
      <c r="BT10" s="55"/>
      <c r="BU10" s="55"/>
      <c r="BV10" s="55"/>
      <c r="BX10" s="55"/>
      <c r="BY10" s="329">
        <v>22.804524774884186</v>
      </c>
      <c r="BZ10" s="55"/>
      <c r="CA10" s="55"/>
      <c r="CB10" s="55"/>
      <c r="CD10" s="55"/>
      <c r="CE10" s="329">
        <v>23.944751013628391</v>
      </c>
      <c r="CF10" s="55"/>
      <c r="CG10" s="55"/>
      <c r="CH10" s="55"/>
      <c r="CJ10" s="55"/>
      <c r="CK10" s="329">
        <v>25.141988564309813</v>
      </c>
      <c r="CL10" s="55"/>
      <c r="CM10" s="55"/>
      <c r="CN10" s="55"/>
      <c r="CP10" s="55"/>
      <c r="CQ10" s="329">
        <v>26.399087992525299</v>
      </c>
      <c r="CR10" s="55"/>
      <c r="CS10" s="55"/>
      <c r="CT10" s="55"/>
      <c r="CV10" s="55"/>
      <c r="CW10" s="329">
        <v>27.719042392151572</v>
      </c>
      <c r="CX10" s="55"/>
      <c r="CY10" s="55"/>
      <c r="CZ10" s="55"/>
      <c r="DB10" s="55"/>
      <c r="DC10" s="329">
        <v>29.104994511759145</v>
      </c>
      <c r="DD10" s="55"/>
      <c r="DE10" s="55"/>
      <c r="DF10" s="55"/>
      <c r="DH10" s="55"/>
      <c r="DI10" s="329">
        <v>30.56024423734711</v>
      </c>
      <c r="DJ10" s="55"/>
      <c r="DK10" s="55"/>
      <c r="DL10" s="55"/>
      <c r="DN10" s="55"/>
      <c r="DO10" s="329">
        <v>32.088256449214462</v>
      </c>
      <c r="DP10" s="55"/>
      <c r="DQ10" s="55"/>
      <c r="DR10" s="55"/>
      <c r="DT10" s="55"/>
      <c r="DU10" s="329">
        <v>33.692669271675186</v>
      </c>
      <c r="DV10" s="55"/>
      <c r="DW10" s="55"/>
      <c r="DX10" s="55"/>
      <c r="DZ10" s="55"/>
      <c r="EA10" s="329">
        <v>35.377302735258944</v>
      </c>
      <c r="EB10" s="55"/>
      <c r="EC10" s="55"/>
      <c r="ED10" s="55"/>
      <c r="EF10" s="55"/>
      <c r="EG10" s="329">
        <v>37.146167872021891</v>
      </c>
      <c r="EH10" s="55"/>
      <c r="EI10" s="55"/>
      <c r="EJ10" s="55"/>
      <c r="EL10" s="55"/>
      <c r="EM10" s="329">
        <v>39.003476265622986</v>
      </c>
      <c r="EN10" s="55"/>
      <c r="EO10" s="55"/>
      <c r="EP10" s="55"/>
      <c r="ER10" s="55"/>
      <c r="ES10" s="329">
        <v>40.95365007890414</v>
      </c>
      <c r="ET10" s="55"/>
      <c r="EU10" s="55"/>
      <c r="EV10" s="55"/>
    </row>
    <row r="11" spans="1:152" x14ac:dyDescent="0.25">
      <c r="A11" t="s">
        <v>623</v>
      </c>
      <c r="B11" s="55" t="s">
        <v>155</v>
      </c>
      <c r="C11" s="55" t="s">
        <v>148</v>
      </c>
      <c r="D11" s="55"/>
      <c r="E11" s="329">
        <v>31.398730830248518</v>
      </c>
      <c r="F11" s="55"/>
      <c r="G11" s="55"/>
      <c r="H11" s="55"/>
      <c r="J11" s="55"/>
      <c r="K11" s="329">
        <v>22.427664878748946</v>
      </c>
      <c r="L11" s="55"/>
      <c r="M11" s="55"/>
      <c r="N11" s="55"/>
      <c r="P11" s="55"/>
      <c r="Q11" s="329">
        <v>15.699365415124259</v>
      </c>
      <c r="R11" s="55"/>
      <c r="S11" s="55"/>
      <c r="T11" s="55"/>
      <c r="V11" s="55"/>
      <c r="W11" s="329">
        <v>15.699365415124259</v>
      </c>
      <c r="X11" s="55"/>
      <c r="Y11" s="55"/>
      <c r="Z11" s="55"/>
      <c r="AB11" s="55"/>
      <c r="AC11" s="329">
        <v>15.699365415124259</v>
      </c>
      <c r="AD11" s="55"/>
      <c r="AE11" s="55"/>
      <c r="AF11" s="55"/>
      <c r="AH11" s="55"/>
      <c r="AI11" s="329">
        <v>15.699365415124259</v>
      </c>
      <c r="AJ11" s="55"/>
      <c r="AK11" s="55"/>
      <c r="AL11" s="55"/>
      <c r="AN11" s="55"/>
      <c r="AO11" s="329">
        <v>15.699365415124259</v>
      </c>
      <c r="AP11" s="55"/>
      <c r="AQ11" s="55"/>
      <c r="AR11" s="55"/>
      <c r="AT11" s="55"/>
      <c r="AU11" s="329">
        <v>15.699365415124259</v>
      </c>
      <c r="AV11" s="55"/>
      <c r="AW11" s="55"/>
      <c r="AX11" s="55"/>
      <c r="AZ11" s="55"/>
      <c r="BA11" s="329">
        <v>15.699365415124259</v>
      </c>
      <c r="BB11" s="55"/>
      <c r="BC11" s="55"/>
      <c r="BD11" s="55"/>
      <c r="BF11" s="55"/>
      <c r="BG11" s="329">
        <v>15.699365415124259</v>
      </c>
      <c r="BH11" s="55"/>
      <c r="BI11" s="55"/>
      <c r="BJ11" s="55"/>
      <c r="BL11" s="55"/>
      <c r="BM11" s="329">
        <v>15.699365415124259</v>
      </c>
      <c r="BN11" s="55"/>
      <c r="BO11" s="55"/>
      <c r="BP11" s="55"/>
      <c r="BR11" s="55"/>
      <c r="BS11" s="329">
        <v>15.699365415124259</v>
      </c>
      <c r="BT11" s="55"/>
      <c r="BU11" s="55"/>
      <c r="BV11" s="55"/>
      <c r="BX11" s="55"/>
      <c r="BY11" s="329">
        <v>15.699365415124259</v>
      </c>
      <c r="BZ11" s="55"/>
      <c r="CA11" s="55"/>
      <c r="CB11" s="55"/>
      <c r="CD11" s="55"/>
      <c r="CE11" s="329">
        <v>15.699365415124259</v>
      </c>
      <c r="CF11" s="55"/>
      <c r="CG11" s="55"/>
      <c r="CH11" s="55"/>
      <c r="CJ11" s="55"/>
      <c r="CK11" s="329">
        <v>15.699365415124259</v>
      </c>
      <c r="CL11" s="55"/>
      <c r="CM11" s="55"/>
      <c r="CN11" s="55"/>
      <c r="CP11" s="55"/>
      <c r="CQ11" s="329">
        <v>15.699365415124259</v>
      </c>
      <c r="CR11" s="55"/>
      <c r="CS11" s="55"/>
      <c r="CT11" s="55"/>
      <c r="CV11" s="55"/>
      <c r="CW11" s="329">
        <v>15.699365415124259</v>
      </c>
      <c r="CX11" s="55"/>
      <c r="CY11" s="55"/>
      <c r="CZ11" s="55"/>
      <c r="DB11" s="55"/>
      <c r="DC11" s="329">
        <v>15.699365415124259</v>
      </c>
      <c r="DD11" s="55"/>
      <c r="DE11" s="55"/>
      <c r="DF11" s="55"/>
      <c r="DH11" s="55"/>
      <c r="DI11" s="329">
        <v>15.699365415124259</v>
      </c>
      <c r="DJ11" s="55"/>
      <c r="DK11" s="55"/>
      <c r="DL11" s="55"/>
      <c r="DN11" s="55"/>
      <c r="DO11" s="329">
        <v>15.699365415124259</v>
      </c>
      <c r="DP11" s="55"/>
      <c r="DQ11" s="55"/>
      <c r="DR11" s="55"/>
      <c r="DT11" s="55"/>
      <c r="DU11" s="329">
        <v>15.699365415124259</v>
      </c>
      <c r="DV11" s="55"/>
      <c r="DW11" s="55"/>
      <c r="DX11" s="55"/>
      <c r="DZ11" s="55"/>
      <c r="EA11" s="329">
        <v>15.699365415124259</v>
      </c>
      <c r="EB11" s="55"/>
      <c r="EC11" s="55"/>
      <c r="ED11" s="55"/>
      <c r="EF11" s="55"/>
      <c r="EG11" s="329">
        <v>15.699365415124259</v>
      </c>
      <c r="EH11" s="55"/>
      <c r="EI11" s="55"/>
      <c r="EJ11" s="55"/>
      <c r="EL11" s="55"/>
      <c r="EM11" s="329">
        <v>15.699365415124259</v>
      </c>
      <c r="EN11" s="55"/>
      <c r="EO11" s="55"/>
      <c r="EP11" s="55"/>
      <c r="ER11" s="55"/>
      <c r="ES11" s="329">
        <v>15.699365415124259</v>
      </c>
      <c r="ET11" s="55"/>
      <c r="EU11" s="55"/>
      <c r="EV11" s="55"/>
    </row>
    <row r="12" spans="1:152" x14ac:dyDescent="0.25">
      <c r="A12" t="s">
        <v>623</v>
      </c>
      <c r="B12" s="55" t="s">
        <v>132</v>
      </c>
      <c r="C12" s="55" t="s">
        <v>148</v>
      </c>
      <c r="D12" s="55"/>
      <c r="E12" s="329"/>
      <c r="F12" s="55"/>
      <c r="G12" s="55"/>
      <c r="H12" s="55"/>
      <c r="J12" s="55"/>
      <c r="K12" s="55"/>
      <c r="L12" s="55"/>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c r="BL12" s="55"/>
      <c r="BM12" s="55"/>
      <c r="BN12" s="55"/>
      <c r="BO12" s="55"/>
      <c r="BP12" s="55"/>
      <c r="BR12" s="55"/>
      <c r="BS12" s="55"/>
      <c r="BT12" s="55"/>
      <c r="BU12" s="55"/>
      <c r="BV12" s="55"/>
      <c r="BX12" s="55"/>
      <c r="BY12" s="55"/>
      <c r="BZ12" s="55"/>
      <c r="CA12" s="55"/>
      <c r="CB12" s="55"/>
      <c r="CD12" s="55"/>
      <c r="CE12" s="55"/>
      <c r="CF12" s="55"/>
      <c r="CG12" s="55"/>
      <c r="CH12" s="55"/>
      <c r="CJ12" s="55"/>
      <c r="CK12" s="55"/>
      <c r="CL12" s="55"/>
      <c r="CM12" s="55"/>
      <c r="CN12" s="55"/>
      <c r="CP12" s="55"/>
      <c r="CQ12" s="55"/>
      <c r="CR12" s="55"/>
      <c r="CS12" s="55"/>
      <c r="CT12" s="55"/>
      <c r="CV12" s="55"/>
      <c r="CW12" s="55"/>
      <c r="CX12" s="55"/>
      <c r="CY12" s="55"/>
      <c r="CZ12" s="55"/>
      <c r="DB12" s="55"/>
      <c r="DC12" s="55"/>
      <c r="DD12" s="55"/>
      <c r="DE12" s="55"/>
      <c r="DF12" s="55"/>
      <c r="DH12" s="55"/>
      <c r="DI12" s="55"/>
      <c r="DJ12" s="55"/>
      <c r="DK12" s="55"/>
      <c r="DL12" s="55"/>
      <c r="DN12" s="55"/>
      <c r="DO12" s="55"/>
      <c r="DP12" s="55"/>
      <c r="DQ12" s="55"/>
      <c r="DR12" s="55"/>
      <c r="DT12" s="55"/>
      <c r="DU12" s="55"/>
      <c r="DV12" s="55"/>
      <c r="DW12" s="55"/>
      <c r="DX12" s="55"/>
      <c r="DZ12" s="55"/>
      <c r="EA12" s="55"/>
      <c r="EB12" s="55"/>
      <c r="EC12" s="55"/>
      <c r="ED12" s="55"/>
      <c r="EF12" s="55"/>
      <c r="EG12" s="55"/>
      <c r="EH12" s="55"/>
      <c r="EI12" s="55"/>
      <c r="EJ12" s="55"/>
      <c r="EL12" s="55"/>
      <c r="EM12" s="55"/>
      <c r="EN12" s="55"/>
      <c r="EO12" s="55"/>
      <c r="EP12" s="55"/>
      <c r="ER12" s="55"/>
      <c r="ES12" s="55"/>
      <c r="ET12" s="55"/>
      <c r="EU12" s="55"/>
      <c r="EV12" s="55"/>
    </row>
    <row r="13" spans="1:152" x14ac:dyDescent="0.25">
      <c r="A13" t="s">
        <v>623</v>
      </c>
      <c r="B13" s="55" t="s">
        <v>355</v>
      </c>
      <c r="C13" s="55" t="s">
        <v>148</v>
      </c>
      <c r="D13" s="55"/>
      <c r="E13" s="329">
        <v>13.187466948704378</v>
      </c>
      <c r="F13" s="55"/>
      <c r="G13" s="55"/>
      <c r="H13" s="55"/>
      <c r="J13" s="55"/>
      <c r="K13" s="329">
        <v>9.4196192490745574</v>
      </c>
      <c r="L13" s="55"/>
      <c r="M13" s="55"/>
      <c r="N13" s="55"/>
      <c r="P13" s="55"/>
      <c r="Q13" s="329">
        <v>6.9234201480697983</v>
      </c>
      <c r="R13" s="55"/>
      <c r="S13" s="55"/>
      <c r="T13" s="55"/>
      <c r="V13" s="55"/>
      <c r="W13" s="329">
        <v>7.2695911554732886</v>
      </c>
      <c r="X13" s="55"/>
      <c r="Y13" s="55"/>
      <c r="Z13" s="55"/>
      <c r="AB13" s="55"/>
      <c r="AC13" s="329">
        <v>7.633070713246954</v>
      </c>
      <c r="AD13" s="55"/>
      <c r="AE13" s="55"/>
      <c r="AF13" s="55"/>
      <c r="AH13" s="55"/>
      <c r="AI13" s="329">
        <v>8.0147242489092996</v>
      </c>
      <c r="AJ13" s="55"/>
      <c r="AK13" s="55"/>
      <c r="AL13" s="55"/>
      <c r="AN13" s="55"/>
      <c r="AO13" s="329">
        <v>8.4154604613547672</v>
      </c>
      <c r="AP13" s="55"/>
      <c r="AQ13" s="55"/>
      <c r="AR13" s="55"/>
      <c r="AT13" s="55"/>
      <c r="AU13" s="329">
        <v>8.8362334844225039</v>
      </c>
      <c r="AV13" s="55"/>
      <c r="AW13" s="55"/>
      <c r="AX13" s="55"/>
      <c r="AZ13" s="55"/>
      <c r="BA13" s="329">
        <v>9.2780451586436321</v>
      </c>
      <c r="BB13" s="55"/>
      <c r="BC13" s="55"/>
      <c r="BD13" s="55"/>
      <c r="BF13" s="55"/>
      <c r="BG13" s="329">
        <v>9.7419474165758118</v>
      </c>
      <c r="BH13" s="55"/>
      <c r="BI13" s="55"/>
      <c r="BJ13" s="55"/>
      <c r="BL13" s="55"/>
      <c r="BM13" s="329">
        <v>10.229044787404602</v>
      </c>
      <c r="BN13" s="55"/>
      <c r="BO13" s="55"/>
      <c r="BP13" s="55"/>
      <c r="BR13" s="55"/>
      <c r="BS13" s="329">
        <v>10.740497026774831</v>
      </c>
      <c r="BT13" s="55"/>
      <c r="BU13" s="55"/>
      <c r="BV13" s="55"/>
      <c r="BX13" s="55"/>
      <c r="BY13" s="329">
        <v>11.277521878113577</v>
      </c>
      <c r="BZ13" s="55"/>
      <c r="CA13" s="55"/>
      <c r="CB13" s="55"/>
      <c r="CD13" s="55"/>
      <c r="CE13" s="329">
        <v>11.841397972019251</v>
      </c>
      <c r="CF13" s="55"/>
      <c r="CG13" s="55"/>
      <c r="CH13" s="55"/>
      <c r="CJ13" s="55"/>
      <c r="CK13" s="329">
        <v>12.433467870620214</v>
      </c>
      <c r="CL13" s="55"/>
      <c r="CM13" s="55"/>
      <c r="CN13" s="55"/>
      <c r="CP13" s="55"/>
      <c r="CQ13" s="329">
        <v>13.055141264151224</v>
      </c>
      <c r="CR13" s="55"/>
      <c r="CS13" s="55"/>
      <c r="CT13" s="55"/>
      <c r="CV13" s="55"/>
      <c r="CW13" s="329">
        <v>13.707898327358789</v>
      </c>
      <c r="CX13" s="55"/>
      <c r="CY13" s="55"/>
      <c r="CZ13" s="55"/>
      <c r="DB13" s="55"/>
      <c r="DC13" s="329">
        <v>14.393293243726728</v>
      </c>
      <c r="DD13" s="55"/>
      <c r="DE13" s="55"/>
      <c r="DF13" s="55"/>
      <c r="DH13" s="55"/>
      <c r="DI13" s="329">
        <v>15.112957905913069</v>
      </c>
      <c r="DJ13" s="55"/>
      <c r="DK13" s="55"/>
      <c r="DL13" s="55"/>
      <c r="DN13" s="55"/>
      <c r="DO13" s="329">
        <v>15.868605801208718</v>
      </c>
      <c r="DP13" s="55"/>
      <c r="DQ13" s="55"/>
      <c r="DR13" s="55"/>
      <c r="DT13" s="55"/>
      <c r="DU13" s="329">
        <v>16.662036091269158</v>
      </c>
      <c r="DV13" s="55"/>
      <c r="DW13" s="55"/>
      <c r="DX13" s="55"/>
      <c r="DZ13" s="55"/>
      <c r="EA13" s="329">
        <v>17.49513789583261</v>
      </c>
      <c r="EB13" s="55"/>
      <c r="EC13" s="55"/>
      <c r="ED13" s="55"/>
      <c r="EF13" s="55"/>
      <c r="EG13" s="329">
        <v>18.369894790624244</v>
      </c>
      <c r="EH13" s="55"/>
      <c r="EI13" s="55"/>
      <c r="EJ13" s="55"/>
      <c r="EL13" s="55"/>
      <c r="EM13" s="329">
        <v>19.288389530155456</v>
      </c>
      <c r="EN13" s="55"/>
      <c r="EO13" s="55"/>
      <c r="EP13" s="55"/>
      <c r="ER13" s="55"/>
      <c r="ES13" s="329">
        <v>20.252809006663231</v>
      </c>
      <c r="ET13" s="55"/>
      <c r="EU13" s="55"/>
      <c r="EV13" s="55"/>
    </row>
    <row r="14" spans="1:152" x14ac:dyDescent="0.25">
      <c r="A14" t="s">
        <v>623</v>
      </c>
      <c r="B14" s="55" t="s">
        <v>533</v>
      </c>
      <c r="C14" s="55" t="s">
        <v>148</v>
      </c>
      <c r="D14" s="55"/>
      <c r="E14" s="329">
        <v>3.9562400846113133</v>
      </c>
      <c r="F14" s="55"/>
      <c r="G14" s="55"/>
      <c r="H14" s="55"/>
      <c r="J14" s="55"/>
      <c r="K14" s="329">
        <v>2.8258857747223671</v>
      </c>
      <c r="L14" s="55"/>
      <c r="M14" s="55"/>
      <c r="N14" s="55"/>
      <c r="P14" s="55"/>
      <c r="Q14" s="329">
        <v>2.0770260444209394</v>
      </c>
      <c r="R14" s="55"/>
      <c r="S14" s="55"/>
      <c r="T14" s="55"/>
      <c r="V14" s="55"/>
      <c r="W14" s="329">
        <v>2.1808773466419864</v>
      </c>
      <c r="X14" s="55"/>
      <c r="Y14" s="55"/>
      <c r="Z14" s="55"/>
      <c r="AB14" s="55"/>
      <c r="AC14" s="329">
        <v>2.2899212139740865</v>
      </c>
      <c r="AD14" s="55"/>
      <c r="AE14" s="55"/>
      <c r="AF14" s="55"/>
      <c r="AH14" s="55"/>
      <c r="AI14" s="329">
        <v>2.4044172746727899</v>
      </c>
      <c r="AJ14" s="55"/>
      <c r="AK14" s="55"/>
      <c r="AL14" s="55"/>
      <c r="AN14" s="55"/>
      <c r="AO14" s="329">
        <v>2.5246381384064303</v>
      </c>
      <c r="AP14" s="55"/>
      <c r="AQ14" s="55"/>
      <c r="AR14" s="55"/>
      <c r="AT14" s="55"/>
      <c r="AU14" s="329">
        <v>2.6508700453267511</v>
      </c>
      <c r="AV14" s="55"/>
      <c r="AW14" s="55"/>
      <c r="AX14" s="55"/>
      <c r="AZ14" s="55"/>
      <c r="BA14" s="329">
        <v>2.7834135475930895</v>
      </c>
      <c r="BB14" s="55"/>
      <c r="BC14" s="55"/>
      <c r="BD14" s="55"/>
      <c r="BF14" s="55"/>
      <c r="BG14" s="329">
        <v>2.9225842249727436</v>
      </c>
      <c r="BH14" s="55"/>
      <c r="BI14" s="55"/>
      <c r="BJ14" s="55"/>
      <c r="BL14" s="55"/>
      <c r="BM14" s="329">
        <v>3.0687134362213806</v>
      </c>
      <c r="BN14" s="55"/>
      <c r="BO14" s="55"/>
      <c r="BP14" s="55"/>
      <c r="BR14" s="55"/>
      <c r="BS14" s="329">
        <v>3.2221491080324491</v>
      </c>
      <c r="BT14" s="55"/>
      <c r="BU14" s="55"/>
      <c r="BV14" s="55"/>
      <c r="BX14" s="55"/>
      <c r="BY14" s="329">
        <v>3.3832565634340717</v>
      </c>
      <c r="BZ14" s="55"/>
      <c r="CA14" s="55"/>
      <c r="CB14" s="55"/>
      <c r="CD14" s="55"/>
      <c r="CE14" s="329">
        <v>3.5524193916057754</v>
      </c>
      <c r="CF14" s="55"/>
      <c r="CG14" s="55"/>
      <c r="CH14" s="55"/>
      <c r="CJ14" s="55"/>
      <c r="CK14" s="329">
        <v>3.7300403611860649</v>
      </c>
      <c r="CL14" s="55"/>
      <c r="CM14" s="55"/>
      <c r="CN14" s="55"/>
      <c r="CP14" s="55"/>
      <c r="CQ14" s="329">
        <v>3.9165423792453664</v>
      </c>
      <c r="CR14" s="55"/>
      <c r="CS14" s="55"/>
      <c r="CT14" s="55"/>
      <c r="CV14" s="55"/>
      <c r="CW14" s="329">
        <v>4.1123694982076362</v>
      </c>
      <c r="CX14" s="55"/>
      <c r="CY14" s="55"/>
      <c r="CZ14" s="55"/>
      <c r="DB14" s="55"/>
      <c r="DC14" s="329">
        <v>4.3179879731180186</v>
      </c>
      <c r="DD14" s="55"/>
      <c r="DE14" s="55"/>
      <c r="DF14" s="55"/>
      <c r="DH14" s="55"/>
      <c r="DI14" s="329">
        <v>4.5338873717739201</v>
      </c>
      <c r="DJ14" s="55"/>
      <c r="DK14" s="55"/>
      <c r="DL14" s="55"/>
      <c r="DN14" s="55"/>
      <c r="DO14" s="329">
        <v>4.7605817403626149</v>
      </c>
      <c r="DP14" s="55"/>
      <c r="DQ14" s="55"/>
      <c r="DR14" s="55"/>
      <c r="DT14" s="55"/>
      <c r="DU14" s="329">
        <v>4.9986108273807455</v>
      </c>
      <c r="DV14" s="55"/>
      <c r="DW14" s="55"/>
      <c r="DX14" s="55"/>
      <c r="DZ14" s="55"/>
      <c r="EA14" s="329">
        <v>5.2485413687497831</v>
      </c>
      <c r="EB14" s="55"/>
      <c r="EC14" s="55"/>
      <c r="ED14" s="55"/>
      <c r="EF14" s="55"/>
      <c r="EG14" s="329">
        <v>5.5109684371872731</v>
      </c>
      <c r="EH14" s="55"/>
      <c r="EI14" s="55"/>
      <c r="EJ14" s="55"/>
      <c r="EL14" s="55"/>
      <c r="EM14" s="329">
        <v>5.7865168590466363</v>
      </c>
      <c r="EN14" s="55"/>
      <c r="EO14" s="55"/>
      <c r="EP14" s="55"/>
      <c r="ER14" s="55"/>
      <c r="ES14" s="329">
        <v>6.0758427019989698</v>
      </c>
      <c r="ET14" s="55"/>
      <c r="EU14" s="55"/>
      <c r="EV14" s="55"/>
    </row>
    <row r="15" spans="1:152" x14ac:dyDescent="0.25">
      <c r="A15" t="s">
        <v>623</v>
      </c>
      <c r="B15" s="55" t="s">
        <v>523</v>
      </c>
      <c r="C15" s="55" t="s">
        <v>148</v>
      </c>
      <c r="D15" s="55"/>
      <c r="E15" s="329">
        <v>4.4664694606028519</v>
      </c>
      <c r="F15" s="55"/>
      <c r="G15" s="55"/>
      <c r="H15" s="55"/>
      <c r="J15" s="55"/>
      <c r="K15" s="329">
        <v>3.1903353290020373</v>
      </c>
      <c r="L15" s="55"/>
      <c r="M15" s="55"/>
      <c r="N15" s="55"/>
      <c r="P15" s="55"/>
      <c r="Q15" s="329">
        <v>2.2332347303014259</v>
      </c>
      <c r="R15" s="55"/>
      <c r="S15" s="55"/>
      <c r="T15" s="55"/>
      <c r="V15" s="55"/>
      <c r="W15" s="329">
        <v>2.2332347303014259</v>
      </c>
      <c r="X15" s="55"/>
      <c r="Y15" s="55"/>
      <c r="Z15" s="55"/>
      <c r="AB15" s="55"/>
      <c r="AC15" s="329">
        <v>2.2332347303014259</v>
      </c>
      <c r="AD15" s="55"/>
      <c r="AE15" s="55"/>
      <c r="AF15" s="55"/>
      <c r="AH15" s="55"/>
      <c r="AI15" s="329">
        <v>2.2332347303014259</v>
      </c>
      <c r="AJ15" s="55"/>
      <c r="AK15" s="55"/>
      <c r="AL15" s="55"/>
      <c r="AN15" s="55"/>
      <c r="AO15" s="329">
        <v>2.2332347303014259</v>
      </c>
      <c r="AP15" s="55"/>
      <c r="AQ15" s="55"/>
      <c r="AR15" s="55"/>
      <c r="AT15" s="55"/>
      <c r="AU15" s="329">
        <v>2.2332347303014259</v>
      </c>
      <c r="AV15" s="55"/>
      <c r="AW15" s="55"/>
      <c r="AX15" s="55"/>
      <c r="AZ15" s="55"/>
      <c r="BA15" s="329">
        <v>2.2332347303014259</v>
      </c>
      <c r="BB15" s="55"/>
      <c r="BC15" s="55"/>
      <c r="BD15" s="55"/>
      <c r="BF15" s="55"/>
      <c r="BG15" s="329">
        <v>2.2332347303014259</v>
      </c>
      <c r="BH15" s="55"/>
      <c r="BI15" s="55"/>
      <c r="BJ15" s="55"/>
      <c r="BL15" s="55"/>
      <c r="BM15" s="329">
        <v>2.2332347303014259</v>
      </c>
      <c r="BN15" s="55"/>
      <c r="BO15" s="55"/>
      <c r="BP15" s="55"/>
      <c r="BR15" s="55"/>
      <c r="BS15" s="329">
        <v>2.2332347303014259</v>
      </c>
      <c r="BT15" s="55"/>
      <c r="BU15" s="55"/>
      <c r="BV15" s="55"/>
      <c r="BX15" s="55"/>
      <c r="BY15" s="329">
        <v>2.2332347303014259</v>
      </c>
      <c r="BZ15" s="55"/>
      <c r="CA15" s="55"/>
      <c r="CB15" s="55"/>
      <c r="CD15" s="55"/>
      <c r="CE15" s="329">
        <v>2.2332347303014259</v>
      </c>
      <c r="CF15" s="55"/>
      <c r="CG15" s="55"/>
      <c r="CH15" s="55"/>
      <c r="CJ15" s="55"/>
      <c r="CK15" s="329">
        <v>2.2332347303014259</v>
      </c>
      <c r="CL15" s="55"/>
      <c r="CM15" s="55"/>
      <c r="CN15" s="55"/>
      <c r="CP15" s="55"/>
      <c r="CQ15" s="329">
        <v>2.2332347303014259</v>
      </c>
      <c r="CR15" s="55"/>
      <c r="CS15" s="55"/>
      <c r="CT15" s="55"/>
      <c r="CV15" s="55"/>
      <c r="CW15" s="329">
        <v>2.2332347303014259</v>
      </c>
      <c r="CX15" s="55"/>
      <c r="CY15" s="55"/>
      <c r="CZ15" s="55"/>
      <c r="DB15" s="55"/>
      <c r="DC15" s="329">
        <v>2.2332347303014259</v>
      </c>
      <c r="DD15" s="55"/>
      <c r="DE15" s="55"/>
      <c r="DF15" s="55"/>
      <c r="DH15" s="55"/>
      <c r="DI15" s="329">
        <v>2.2332347303014259</v>
      </c>
      <c r="DJ15" s="55"/>
      <c r="DK15" s="55"/>
      <c r="DL15" s="55"/>
      <c r="DN15" s="55"/>
      <c r="DO15" s="329">
        <v>2.2332347303014259</v>
      </c>
      <c r="DP15" s="55"/>
      <c r="DQ15" s="55"/>
      <c r="DR15" s="55"/>
      <c r="DT15" s="55"/>
      <c r="DU15" s="329">
        <v>2.2332347303014259</v>
      </c>
      <c r="DV15" s="55"/>
      <c r="DW15" s="55"/>
      <c r="DX15" s="55"/>
      <c r="DZ15" s="55"/>
      <c r="EA15" s="329">
        <v>2.2332347303014259</v>
      </c>
      <c r="EB15" s="55"/>
      <c r="EC15" s="55"/>
      <c r="ED15" s="55"/>
      <c r="EF15" s="55"/>
      <c r="EG15" s="329">
        <v>2.2332347303014259</v>
      </c>
      <c r="EH15" s="55"/>
      <c r="EI15" s="55"/>
      <c r="EJ15" s="55"/>
      <c r="EL15" s="55"/>
      <c r="EM15" s="329">
        <v>2.2332347303014259</v>
      </c>
      <c r="EN15" s="55"/>
      <c r="EO15" s="55"/>
      <c r="EP15" s="55"/>
      <c r="ER15" s="55"/>
      <c r="ES15" s="329">
        <v>2.2332347303014259</v>
      </c>
      <c r="ET15" s="55"/>
      <c r="EU15" s="55"/>
      <c r="EV15" s="55"/>
    </row>
    <row r="16" spans="1:152" x14ac:dyDescent="0.25">
      <c r="A16" t="s">
        <v>624</v>
      </c>
      <c r="B16" s="55" t="s">
        <v>534</v>
      </c>
      <c r="C16" s="55" t="s">
        <v>148</v>
      </c>
      <c r="D16" s="55"/>
      <c r="E16" s="329">
        <v>10.786547131147534</v>
      </c>
      <c r="F16" s="55"/>
      <c r="G16" s="55"/>
      <c r="H16" s="55"/>
      <c r="J16" s="55"/>
      <c r="K16" s="329">
        <v>8.1384553240915576</v>
      </c>
      <c r="L16" s="55"/>
      <c r="M16" s="55"/>
      <c r="N16" s="55"/>
      <c r="P16" s="55"/>
      <c r="Q16" s="329">
        <v>6.3275894946456859</v>
      </c>
      <c r="R16" s="55"/>
      <c r="S16" s="55"/>
      <c r="T16" s="55"/>
      <c r="V16" s="55"/>
      <c r="W16" s="329">
        <v>6.5115526717841048</v>
      </c>
      <c r="X16" s="55"/>
      <c r="Y16" s="55"/>
      <c r="Z16" s="55"/>
      <c r="AB16" s="55"/>
      <c r="AC16" s="329">
        <v>6.7047140077794447</v>
      </c>
      <c r="AD16" s="55"/>
      <c r="AE16" s="55"/>
      <c r="AF16" s="55"/>
      <c r="AH16" s="55"/>
      <c r="AI16" s="329">
        <v>6.9075334105745503</v>
      </c>
      <c r="AJ16" s="55"/>
      <c r="AK16" s="55"/>
      <c r="AL16" s="55"/>
      <c r="AN16" s="55"/>
      <c r="AO16" s="329">
        <v>7.1204937835094144</v>
      </c>
      <c r="AP16" s="55"/>
      <c r="AQ16" s="55"/>
      <c r="AR16" s="55"/>
      <c r="AT16" s="55"/>
      <c r="AU16" s="329">
        <v>7.3441021750910185</v>
      </c>
      <c r="AV16" s="55"/>
      <c r="AW16" s="55"/>
      <c r="AX16" s="55"/>
      <c r="AZ16" s="55"/>
      <c r="BA16" s="329">
        <v>7.5788909862517055</v>
      </c>
      <c r="BB16" s="55"/>
      <c r="BC16" s="55"/>
      <c r="BD16" s="55"/>
      <c r="BF16" s="55"/>
      <c r="BG16" s="329">
        <v>7.8254192379704239</v>
      </c>
      <c r="BH16" s="55"/>
      <c r="BI16" s="55"/>
      <c r="BJ16" s="55"/>
      <c r="BL16" s="55"/>
      <c r="BM16" s="329">
        <v>8.0842739022750791</v>
      </c>
      <c r="BN16" s="55"/>
      <c r="BO16" s="55"/>
      <c r="BP16" s="55"/>
      <c r="BR16" s="55"/>
      <c r="BS16" s="329">
        <v>8.3560712997949675</v>
      </c>
      <c r="BT16" s="55"/>
      <c r="BU16" s="55"/>
      <c r="BV16" s="55"/>
      <c r="BX16" s="55"/>
      <c r="BY16" s="329">
        <v>8.6414585671908508</v>
      </c>
      <c r="BZ16" s="55"/>
      <c r="CA16" s="55"/>
      <c r="CB16" s="55"/>
      <c r="CD16" s="55"/>
      <c r="CE16" s="329">
        <v>8.9411151979565293</v>
      </c>
      <c r="CF16" s="55"/>
      <c r="CG16" s="55"/>
      <c r="CH16" s="55"/>
      <c r="CJ16" s="55"/>
      <c r="CK16" s="329">
        <v>9.2557546602604894</v>
      </c>
      <c r="CL16" s="55"/>
      <c r="CM16" s="55"/>
      <c r="CN16" s="55"/>
      <c r="CP16" s="55"/>
      <c r="CQ16" s="329">
        <v>7.6551041496193619</v>
      </c>
      <c r="CR16" s="55"/>
      <c r="CS16" s="55"/>
      <c r="CT16" s="55"/>
      <c r="CV16" s="55"/>
      <c r="CW16" s="329">
        <v>8.0019941568094808</v>
      </c>
      <c r="CX16" s="55"/>
      <c r="CY16" s="55"/>
      <c r="CZ16" s="55"/>
      <c r="DB16" s="55"/>
      <c r="DC16" s="329">
        <v>8.3662286643591042</v>
      </c>
      <c r="DD16" s="55"/>
      <c r="DE16" s="55"/>
      <c r="DF16" s="55"/>
      <c r="DH16" s="55"/>
      <c r="DI16" s="329">
        <v>8.7486748972862092</v>
      </c>
      <c r="DJ16" s="55"/>
      <c r="DK16" s="55"/>
      <c r="DL16" s="55"/>
      <c r="DN16" s="55"/>
      <c r="DO16" s="329">
        <v>9.1502434418596685</v>
      </c>
      <c r="DP16" s="55"/>
      <c r="DQ16" s="55"/>
      <c r="DR16" s="55"/>
      <c r="DT16" s="55"/>
      <c r="DU16" s="329">
        <v>9.5718904136617997</v>
      </c>
      <c r="DV16" s="55"/>
      <c r="DW16" s="55"/>
      <c r="DX16" s="55"/>
      <c r="DZ16" s="55"/>
      <c r="EA16" s="329">
        <v>10.014619734054039</v>
      </c>
      <c r="EB16" s="55"/>
      <c r="EC16" s="55"/>
      <c r="ED16" s="55"/>
      <c r="EF16" s="55"/>
      <c r="EG16" s="329">
        <v>10.479485520465888</v>
      </c>
      <c r="EH16" s="55"/>
      <c r="EI16" s="55"/>
      <c r="EJ16" s="55"/>
      <c r="EL16" s="55"/>
      <c r="EM16" s="329">
        <v>10.967594596198328</v>
      </c>
      <c r="EN16" s="55"/>
      <c r="EO16" s="55"/>
      <c r="EP16" s="55"/>
      <c r="ER16" s="55"/>
      <c r="ES16" s="329">
        <v>11.480109125717398</v>
      </c>
      <c r="ET16" s="55"/>
      <c r="EU16" s="55"/>
      <c r="EV16" s="55"/>
    </row>
    <row r="17" spans="1:152" x14ac:dyDescent="0.25">
      <c r="A17" t="s">
        <v>625</v>
      </c>
      <c r="B17" s="55" t="s">
        <v>144</v>
      </c>
      <c r="C17" s="55" t="s">
        <v>148</v>
      </c>
      <c r="D17" s="55"/>
      <c r="E17" s="329">
        <v>125.06114489687985</v>
      </c>
      <c r="F17" s="55"/>
      <c r="G17" s="55"/>
      <c r="H17" s="55"/>
      <c r="J17" s="55"/>
      <c r="K17" s="329">
        <v>88.540839979261904</v>
      </c>
      <c r="L17" s="55"/>
      <c r="M17" s="55"/>
      <c r="N17" s="55"/>
      <c r="P17" s="55"/>
      <c r="Q17" s="329">
        <v>61.382444765490177</v>
      </c>
      <c r="R17" s="55"/>
      <c r="S17" s="55"/>
      <c r="T17" s="55"/>
      <c r="V17" s="55"/>
      <c r="W17" s="329">
        <v>60.738610087897598</v>
      </c>
      <c r="X17" s="55"/>
      <c r="Y17" s="55"/>
      <c r="Z17" s="55"/>
      <c r="AB17" s="55"/>
      <c r="AC17" s="329">
        <v>60.043268636097608</v>
      </c>
      <c r="AD17" s="55"/>
      <c r="AE17" s="55"/>
      <c r="AF17" s="55"/>
      <c r="AH17" s="55"/>
      <c r="AI17" s="329">
        <v>59.292299868153613</v>
      </c>
      <c r="AJ17" s="55"/>
      <c r="AK17" s="55"/>
      <c r="AL17" s="55"/>
      <c r="AN17" s="55"/>
      <c r="AO17" s="329">
        <v>58.481253598774096</v>
      </c>
      <c r="AP17" s="55"/>
      <c r="AQ17" s="55"/>
      <c r="AR17" s="55"/>
      <c r="AT17" s="55"/>
      <c r="AU17" s="329">
        <v>57.605323627844221</v>
      </c>
      <c r="AV17" s="55"/>
      <c r="AW17" s="55"/>
      <c r="AX17" s="55"/>
      <c r="AZ17" s="55"/>
      <c r="BA17" s="329">
        <v>56.659319259239957</v>
      </c>
      <c r="BB17" s="55"/>
      <c r="BC17" s="55"/>
      <c r="BD17" s="55"/>
      <c r="BF17" s="55"/>
      <c r="BG17" s="329">
        <v>55.637634541147342</v>
      </c>
      <c r="BH17" s="55"/>
      <c r="BI17" s="55"/>
      <c r="BJ17" s="55"/>
      <c r="BL17" s="55"/>
      <c r="BM17" s="329">
        <v>54.534215045607333</v>
      </c>
      <c r="BN17" s="55"/>
      <c r="BO17" s="55"/>
      <c r="BP17" s="55"/>
      <c r="BR17" s="55"/>
      <c r="BS17" s="329">
        <v>53.342521990424117</v>
      </c>
      <c r="BT17" s="55"/>
      <c r="BU17" s="55"/>
      <c r="BV17" s="55"/>
      <c r="BX17" s="55"/>
      <c r="BY17" s="329">
        <v>52.055493490826258</v>
      </c>
      <c r="BZ17" s="55"/>
      <c r="CA17" s="55"/>
      <c r="CB17" s="55"/>
      <c r="CD17" s="55"/>
      <c r="CE17" s="329">
        <v>50.665502711260558</v>
      </c>
      <c r="CF17" s="55"/>
      <c r="CG17" s="55"/>
      <c r="CH17" s="55"/>
      <c r="CJ17" s="55"/>
      <c r="CK17" s="329">
        <v>49.164312669329597</v>
      </c>
      <c r="CL17" s="55"/>
      <c r="CM17" s="55"/>
      <c r="CN17" s="55"/>
      <c r="CP17" s="55"/>
      <c r="CQ17" s="329">
        <v>47.543027424044169</v>
      </c>
      <c r="CR17" s="55"/>
      <c r="CS17" s="55"/>
      <c r="CT17" s="55"/>
      <c r="CV17" s="55"/>
      <c r="CW17" s="329">
        <v>45.792039359135892</v>
      </c>
      <c r="CX17" s="55"/>
      <c r="CY17" s="55"/>
      <c r="CZ17" s="55"/>
      <c r="DB17" s="55"/>
      <c r="DC17" s="329">
        <v>43.900972249034965</v>
      </c>
      <c r="DD17" s="55"/>
      <c r="DE17" s="55"/>
      <c r="DF17" s="55"/>
      <c r="DH17" s="55"/>
      <c r="DI17" s="329">
        <v>41.858619770125962</v>
      </c>
      <c r="DJ17" s="55"/>
      <c r="DK17" s="55"/>
      <c r="DL17" s="55"/>
      <c r="DN17" s="55"/>
      <c r="DO17" s="329">
        <v>39.652879092904236</v>
      </c>
      <c r="DP17" s="55"/>
      <c r="DQ17" s="55"/>
      <c r="DR17" s="55"/>
      <c r="DT17" s="55"/>
      <c r="DU17" s="329">
        <v>37.270679161504781</v>
      </c>
      <c r="DV17" s="55"/>
      <c r="DW17" s="55"/>
      <c r="DX17" s="55"/>
      <c r="DZ17" s="55"/>
      <c r="EA17" s="329">
        <v>34.697903235593358</v>
      </c>
      <c r="EB17" s="55"/>
      <c r="EC17" s="55"/>
      <c r="ED17" s="55"/>
      <c r="EF17" s="55"/>
      <c r="EG17" s="329">
        <v>31.919305235609023</v>
      </c>
      <c r="EH17" s="55"/>
      <c r="EI17" s="55"/>
      <c r="EJ17" s="55"/>
      <c r="EL17" s="55"/>
      <c r="EM17" s="329">
        <v>28.918419395625943</v>
      </c>
      <c r="EN17" s="55"/>
      <c r="EO17" s="55"/>
      <c r="EP17" s="55"/>
      <c r="ER17" s="55"/>
      <c r="ES17" s="329">
        <v>25.677462688444219</v>
      </c>
      <c r="ET17" s="55"/>
      <c r="EU17" s="55"/>
      <c r="EV17" s="55"/>
    </row>
    <row r="18" spans="1:152" x14ac:dyDescent="0.25">
      <c r="A18" t="s">
        <v>624</v>
      </c>
      <c r="B18" s="55" t="s">
        <v>156</v>
      </c>
      <c r="C18" s="55" t="s">
        <v>148</v>
      </c>
      <c r="D18" s="55"/>
      <c r="E18" s="329">
        <v>7.426393071716209</v>
      </c>
      <c r="F18" s="55"/>
      <c r="G18" s="55"/>
      <c r="H18" s="55"/>
      <c r="J18" s="55"/>
      <c r="K18" s="329">
        <v>7.426393071716209</v>
      </c>
      <c r="L18" s="55"/>
      <c r="M18" s="55"/>
      <c r="N18" s="55"/>
      <c r="P18" s="55"/>
      <c r="Q18" s="329">
        <v>7.7977127253020191</v>
      </c>
      <c r="R18" s="55"/>
      <c r="S18" s="55"/>
      <c r="T18" s="55"/>
      <c r="V18" s="55"/>
      <c r="W18" s="329">
        <v>8.1875983615671206</v>
      </c>
      <c r="X18" s="55"/>
      <c r="Y18" s="55"/>
      <c r="Z18" s="55"/>
      <c r="AB18" s="55"/>
      <c r="AC18" s="329">
        <v>8.5969782796454766</v>
      </c>
      <c r="AD18" s="55"/>
      <c r="AE18" s="55"/>
      <c r="AF18" s="55"/>
      <c r="AH18" s="55"/>
      <c r="AI18" s="329">
        <v>9.0268271936277493</v>
      </c>
      <c r="AJ18" s="55"/>
      <c r="AK18" s="55"/>
      <c r="AL18" s="55"/>
      <c r="AN18" s="55"/>
      <c r="AO18" s="329">
        <v>9.4781685533091373</v>
      </c>
      <c r="AP18" s="55"/>
      <c r="AQ18" s="55"/>
      <c r="AR18" s="55"/>
      <c r="AT18" s="55"/>
      <c r="AU18" s="329">
        <v>9.9520769809745939</v>
      </c>
      <c r="AV18" s="55"/>
      <c r="AW18" s="55"/>
      <c r="AX18" s="55"/>
      <c r="AZ18" s="55"/>
      <c r="BA18" s="329">
        <v>10.449680830023327</v>
      </c>
      <c r="BB18" s="55"/>
      <c r="BC18" s="55"/>
      <c r="BD18" s="55"/>
      <c r="BF18" s="55"/>
      <c r="BG18" s="329">
        <v>10.972164871524493</v>
      </c>
      <c r="BH18" s="55"/>
      <c r="BI18" s="55"/>
      <c r="BJ18" s="55"/>
      <c r="BL18" s="55"/>
      <c r="BM18" s="329">
        <v>11.520773115100717</v>
      </c>
      <c r="BN18" s="55"/>
      <c r="BO18" s="55"/>
      <c r="BP18" s="55"/>
      <c r="BR18" s="55"/>
      <c r="BS18" s="329">
        <v>12.096811770855751</v>
      </c>
      <c r="BT18" s="55"/>
      <c r="BU18" s="55"/>
      <c r="BV18" s="55"/>
      <c r="BX18" s="55"/>
      <c r="BY18" s="329">
        <v>12.70165235939854</v>
      </c>
      <c r="BZ18" s="55"/>
      <c r="CA18" s="55"/>
      <c r="CB18" s="55"/>
      <c r="CD18" s="55"/>
      <c r="CE18" s="329">
        <v>13.336734977368465</v>
      </c>
      <c r="CF18" s="55"/>
      <c r="CG18" s="55"/>
      <c r="CH18" s="55"/>
      <c r="CJ18" s="55"/>
      <c r="CK18" s="329">
        <v>14.003571726236892</v>
      </c>
      <c r="CL18" s="55"/>
      <c r="CM18" s="55"/>
      <c r="CN18" s="55"/>
      <c r="CP18" s="55"/>
      <c r="CQ18" s="329">
        <v>14.703750312548733</v>
      </c>
      <c r="CR18" s="55"/>
      <c r="CS18" s="55"/>
      <c r="CT18" s="55"/>
      <c r="CV18" s="55"/>
      <c r="CW18" s="329">
        <v>15.438937828176174</v>
      </c>
      <c r="CX18" s="55"/>
      <c r="CY18" s="55"/>
      <c r="CZ18" s="55"/>
      <c r="DB18" s="55"/>
      <c r="DC18" s="329">
        <v>16.210884719584982</v>
      </c>
      <c r="DD18" s="55"/>
      <c r="DE18" s="55"/>
      <c r="DF18" s="55"/>
      <c r="DH18" s="55"/>
      <c r="DI18" s="329">
        <v>17.021428955564232</v>
      </c>
      <c r="DJ18" s="55"/>
      <c r="DK18" s="55"/>
      <c r="DL18" s="55"/>
      <c r="DN18" s="55"/>
      <c r="DO18" s="329">
        <v>17.872500403342446</v>
      </c>
      <c r="DP18" s="55"/>
      <c r="DQ18" s="55"/>
      <c r="DR18" s="55"/>
      <c r="DT18" s="55"/>
      <c r="DU18" s="329">
        <v>18.766125423509564</v>
      </c>
      <c r="DV18" s="55"/>
      <c r="DW18" s="55"/>
      <c r="DX18" s="55"/>
      <c r="DZ18" s="55"/>
      <c r="EA18" s="329">
        <v>19.704431694685045</v>
      </c>
      <c r="EB18" s="55"/>
      <c r="EC18" s="55"/>
      <c r="ED18" s="55"/>
      <c r="EF18" s="55"/>
      <c r="EG18" s="329">
        <v>20.689653279419296</v>
      </c>
      <c r="EH18" s="55"/>
      <c r="EI18" s="55"/>
      <c r="EJ18" s="55"/>
      <c r="EL18" s="55"/>
      <c r="EM18" s="329">
        <v>21.724135943390259</v>
      </c>
      <c r="EN18" s="55"/>
      <c r="EO18" s="55"/>
      <c r="EP18" s="55"/>
      <c r="ER18" s="55"/>
      <c r="ES18" s="329">
        <v>22.810342740559776</v>
      </c>
      <c r="ET18" s="55"/>
      <c r="EU18" s="55"/>
      <c r="EV18" s="55"/>
    </row>
    <row r="19" spans="1:152" s="142" customFormat="1" x14ac:dyDescent="0.25">
      <c r="B19" s="393" t="s">
        <v>158</v>
      </c>
      <c r="C19" s="393" t="s">
        <v>71</v>
      </c>
      <c r="D19" s="393"/>
      <c r="E19" s="394">
        <v>-0.2905545548150546</v>
      </c>
      <c r="F19" s="393"/>
      <c r="G19" s="393"/>
      <c r="H19" s="393"/>
      <c r="J19" s="393"/>
      <c r="K19" s="394">
        <v>-1.2790002047395315E-2</v>
      </c>
      <c r="L19" s="393"/>
      <c r="M19" s="393"/>
      <c r="N19" s="393"/>
      <c r="P19" s="393"/>
      <c r="Q19" s="394">
        <v>0.30454296127216668</v>
      </c>
      <c r="R19" s="393"/>
      <c r="S19" s="393"/>
      <c r="T19" s="393"/>
      <c r="V19" s="393"/>
      <c r="W19" s="394">
        <v>0.30312382607748628</v>
      </c>
      <c r="X19" s="393"/>
      <c r="Y19" s="393"/>
      <c r="Z19" s="393"/>
      <c r="AB19" s="393"/>
      <c r="AC19" s="394">
        <v>0.30104253389152419</v>
      </c>
      <c r="AD19" s="393"/>
      <c r="AE19" s="393"/>
      <c r="AF19" s="393"/>
      <c r="AH19" s="393"/>
      <c r="AI19" s="394">
        <v>0.29830382890697449</v>
      </c>
      <c r="AJ19" s="393"/>
      <c r="AK19" s="393"/>
      <c r="AL19" s="393"/>
      <c r="AN19" s="393"/>
      <c r="AO19" s="394">
        <v>0.29491438124207836</v>
      </c>
      <c r="AP19" s="393"/>
      <c r="AQ19" s="393"/>
      <c r="AR19" s="393"/>
      <c r="AT19" s="393"/>
      <c r="AU19" s="394">
        <v>0.29088275980478273</v>
      </c>
      <c r="AV19" s="393"/>
      <c r="AW19" s="393"/>
      <c r="AX19" s="393"/>
      <c r="AZ19" s="393"/>
      <c r="BA19" s="394">
        <v>0.28621939223289522</v>
      </c>
      <c r="BB19" s="393"/>
      <c r="BC19" s="393"/>
      <c r="BD19" s="393"/>
      <c r="BF19" s="393"/>
      <c r="BG19" s="394">
        <v>0.28093651234215145</v>
      </c>
      <c r="BH19" s="393"/>
      <c r="BI19" s="393"/>
      <c r="BJ19" s="393"/>
      <c r="BL19" s="393"/>
      <c r="BM19" s="394">
        <v>0.27504809567439426</v>
      </c>
      <c r="BN19" s="393"/>
      <c r="BO19" s="393"/>
      <c r="BP19" s="393"/>
      <c r="BR19" s="393"/>
      <c r="BS19" s="394">
        <v>0.26856978388779634</v>
      </c>
      <c r="BT19" s="393"/>
      <c r="BU19" s="393"/>
      <c r="BV19" s="393"/>
      <c r="BX19" s="393"/>
      <c r="BY19" s="394">
        <v>0.26151879886708107</v>
      </c>
      <c r="BZ19" s="393"/>
      <c r="CA19" s="393"/>
      <c r="CB19" s="393"/>
      <c r="CD19" s="393"/>
      <c r="CE19" s="394">
        <v>0.25391384755153795</v>
      </c>
      <c r="CF19" s="393"/>
      <c r="CG19" s="393"/>
      <c r="CH19" s="393"/>
      <c r="CJ19" s="393"/>
      <c r="CK19" s="394">
        <v>0.24577501858025091</v>
      </c>
      <c r="CL19" s="393"/>
      <c r="CM19" s="393"/>
      <c r="CN19" s="393"/>
      <c r="CP19" s="393"/>
      <c r="CQ19" s="394">
        <v>0.45303039099190517</v>
      </c>
      <c r="CR19" s="393"/>
      <c r="CS19" s="393"/>
      <c r="CT19" s="393"/>
      <c r="CV19" s="393"/>
      <c r="CW19" s="394">
        <v>0.43556613928486315</v>
      </c>
      <c r="CX19" s="393"/>
      <c r="CY19" s="393"/>
      <c r="CZ19" s="393"/>
      <c r="DB19" s="393"/>
      <c r="DC19" s="394">
        <v>0.41779633226986901</v>
      </c>
      <c r="DD19" s="393"/>
      <c r="DE19" s="393"/>
      <c r="DF19" s="393"/>
      <c r="DH19" s="393"/>
      <c r="DI19" s="394">
        <v>0.39975648101952838</v>
      </c>
      <c r="DJ19" s="393"/>
      <c r="DK19" s="393"/>
      <c r="DL19" s="393"/>
      <c r="DN19" s="393"/>
      <c r="DO19" s="394">
        <v>0.38148165501751802</v>
      </c>
      <c r="DP19" s="393"/>
      <c r="DQ19" s="393"/>
      <c r="DR19" s="393"/>
      <c r="DT19" s="393"/>
      <c r="DU19" s="394">
        <v>0.36300636455847124</v>
      </c>
      <c r="DV19" s="393"/>
      <c r="DW19" s="393"/>
      <c r="DX19" s="393"/>
      <c r="DZ19" s="393"/>
      <c r="EA19" s="394">
        <v>0.34436445358084178</v>
      </c>
      <c r="EB19" s="393"/>
      <c r="EC19" s="393"/>
      <c r="ED19" s="393"/>
      <c r="EF19" s="393"/>
      <c r="EG19" s="394">
        <v>0.32558900323113327</v>
      </c>
      <c r="EH19" s="393"/>
      <c r="EI19" s="393"/>
      <c r="EJ19" s="393"/>
      <c r="EL19" s="393"/>
      <c r="EM19" s="394">
        <v>0.30671224632274058</v>
      </c>
      <c r="EN19" s="393"/>
      <c r="EO19" s="393"/>
      <c r="EP19" s="393"/>
      <c r="ER19" s="393"/>
      <c r="ES19" s="394">
        <v>0.28776549272733187</v>
      </c>
      <c r="ET19" s="393"/>
      <c r="EU19" s="393"/>
      <c r="EV19" s="393"/>
    </row>
    <row r="20" spans="1:152" s="142" customFormat="1" x14ac:dyDescent="0.25">
      <c r="B20" s="393" t="s">
        <v>159</v>
      </c>
      <c r="C20" s="393" t="s">
        <v>148</v>
      </c>
      <c r="D20" s="393"/>
      <c r="E20" s="395">
        <v>-123.85500873561205</v>
      </c>
      <c r="F20" s="393"/>
      <c r="G20" s="393"/>
      <c r="H20" s="393"/>
      <c r="J20" s="393"/>
      <c r="K20" s="395">
        <v>-4.1043168345387357</v>
      </c>
      <c r="L20" s="393"/>
      <c r="M20" s="393"/>
      <c r="N20" s="393"/>
      <c r="P20" s="393"/>
      <c r="Q20" s="395">
        <v>75.434525384096332</v>
      </c>
      <c r="R20" s="393"/>
      <c r="S20" s="393"/>
      <c r="T20" s="393"/>
      <c r="V20" s="393"/>
      <c r="W20" s="395">
        <v>76.668072014538325</v>
      </c>
      <c r="X20" s="393"/>
      <c r="Y20" s="393"/>
      <c r="Z20" s="393"/>
      <c r="AB20" s="393"/>
      <c r="AC20" s="395">
        <v>77.788731810988793</v>
      </c>
      <c r="AD20" s="393"/>
      <c r="AE20" s="393"/>
      <c r="AF20" s="393"/>
      <c r="AH20" s="393"/>
      <c r="AI20" s="395">
        <v>78.788528050857849</v>
      </c>
      <c r="AJ20" s="393"/>
      <c r="AK20" s="393"/>
      <c r="AL20" s="393"/>
      <c r="AN20" s="393"/>
      <c r="AO20" s="395">
        <v>79.659131240000988</v>
      </c>
      <c r="AP20" s="393"/>
      <c r="AQ20" s="393"/>
      <c r="AR20" s="393"/>
      <c r="AT20" s="393"/>
      <c r="AU20" s="395">
        <v>80.391849812410328</v>
      </c>
      <c r="AV20" s="393"/>
      <c r="AW20" s="393"/>
      <c r="AX20" s="393"/>
      <c r="AZ20" s="393"/>
      <c r="BA20" s="395">
        <v>80.977621125009819</v>
      </c>
      <c r="BB20" s="393"/>
      <c r="BC20" s="393"/>
      <c r="BD20" s="393"/>
      <c r="BF20" s="393"/>
      <c r="BG20" s="395">
        <v>81.407002824988581</v>
      </c>
      <c r="BH20" s="393"/>
      <c r="BI20" s="393"/>
      <c r="BJ20" s="393"/>
      <c r="BL20" s="393"/>
      <c r="BM20" s="395">
        <v>81.670164676013769</v>
      </c>
      <c r="BN20" s="393"/>
      <c r="BO20" s="393"/>
      <c r="BP20" s="393"/>
      <c r="BR20" s="393"/>
      <c r="BS20" s="395">
        <v>81.756880939450525</v>
      </c>
      <c r="BT20" s="393"/>
      <c r="BU20" s="393"/>
      <c r="BV20" s="393"/>
      <c r="BX20" s="393"/>
      <c r="BY20" s="395">
        <v>81.656523417409858</v>
      </c>
      <c r="BZ20" s="393"/>
      <c r="CA20" s="393"/>
      <c r="CB20" s="393"/>
      <c r="CD20" s="393"/>
      <c r="CE20" s="395">
        <v>81.358055276143318</v>
      </c>
      <c r="CF20" s="393"/>
      <c r="CG20" s="393"/>
      <c r="CH20" s="393"/>
      <c r="CJ20" s="393"/>
      <c r="CK20" s="395">
        <v>80.850025781127101</v>
      </c>
      <c r="CL20" s="393"/>
      <c r="CM20" s="393"/>
      <c r="CN20" s="393"/>
      <c r="CP20" s="393"/>
      <c r="CQ20" s="395">
        <v>130.32713668670954</v>
      </c>
      <c r="CR20" s="393"/>
      <c r="CS20" s="393"/>
      <c r="CT20" s="393"/>
      <c r="CV20" s="393"/>
      <c r="CW20" s="395">
        <v>129.36395685553998</v>
      </c>
      <c r="CX20" s="393"/>
      <c r="CY20" s="393"/>
      <c r="CZ20" s="393"/>
      <c r="DB20" s="393"/>
      <c r="DC20" s="395">
        <v>128.15434424857528</v>
      </c>
      <c r="DD20" s="393"/>
      <c r="DE20" s="393"/>
      <c r="DF20" s="393"/>
      <c r="DH20" s="393"/>
      <c r="DI20" s="395">
        <v>126.68516352985796</v>
      </c>
      <c r="DJ20" s="393"/>
      <c r="DK20" s="393"/>
      <c r="DL20" s="393"/>
      <c r="DN20" s="393"/>
      <c r="DO20" s="395">
        <v>124.94285846497108</v>
      </c>
      <c r="DP20" s="393"/>
      <c r="DQ20" s="393"/>
      <c r="DR20" s="393"/>
      <c r="DT20" s="393"/>
      <c r="DU20" s="395">
        <v>122.91345576486297</v>
      </c>
      <c r="DV20" s="393"/>
      <c r="DW20" s="393"/>
      <c r="DX20" s="393"/>
      <c r="DZ20" s="393"/>
      <c r="EA20" s="395">
        <v>120.58257123335203</v>
      </c>
      <c r="EB20" s="393"/>
      <c r="EC20" s="393"/>
      <c r="ED20" s="393"/>
      <c r="EF20" s="393"/>
      <c r="EG20" s="395">
        <v>117.93541850481722</v>
      </c>
      <c r="EH20" s="393"/>
      <c r="EI20" s="393"/>
      <c r="EJ20" s="393"/>
      <c r="EL20" s="393"/>
      <c r="EM20" s="395">
        <v>114.95682068666395</v>
      </c>
      <c r="EN20" s="393"/>
      <c r="EO20" s="393"/>
      <c r="EP20" s="393"/>
      <c r="ER20" s="393"/>
      <c r="ES20" s="395">
        <v>111.63122525174867</v>
      </c>
      <c r="ET20" s="393"/>
      <c r="EU20" s="393"/>
      <c r="EV20" s="393"/>
    </row>
    <row r="21" spans="1:152" s="1" customFormat="1" x14ac:dyDescent="0.25">
      <c r="B21" s="62" t="s">
        <v>160</v>
      </c>
      <c r="C21" s="325" t="s">
        <v>148</v>
      </c>
      <c r="D21" s="325"/>
      <c r="E21" s="326">
        <v>302.41608797615322</v>
      </c>
      <c r="F21" s="325"/>
      <c r="G21" s="325"/>
      <c r="H21" s="325"/>
      <c r="J21" s="325"/>
      <c r="K21" s="391">
        <v>316.79608797615322</v>
      </c>
      <c r="L21" s="325"/>
      <c r="M21" s="325"/>
      <c r="N21" s="325"/>
      <c r="P21" s="325"/>
      <c r="Q21" s="391">
        <v>323.13200973567632</v>
      </c>
      <c r="R21" s="325"/>
      <c r="S21" s="325"/>
      <c r="T21" s="325"/>
      <c r="V21" s="325"/>
      <c r="W21" s="391">
        <v>329.59464993038978</v>
      </c>
      <c r="X21" s="325"/>
      <c r="Y21" s="325"/>
      <c r="Z21" s="325"/>
      <c r="AB21" s="325"/>
      <c r="AC21" s="391">
        <v>336.18654292899748</v>
      </c>
      <c r="AD21" s="325"/>
      <c r="AE21" s="325"/>
      <c r="AF21" s="325"/>
      <c r="AH21" s="325"/>
      <c r="AI21" s="391">
        <v>342.91027378757752</v>
      </c>
      <c r="AJ21" s="325"/>
      <c r="AK21" s="325"/>
      <c r="AL21" s="325"/>
      <c r="AN21" s="325"/>
      <c r="AO21" s="391">
        <v>349.76847926332903</v>
      </c>
      <c r="AP21" s="325"/>
      <c r="AQ21" s="325"/>
      <c r="AR21" s="325"/>
      <c r="AT21" s="325"/>
      <c r="AU21" s="391">
        <v>356.76384884859561</v>
      </c>
      <c r="AV21" s="325"/>
      <c r="AW21" s="325"/>
      <c r="AX21" s="325"/>
      <c r="AZ21" s="325"/>
      <c r="BA21" s="391">
        <v>363.89912582556747</v>
      </c>
      <c r="BB21" s="325"/>
      <c r="BC21" s="325"/>
      <c r="BD21" s="325"/>
      <c r="BF21" s="325"/>
      <c r="BG21" s="391">
        <v>371.17710834207895</v>
      </c>
      <c r="BH21" s="325"/>
      <c r="BI21" s="325"/>
      <c r="BJ21" s="325"/>
      <c r="BL21" s="325"/>
      <c r="BM21" s="391">
        <v>378.60065050892075</v>
      </c>
      <c r="BN21" s="325"/>
      <c r="BO21" s="325"/>
      <c r="BP21" s="325"/>
      <c r="BR21" s="325"/>
      <c r="BS21" s="391">
        <v>386.17266351909876</v>
      </c>
      <c r="BT21" s="325"/>
      <c r="BU21" s="325"/>
      <c r="BV21" s="325"/>
      <c r="BX21" s="325"/>
      <c r="BY21" s="391">
        <v>393.89611678948103</v>
      </c>
      <c r="BZ21" s="325"/>
      <c r="CA21" s="325"/>
      <c r="CB21" s="325"/>
      <c r="CD21" s="325"/>
      <c r="CE21" s="391">
        <v>401.77403912527046</v>
      </c>
      <c r="CF21" s="325"/>
      <c r="CG21" s="325"/>
      <c r="CH21" s="325"/>
      <c r="CJ21" s="325"/>
      <c r="CK21" s="391">
        <v>409.80951990777612</v>
      </c>
      <c r="CL21" s="325"/>
      <c r="CM21" s="325"/>
      <c r="CN21" s="325"/>
      <c r="CP21" s="325"/>
      <c r="CQ21" s="391">
        <v>418.00571030593113</v>
      </c>
      <c r="CR21" s="325"/>
      <c r="CS21" s="325"/>
      <c r="CT21" s="325"/>
      <c r="CV21" s="325"/>
      <c r="CW21" s="391">
        <v>426.3658245120501</v>
      </c>
      <c r="CX21" s="325"/>
      <c r="CY21" s="325"/>
      <c r="CZ21" s="325"/>
      <c r="DB21" s="325"/>
      <c r="DC21" s="391">
        <v>434.89314100229115</v>
      </c>
      <c r="DD21" s="325"/>
      <c r="DE21" s="325"/>
      <c r="DF21" s="325"/>
      <c r="DH21" s="325"/>
      <c r="DI21" s="391">
        <v>443.59100382233669</v>
      </c>
      <c r="DJ21" s="325"/>
      <c r="DK21" s="325"/>
      <c r="DL21" s="325"/>
      <c r="DN21" s="325"/>
      <c r="DO21" s="391">
        <v>452.4628238987836</v>
      </c>
      <c r="DP21" s="325"/>
      <c r="DQ21" s="325"/>
      <c r="DR21" s="325"/>
      <c r="DT21" s="325"/>
      <c r="DU21" s="391">
        <v>461.51208037675929</v>
      </c>
      <c r="DV21" s="325"/>
      <c r="DW21" s="325"/>
      <c r="DX21" s="325"/>
      <c r="DZ21" s="325"/>
      <c r="EA21" s="391">
        <v>470.74232198429445</v>
      </c>
      <c r="EB21" s="325"/>
      <c r="EC21" s="325"/>
      <c r="ED21" s="325"/>
      <c r="EF21" s="325"/>
      <c r="EG21" s="391">
        <v>480.15716842398058</v>
      </c>
      <c r="EH21" s="325"/>
      <c r="EI21" s="325"/>
      <c r="EJ21" s="325"/>
      <c r="EL21" s="325"/>
      <c r="EM21" s="391">
        <v>489.76031179245973</v>
      </c>
      <c r="EN21" s="325"/>
      <c r="EO21" s="325"/>
      <c r="EP21" s="325"/>
      <c r="ER21" s="325"/>
      <c r="ES21" s="391">
        <v>499.55551802830917</v>
      </c>
      <c r="ET21" s="325"/>
      <c r="EU21" s="325"/>
      <c r="EV21" s="325"/>
    </row>
    <row r="22" spans="1:152" x14ac:dyDescent="0.25">
      <c r="B22" s="61" t="s">
        <v>161</v>
      </c>
      <c r="C22" s="54"/>
      <c r="D22" s="54"/>
      <c r="E22" s="54"/>
      <c r="F22" s="54"/>
      <c r="G22" s="54"/>
      <c r="H22" s="54"/>
      <c r="J22" s="54"/>
      <c r="K22" s="392"/>
      <c r="L22" s="54"/>
      <c r="M22" s="54"/>
      <c r="N22" s="54"/>
      <c r="P22" s="54"/>
      <c r="Q22" s="392"/>
      <c r="R22" s="54"/>
      <c r="S22" s="54"/>
      <c r="T22" s="54"/>
      <c r="V22" s="54"/>
      <c r="W22" s="392"/>
      <c r="X22" s="54"/>
      <c r="Y22" s="54"/>
      <c r="Z22" s="54"/>
      <c r="AB22" s="54"/>
      <c r="AC22" s="392"/>
      <c r="AD22" s="54"/>
      <c r="AE22" s="54"/>
      <c r="AF22" s="54"/>
      <c r="AH22" s="54"/>
      <c r="AI22" s="392"/>
      <c r="AJ22" s="54"/>
      <c r="AK22" s="54"/>
      <c r="AL22" s="54"/>
      <c r="AN22" s="54"/>
      <c r="AO22" s="392"/>
      <c r="AP22" s="54"/>
      <c r="AQ22" s="54"/>
      <c r="AR22" s="54"/>
      <c r="AT22" s="54"/>
      <c r="AU22" s="392"/>
      <c r="AV22" s="54"/>
      <c r="AW22" s="54"/>
      <c r="AX22" s="54"/>
      <c r="AZ22" s="54"/>
      <c r="BA22" s="392"/>
      <c r="BB22" s="54"/>
      <c r="BC22" s="54"/>
      <c r="BD22" s="54"/>
      <c r="BF22" s="54"/>
      <c r="BG22" s="392"/>
      <c r="BH22" s="54"/>
      <c r="BI22" s="54"/>
      <c r="BJ22" s="54"/>
      <c r="BL22" s="54"/>
      <c r="BM22" s="392"/>
      <c r="BN22" s="54"/>
      <c r="BO22" s="54"/>
      <c r="BP22" s="54"/>
      <c r="BR22" s="54"/>
      <c r="BS22" s="392"/>
      <c r="BT22" s="54"/>
      <c r="BU22" s="54"/>
      <c r="BV22" s="54"/>
      <c r="BX22" s="54"/>
      <c r="BY22" s="392"/>
      <c r="BZ22" s="54"/>
      <c r="CA22" s="54"/>
      <c r="CB22" s="54"/>
      <c r="CD22" s="54"/>
      <c r="CE22" s="392"/>
      <c r="CF22" s="54"/>
      <c r="CG22" s="54"/>
      <c r="CH22" s="54"/>
      <c r="CJ22" s="54"/>
      <c r="CK22" s="392"/>
      <c r="CL22" s="54"/>
      <c r="CM22" s="54"/>
      <c r="CN22" s="54"/>
      <c r="CP22" s="54"/>
      <c r="CQ22" s="392"/>
      <c r="CR22" s="54"/>
      <c r="CS22" s="54"/>
      <c r="CT22" s="54"/>
      <c r="CV22" s="54"/>
      <c r="CW22" s="392"/>
      <c r="CX22" s="54"/>
      <c r="CY22" s="54"/>
      <c r="CZ22" s="54"/>
      <c r="DB22" s="54"/>
      <c r="DC22" s="392"/>
      <c r="DD22" s="54"/>
      <c r="DE22" s="54"/>
      <c r="DF22" s="54"/>
      <c r="DH22" s="54"/>
      <c r="DI22" s="392"/>
      <c r="DJ22" s="54"/>
      <c r="DK22" s="54"/>
      <c r="DL22" s="54"/>
      <c r="DN22" s="54"/>
      <c r="DO22" s="392"/>
      <c r="DP22" s="54"/>
      <c r="DQ22" s="54"/>
      <c r="DR22" s="54"/>
      <c r="DT22" s="54"/>
      <c r="DU22" s="392"/>
      <c r="DV22" s="54"/>
      <c r="DW22" s="54"/>
      <c r="DX22" s="54"/>
      <c r="DZ22" s="54"/>
      <c r="EA22" s="392"/>
      <c r="EB22" s="54"/>
      <c r="EC22" s="54"/>
      <c r="ED22" s="54"/>
      <c r="EF22" s="54"/>
      <c r="EG22" s="392"/>
      <c r="EH22" s="54"/>
      <c r="EI22" s="54"/>
      <c r="EJ22" s="54"/>
      <c r="EL22" s="54"/>
      <c r="EM22" s="392"/>
      <c r="EN22" s="54"/>
      <c r="EO22" s="54"/>
      <c r="EP22" s="54"/>
      <c r="ER22" s="54"/>
      <c r="ES22" s="392"/>
      <c r="ET22" s="54"/>
      <c r="EU22" s="54"/>
      <c r="EV22" s="54"/>
    </row>
    <row r="23" spans="1:152" x14ac:dyDescent="0.25">
      <c r="A23" t="s">
        <v>624</v>
      </c>
      <c r="B23" s="55" t="s">
        <v>162</v>
      </c>
      <c r="C23" s="55" t="s">
        <v>163</v>
      </c>
      <c r="D23" s="55"/>
      <c r="E23" s="100">
        <v>1033.1281018191401</v>
      </c>
      <c r="F23" s="55"/>
      <c r="G23" s="55"/>
      <c r="H23" s="55"/>
      <c r="J23" s="55"/>
      <c r="K23" s="100">
        <v>1033.1281018191401</v>
      </c>
      <c r="L23" s="55"/>
      <c r="M23" s="55"/>
      <c r="N23" s="55"/>
      <c r="P23" s="55"/>
      <c r="Q23" s="100">
        <v>1053.7906638555228</v>
      </c>
      <c r="R23" s="55"/>
      <c r="S23" s="55"/>
      <c r="T23" s="55"/>
      <c r="V23" s="55"/>
      <c r="W23" s="100">
        <v>1074.8664771326332</v>
      </c>
      <c r="X23" s="55"/>
      <c r="Y23" s="55"/>
      <c r="Z23" s="55"/>
      <c r="AB23" s="55"/>
      <c r="AC23" s="100">
        <v>1096.3638066752858</v>
      </c>
      <c r="AD23" s="55"/>
      <c r="AE23" s="55"/>
      <c r="AF23" s="55"/>
      <c r="AH23" s="55"/>
      <c r="AI23" s="100">
        <v>1118.2910828087915</v>
      </c>
      <c r="AJ23" s="55"/>
      <c r="AK23" s="55"/>
      <c r="AL23" s="55"/>
      <c r="AN23" s="55"/>
      <c r="AO23" s="100">
        <v>1140.6569044649675</v>
      </c>
      <c r="AP23" s="55"/>
      <c r="AQ23" s="55"/>
      <c r="AR23" s="55"/>
      <c r="AT23" s="55"/>
      <c r="AU23" s="100">
        <v>1163.4700425542667</v>
      </c>
      <c r="AV23" s="55"/>
      <c r="AW23" s="55"/>
      <c r="AX23" s="55"/>
      <c r="AZ23" s="55"/>
      <c r="BA23" s="100">
        <v>1186.7394434053519</v>
      </c>
      <c r="BB23" s="55"/>
      <c r="BC23" s="55"/>
      <c r="BD23" s="55"/>
      <c r="BF23" s="55"/>
      <c r="BG23" s="100">
        <v>1210.4742322734589</v>
      </c>
      <c r="BH23" s="55"/>
      <c r="BI23" s="55"/>
      <c r="BJ23" s="55"/>
      <c r="BL23" s="55"/>
      <c r="BM23" s="100">
        <v>1234.6837169189282</v>
      </c>
      <c r="BN23" s="55"/>
      <c r="BO23" s="55"/>
      <c r="BP23" s="55"/>
      <c r="BR23" s="55"/>
      <c r="BS23" s="100">
        <v>1259.377391257307</v>
      </c>
      <c r="BT23" s="55"/>
      <c r="BU23" s="55"/>
      <c r="BV23" s="55"/>
      <c r="BX23" s="55"/>
      <c r="BY23" s="100">
        <v>1284.5649390824528</v>
      </c>
      <c r="BZ23" s="55"/>
      <c r="CA23" s="55"/>
      <c r="CB23" s="55"/>
      <c r="CD23" s="55"/>
      <c r="CE23" s="100">
        <v>1310.2562378641021</v>
      </c>
      <c r="CF23" s="55"/>
      <c r="CG23" s="55"/>
      <c r="CH23" s="55"/>
      <c r="CJ23" s="55"/>
      <c r="CK23" s="100">
        <v>1336.4613626213838</v>
      </c>
      <c r="CL23" s="55"/>
      <c r="CM23" s="55"/>
      <c r="CN23" s="55"/>
      <c r="CP23" s="55"/>
      <c r="CQ23" s="100">
        <v>1363.1905898738119</v>
      </c>
      <c r="CR23" s="55"/>
      <c r="CS23" s="55"/>
      <c r="CT23" s="55"/>
      <c r="CV23" s="55"/>
      <c r="CW23" s="100">
        <v>1390.4544016712878</v>
      </c>
      <c r="CX23" s="55"/>
      <c r="CY23" s="55"/>
      <c r="CZ23" s="55"/>
      <c r="DB23" s="55"/>
      <c r="DC23" s="100">
        <v>1418.2634897047139</v>
      </c>
      <c r="DD23" s="55"/>
      <c r="DE23" s="55"/>
      <c r="DF23" s="55"/>
      <c r="DH23" s="55"/>
      <c r="DI23" s="100">
        <v>1446.628759498808</v>
      </c>
      <c r="DJ23" s="55"/>
      <c r="DK23" s="55"/>
      <c r="DL23" s="55"/>
      <c r="DN23" s="55"/>
      <c r="DO23" s="100">
        <v>1475.561334688784</v>
      </c>
      <c r="DP23" s="55"/>
      <c r="DQ23" s="55"/>
      <c r="DR23" s="55"/>
      <c r="DT23" s="55"/>
      <c r="DU23" s="100">
        <v>1505.0725613825598</v>
      </c>
      <c r="DV23" s="55"/>
      <c r="DW23" s="55"/>
      <c r="DX23" s="55"/>
      <c r="DZ23" s="55"/>
      <c r="EA23" s="100">
        <v>1535.1740126102111</v>
      </c>
      <c r="EB23" s="55"/>
      <c r="EC23" s="55"/>
      <c r="ED23" s="55"/>
      <c r="EF23" s="55"/>
      <c r="EG23" s="100">
        <v>1565.877492862415</v>
      </c>
      <c r="EH23" s="55"/>
      <c r="EI23" s="55"/>
      <c r="EJ23" s="55"/>
      <c r="EL23" s="55"/>
      <c r="EM23" s="100">
        <v>1597.1950427196634</v>
      </c>
      <c r="EN23" s="55"/>
      <c r="EO23" s="55"/>
      <c r="EP23" s="55"/>
      <c r="ER23" s="55"/>
      <c r="ES23" s="100">
        <v>1629.1389435740566</v>
      </c>
      <c r="ET23" s="55"/>
      <c r="EU23" s="55"/>
      <c r="EV23" s="55"/>
    </row>
    <row r="24" spans="1:152" x14ac:dyDescent="0.25">
      <c r="A24" t="s">
        <v>624</v>
      </c>
      <c r="B24" s="55" t="s">
        <v>164</v>
      </c>
      <c r="C24" s="55" t="s">
        <v>148</v>
      </c>
      <c r="D24" s="55"/>
      <c r="E24" s="329">
        <v>387.42303818217749</v>
      </c>
      <c r="F24" s="55"/>
      <c r="G24" s="55"/>
      <c r="H24" s="55"/>
      <c r="J24" s="55"/>
      <c r="K24" s="329">
        <v>387.42303818217749</v>
      </c>
      <c r="L24" s="55"/>
      <c r="M24" s="55"/>
      <c r="N24" s="55"/>
      <c r="P24" s="55"/>
      <c r="Q24" s="329">
        <v>395.17149894582104</v>
      </c>
      <c r="R24" s="55"/>
      <c r="S24" s="55"/>
      <c r="T24" s="55"/>
      <c r="V24" s="55"/>
      <c r="W24" s="329">
        <v>403.07492892473743</v>
      </c>
      <c r="X24" s="55"/>
      <c r="Y24" s="55"/>
      <c r="Z24" s="55"/>
      <c r="AB24" s="55"/>
      <c r="AC24" s="329">
        <v>411.1364275032322</v>
      </c>
      <c r="AD24" s="55"/>
      <c r="AE24" s="55"/>
      <c r="AF24" s="55"/>
      <c r="AH24" s="55"/>
      <c r="AI24" s="329">
        <v>419.35915605329683</v>
      </c>
      <c r="AJ24" s="55"/>
      <c r="AK24" s="55"/>
      <c r="AL24" s="55"/>
      <c r="AN24" s="55"/>
      <c r="AO24" s="329">
        <v>427.74633917436284</v>
      </c>
      <c r="AP24" s="55"/>
      <c r="AQ24" s="55"/>
      <c r="AR24" s="55"/>
      <c r="AT24" s="55"/>
      <c r="AU24" s="329">
        <v>436.30126595785003</v>
      </c>
      <c r="AV24" s="55"/>
      <c r="AW24" s="55"/>
      <c r="AX24" s="55"/>
      <c r="AZ24" s="55"/>
      <c r="BA24" s="329">
        <v>445.02729127700701</v>
      </c>
      <c r="BB24" s="55"/>
      <c r="BC24" s="55"/>
      <c r="BD24" s="55"/>
      <c r="BF24" s="55"/>
      <c r="BG24" s="329">
        <v>453.92783710254713</v>
      </c>
      <c r="BH24" s="55"/>
      <c r="BI24" s="55"/>
      <c r="BJ24" s="55"/>
      <c r="BL24" s="55"/>
      <c r="BM24" s="329">
        <v>463.00639384459805</v>
      </c>
      <c r="BN24" s="55"/>
      <c r="BO24" s="55"/>
      <c r="BP24" s="55"/>
      <c r="BR24" s="55"/>
      <c r="BS24" s="329">
        <v>472.26652172149011</v>
      </c>
      <c r="BT24" s="55"/>
      <c r="BU24" s="55"/>
      <c r="BV24" s="55"/>
      <c r="BX24" s="55"/>
      <c r="BY24" s="329">
        <v>481.71185215591981</v>
      </c>
      <c r="BZ24" s="55"/>
      <c r="CA24" s="55"/>
      <c r="CB24" s="55"/>
      <c r="CD24" s="55"/>
      <c r="CE24" s="329">
        <v>491.34608919903826</v>
      </c>
      <c r="CF24" s="55"/>
      <c r="CG24" s="55"/>
      <c r="CH24" s="55"/>
      <c r="CJ24" s="55"/>
      <c r="CK24" s="329">
        <v>501.17301098301891</v>
      </c>
      <c r="CL24" s="55"/>
      <c r="CM24" s="55"/>
      <c r="CN24" s="55"/>
      <c r="CP24" s="55"/>
      <c r="CQ24" s="329">
        <v>511.19647120267945</v>
      </c>
      <c r="CR24" s="55"/>
      <c r="CS24" s="55"/>
      <c r="CT24" s="55"/>
      <c r="CV24" s="55"/>
      <c r="CW24" s="329">
        <v>521.42040062673289</v>
      </c>
      <c r="CX24" s="55"/>
      <c r="CY24" s="55"/>
      <c r="CZ24" s="55"/>
      <c r="DB24" s="55"/>
      <c r="DC24" s="329">
        <v>531.84880863926765</v>
      </c>
      <c r="DD24" s="55"/>
      <c r="DE24" s="55"/>
      <c r="DF24" s="55"/>
      <c r="DH24" s="55"/>
      <c r="DI24" s="329">
        <v>542.48578481205311</v>
      </c>
      <c r="DJ24" s="55"/>
      <c r="DK24" s="55"/>
      <c r="DL24" s="55"/>
      <c r="DN24" s="55"/>
      <c r="DO24" s="329">
        <v>553.33550050829399</v>
      </c>
      <c r="DP24" s="55"/>
      <c r="DQ24" s="55"/>
      <c r="DR24" s="55"/>
      <c r="DT24" s="55"/>
      <c r="DU24" s="329">
        <v>564.40221051845992</v>
      </c>
      <c r="DV24" s="55"/>
      <c r="DW24" s="55"/>
      <c r="DX24" s="55"/>
      <c r="DZ24" s="55"/>
      <c r="EA24" s="329">
        <v>575.69025472882913</v>
      </c>
      <c r="EB24" s="55"/>
      <c r="EC24" s="55"/>
      <c r="ED24" s="55"/>
      <c r="EF24" s="55"/>
      <c r="EG24" s="329">
        <v>587.2040598234056</v>
      </c>
      <c r="EH24" s="55"/>
      <c r="EI24" s="55"/>
      <c r="EJ24" s="55"/>
      <c r="EL24" s="55"/>
      <c r="EM24" s="329">
        <v>598.94814101987379</v>
      </c>
      <c r="EN24" s="55"/>
      <c r="EO24" s="55"/>
      <c r="EP24" s="55"/>
      <c r="ER24" s="55"/>
      <c r="ES24" s="329">
        <v>610.92710384027123</v>
      </c>
      <c r="ET24" s="55"/>
      <c r="EU24" s="55"/>
      <c r="EV24" s="55"/>
    </row>
    <row r="25" spans="1:152" x14ac:dyDescent="0.25">
      <c r="A25" t="s">
        <v>624</v>
      </c>
      <c r="B25" s="55" t="s">
        <v>165</v>
      </c>
      <c r="C25" s="55" t="s">
        <v>148</v>
      </c>
      <c r="D25" s="55"/>
      <c r="E25" s="100">
        <v>0</v>
      </c>
      <c r="F25" s="55"/>
      <c r="G25" s="55"/>
      <c r="H25" s="55"/>
      <c r="J25" s="55"/>
      <c r="K25" s="100">
        <v>0</v>
      </c>
      <c r="L25" s="55"/>
      <c r="M25" s="55"/>
      <c r="N25" s="55"/>
      <c r="P25" s="55"/>
      <c r="Q25" s="100">
        <v>0</v>
      </c>
      <c r="R25" s="55"/>
      <c r="S25" s="55"/>
      <c r="T25" s="55"/>
      <c r="V25" s="55"/>
      <c r="W25" s="100">
        <v>0</v>
      </c>
      <c r="X25" s="55"/>
      <c r="Y25" s="55"/>
      <c r="Z25" s="55"/>
      <c r="AB25" s="55"/>
      <c r="AC25" s="100">
        <v>0</v>
      </c>
      <c r="AD25" s="55"/>
      <c r="AE25" s="55"/>
      <c r="AF25" s="55"/>
      <c r="AH25" s="55"/>
      <c r="AI25" s="100">
        <v>0</v>
      </c>
      <c r="AJ25" s="55"/>
      <c r="AK25" s="55"/>
      <c r="AL25" s="55"/>
      <c r="AN25" s="55"/>
      <c r="AO25" s="100">
        <v>0</v>
      </c>
      <c r="AP25" s="55"/>
      <c r="AQ25" s="55"/>
      <c r="AR25" s="55"/>
      <c r="AT25" s="55"/>
      <c r="AU25" s="100">
        <v>0</v>
      </c>
      <c r="AV25" s="55"/>
      <c r="AW25" s="55"/>
      <c r="AX25" s="55"/>
      <c r="AZ25" s="55"/>
      <c r="BA25" s="100">
        <v>0</v>
      </c>
      <c r="BB25" s="55"/>
      <c r="BC25" s="55"/>
      <c r="BD25" s="55"/>
      <c r="BF25" s="55"/>
      <c r="BG25" s="100">
        <v>0</v>
      </c>
      <c r="BH25" s="55"/>
      <c r="BI25" s="55"/>
      <c r="BJ25" s="55"/>
      <c r="BL25" s="55"/>
      <c r="BM25" s="100">
        <v>0</v>
      </c>
      <c r="BN25" s="55"/>
      <c r="BO25" s="55"/>
      <c r="BP25" s="55"/>
      <c r="BR25" s="55"/>
      <c r="BS25" s="100">
        <v>0</v>
      </c>
      <c r="BT25" s="55"/>
      <c r="BU25" s="55"/>
      <c r="BV25" s="55"/>
      <c r="BX25" s="55"/>
      <c r="BY25" s="100">
        <v>0</v>
      </c>
      <c r="BZ25" s="55"/>
      <c r="CA25" s="55"/>
      <c r="CB25" s="55"/>
      <c r="CD25" s="55"/>
      <c r="CE25" s="100">
        <v>0</v>
      </c>
      <c r="CF25" s="55"/>
      <c r="CG25" s="55"/>
      <c r="CH25" s="55"/>
      <c r="CJ25" s="55"/>
      <c r="CK25" s="100">
        <v>0</v>
      </c>
      <c r="CL25" s="55"/>
      <c r="CM25" s="55"/>
      <c r="CN25" s="55"/>
      <c r="CP25" s="55"/>
      <c r="CQ25" s="100">
        <v>0</v>
      </c>
      <c r="CR25" s="55"/>
      <c r="CS25" s="55"/>
      <c r="CT25" s="55"/>
      <c r="CV25" s="55"/>
      <c r="CW25" s="100">
        <v>0</v>
      </c>
      <c r="CX25" s="55"/>
      <c r="CY25" s="55"/>
      <c r="CZ25" s="55"/>
      <c r="DB25" s="55"/>
      <c r="DC25" s="100">
        <v>0</v>
      </c>
      <c r="DD25" s="55"/>
      <c r="DE25" s="55"/>
      <c r="DF25" s="55"/>
      <c r="DH25" s="55"/>
      <c r="DI25" s="100">
        <v>0</v>
      </c>
      <c r="DJ25" s="55"/>
      <c r="DK25" s="55"/>
      <c r="DL25" s="55"/>
      <c r="DN25" s="55"/>
      <c r="DO25" s="100">
        <v>0</v>
      </c>
      <c r="DP25" s="55"/>
      <c r="DQ25" s="55"/>
      <c r="DR25" s="55"/>
      <c r="DT25" s="55"/>
      <c r="DU25" s="100">
        <v>0</v>
      </c>
      <c r="DV25" s="55"/>
      <c r="DW25" s="55"/>
      <c r="DX25" s="55"/>
      <c r="DZ25" s="55"/>
      <c r="EA25" s="100">
        <v>0</v>
      </c>
      <c r="EB25" s="55"/>
      <c r="EC25" s="55"/>
      <c r="ED25" s="55"/>
      <c r="EF25" s="55"/>
      <c r="EG25" s="100">
        <v>0</v>
      </c>
      <c r="EH25" s="55"/>
      <c r="EI25" s="55"/>
      <c r="EJ25" s="55"/>
      <c r="EL25" s="55"/>
      <c r="EM25" s="100">
        <v>0</v>
      </c>
      <c r="EN25" s="55"/>
      <c r="EO25" s="55"/>
      <c r="EP25" s="55"/>
      <c r="ER25" s="55"/>
      <c r="ES25" s="100">
        <v>0</v>
      </c>
      <c r="ET25" s="55"/>
      <c r="EU25" s="55"/>
      <c r="EV25" s="55"/>
    </row>
    <row r="26" spans="1:152" x14ac:dyDescent="0.25">
      <c r="A26" t="s">
        <v>624</v>
      </c>
      <c r="B26" s="55" t="s">
        <v>143</v>
      </c>
      <c r="C26" s="55" t="s">
        <v>148</v>
      </c>
      <c r="D26" s="55"/>
      <c r="E26" s="329">
        <v>29.160873841669286</v>
      </c>
      <c r="F26" s="55"/>
      <c r="G26" s="55"/>
      <c r="H26" s="55"/>
      <c r="J26" s="55"/>
      <c r="K26" s="329">
        <v>29.160873841669286</v>
      </c>
      <c r="L26" s="55"/>
      <c r="M26" s="55"/>
      <c r="N26" s="55"/>
      <c r="P26" s="55"/>
      <c r="Q26" s="329">
        <v>29.744091318502683</v>
      </c>
      <c r="R26" s="55"/>
      <c r="S26" s="55"/>
      <c r="T26" s="55"/>
      <c r="V26" s="55"/>
      <c r="W26" s="329">
        <v>30.338973144872739</v>
      </c>
      <c r="X26" s="55"/>
      <c r="Y26" s="55"/>
      <c r="Z26" s="55"/>
      <c r="AB26" s="55"/>
      <c r="AC26" s="329">
        <v>30.945752607770203</v>
      </c>
      <c r="AD26" s="55"/>
      <c r="AE26" s="55"/>
      <c r="AF26" s="55"/>
      <c r="AH26" s="55"/>
      <c r="AI26" s="329">
        <v>31.56466765992559</v>
      </c>
      <c r="AJ26" s="55"/>
      <c r="AK26" s="55"/>
      <c r="AL26" s="55"/>
      <c r="AN26" s="55"/>
      <c r="AO26" s="329">
        <v>32.195961013124133</v>
      </c>
      <c r="AP26" s="55"/>
      <c r="AQ26" s="55"/>
      <c r="AR26" s="55"/>
      <c r="AT26" s="55"/>
      <c r="AU26" s="329">
        <v>32.839880233386566</v>
      </c>
      <c r="AV26" s="55"/>
      <c r="AW26" s="55"/>
      <c r="AX26" s="55"/>
      <c r="AZ26" s="55"/>
      <c r="BA26" s="329">
        <v>33.496677838054325</v>
      </c>
      <c r="BB26" s="55"/>
      <c r="BC26" s="55"/>
      <c r="BD26" s="55"/>
      <c r="BF26" s="55"/>
      <c r="BG26" s="329">
        <v>34.166611394815391</v>
      </c>
      <c r="BH26" s="55"/>
      <c r="BI26" s="55"/>
      <c r="BJ26" s="55"/>
      <c r="BL26" s="55"/>
      <c r="BM26" s="329">
        <v>34.849943622711692</v>
      </c>
      <c r="BN26" s="55"/>
      <c r="BO26" s="55"/>
      <c r="BP26" s="55"/>
      <c r="BR26" s="55"/>
      <c r="BS26" s="329">
        <v>35.546942495165979</v>
      </c>
      <c r="BT26" s="55"/>
      <c r="BU26" s="55"/>
      <c r="BV26" s="55"/>
      <c r="BX26" s="55"/>
      <c r="BY26" s="329">
        <v>36.257881345069222</v>
      </c>
      <c r="BZ26" s="55"/>
      <c r="CA26" s="55"/>
      <c r="CB26" s="55"/>
      <c r="CD26" s="55"/>
      <c r="CE26" s="329">
        <v>36.9830389719707</v>
      </c>
      <c r="CF26" s="55"/>
      <c r="CG26" s="55"/>
      <c r="CH26" s="55"/>
      <c r="CJ26" s="55"/>
      <c r="CK26" s="329">
        <v>37.722699751410005</v>
      </c>
      <c r="CL26" s="55"/>
      <c r="CM26" s="55"/>
      <c r="CN26" s="55"/>
      <c r="CP26" s="55"/>
      <c r="CQ26" s="329">
        <v>38.477153746438319</v>
      </c>
      <c r="CR26" s="55"/>
      <c r="CS26" s="55"/>
      <c r="CT26" s="55"/>
      <c r="CV26" s="55"/>
      <c r="CW26" s="329">
        <v>39.246696821366982</v>
      </c>
      <c r="CX26" s="55"/>
      <c r="CY26" s="55"/>
      <c r="CZ26" s="55"/>
      <c r="DB26" s="55"/>
      <c r="DC26" s="329">
        <v>40.031630757794346</v>
      </c>
      <c r="DD26" s="55"/>
      <c r="DE26" s="55"/>
      <c r="DF26" s="55"/>
      <c r="DH26" s="55"/>
      <c r="DI26" s="329">
        <v>40.832263372950251</v>
      </c>
      <c r="DJ26" s="55"/>
      <c r="DK26" s="55"/>
      <c r="DL26" s="55"/>
      <c r="DN26" s="55"/>
      <c r="DO26" s="329">
        <v>41.648908640409218</v>
      </c>
      <c r="DP26" s="55"/>
      <c r="DQ26" s="55"/>
      <c r="DR26" s="55"/>
      <c r="DT26" s="55"/>
      <c r="DU26" s="329">
        <v>42.481886813217443</v>
      </c>
      <c r="DV26" s="55"/>
      <c r="DW26" s="55"/>
      <c r="DX26" s="55"/>
      <c r="DZ26" s="55"/>
      <c r="EA26" s="329">
        <v>43.331524549481856</v>
      </c>
      <c r="EB26" s="55"/>
      <c r="EC26" s="55"/>
      <c r="ED26" s="55"/>
      <c r="EF26" s="55"/>
      <c r="EG26" s="329">
        <v>44.19815504047142</v>
      </c>
      <c r="EH26" s="55"/>
      <c r="EI26" s="55"/>
      <c r="EJ26" s="55"/>
      <c r="EL26" s="55"/>
      <c r="EM26" s="329">
        <v>45.08211814128083</v>
      </c>
      <c r="EN26" s="55"/>
      <c r="EO26" s="55"/>
      <c r="EP26" s="55"/>
      <c r="ER26" s="55"/>
      <c r="ES26" s="329">
        <v>45.983760504106499</v>
      </c>
      <c r="ET26" s="55"/>
      <c r="EU26" s="55"/>
      <c r="EV26" s="55"/>
    </row>
    <row r="27" spans="1:15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c r="BL27" s="55"/>
      <c r="BM27" s="55"/>
      <c r="BN27" s="55"/>
      <c r="BO27" s="55"/>
      <c r="BP27" s="55"/>
      <c r="BR27" s="55"/>
      <c r="BS27" s="55"/>
      <c r="BT27" s="55"/>
      <c r="BU27" s="55"/>
      <c r="BV27" s="55"/>
      <c r="BX27" s="55"/>
      <c r="BY27" s="55"/>
      <c r="BZ27" s="55"/>
      <c r="CA27" s="55"/>
      <c r="CB27" s="55"/>
      <c r="CD27" s="55"/>
      <c r="CE27" s="55"/>
      <c r="CF27" s="55"/>
      <c r="CG27" s="55"/>
      <c r="CH27" s="55"/>
      <c r="CJ27" s="55"/>
      <c r="CK27" s="55"/>
      <c r="CL27" s="55"/>
      <c r="CM27" s="55"/>
      <c r="CN27" s="55"/>
      <c r="CP27" s="55"/>
      <c r="CQ27" s="55"/>
      <c r="CR27" s="55"/>
      <c r="CS27" s="55"/>
      <c r="CT27" s="55"/>
      <c r="CV27" s="55"/>
      <c r="CW27" s="55"/>
      <c r="CX27" s="55"/>
      <c r="CY27" s="55"/>
      <c r="CZ27" s="55"/>
      <c r="DB27" s="55"/>
      <c r="DC27" s="55"/>
      <c r="DD27" s="55"/>
      <c r="DE27" s="55"/>
      <c r="DF27" s="55"/>
      <c r="DH27" s="55"/>
      <c r="DI27" s="55"/>
      <c r="DJ27" s="55"/>
      <c r="DK27" s="55"/>
      <c r="DL27" s="55"/>
      <c r="DN27" s="55"/>
      <c r="DO27" s="55"/>
      <c r="DP27" s="55"/>
      <c r="DQ27" s="55"/>
      <c r="DR27" s="55"/>
      <c r="DT27" s="55"/>
      <c r="DU27" s="55"/>
      <c r="DV27" s="55"/>
      <c r="DW27" s="55"/>
      <c r="DX27" s="55"/>
      <c r="DZ27" s="55"/>
      <c r="EA27" s="55"/>
      <c r="EB27" s="55"/>
      <c r="EC27" s="55"/>
      <c r="ED27" s="55"/>
      <c r="EF27" s="55"/>
      <c r="EG27" s="55"/>
      <c r="EH27" s="55"/>
      <c r="EI27" s="55"/>
      <c r="EJ27" s="55"/>
      <c r="EL27" s="55"/>
      <c r="EM27" s="55"/>
      <c r="EN27" s="55"/>
      <c r="EO27" s="55"/>
      <c r="EP27" s="55"/>
      <c r="ER27" s="55"/>
      <c r="ES27" s="55"/>
      <c r="ET27" s="55"/>
      <c r="EU27" s="55"/>
      <c r="EV27" s="55"/>
    </row>
    <row r="28" spans="1:152" s="1" customFormat="1" x14ac:dyDescent="0.25">
      <c r="B28" s="62" t="s">
        <v>362</v>
      </c>
      <c r="C28" s="325" t="s">
        <v>148</v>
      </c>
      <c r="D28" s="325"/>
      <c r="E28" s="326">
        <v>719</v>
      </c>
      <c r="F28" s="325"/>
      <c r="G28" s="325"/>
      <c r="H28" s="325"/>
      <c r="J28" s="325"/>
      <c r="K28" s="326">
        <v>733.38</v>
      </c>
      <c r="L28" s="325"/>
      <c r="M28" s="325"/>
      <c r="N28" s="325"/>
      <c r="P28" s="325"/>
      <c r="Q28" s="326">
        <v>748.04759999999999</v>
      </c>
      <c r="R28" s="325"/>
      <c r="S28" s="325"/>
      <c r="T28" s="325"/>
      <c r="V28" s="325"/>
      <c r="W28" s="326">
        <v>763.0085519999999</v>
      </c>
      <c r="X28" s="325"/>
      <c r="Y28" s="325"/>
      <c r="Z28" s="325"/>
      <c r="AB28" s="325"/>
      <c r="AC28" s="326">
        <v>778.26872303999994</v>
      </c>
      <c r="AD28" s="325"/>
      <c r="AE28" s="325"/>
      <c r="AF28" s="325"/>
      <c r="AH28" s="325"/>
      <c r="AI28" s="326">
        <v>793.8340975008</v>
      </c>
      <c r="AJ28" s="325"/>
      <c r="AK28" s="325"/>
      <c r="AL28" s="325"/>
      <c r="AN28" s="325"/>
      <c r="AO28" s="326">
        <v>809.71077945081606</v>
      </c>
      <c r="AP28" s="325"/>
      <c r="AQ28" s="325"/>
      <c r="AR28" s="325"/>
      <c r="AT28" s="325"/>
      <c r="AU28" s="326">
        <v>825.90499503983222</v>
      </c>
      <c r="AV28" s="325"/>
      <c r="AW28" s="325"/>
      <c r="AX28" s="325"/>
      <c r="AZ28" s="325"/>
      <c r="BA28" s="326">
        <v>842.42309494062886</v>
      </c>
      <c r="BB28" s="325"/>
      <c r="BC28" s="325"/>
      <c r="BD28" s="325"/>
      <c r="BF28" s="325"/>
      <c r="BG28" s="326">
        <v>859.27155683944147</v>
      </c>
      <c r="BH28" s="325"/>
      <c r="BI28" s="325"/>
      <c r="BJ28" s="325"/>
      <c r="BL28" s="325"/>
      <c r="BM28" s="326">
        <v>876.45698797623049</v>
      </c>
      <c r="BN28" s="325"/>
      <c r="BO28" s="325"/>
      <c r="BP28" s="325"/>
      <c r="BR28" s="325"/>
      <c r="BS28" s="326">
        <v>893.98612773575474</v>
      </c>
      <c r="BT28" s="325"/>
      <c r="BU28" s="325"/>
      <c r="BV28" s="325"/>
      <c r="BX28" s="325"/>
      <c r="BY28" s="326">
        <v>911.86585029047012</v>
      </c>
      <c r="BZ28" s="325"/>
      <c r="CA28" s="325"/>
      <c r="CB28" s="325"/>
      <c r="CD28" s="325"/>
      <c r="CE28" s="326">
        <v>930.10316729627948</v>
      </c>
      <c r="CF28" s="325"/>
      <c r="CG28" s="325"/>
      <c r="CH28" s="325"/>
      <c r="CJ28" s="325"/>
      <c r="CK28" s="326">
        <v>948.70523064220504</v>
      </c>
      <c r="CL28" s="325"/>
      <c r="CM28" s="325"/>
      <c r="CN28" s="325"/>
      <c r="CP28" s="325"/>
      <c r="CQ28" s="326">
        <v>967.67933525504895</v>
      </c>
      <c r="CR28" s="325"/>
      <c r="CS28" s="325"/>
      <c r="CT28" s="325"/>
      <c r="CV28" s="325"/>
      <c r="CW28" s="326">
        <v>987.03292196015002</v>
      </c>
      <c r="CX28" s="325"/>
      <c r="CY28" s="325"/>
      <c r="CZ28" s="325"/>
      <c r="DB28" s="325"/>
      <c r="DC28" s="326">
        <v>1006.7735803993531</v>
      </c>
      <c r="DD28" s="325"/>
      <c r="DE28" s="325"/>
      <c r="DF28" s="325"/>
      <c r="DH28" s="325"/>
      <c r="DI28" s="326">
        <v>1026.9090520073401</v>
      </c>
      <c r="DJ28" s="325"/>
      <c r="DK28" s="325"/>
      <c r="DL28" s="325"/>
      <c r="DN28" s="325"/>
      <c r="DO28" s="326">
        <v>1047.4472330474869</v>
      </c>
      <c r="DP28" s="325"/>
      <c r="DQ28" s="325"/>
      <c r="DR28" s="325"/>
      <c r="DT28" s="325"/>
      <c r="DU28" s="326">
        <v>1068.3961777084367</v>
      </c>
      <c r="DV28" s="325"/>
      <c r="DW28" s="325"/>
      <c r="DX28" s="325"/>
      <c r="DZ28" s="325"/>
      <c r="EA28" s="326">
        <v>1089.7641012626054</v>
      </c>
      <c r="EB28" s="325"/>
      <c r="EC28" s="325"/>
      <c r="ED28" s="325"/>
      <c r="EF28" s="325"/>
      <c r="EG28" s="326">
        <v>1111.5593832878576</v>
      </c>
      <c r="EH28" s="325"/>
      <c r="EI28" s="325"/>
      <c r="EJ28" s="325"/>
      <c r="EL28" s="325"/>
      <c r="EM28" s="326">
        <v>1133.7905709536144</v>
      </c>
      <c r="EN28" s="325"/>
      <c r="EO28" s="325"/>
      <c r="EP28" s="325"/>
      <c r="ER28" s="325"/>
      <c r="ES28" s="326">
        <v>1156.4663823726869</v>
      </c>
      <c r="ET28" s="325"/>
      <c r="EU28" s="325"/>
      <c r="EV28" s="325"/>
    </row>
    <row r="29" spans="1:152" x14ac:dyDescent="0.25">
      <c r="B29" t="s">
        <v>122</v>
      </c>
      <c r="D29" s="15">
        <v>191090526.31578964</v>
      </c>
      <c r="J29" s="15">
        <v>267526736.84210545</v>
      </c>
      <c r="P29" s="15">
        <v>382181052.63157928</v>
      </c>
      <c r="V29" s="15">
        <v>382181052.63157928</v>
      </c>
      <c r="AB29" s="15">
        <v>382181052.63157928</v>
      </c>
      <c r="AH29" s="15">
        <v>382181052.63157928</v>
      </c>
      <c r="AN29" s="15">
        <v>382181052.63157928</v>
      </c>
      <c r="AT29" s="15">
        <v>382181052.63157928</v>
      </c>
      <c r="AZ29" s="15">
        <v>382181052.63157928</v>
      </c>
      <c r="BF29" s="15">
        <v>382181052.63157928</v>
      </c>
      <c r="BL29" s="15">
        <v>382181052.63157928</v>
      </c>
      <c r="BR29" s="15">
        <v>382181052.63157928</v>
      </c>
      <c r="BX29" s="15">
        <v>382181052.63157928</v>
      </c>
      <c r="CD29" s="15">
        <v>382181052.63157928</v>
      </c>
      <c r="CJ29" s="15">
        <v>382181052.63157928</v>
      </c>
      <c r="CP29" s="15">
        <v>382181052.63157928</v>
      </c>
      <c r="CV29" s="15">
        <v>382181052.63157928</v>
      </c>
      <c r="DB29" s="15">
        <v>382181052.63157928</v>
      </c>
      <c r="DH29" s="15">
        <v>382181052.63157928</v>
      </c>
      <c r="DN29" s="15">
        <v>382181052.63157928</v>
      </c>
      <c r="DT29" s="15">
        <v>382181052.63157928</v>
      </c>
      <c r="DZ29" s="15">
        <v>382181052.63157928</v>
      </c>
      <c r="EF29" s="15">
        <v>382181052.63157928</v>
      </c>
      <c r="EL29" s="15">
        <v>382181052.63157928</v>
      </c>
      <c r="ER29" s="15">
        <v>382181052.63157928</v>
      </c>
    </row>
    <row r="30" spans="1:152" x14ac:dyDescent="0.25">
      <c r="E30" s="15"/>
    </row>
    <row r="31" spans="1:152" x14ac:dyDescent="0.25">
      <c r="B31" t="s">
        <v>631</v>
      </c>
      <c r="E31" s="64">
        <v>426.27109671176527</v>
      </c>
      <c r="K31" s="64">
        <v>320.90040481069195</v>
      </c>
      <c r="Q31" s="64">
        <v>247.69748435157999</v>
      </c>
      <c r="W31" s="64">
        <v>252.92657791585142</v>
      </c>
      <c r="AC31" s="64">
        <v>258.39781111800869</v>
      </c>
      <c r="AI31" s="64">
        <v>264.12174573671967</v>
      </c>
      <c r="AO31" s="64">
        <v>270.10934802332804</v>
      </c>
      <c r="AU31" s="64">
        <v>276.37199903618529</v>
      </c>
      <c r="BA31" s="64">
        <v>282.92150470055765</v>
      </c>
      <c r="BG31" s="64">
        <v>289.77010551709037</v>
      </c>
      <c r="BM31" s="64">
        <v>296.93048583290698</v>
      </c>
      <c r="BS31" s="64">
        <v>304.41578257964824</v>
      </c>
      <c r="BY31" s="64">
        <v>312.23959337207117</v>
      </c>
      <c r="CE31" s="64">
        <v>320.41598384912714</v>
      </c>
      <c r="CK31" s="64">
        <v>328.95949412664902</v>
      </c>
      <c r="CQ31" s="64">
        <v>287.67857361922159</v>
      </c>
      <c r="CW31" s="64">
        <v>297.00186765651011</v>
      </c>
      <c r="DC31" s="64">
        <v>306.73879675371586</v>
      </c>
      <c r="DI31" s="64">
        <v>316.90584029247873</v>
      </c>
      <c r="DO31" s="64">
        <v>327.5199654338125</v>
      </c>
      <c r="DU31" s="64">
        <v>338.5986246118963</v>
      </c>
      <c r="EA31" s="64">
        <v>350.15975075094241</v>
      </c>
      <c r="EG31" s="64">
        <v>362.22174991916336</v>
      </c>
      <c r="EM31" s="64">
        <v>374.80349110579579</v>
      </c>
      <c r="ES31" s="64">
        <v>387.92429277656049</v>
      </c>
    </row>
    <row r="32" spans="1:152" x14ac:dyDescent="0.25">
      <c r="B32" t="s">
        <v>677</v>
      </c>
      <c r="E32" s="650">
        <v>842.85500873561205</v>
      </c>
      <c r="K32" s="650">
        <v>737.48431683453873</v>
      </c>
      <c r="Q32" s="650">
        <v>672.61307461590366</v>
      </c>
      <c r="W32" s="650">
        <v>686.34047998546157</v>
      </c>
      <c r="AC32" s="650">
        <v>700.47999122901115</v>
      </c>
      <c r="AI32" s="650">
        <v>715.04556944994215</v>
      </c>
      <c r="AO32" s="650">
        <v>730.05164821081507</v>
      </c>
      <c r="AU32" s="650">
        <v>745.51314522742189</v>
      </c>
      <c r="BA32" s="650">
        <v>761.44547381561904</v>
      </c>
      <c r="BG32" s="650">
        <v>777.86455401445289</v>
      </c>
      <c r="BM32" s="650">
        <v>794.78682330021672</v>
      </c>
      <c r="BS32" s="650">
        <v>812.22924679630421</v>
      </c>
      <c r="BY32" s="650">
        <v>830.20932687306026</v>
      </c>
      <c r="CE32" s="650">
        <v>848.74511202013616</v>
      </c>
      <c r="CK32" s="650">
        <v>867.85520486107794</v>
      </c>
      <c r="CQ32" s="650">
        <v>837.35219856833942</v>
      </c>
      <c r="CW32" s="650">
        <v>857.66896510461004</v>
      </c>
      <c r="DC32" s="650">
        <v>878.61923615077785</v>
      </c>
      <c r="DI32" s="650">
        <v>900.22388847748209</v>
      </c>
      <c r="DO32" s="650">
        <v>922.50437458251577</v>
      </c>
      <c r="DU32" s="650">
        <v>945.48272194357367</v>
      </c>
      <c r="EA32" s="650">
        <v>969.18153002925339</v>
      </c>
      <c r="EG32" s="650">
        <v>993.62396478304038</v>
      </c>
      <c r="EM32" s="650">
        <v>1018.8337502669505</v>
      </c>
      <c r="ES32" s="650">
        <v>1044.8351571209382</v>
      </c>
    </row>
    <row r="33" spans="5:149" x14ac:dyDescent="0.25">
      <c r="K33" s="324"/>
      <c r="Q33" s="324"/>
      <c r="W33" s="324"/>
      <c r="AC33" s="324"/>
      <c r="AI33" s="324"/>
      <c r="AO33" s="324"/>
      <c r="AU33" s="324"/>
      <c r="BA33" s="324"/>
      <c r="BM33" s="324"/>
      <c r="BS33" s="324"/>
      <c r="BY33" s="324"/>
      <c r="CE33" s="324"/>
      <c r="CK33" s="324"/>
      <c r="CQ33" s="324"/>
      <c r="CW33" s="324"/>
      <c r="DC33" s="324"/>
      <c r="DI33" s="324"/>
      <c r="DO33" s="324"/>
      <c r="DU33" s="324"/>
      <c r="EA33" s="324"/>
      <c r="EG33" s="324"/>
      <c r="EM33" s="324"/>
      <c r="ES33" s="324"/>
    </row>
    <row r="34" spans="5:149" x14ac:dyDescent="0.25">
      <c r="ES34" s="324"/>
    </row>
    <row r="35" spans="5:149" x14ac:dyDescent="0.25">
      <c r="K35" s="324"/>
      <c r="Q35" s="324"/>
      <c r="W35" s="324"/>
      <c r="AC35" s="324"/>
      <c r="AI35" s="324"/>
      <c r="AO35" s="324"/>
      <c r="AU35" s="324"/>
      <c r="BA35" s="324"/>
      <c r="BG35" s="324"/>
      <c r="BM35" s="324"/>
      <c r="BS35" s="324"/>
      <c r="BY35" s="324"/>
      <c r="CE35" s="324"/>
      <c r="CK35" s="324"/>
      <c r="CQ35" s="324"/>
      <c r="CW35" s="324"/>
      <c r="DC35" s="324"/>
      <c r="DI35" s="324"/>
      <c r="DO35" s="324"/>
      <c r="DU35" s="324"/>
      <c r="EA35" s="324"/>
      <c r="EG35" s="324"/>
      <c r="EM35" s="324"/>
      <c r="ES35" s="324"/>
    </row>
    <row r="37" spans="5:149" x14ac:dyDescent="0.25">
      <c r="E37" s="15"/>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542E-DB37-45B2-A028-051727AFFE53}">
  <sheetPr>
    <tabColor theme="0" tint="-0.249977111117893"/>
  </sheetPr>
  <dimension ref="B1:L31"/>
  <sheetViews>
    <sheetView showGridLines="0" zoomScaleNormal="100" workbookViewId="0">
      <selection activeCell="L34" sqref="L34"/>
    </sheetView>
  </sheetViews>
  <sheetFormatPr defaultRowHeight="15" x14ac:dyDescent="0.25"/>
  <cols>
    <col min="2" max="2" width="26.5" bestFit="1" customWidth="1"/>
    <col min="3" max="3" width="0.375" customWidth="1"/>
    <col min="4" max="4" width="12.5" bestFit="1" customWidth="1"/>
    <col min="5" max="5" width="8.25" customWidth="1"/>
    <col min="6" max="6" width="0.375" customWidth="1"/>
    <col min="7" max="7" width="15.625" customWidth="1"/>
    <col min="9" max="9" width="0.375" customWidth="1"/>
    <col min="12" max="12" width="41.125" bestFit="1" customWidth="1"/>
  </cols>
  <sheetData>
    <row r="1" spans="2:12" s="1" customFormat="1" ht="17.25" x14ac:dyDescent="0.3">
      <c r="B1" s="22" t="s">
        <v>683</v>
      </c>
      <c r="G1" s="1" t="s">
        <v>698</v>
      </c>
    </row>
    <row r="2" spans="2:12" s="1" customFormat="1" x14ac:dyDescent="0.25">
      <c r="D2" s="1170" t="s">
        <v>690</v>
      </c>
      <c r="E2" s="1170"/>
      <c r="G2" s="1171" t="s">
        <v>691</v>
      </c>
      <c r="H2" s="1171"/>
      <c r="J2" s="1171" t="s">
        <v>699</v>
      </c>
      <c r="K2" s="1171"/>
      <c r="L2" s="1171"/>
    </row>
    <row r="3" spans="2:12" x14ac:dyDescent="0.25">
      <c r="B3" s="1" t="s">
        <v>687</v>
      </c>
      <c r="C3" s="1"/>
      <c r="D3" s="670" t="s">
        <v>684</v>
      </c>
      <c r="E3" s="671" t="s">
        <v>71</v>
      </c>
      <c r="F3" s="1"/>
      <c r="G3" s="672" t="s">
        <v>684</v>
      </c>
      <c r="H3" s="673" t="s">
        <v>71</v>
      </c>
      <c r="I3" s="1"/>
      <c r="J3" s="674" t="s">
        <v>688</v>
      </c>
      <c r="K3" s="673" t="s">
        <v>633</v>
      </c>
      <c r="L3" s="673" t="s">
        <v>37</v>
      </c>
    </row>
    <row r="4" spans="2:12" x14ac:dyDescent="0.25">
      <c r="B4" s="658" t="s">
        <v>147</v>
      </c>
      <c r="D4" s="675">
        <f>'1st Quote'!Q4</f>
        <v>72.413322977260648</v>
      </c>
      <c r="E4" s="666">
        <f>IFERROR(D4/D$19,0)</f>
        <v>0.26544398342449504</v>
      </c>
      <c r="G4" s="675">
        <f>'2nd Quote'!Q4</f>
        <v>48.275548651507108</v>
      </c>
      <c r="H4" s="666">
        <f>IFERROR(G4/G$19,0)</f>
        <v>0.19489721011047956</v>
      </c>
      <c r="J4" s="675">
        <f>G4-D4</f>
        <v>-24.13777432575354</v>
      </c>
      <c r="K4" s="679">
        <f>IFERROR(J4/D4,0)</f>
        <v>-0.3333333333333332</v>
      </c>
      <c r="L4" s="675" t="s">
        <v>715</v>
      </c>
    </row>
    <row r="5" spans="2:12" x14ac:dyDescent="0.25">
      <c r="B5" s="659" t="s">
        <v>149</v>
      </c>
      <c r="D5" s="676">
        <f>'1st Quote'!Q5</f>
        <v>26.611896194143288</v>
      </c>
      <c r="E5" s="667">
        <f t="shared" ref="E5:E19" si="0">IFERROR(D5/D$19,0)</f>
        <v>9.7550663908501936E-2</v>
      </c>
      <c r="G5" s="676">
        <f>'2nd Quote'!Q5</f>
        <v>26.611896194143288</v>
      </c>
      <c r="H5" s="667">
        <f t="shared" ref="H5:H19" si="1">IFERROR(G5/G$19,0)</f>
        <v>0.10743708707340184</v>
      </c>
      <c r="J5" s="676">
        <f t="shared" ref="J5:J19" si="2">G5-D5</f>
        <v>0</v>
      </c>
      <c r="K5" s="680">
        <f t="shared" ref="K5:K18" si="3">IFERROR(J5/D5,0)</f>
        <v>0</v>
      </c>
      <c r="L5" s="676"/>
    </row>
    <row r="6" spans="2:12" x14ac:dyDescent="0.25">
      <c r="B6" s="659" t="s">
        <v>150</v>
      </c>
      <c r="D6" s="676">
        <f>'1st Quote'!Q6</f>
        <v>26.99092741935484</v>
      </c>
      <c r="E6" s="667">
        <f t="shared" si="0"/>
        <v>9.8940070638172589E-2</v>
      </c>
      <c r="G6" s="676">
        <f>'2nd Quote'!Q6</f>
        <v>26.99092741935484</v>
      </c>
      <c r="H6" s="667">
        <f t="shared" si="1"/>
        <v>0.1089673053806397</v>
      </c>
      <c r="J6" s="676">
        <f t="shared" si="2"/>
        <v>0</v>
      </c>
      <c r="K6" s="680">
        <f t="shared" si="3"/>
        <v>0</v>
      </c>
      <c r="L6" s="676"/>
    </row>
    <row r="7" spans="2:12" x14ac:dyDescent="0.25">
      <c r="B7" s="659" t="s">
        <v>151</v>
      </c>
      <c r="D7" s="676">
        <f>'1st Quote'!Q7</f>
        <v>2.7001338577472214</v>
      </c>
      <c r="E7" s="667">
        <f t="shared" si="0"/>
        <v>9.8978234599845869E-3</v>
      </c>
      <c r="G7" s="676">
        <f>'2nd Quote'!Q7</f>
        <v>2.7001338577472214</v>
      </c>
      <c r="H7" s="667">
        <f t="shared" si="1"/>
        <v>1.0900933712813454E-2</v>
      </c>
      <c r="J7" s="676">
        <f t="shared" si="2"/>
        <v>0</v>
      </c>
      <c r="K7" s="680">
        <f t="shared" si="3"/>
        <v>0</v>
      </c>
      <c r="L7" s="676"/>
    </row>
    <row r="8" spans="2:12" x14ac:dyDescent="0.25">
      <c r="B8" s="659" t="s">
        <v>152</v>
      </c>
      <c r="D8" s="676">
        <f>'1st Quote'!Q8</f>
        <v>13.815684905473285</v>
      </c>
      <c r="E8" s="667">
        <f t="shared" si="0"/>
        <v>5.064386337025447E-2</v>
      </c>
      <c r="G8" s="676">
        <f>'2nd Quote'!Q8</f>
        <v>13.815684905473285</v>
      </c>
      <c r="H8" s="667">
        <f t="shared" si="1"/>
        <v>5.5776444163895517E-2</v>
      </c>
      <c r="J8" s="676">
        <f t="shared" si="2"/>
        <v>0</v>
      </c>
      <c r="K8" s="680">
        <f t="shared" si="3"/>
        <v>0</v>
      </c>
      <c r="L8" s="676"/>
    </row>
    <row r="9" spans="2:12" x14ac:dyDescent="0.25">
      <c r="B9" s="659" t="s">
        <v>153</v>
      </c>
      <c r="D9" s="676">
        <f>'1st Quote'!Q9</f>
        <v>12.862500000000001</v>
      </c>
      <c r="E9" s="667">
        <f t="shared" si="0"/>
        <v>4.7149793662551898E-2</v>
      </c>
      <c r="G9" s="676">
        <f>'2nd Quote'!Q9</f>
        <v>12.862500000000001</v>
      </c>
      <c r="H9" s="667">
        <f t="shared" si="1"/>
        <v>5.19282625484523E-2</v>
      </c>
      <c r="J9" s="676">
        <f t="shared" si="2"/>
        <v>0</v>
      </c>
      <c r="K9" s="680">
        <f t="shared" si="3"/>
        <v>0</v>
      </c>
      <c r="L9" s="676"/>
    </row>
    <row r="10" spans="2:12" x14ac:dyDescent="0.25">
      <c r="B10" s="659" t="s">
        <v>154</v>
      </c>
      <c r="D10" s="676">
        <f>'1st Quote'!Q10</f>
        <v>14</v>
      </c>
      <c r="E10" s="667">
        <f t="shared" si="0"/>
        <v>5.1319503306178932E-2</v>
      </c>
      <c r="G10" s="676">
        <f>'2nd Quote'!Q10</f>
        <v>14</v>
      </c>
      <c r="H10" s="667">
        <f t="shared" si="1"/>
        <v>5.6520557875866448E-2</v>
      </c>
      <c r="J10" s="676">
        <f t="shared" si="2"/>
        <v>0</v>
      </c>
      <c r="K10" s="680">
        <f t="shared" si="3"/>
        <v>0</v>
      </c>
      <c r="L10" s="676"/>
    </row>
    <row r="11" spans="2:12" x14ac:dyDescent="0.25">
      <c r="B11" s="659" t="s">
        <v>155</v>
      </c>
      <c r="D11" s="676">
        <f>'1st Quote'!Q11</f>
        <v>15.699365415124259</v>
      </c>
      <c r="E11" s="667">
        <f t="shared" si="0"/>
        <v>5.7548831094741473E-2</v>
      </c>
      <c r="G11" s="676">
        <f>'2nd Quote'!Q11</f>
        <v>15.699365415124259</v>
      </c>
      <c r="H11" s="667">
        <f t="shared" si="1"/>
        <v>6.3381206539993337E-2</v>
      </c>
      <c r="J11" s="676">
        <f t="shared" si="2"/>
        <v>0</v>
      </c>
      <c r="K11" s="680">
        <f>IFERROR(J11/D11,0)</f>
        <v>0</v>
      </c>
      <c r="L11" s="676"/>
    </row>
    <row r="12" spans="2:12" x14ac:dyDescent="0.25">
      <c r="B12" s="659" t="s">
        <v>132</v>
      </c>
      <c r="D12" s="676">
        <f>'1st Quote'!Q12</f>
        <v>0</v>
      </c>
      <c r="E12" s="667">
        <f t="shared" si="0"/>
        <v>0</v>
      </c>
      <c r="G12" s="676">
        <f>'2nd Quote'!Q12</f>
        <v>0</v>
      </c>
      <c r="H12" s="667">
        <f t="shared" si="1"/>
        <v>0</v>
      </c>
      <c r="J12" s="676">
        <f t="shared" si="2"/>
        <v>0</v>
      </c>
      <c r="K12" s="680">
        <f t="shared" si="3"/>
        <v>0</v>
      </c>
      <c r="L12" s="676"/>
    </row>
    <row r="13" spans="2:12" x14ac:dyDescent="0.25">
      <c r="B13" s="659" t="s">
        <v>355</v>
      </c>
      <c r="D13" s="676">
        <f>'1st Quote'!Q13</f>
        <v>6.9234201480697983</v>
      </c>
      <c r="E13" s="667">
        <f t="shared" si="0"/>
        <v>2.537903451278099E-2</v>
      </c>
      <c r="G13" s="676">
        <f>'2nd Quote'!Q13</f>
        <v>6.9234201480697983</v>
      </c>
      <c r="H13" s="667">
        <f t="shared" si="1"/>
        <v>2.7951112084137062E-2</v>
      </c>
      <c r="J13" s="676">
        <f t="shared" si="2"/>
        <v>0</v>
      </c>
      <c r="K13" s="680">
        <f t="shared" si="3"/>
        <v>0</v>
      </c>
      <c r="L13" s="676"/>
    </row>
    <row r="14" spans="2:12" x14ac:dyDescent="0.25">
      <c r="B14" s="659" t="s">
        <v>533</v>
      </c>
      <c r="D14" s="676">
        <f>'1st Quote'!Q14</f>
        <v>2.0770260444209394</v>
      </c>
      <c r="E14" s="667">
        <f t="shared" si="0"/>
        <v>7.613710353834297E-3</v>
      </c>
      <c r="G14" s="676">
        <f>'2nd Quote'!Q14</f>
        <v>2.0770260444209394</v>
      </c>
      <c r="H14" s="667">
        <f t="shared" si="1"/>
        <v>8.3853336252411176E-3</v>
      </c>
      <c r="J14" s="676">
        <f t="shared" si="2"/>
        <v>0</v>
      </c>
      <c r="K14" s="680">
        <f t="shared" si="3"/>
        <v>0</v>
      </c>
      <c r="L14" s="676"/>
    </row>
    <row r="15" spans="2:12" x14ac:dyDescent="0.25">
      <c r="B15" s="659" t="s">
        <v>523</v>
      </c>
      <c r="D15" s="676">
        <f>'1st Quote'!Q15</f>
        <v>2.2332347303014259</v>
      </c>
      <c r="E15" s="667">
        <f t="shared" si="0"/>
        <v>8.186321223226975E-3</v>
      </c>
      <c r="G15" s="676">
        <f>'2nd Quote'!Q15</f>
        <v>2.2332347303014259</v>
      </c>
      <c r="H15" s="667">
        <f t="shared" si="1"/>
        <v>9.0159766303140529E-3</v>
      </c>
      <c r="J15" s="676">
        <f t="shared" si="2"/>
        <v>0</v>
      </c>
      <c r="K15" s="680">
        <f t="shared" si="3"/>
        <v>0</v>
      </c>
      <c r="L15" s="676"/>
    </row>
    <row r="16" spans="2:12" x14ac:dyDescent="0.25">
      <c r="B16" s="659" t="s">
        <v>534</v>
      </c>
      <c r="D16" s="676">
        <f>'1st Quote'!Q16</f>
        <v>7.2931004676758286</v>
      </c>
      <c r="E16" s="667">
        <f t="shared" si="0"/>
        <v>2.6734163825941772E-2</v>
      </c>
      <c r="G16" s="676">
        <f>'2nd Quote'!Q16</f>
        <v>6.3275894946456859</v>
      </c>
      <c r="H16" s="667">
        <f t="shared" si="1"/>
        <v>2.5545634874774716E-2</v>
      </c>
      <c r="J16" s="676">
        <f t="shared" si="2"/>
        <v>-0.96551097303014277</v>
      </c>
      <c r="K16" s="680">
        <f t="shared" si="3"/>
        <v>-0.13238690147070367</v>
      </c>
      <c r="L16" s="676" t="s">
        <v>716</v>
      </c>
    </row>
    <row r="17" spans="2:12" x14ac:dyDescent="0.25">
      <c r="B17" s="659" t="s">
        <v>144</v>
      </c>
      <c r="D17" s="676">
        <f>'1st Quote'!Q17</f>
        <v>61.382444765490177</v>
      </c>
      <c r="E17" s="667">
        <f t="shared" si="0"/>
        <v>0.22500832693456563</v>
      </c>
      <c r="G17" s="676">
        <f>'2nd Quote'!Q17</f>
        <v>61.382444765490177</v>
      </c>
      <c r="H17" s="667">
        <f t="shared" si="1"/>
        <v>0.24781214442357594</v>
      </c>
      <c r="J17" s="676">
        <f t="shared" si="2"/>
        <v>0</v>
      </c>
      <c r="K17" s="680">
        <f t="shared" si="3"/>
        <v>0</v>
      </c>
      <c r="L17" s="676"/>
    </row>
    <row r="18" spans="2:12" ht="15.75" thickBot="1" x14ac:dyDescent="0.3">
      <c r="B18" s="660" t="s">
        <v>156</v>
      </c>
      <c r="D18" s="677">
        <f>'1st Quote'!Q18</f>
        <v>7.79771272530202</v>
      </c>
      <c r="E18" s="668">
        <f t="shared" si="0"/>
        <v>2.8583910284769327E-2</v>
      </c>
      <c r="G18" s="677">
        <f>'2nd Quote'!Q18</f>
        <v>7.7977127253020191</v>
      </c>
      <c r="H18" s="668">
        <f t="shared" si="1"/>
        <v>3.1480790956415219E-2</v>
      </c>
      <c r="J18" s="677">
        <f t="shared" si="2"/>
        <v>0</v>
      </c>
      <c r="K18" s="681">
        <f t="shared" si="3"/>
        <v>0</v>
      </c>
      <c r="L18" s="677"/>
    </row>
    <row r="19" spans="2:12" ht="15.75" thickBot="1" x14ac:dyDescent="0.3">
      <c r="B19" s="416" t="s">
        <v>631</v>
      </c>
      <c r="C19" s="1"/>
      <c r="D19" s="678">
        <f>SUM(D4:D18)</f>
        <v>272.80076965036375</v>
      </c>
      <c r="E19" s="669">
        <f t="shared" si="0"/>
        <v>1</v>
      </c>
      <c r="F19" s="1"/>
      <c r="G19" s="678">
        <f>SUM(G4:G18)</f>
        <v>247.69748435157999</v>
      </c>
      <c r="H19" s="669">
        <f t="shared" si="1"/>
        <v>1</v>
      </c>
      <c r="I19" s="1"/>
      <c r="J19" s="678">
        <f t="shared" si="2"/>
        <v>-25.10328529878376</v>
      </c>
      <c r="K19" s="682">
        <f>IFERROR(J19/D19,0)</f>
        <v>-9.2020580920491868E-2</v>
      </c>
      <c r="L19" s="678"/>
    </row>
    <row r="20" spans="2:12" x14ac:dyDescent="0.25">
      <c r="D20" s="95"/>
      <c r="E20" s="683"/>
    </row>
    <row r="23" spans="2:12" x14ac:dyDescent="0.25">
      <c r="B23" t="s">
        <v>724</v>
      </c>
      <c r="G23" s="15">
        <v>1200000</v>
      </c>
    </row>
    <row r="24" spans="2:12" x14ac:dyDescent="0.25">
      <c r="B24" t="s">
        <v>411</v>
      </c>
      <c r="G24" s="15">
        <v>25000</v>
      </c>
    </row>
    <row r="25" spans="2:12" x14ac:dyDescent="0.25">
      <c r="B25" t="s">
        <v>725</v>
      </c>
      <c r="G25" s="15">
        <f>G23*G24</f>
        <v>30000000000</v>
      </c>
    </row>
    <row r="26" spans="2:12" x14ac:dyDescent="0.25">
      <c r="B26" t="s">
        <v>726</v>
      </c>
      <c r="G26" s="15">
        <v>382181052.63157922</v>
      </c>
    </row>
    <row r="27" spans="2:12" x14ac:dyDescent="0.25">
      <c r="B27" t="s">
        <v>727</v>
      </c>
      <c r="G27" s="15">
        <f>G25/G26</f>
        <v>78.496827075621312</v>
      </c>
    </row>
    <row r="29" spans="2:12" x14ac:dyDescent="0.25">
      <c r="B29" t="s">
        <v>728</v>
      </c>
      <c r="G29" s="15">
        <v>719</v>
      </c>
    </row>
    <row r="30" spans="2:12" x14ac:dyDescent="0.25">
      <c r="G30" s="15">
        <f>G29-G27</f>
        <v>640.50317292437865</v>
      </c>
    </row>
    <row r="31" spans="2:12" x14ac:dyDescent="0.25">
      <c r="G31" t="e" vm="1">
        <v>#VALUE!</v>
      </c>
    </row>
  </sheetData>
  <mergeCells count="3">
    <mergeCell ref="D2:E2"/>
    <mergeCell ref="G2:H2"/>
    <mergeCell ref="J2:L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EF82F-0190-455D-AE2A-7C7E4B38E925}">
  <sheetPr>
    <tabColor rgb="FF002060"/>
  </sheetPr>
  <dimension ref="A1"/>
  <sheetViews>
    <sheetView workbookViewId="0">
      <selection activeCell="I22" sqref="I22"/>
    </sheetView>
  </sheetViews>
  <sheetFormatPr defaultRowHeight="15"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3276-0585-47C9-A040-760A3D758FA2}">
  <dimension ref="A2:M57"/>
  <sheetViews>
    <sheetView showGridLines="0" zoomScale="85" zoomScaleNormal="85" workbookViewId="0">
      <pane ySplit="5" topLeftCell="A6" activePane="bottomLeft" state="frozen"/>
      <selection activeCell="I22" sqref="I22"/>
      <selection pane="bottomLeft" activeCell="I22" sqref="I22"/>
    </sheetView>
  </sheetViews>
  <sheetFormatPr defaultRowHeight="15" outlineLevelRow="1" x14ac:dyDescent="0.25"/>
  <cols>
    <col min="1" max="1" width="5.75" bestFit="1" customWidth="1"/>
    <col min="2" max="2" width="38.25" bestFit="1" customWidth="1"/>
    <col min="3" max="3" width="11.5" customWidth="1"/>
    <col min="4" max="4" width="16.25" customWidth="1"/>
    <col min="5" max="5" width="0.75" customWidth="1"/>
    <col min="6" max="6" width="16.25" customWidth="1"/>
    <col min="7" max="7" width="24.5" customWidth="1"/>
    <col min="8" max="8" width="0.75" customWidth="1"/>
    <col min="9" max="9" width="16.25" customWidth="1"/>
    <col min="10" max="10" width="24.5" customWidth="1"/>
    <col min="11" max="11" width="0.75" customWidth="1"/>
    <col min="12" max="12" width="16.25" customWidth="1"/>
    <col min="13" max="13" width="24.5" customWidth="1"/>
  </cols>
  <sheetData>
    <row r="2" spans="1:13" s="286" customFormat="1" ht="32.25" customHeight="1" x14ac:dyDescent="0.3">
      <c r="A2" s="1173" t="s">
        <v>2</v>
      </c>
      <c r="B2" s="1173" t="s">
        <v>29</v>
      </c>
      <c r="C2" s="1174" t="s">
        <v>38</v>
      </c>
      <c r="D2" s="1174" t="s">
        <v>36</v>
      </c>
      <c r="F2" s="607" t="s">
        <v>660</v>
      </c>
      <c r="G2" s="607"/>
      <c r="I2" s="607" t="s">
        <v>661</v>
      </c>
      <c r="J2" s="607"/>
      <c r="L2" s="607" t="s">
        <v>662</v>
      </c>
      <c r="M2" s="607"/>
    </row>
    <row r="3" spans="1:13" s="286" customFormat="1" ht="17.25" x14ac:dyDescent="0.3">
      <c r="A3" s="1173"/>
      <c r="B3" s="1173"/>
      <c r="C3" s="1174"/>
      <c r="D3" s="1174"/>
      <c r="F3" s="606" t="s">
        <v>39</v>
      </c>
      <c r="G3" s="606" t="s">
        <v>28</v>
      </c>
      <c r="I3" s="606" t="s">
        <v>39</v>
      </c>
      <c r="J3" s="606" t="s">
        <v>28</v>
      </c>
      <c r="L3" s="606" t="s">
        <v>39</v>
      </c>
      <c r="M3" s="606" t="s">
        <v>28</v>
      </c>
    </row>
    <row r="4" spans="1:13" x14ac:dyDescent="0.25">
      <c r="A4" s="1173"/>
      <c r="B4" s="1173"/>
      <c r="C4" s="608" t="s">
        <v>657</v>
      </c>
      <c r="D4" s="608" t="s">
        <v>363</v>
      </c>
      <c r="F4" s="608" t="s">
        <v>658</v>
      </c>
      <c r="G4" s="608" t="s">
        <v>658</v>
      </c>
      <c r="I4" s="608" t="s">
        <v>658</v>
      </c>
      <c r="J4" s="608" t="s">
        <v>658</v>
      </c>
      <c r="L4" s="608" t="s">
        <v>658</v>
      </c>
      <c r="M4" s="608" t="s">
        <v>658</v>
      </c>
    </row>
    <row r="5" spans="1:13" x14ac:dyDescent="0.25">
      <c r="A5" s="19"/>
      <c r="B5" s="16"/>
      <c r="C5" s="16"/>
      <c r="D5" s="16"/>
      <c r="F5" s="16"/>
      <c r="G5" s="16"/>
      <c r="I5" s="16"/>
      <c r="J5" s="16"/>
      <c r="L5" s="16"/>
      <c r="M5" s="16"/>
    </row>
    <row r="6" spans="1:13" ht="17.25" x14ac:dyDescent="0.3">
      <c r="A6" s="21">
        <v>1</v>
      </c>
      <c r="B6" s="22" t="s">
        <v>31</v>
      </c>
      <c r="C6" s="22"/>
      <c r="D6" s="139"/>
      <c r="F6" s="22"/>
      <c r="G6" s="28">
        <f>G8+G16</f>
        <v>273557500000</v>
      </c>
      <c r="I6" s="22"/>
      <c r="J6" s="28">
        <f>J8+J16</f>
        <v>0</v>
      </c>
      <c r="L6" s="22"/>
      <c r="M6" s="28">
        <f>M8+M16</f>
        <v>0</v>
      </c>
    </row>
    <row r="7" spans="1:13" ht="5.25" customHeight="1" x14ac:dyDescent="0.25">
      <c r="A7" s="19"/>
      <c r="B7" s="16"/>
      <c r="C7" s="16"/>
      <c r="D7" s="29"/>
      <c r="F7" s="16"/>
      <c r="G7" s="29"/>
      <c r="I7" s="16"/>
      <c r="J7" s="29"/>
      <c r="L7" s="16"/>
      <c r="M7" s="29"/>
    </row>
    <row r="8" spans="1:13" x14ac:dyDescent="0.25">
      <c r="A8" s="37" t="s">
        <v>56</v>
      </c>
      <c r="B8" s="230" t="s">
        <v>30</v>
      </c>
      <c r="C8" s="26"/>
      <c r="D8" s="140"/>
      <c r="F8" s="26"/>
      <c r="G8" s="30">
        <f>SUM(G9:G14)</f>
        <v>236912500000</v>
      </c>
      <c r="I8" s="26"/>
      <c r="J8" s="30">
        <f>SUM(J9:J14)</f>
        <v>0</v>
      </c>
      <c r="L8" s="26"/>
      <c r="M8" s="30">
        <f>SUM(M9:M14)</f>
        <v>0</v>
      </c>
    </row>
    <row r="9" spans="1:13" outlineLevel="1" x14ac:dyDescent="0.25">
      <c r="A9" s="20" t="s">
        <v>215</v>
      </c>
      <c r="B9" s="67" t="s">
        <v>27</v>
      </c>
      <c r="C9" s="18">
        <v>1</v>
      </c>
      <c r="D9" s="15">
        <v>10</v>
      </c>
      <c r="F9" s="27">
        <v>123250000000</v>
      </c>
      <c r="G9" s="15">
        <f>$C9*F9</f>
        <v>123250000000</v>
      </c>
      <c r="I9" s="27"/>
      <c r="J9" s="15">
        <f>$C9*I9</f>
        <v>0</v>
      </c>
      <c r="L9" s="27"/>
      <c r="M9" s="15">
        <f>$C9*L9</f>
        <v>0</v>
      </c>
    </row>
    <row r="10" spans="1:13" outlineLevel="1" x14ac:dyDescent="0.25">
      <c r="A10" s="20" t="s">
        <v>216</v>
      </c>
      <c r="B10" s="67" t="s">
        <v>204</v>
      </c>
      <c r="C10" s="18">
        <v>1</v>
      </c>
      <c r="D10" s="15">
        <v>10</v>
      </c>
      <c r="F10" s="27">
        <v>64690317522.540192</v>
      </c>
      <c r="G10" s="15">
        <f t="shared" ref="G10:G14" si="0">$C10*F10</f>
        <v>64690317522.540192</v>
      </c>
      <c r="I10" s="27"/>
      <c r="J10" s="15">
        <f t="shared" ref="J10:J14" si="1">$C10*I10</f>
        <v>0</v>
      </c>
      <c r="L10" s="27"/>
      <c r="M10" s="15">
        <f t="shared" ref="M10:M14" si="2">$C10*L10</f>
        <v>0</v>
      </c>
    </row>
    <row r="11" spans="1:13" outlineLevel="1" x14ac:dyDescent="0.25">
      <c r="A11" s="20" t="s">
        <v>217</v>
      </c>
      <c r="B11" s="67" t="s">
        <v>205</v>
      </c>
      <c r="C11" s="18">
        <v>1</v>
      </c>
      <c r="D11" s="15">
        <v>10</v>
      </c>
      <c r="F11" s="27">
        <f>47050000000*(1-0.196393571148569)</f>
        <v>37809682477.459824</v>
      </c>
      <c r="G11" s="605">
        <f t="shared" si="0"/>
        <v>37809682477.459824</v>
      </c>
      <c r="I11" s="27"/>
      <c r="J11" s="605">
        <f t="shared" si="1"/>
        <v>0</v>
      </c>
      <c r="L11" s="27"/>
      <c r="M11" s="605">
        <f t="shared" si="2"/>
        <v>0</v>
      </c>
    </row>
    <row r="12" spans="1:13" outlineLevel="1" x14ac:dyDescent="0.25">
      <c r="A12" s="20" t="s">
        <v>218</v>
      </c>
      <c r="B12" s="67" t="s">
        <v>166</v>
      </c>
      <c r="C12" s="18">
        <v>1</v>
      </c>
      <c r="D12" s="15">
        <v>10</v>
      </c>
      <c r="F12" s="27">
        <v>2500000000</v>
      </c>
      <c r="G12" s="15">
        <f t="shared" si="0"/>
        <v>2500000000</v>
      </c>
      <c r="I12" s="27"/>
      <c r="J12" s="15">
        <f t="shared" si="1"/>
        <v>0</v>
      </c>
      <c r="L12" s="27"/>
      <c r="M12" s="15">
        <f t="shared" si="2"/>
        <v>0</v>
      </c>
    </row>
    <row r="13" spans="1:13" outlineLevel="1" x14ac:dyDescent="0.25">
      <c r="A13" s="20" t="s">
        <v>219</v>
      </c>
      <c r="B13" s="67" t="s">
        <v>35</v>
      </c>
      <c r="C13" s="18">
        <v>1</v>
      </c>
      <c r="D13" s="15">
        <v>10</v>
      </c>
      <c r="F13" s="27">
        <v>8250000000</v>
      </c>
      <c r="G13" s="15">
        <f t="shared" si="0"/>
        <v>8250000000</v>
      </c>
      <c r="I13" s="27"/>
      <c r="J13" s="15">
        <f t="shared" si="1"/>
        <v>0</v>
      </c>
      <c r="L13" s="27"/>
      <c r="M13" s="15">
        <f t="shared" si="2"/>
        <v>0</v>
      </c>
    </row>
    <row r="14" spans="1:13" outlineLevel="1" x14ac:dyDescent="0.25">
      <c r="A14" s="20" t="s">
        <v>601</v>
      </c>
      <c r="B14" s="67" t="s">
        <v>602</v>
      </c>
      <c r="C14" s="18">
        <v>1</v>
      </c>
      <c r="D14" s="15">
        <v>10</v>
      </c>
      <c r="F14" s="27">
        <v>412500000</v>
      </c>
      <c r="G14" s="15">
        <f t="shared" si="0"/>
        <v>412500000</v>
      </c>
      <c r="I14" s="27"/>
      <c r="J14" s="15">
        <f t="shared" si="1"/>
        <v>0</v>
      </c>
      <c r="L14" s="27"/>
      <c r="M14" s="15">
        <f t="shared" si="2"/>
        <v>0</v>
      </c>
    </row>
    <row r="15" spans="1:13" x14ac:dyDescent="0.25">
      <c r="A15" s="19"/>
      <c r="B15" s="16"/>
      <c r="C15" s="16"/>
      <c r="D15" s="29"/>
      <c r="F15" s="29"/>
      <c r="G15" s="29"/>
      <c r="I15" s="29"/>
      <c r="J15" s="29"/>
      <c r="L15" s="29"/>
      <c r="M15" s="29"/>
    </row>
    <row r="16" spans="1:13" x14ac:dyDescent="0.25">
      <c r="A16" s="37" t="s">
        <v>57</v>
      </c>
      <c r="B16" s="230" t="s">
        <v>32</v>
      </c>
      <c r="C16" s="26"/>
      <c r="D16" s="140"/>
      <c r="F16" s="30"/>
      <c r="G16" s="30">
        <f>SUM(G17:G29)</f>
        <v>36645000000</v>
      </c>
      <c r="I16" s="30"/>
      <c r="J16" s="30">
        <f>SUM(J17:J29)</f>
        <v>0</v>
      </c>
      <c r="L16" s="30"/>
      <c r="M16" s="30">
        <f>SUM(M17:M29)</f>
        <v>0</v>
      </c>
    </row>
    <row r="17" spans="1:13" outlineLevel="1" x14ac:dyDescent="0.25">
      <c r="A17" s="20" t="s">
        <v>220</v>
      </c>
      <c r="B17" s="67" t="s">
        <v>210</v>
      </c>
      <c r="C17" s="18">
        <v>1</v>
      </c>
      <c r="D17" s="15">
        <v>10</v>
      </c>
      <c r="F17" s="27">
        <v>7500000000</v>
      </c>
      <c r="G17" s="15">
        <f t="shared" ref="G17:G29" si="3">$C17*F17</f>
        <v>7500000000</v>
      </c>
      <c r="I17" s="27"/>
      <c r="J17" s="15">
        <f t="shared" ref="J17:J29" si="4">$C17*I17</f>
        <v>0</v>
      </c>
      <c r="L17" s="27"/>
      <c r="M17" s="15">
        <f t="shared" ref="M17:M29" si="5">$C17*L17</f>
        <v>0</v>
      </c>
    </row>
    <row r="18" spans="1:13" outlineLevel="1" x14ac:dyDescent="0.25">
      <c r="A18" s="20" t="s">
        <v>221</v>
      </c>
      <c r="B18" s="67" t="s">
        <v>212</v>
      </c>
      <c r="C18" s="18">
        <v>1</v>
      </c>
      <c r="D18" s="15">
        <v>10</v>
      </c>
      <c r="F18" s="27">
        <v>7500000000</v>
      </c>
      <c r="G18" s="15">
        <f t="shared" si="3"/>
        <v>7500000000</v>
      </c>
      <c r="I18" s="27"/>
      <c r="J18" s="15">
        <f t="shared" si="4"/>
        <v>0</v>
      </c>
      <c r="L18" s="27"/>
      <c r="M18" s="15">
        <f t="shared" si="5"/>
        <v>0</v>
      </c>
    </row>
    <row r="19" spans="1:13" outlineLevel="1" x14ac:dyDescent="0.25">
      <c r="A19" s="20" t="s">
        <v>222</v>
      </c>
      <c r="B19" s="67" t="s">
        <v>208</v>
      </c>
      <c r="C19" s="18">
        <v>1</v>
      </c>
      <c r="D19" s="15">
        <v>10</v>
      </c>
      <c r="F19" s="27">
        <v>3750000000</v>
      </c>
      <c r="G19" s="15">
        <f t="shared" si="3"/>
        <v>3750000000</v>
      </c>
      <c r="I19" s="27"/>
      <c r="J19" s="15">
        <f t="shared" si="4"/>
        <v>0</v>
      </c>
      <c r="L19" s="27"/>
      <c r="M19" s="15">
        <f t="shared" si="5"/>
        <v>0</v>
      </c>
    </row>
    <row r="20" spans="1:13" outlineLevel="1" x14ac:dyDescent="0.25">
      <c r="A20" s="20" t="s">
        <v>223</v>
      </c>
      <c r="B20" s="67" t="s">
        <v>33</v>
      </c>
      <c r="C20" s="18">
        <v>1</v>
      </c>
      <c r="D20" s="15">
        <v>10</v>
      </c>
      <c r="F20" s="27">
        <v>3125000000</v>
      </c>
      <c r="G20" s="15">
        <f t="shared" si="3"/>
        <v>3125000000</v>
      </c>
      <c r="I20" s="27"/>
      <c r="J20" s="15">
        <f t="shared" si="4"/>
        <v>0</v>
      </c>
      <c r="L20" s="27"/>
      <c r="M20" s="15">
        <f t="shared" si="5"/>
        <v>0</v>
      </c>
    </row>
    <row r="21" spans="1:13" outlineLevel="1" x14ac:dyDescent="0.25">
      <c r="A21" s="20" t="s">
        <v>214</v>
      </c>
      <c r="B21" s="67" t="s">
        <v>209</v>
      </c>
      <c r="C21" s="18">
        <v>1</v>
      </c>
      <c r="D21" s="15">
        <v>10</v>
      </c>
      <c r="F21" s="27">
        <v>2500000000</v>
      </c>
      <c r="G21" s="15">
        <f t="shared" si="3"/>
        <v>2500000000</v>
      </c>
      <c r="I21" s="27"/>
      <c r="J21" s="15">
        <f t="shared" si="4"/>
        <v>0</v>
      </c>
      <c r="L21" s="27"/>
      <c r="M21" s="15">
        <f t="shared" si="5"/>
        <v>0</v>
      </c>
    </row>
    <row r="22" spans="1:13" outlineLevel="1" x14ac:dyDescent="0.25">
      <c r="A22" s="20" t="s">
        <v>364</v>
      </c>
      <c r="B22" s="67" t="s">
        <v>211</v>
      </c>
      <c r="C22" s="18">
        <v>1</v>
      </c>
      <c r="D22" s="15">
        <v>10</v>
      </c>
      <c r="F22" s="27">
        <v>2500000000</v>
      </c>
      <c r="G22" s="15">
        <f t="shared" si="3"/>
        <v>2500000000</v>
      </c>
      <c r="I22" s="27"/>
      <c r="J22" s="15">
        <f t="shared" si="4"/>
        <v>0</v>
      </c>
      <c r="L22" s="27"/>
      <c r="M22" s="15">
        <f t="shared" si="5"/>
        <v>0</v>
      </c>
    </row>
    <row r="23" spans="1:13" outlineLevel="1" x14ac:dyDescent="0.25">
      <c r="A23" s="20" t="s">
        <v>372</v>
      </c>
      <c r="B23" s="67" t="s">
        <v>213</v>
      </c>
      <c r="C23" s="18">
        <v>1</v>
      </c>
      <c r="D23" s="15">
        <v>10</v>
      </c>
      <c r="F23" s="27">
        <v>2500000000</v>
      </c>
      <c r="G23" s="15">
        <f t="shared" si="3"/>
        <v>2500000000</v>
      </c>
      <c r="I23" s="27"/>
      <c r="J23" s="15">
        <f t="shared" si="4"/>
        <v>0</v>
      </c>
      <c r="L23" s="27"/>
      <c r="M23" s="15">
        <f t="shared" si="5"/>
        <v>0</v>
      </c>
    </row>
    <row r="24" spans="1:13" outlineLevel="1" x14ac:dyDescent="0.25">
      <c r="A24" s="20" t="s">
        <v>373</v>
      </c>
      <c r="B24" s="67" t="s">
        <v>366</v>
      </c>
      <c r="C24" s="18">
        <v>1</v>
      </c>
      <c r="D24" s="15">
        <v>10</v>
      </c>
      <c r="F24" s="27">
        <v>2000000000</v>
      </c>
      <c r="G24" s="15">
        <f t="shared" si="3"/>
        <v>2000000000</v>
      </c>
      <c r="I24" s="27"/>
      <c r="J24" s="15">
        <f t="shared" si="4"/>
        <v>0</v>
      </c>
      <c r="L24" s="27"/>
      <c r="M24" s="15">
        <f t="shared" si="5"/>
        <v>0</v>
      </c>
    </row>
    <row r="25" spans="1:13" outlineLevel="1" x14ac:dyDescent="0.25">
      <c r="A25" s="20" t="s">
        <v>413</v>
      </c>
      <c r="B25" s="67" t="s">
        <v>365</v>
      </c>
      <c r="C25" s="18">
        <v>1</v>
      </c>
      <c r="D25" s="15">
        <v>10</v>
      </c>
      <c r="F25" s="27">
        <v>2000000000</v>
      </c>
      <c r="G25" s="15">
        <f t="shared" si="3"/>
        <v>2000000000</v>
      </c>
      <c r="I25" s="27"/>
      <c r="J25" s="15">
        <f t="shared" si="4"/>
        <v>0</v>
      </c>
      <c r="L25" s="27"/>
      <c r="M25" s="15">
        <f t="shared" si="5"/>
        <v>0</v>
      </c>
    </row>
    <row r="26" spans="1:13" outlineLevel="1" x14ac:dyDescent="0.25">
      <c r="A26" s="20" t="s">
        <v>414</v>
      </c>
      <c r="B26" s="67" t="s">
        <v>34</v>
      </c>
      <c r="C26" s="18">
        <v>1</v>
      </c>
      <c r="D26" s="15">
        <v>10</v>
      </c>
      <c r="F26" s="27">
        <v>1300000000</v>
      </c>
      <c r="G26" s="15">
        <f t="shared" si="3"/>
        <v>1300000000</v>
      </c>
      <c r="I26" s="27"/>
      <c r="J26" s="15">
        <f t="shared" si="4"/>
        <v>0</v>
      </c>
      <c r="L26" s="27"/>
      <c r="M26" s="15">
        <f t="shared" si="5"/>
        <v>0</v>
      </c>
    </row>
    <row r="27" spans="1:13" outlineLevel="1" x14ac:dyDescent="0.25">
      <c r="A27" s="20" t="s">
        <v>415</v>
      </c>
      <c r="B27" s="67" t="s">
        <v>206</v>
      </c>
      <c r="C27" s="18">
        <v>1</v>
      </c>
      <c r="D27" s="15">
        <v>10</v>
      </c>
      <c r="F27" s="27">
        <v>1200000000</v>
      </c>
      <c r="G27" s="15">
        <f t="shared" si="3"/>
        <v>1200000000</v>
      </c>
      <c r="I27" s="27"/>
      <c r="J27" s="15">
        <f t="shared" si="4"/>
        <v>0</v>
      </c>
      <c r="L27" s="27"/>
      <c r="M27" s="15">
        <f t="shared" si="5"/>
        <v>0</v>
      </c>
    </row>
    <row r="28" spans="1:13" outlineLevel="1" x14ac:dyDescent="0.25">
      <c r="A28" s="20" t="s">
        <v>416</v>
      </c>
      <c r="B28" s="67" t="s">
        <v>207</v>
      </c>
      <c r="C28" s="18">
        <v>1</v>
      </c>
      <c r="D28" s="15">
        <v>10</v>
      </c>
      <c r="F28" s="27">
        <v>750000000</v>
      </c>
      <c r="G28" s="15">
        <f t="shared" si="3"/>
        <v>750000000</v>
      </c>
      <c r="I28" s="27"/>
      <c r="J28" s="15">
        <f t="shared" si="4"/>
        <v>0</v>
      </c>
      <c r="L28" s="27"/>
      <c r="M28" s="15">
        <f t="shared" si="5"/>
        <v>0</v>
      </c>
    </row>
    <row r="29" spans="1:13" outlineLevel="1" x14ac:dyDescent="0.25">
      <c r="A29" s="20" t="s">
        <v>417</v>
      </c>
      <c r="B29" s="67" t="s">
        <v>294</v>
      </c>
      <c r="C29" s="18">
        <v>1</v>
      </c>
      <c r="D29" s="15">
        <v>10</v>
      </c>
      <c r="F29" s="27">
        <v>20000000</v>
      </c>
      <c r="G29" s="15">
        <f t="shared" si="3"/>
        <v>20000000</v>
      </c>
      <c r="I29" s="27"/>
      <c r="J29" s="15">
        <f t="shared" si="4"/>
        <v>0</v>
      </c>
      <c r="L29" s="27"/>
      <c r="M29" s="15">
        <f t="shared" si="5"/>
        <v>0</v>
      </c>
    </row>
    <row r="30" spans="1:13" x14ac:dyDescent="0.25">
      <c r="D30" s="15"/>
      <c r="F30" s="15"/>
      <c r="G30" s="15"/>
      <c r="I30" s="15"/>
      <c r="J30" s="15"/>
      <c r="L30" s="15"/>
      <c r="M30" s="15"/>
    </row>
    <row r="31" spans="1:13" ht="17.25" x14ac:dyDescent="0.3">
      <c r="A31" s="38" t="s">
        <v>42</v>
      </c>
      <c r="B31" s="22" t="s">
        <v>322</v>
      </c>
      <c r="C31" s="44">
        <v>2000</v>
      </c>
      <c r="D31" s="139"/>
      <c r="F31" s="28"/>
      <c r="G31" s="28">
        <f>SUM(G32:G33)</f>
        <v>150000000000</v>
      </c>
      <c r="I31" s="28"/>
      <c r="J31" s="28">
        <f>SUM(J32:J33)</f>
        <v>150000000000</v>
      </c>
      <c r="L31" s="28"/>
      <c r="M31" s="28">
        <f>SUM(M32:M33)</f>
        <v>150000000000</v>
      </c>
    </row>
    <row r="32" spans="1:13" outlineLevel="1" x14ac:dyDescent="0.25">
      <c r="A32" s="72" t="s">
        <v>241</v>
      </c>
      <c r="B32" s="67" t="s">
        <v>67</v>
      </c>
      <c r="C32" s="27">
        <v>1900</v>
      </c>
      <c r="D32" s="15">
        <v>25</v>
      </c>
      <c r="F32" s="27">
        <v>75000000</v>
      </c>
      <c r="G32" s="15">
        <f t="shared" ref="G32:G33" si="6">$C32*F32</f>
        <v>142500000000</v>
      </c>
      <c r="I32" s="27">
        <v>75000000</v>
      </c>
      <c r="J32" s="15">
        <f t="shared" ref="J32:J33" si="7">$C32*I32</f>
        <v>142500000000</v>
      </c>
      <c r="L32" s="27">
        <v>75000000</v>
      </c>
      <c r="M32" s="15">
        <f t="shared" ref="M32:M33" si="8">$C32*L32</f>
        <v>142500000000</v>
      </c>
    </row>
    <row r="33" spans="1:13" outlineLevel="1" x14ac:dyDescent="0.25">
      <c r="A33" s="72" t="s">
        <v>242</v>
      </c>
      <c r="B33" s="67" t="s">
        <v>68</v>
      </c>
      <c r="C33" s="27">
        <v>100</v>
      </c>
      <c r="D33" s="15">
        <v>25</v>
      </c>
      <c r="F33" s="27">
        <v>75000000</v>
      </c>
      <c r="G33" s="15">
        <f t="shared" si="6"/>
        <v>7500000000</v>
      </c>
      <c r="I33" s="27">
        <v>75000000</v>
      </c>
      <c r="J33" s="15">
        <f t="shared" si="7"/>
        <v>7500000000</v>
      </c>
      <c r="L33" s="27">
        <v>75000000</v>
      </c>
      <c r="M33" s="15">
        <f t="shared" si="8"/>
        <v>7500000000</v>
      </c>
    </row>
    <row r="35" spans="1:13" ht="17.25" x14ac:dyDescent="0.3">
      <c r="A35" s="38" t="s">
        <v>47</v>
      </c>
      <c r="B35" s="22" t="s">
        <v>65</v>
      </c>
      <c r="C35" s="28"/>
      <c r="D35" s="139"/>
      <c r="F35" s="28"/>
      <c r="G35" s="28">
        <f>SUM(G36:G54)</f>
        <v>15625000000</v>
      </c>
      <c r="I35" s="28"/>
      <c r="J35" s="28">
        <f>SUM(J36:J54)</f>
        <v>0</v>
      </c>
      <c r="L35" s="28"/>
      <c r="M35" s="28">
        <f>SUM(M36:M54)</f>
        <v>25000000</v>
      </c>
    </row>
    <row r="36" spans="1:13" outlineLevel="1" x14ac:dyDescent="0.25">
      <c r="A36" s="72" t="s">
        <v>243</v>
      </c>
      <c r="B36" s="67" t="s">
        <v>295</v>
      </c>
      <c r="C36" s="27">
        <v>1</v>
      </c>
      <c r="D36" s="15">
        <v>10</v>
      </c>
      <c r="F36" s="27">
        <v>5000000000</v>
      </c>
      <c r="G36" s="15">
        <f t="shared" ref="G36:G54" si="9">$C36*F36</f>
        <v>5000000000</v>
      </c>
      <c r="I36" s="27"/>
      <c r="J36" s="15">
        <f t="shared" ref="J36:J54" si="10">$C36*I36</f>
        <v>0</v>
      </c>
      <c r="L36" s="27"/>
      <c r="M36" s="15">
        <f t="shared" ref="M36:M54" si="11">$C36*L36</f>
        <v>0</v>
      </c>
    </row>
    <row r="37" spans="1:13" outlineLevel="1" x14ac:dyDescent="0.25">
      <c r="A37" s="72" t="s">
        <v>244</v>
      </c>
      <c r="B37" s="67" t="s">
        <v>224</v>
      </c>
      <c r="C37" s="27">
        <v>1</v>
      </c>
      <c r="D37" s="15">
        <v>10</v>
      </c>
      <c r="F37" s="27">
        <v>5000000000</v>
      </c>
      <c r="G37" s="15">
        <f t="shared" si="9"/>
        <v>5000000000</v>
      </c>
      <c r="I37" s="27"/>
      <c r="J37" s="15">
        <f t="shared" si="10"/>
        <v>0</v>
      </c>
      <c r="L37" s="27"/>
      <c r="M37" s="15">
        <f t="shared" si="11"/>
        <v>0</v>
      </c>
    </row>
    <row r="38" spans="1:13" outlineLevel="1" x14ac:dyDescent="0.25">
      <c r="A38" s="72" t="s">
        <v>245</v>
      </c>
      <c r="B38" s="67" t="s">
        <v>225</v>
      </c>
      <c r="C38" s="27">
        <v>1</v>
      </c>
      <c r="D38" s="15">
        <v>10</v>
      </c>
      <c r="F38" s="27">
        <v>2925000000</v>
      </c>
      <c r="G38" s="15">
        <f t="shared" si="9"/>
        <v>2925000000</v>
      </c>
      <c r="I38" s="27"/>
      <c r="J38" s="15">
        <f t="shared" si="10"/>
        <v>0</v>
      </c>
      <c r="L38" s="27"/>
      <c r="M38" s="15">
        <f t="shared" si="11"/>
        <v>0</v>
      </c>
    </row>
    <row r="39" spans="1:13" outlineLevel="1" x14ac:dyDescent="0.25">
      <c r="A39" s="72" t="s">
        <v>246</v>
      </c>
      <c r="B39" s="67" t="s">
        <v>230</v>
      </c>
      <c r="C39" s="27">
        <v>1</v>
      </c>
      <c r="D39" s="15">
        <v>10</v>
      </c>
      <c r="F39" s="27">
        <v>625000000</v>
      </c>
      <c r="G39" s="15">
        <f t="shared" si="9"/>
        <v>625000000</v>
      </c>
      <c r="I39" s="27"/>
      <c r="J39" s="15">
        <f t="shared" si="10"/>
        <v>0</v>
      </c>
      <c r="L39" s="27"/>
      <c r="M39" s="15">
        <f t="shared" si="11"/>
        <v>0</v>
      </c>
    </row>
    <row r="40" spans="1:13" outlineLevel="1" x14ac:dyDescent="0.25">
      <c r="A40" s="72" t="s">
        <v>247</v>
      </c>
      <c r="B40" s="67" t="s">
        <v>236</v>
      </c>
      <c r="C40" s="27">
        <v>1</v>
      </c>
      <c r="D40" s="15">
        <v>10</v>
      </c>
      <c r="F40" s="27">
        <v>425000000</v>
      </c>
      <c r="G40" s="15">
        <f t="shared" si="9"/>
        <v>425000000</v>
      </c>
      <c r="I40" s="27"/>
      <c r="J40" s="15">
        <f t="shared" si="10"/>
        <v>0</v>
      </c>
      <c r="L40" s="27"/>
      <c r="M40" s="15">
        <f t="shared" si="11"/>
        <v>0</v>
      </c>
    </row>
    <row r="41" spans="1:13" outlineLevel="1" x14ac:dyDescent="0.25">
      <c r="A41" s="72" t="s">
        <v>248</v>
      </c>
      <c r="B41" s="67" t="s">
        <v>228</v>
      </c>
      <c r="C41" s="27">
        <v>1</v>
      </c>
      <c r="D41" s="15">
        <v>10</v>
      </c>
      <c r="F41" s="27">
        <v>250000000</v>
      </c>
      <c r="G41" s="15">
        <f t="shared" si="9"/>
        <v>250000000</v>
      </c>
      <c r="I41" s="27"/>
      <c r="J41" s="15">
        <f t="shared" si="10"/>
        <v>0</v>
      </c>
      <c r="L41" s="27"/>
      <c r="M41" s="15">
        <f t="shared" si="11"/>
        <v>0</v>
      </c>
    </row>
    <row r="42" spans="1:13" outlineLevel="1" x14ac:dyDescent="0.25">
      <c r="A42" s="72" t="s">
        <v>249</v>
      </c>
      <c r="B42" s="67" t="s">
        <v>231</v>
      </c>
      <c r="C42" s="27">
        <v>1</v>
      </c>
      <c r="D42" s="15">
        <v>10</v>
      </c>
      <c r="F42" s="27">
        <v>137500000</v>
      </c>
      <c r="G42" s="15">
        <f t="shared" si="9"/>
        <v>137500000</v>
      </c>
      <c r="I42" s="27"/>
      <c r="J42" s="15">
        <f t="shared" si="10"/>
        <v>0</v>
      </c>
      <c r="L42" s="27"/>
      <c r="M42" s="15">
        <f t="shared" si="11"/>
        <v>0</v>
      </c>
    </row>
    <row r="43" spans="1:13" outlineLevel="1" x14ac:dyDescent="0.25">
      <c r="A43" s="72" t="s">
        <v>250</v>
      </c>
      <c r="B43" s="67" t="s">
        <v>227</v>
      </c>
      <c r="C43" s="27">
        <v>1</v>
      </c>
      <c r="D43" s="15">
        <v>10</v>
      </c>
      <c r="F43" s="27">
        <v>125000000</v>
      </c>
      <c r="G43" s="15">
        <f t="shared" si="9"/>
        <v>125000000</v>
      </c>
      <c r="I43" s="27"/>
      <c r="J43" s="15">
        <f t="shared" si="10"/>
        <v>0</v>
      </c>
      <c r="L43" s="27"/>
      <c r="M43" s="15">
        <f t="shared" si="11"/>
        <v>0</v>
      </c>
    </row>
    <row r="44" spans="1:13" outlineLevel="1" x14ac:dyDescent="0.25">
      <c r="A44" s="72" t="s">
        <v>251</v>
      </c>
      <c r="B44" s="67" t="s">
        <v>549</v>
      </c>
      <c r="C44" s="27">
        <v>1</v>
      </c>
      <c r="D44" s="15">
        <v>10</v>
      </c>
      <c r="F44" s="27">
        <v>125000000</v>
      </c>
      <c r="G44" s="15">
        <f t="shared" si="9"/>
        <v>125000000</v>
      </c>
      <c r="I44" s="27"/>
      <c r="J44" s="15">
        <f t="shared" si="10"/>
        <v>0</v>
      </c>
      <c r="L44" s="27"/>
      <c r="M44" s="15">
        <f t="shared" si="11"/>
        <v>0</v>
      </c>
    </row>
    <row r="45" spans="1:13" outlineLevel="1" x14ac:dyDescent="0.25">
      <c r="A45" s="72" t="s">
        <v>252</v>
      </c>
      <c r="B45" s="67" t="s">
        <v>232</v>
      </c>
      <c r="C45" s="27">
        <v>1</v>
      </c>
      <c r="D45" s="15">
        <v>10</v>
      </c>
      <c r="F45" s="27">
        <v>125000000</v>
      </c>
      <c r="G45" s="15">
        <f t="shared" si="9"/>
        <v>125000000</v>
      </c>
      <c r="I45" s="27"/>
      <c r="J45" s="15">
        <f t="shared" si="10"/>
        <v>0</v>
      </c>
      <c r="L45" s="27"/>
      <c r="M45" s="15">
        <f t="shared" si="11"/>
        <v>0</v>
      </c>
    </row>
    <row r="46" spans="1:13" outlineLevel="1" x14ac:dyDescent="0.25">
      <c r="A46" s="72" t="s">
        <v>253</v>
      </c>
      <c r="B46" s="67" t="s">
        <v>233</v>
      </c>
      <c r="C46" s="27">
        <v>1</v>
      </c>
      <c r="D46" s="15">
        <v>10</v>
      </c>
      <c r="F46" s="27">
        <v>125000000</v>
      </c>
      <c r="G46" s="15">
        <f t="shared" si="9"/>
        <v>125000000</v>
      </c>
      <c r="I46" s="27"/>
      <c r="J46" s="15">
        <f t="shared" si="10"/>
        <v>0</v>
      </c>
      <c r="L46" s="27"/>
      <c r="M46" s="15">
        <f t="shared" si="11"/>
        <v>0</v>
      </c>
    </row>
    <row r="47" spans="1:13" outlineLevel="1" x14ac:dyDescent="0.25">
      <c r="A47" s="72" t="s">
        <v>254</v>
      </c>
      <c r="B47" s="67" t="s">
        <v>235</v>
      </c>
      <c r="C47" s="27">
        <v>1</v>
      </c>
      <c r="D47" s="15">
        <v>10</v>
      </c>
      <c r="F47" s="27">
        <v>125000000</v>
      </c>
      <c r="G47" s="15">
        <f t="shared" si="9"/>
        <v>125000000</v>
      </c>
      <c r="I47" s="27"/>
      <c r="J47" s="15">
        <f t="shared" si="10"/>
        <v>0</v>
      </c>
      <c r="L47" s="27"/>
      <c r="M47" s="15">
        <f t="shared" si="11"/>
        <v>0</v>
      </c>
    </row>
    <row r="48" spans="1:13" outlineLevel="1" x14ac:dyDescent="0.25">
      <c r="A48" s="72" t="s">
        <v>255</v>
      </c>
      <c r="B48" s="67" t="s">
        <v>237</v>
      </c>
      <c r="C48" s="27">
        <v>1</v>
      </c>
      <c r="D48" s="15">
        <v>10</v>
      </c>
      <c r="F48" s="27">
        <v>125000000</v>
      </c>
      <c r="G48" s="15">
        <f t="shared" si="9"/>
        <v>125000000</v>
      </c>
      <c r="I48" s="27"/>
      <c r="J48" s="15">
        <f t="shared" si="10"/>
        <v>0</v>
      </c>
      <c r="L48" s="27"/>
      <c r="M48" s="15">
        <f t="shared" si="11"/>
        <v>0</v>
      </c>
    </row>
    <row r="49" spans="1:13" outlineLevel="1" x14ac:dyDescent="0.25">
      <c r="A49" s="72" t="s">
        <v>256</v>
      </c>
      <c r="B49" s="67" t="s">
        <v>238</v>
      </c>
      <c r="C49" s="27">
        <v>1</v>
      </c>
      <c r="D49" s="15">
        <v>10</v>
      </c>
      <c r="F49" s="27">
        <v>125000000</v>
      </c>
      <c r="G49" s="15">
        <f t="shared" si="9"/>
        <v>125000000</v>
      </c>
      <c r="I49" s="27"/>
      <c r="J49" s="15">
        <f t="shared" si="10"/>
        <v>0</v>
      </c>
      <c r="L49" s="27"/>
      <c r="M49" s="15">
        <f t="shared" si="11"/>
        <v>0</v>
      </c>
    </row>
    <row r="50" spans="1:13" outlineLevel="1" x14ac:dyDescent="0.25">
      <c r="A50" s="72" t="s">
        <v>257</v>
      </c>
      <c r="B50" s="67" t="s">
        <v>239</v>
      </c>
      <c r="C50" s="27">
        <v>1</v>
      </c>
      <c r="D50" s="15">
        <v>10</v>
      </c>
      <c r="F50" s="27">
        <v>125000000</v>
      </c>
      <c r="G50" s="15">
        <f t="shared" si="9"/>
        <v>125000000</v>
      </c>
      <c r="I50" s="27"/>
      <c r="J50" s="15">
        <f t="shared" si="10"/>
        <v>0</v>
      </c>
      <c r="L50" s="27"/>
      <c r="M50" s="15">
        <f t="shared" si="11"/>
        <v>0</v>
      </c>
    </row>
    <row r="51" spans="1:13" outlineLevel="1" x14ac:dyDescent="0.25">
      <c r="A51" s="72" t="s">
        <v>258</v>
      </c>
      <c r="B51" s="67" t="s">
        <v>240</v>
      </c>
      <c r="C51" s="27">
        <v>1</v>
      </c>
      <c r="D51" s="15">
        <v>10</v>
      </c>
      <c r="F51" s="27">
        <v>125000000</v>
      </c>
      <c r="G51" s="15">
        <f t="shared" si="9"/>
        <v>125000000</v>
      </c>
      <c r="I51" s="27"/>
      <c r="J51" s="15">
        <f t="shared" si="10"/>
        <v>0</v>
      </c>
      <c r="L51" s="27"/>
      <c r="M51" s="15">
        <f t="shared" si="11"/>
        <v>0</v>
      </c>
    </row>
    <row r="52" spans="1:13" outlineLevel="1" x14ac:dyDescent="0.25">
      <c r="A52" s="72" t="s">
        <v>259</v>
      </c>
      <c r="B52" s="67" t="s">
        <v>229</v>
      </c>
      <c r="C52" s="27">
        <v>1</v>
      </c>
      <c r="D52" s="15">
        <v>10</v>
      </c>
      <c r="F52" s="27">
        <v>62500000</v>
      </c>
      <c r="G52" s="15">
        <f t="shared" si="9"/>
        <v>62500000</v>
      </c>
      <c r="I52" s="27"/>
      <c r="J52" s="15">
        <f t="shared" si="10"/>
        <v>0</v>
      </c>
      <c r="L52" s="27"/>
      <c r="M52" s="15">
        <f t="shared" si="11"/>
        <v>0</v>
      </c>
    </row>
    <row r="53" spans="1:13" outlineLevel="1" x14ac:dyDescent="0.25">
      <c r="A53" s="72" t="s">
        <v>260</v>
      </c>
      <c r="B53" s="67" t="s">
        <v>226</v>
      </c>
      <c r="C53" s="27">
        <v>1</v>
      </c>
      <c r="D53" s="15">
        <v>10</v>
      </c>
      <c r="F53" s="27">
        <v>50000000</v>
      </c>
      <c r="G53" s="15">
        <f t="shared" si="9"/>
        <v>50000000</v>
      </c>
      <c r="I53" s="27"/>
      <c r="J53" s="15">
        <f t="shared" si="10"/>
        <v>0</v>
      </c>
      <c r="L53" s="27"/>
      <c r="M53" s="15">
        <f t="shared" si="11"/>
        <v>0</v>
      </c>
    </row>
    <row r="54" spans="1:13" outlineLevel="1" x14ac:dyDescent="0.25">
      <c r="A54" s="72" t="s">
        <v>261</v>
      </c>
      <c r="B54" s="67" t="s">
        <v>234</v>
      </c>
      <c r="C54" s="27">
        <v>1</v>
      </c>
      <c r="D54" s="15">
        <v>10</v>
      </c>
      <c r="F54" s="27">
        <v>25000000</v>
      </c>
      <c r="G54" s="15">
        <f t="shared" si="9"/>
        <v>25000000</v>
      </c>
      <c r="I54" s="27"/>
      <c r="J54" s="15">
        <f t="shared" si="10"/>
        <v>0</v>
      </c>
      <c r="L54" s="27">
        <v>25000000</v>
      </c>
      <c r="M54" s="15">
        <f t="shared" si="11"/>
        <v>25000000</v>
      </c>
    </row>
    <row r="55" spans="1:13" ht="15.75" thickBot="1" x14ac:dyDescent="0.3"/>
    <row r="56" spans="1:13" s="16" customFormat="1" ht="18" thickBot="1" x14ac:dyDescent="0.3">
      <c r="A56" s="1172" t="s">
        <v>659</v>
      </c>
      <c r="B56" s="1172"/>
      <c r="C56" s="1172"/>
      <c r="D56" s="1172"/>
      <c r="F56" s="42"/>
      <c r="G56" s="43">
        <f>G6+G31+G35</f>
        <v>439182500000</v>
      </c>
      <c r="I56" s="42"/>
      <c r="J56" s="43">
        <f>J6+J31+J35</f>
        <v>150000000000</v>
      </c>
      <c r="L56" s="42"/>
      <c r="M56" s="43">
        <f>M6+M31+M35</f>
        <v>150025000000</v>
      </c>
    </row>
    <row r="57" spans="1:13" x14ac:dyDescent="0.25">
      <c r="G57" s="15"/>
      <c r="J57" s="15"/>
      <c r="M57" s="15"/>
    </row>
  </sheetData>
  <mergeCells count="5">
    <mergeCell ref="A56:D56"/>
    <mergeCell ref="A2:A4"/>
    <mergeCell ref="B2:B4"/>
    <mergeCell ref="C2:C3"/>
    <mergeCell ref="D2:D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19690-DA25-45C8-8845-DC2D566D71C6}">
  <dimension ref="A3:M29"/>
  <sheetViews>
    <sheetView showGridLines="0" zoomScale="130" zoomScaleNormal="130" workbookViewId="0">
      <selection activeCell="I22" sqref="I22"/>
    </sheetView>
  </sheetViews>
  <sheetFormatPr defaultRowHeight="15" x14ac:dyDescent="0.25"/>
  <cols>
    <col min="1" max="5" width="17.75" customWidth="1"/>
    <col min="6" max="6" width="11.25" customWidth="1"/>
    <col min="7" max="7" width="19.5" bestFit="1" customWidth="1"/>
    <col min="8" max="8" width="18.125" bestFit="1" customWidth="1"/>
    <col min="9" max="9" width="11.25" customWidth="1"/>
    <col min="10" max="10" width="14.75" bestFit="1" customWidth="1"/>
    <col min="11" max="11" width="17.5" bestFit="1" customWidth="1"/>
    <col min="12" max="13" width="13.25" bestFit="1" customWidth="1"/>
  </cols>
  <sheetData>
    <row r="3" spans="1:13" ht="15.75" thickBot="1" x14ac:dyDescent="0.3">
      <c r="A3" s="1177" t="s">
        <v>262</v>
      </c>
      <c r="B3" s="1177"/>
      <c r="C3" s="73"/>
      <c r="D3" s="120">
        <f>D6/C6</f>
        <v>26.5</v>
      </c>
      <c r="E3" s="655"/>
    </row>
    <row r="4" spans="1:13" ht="15.75" thickBot="1" x14ac:dyDescent="0.3">
      <c r="A4" s="74" t="s">
        <v>263</v>
      </c>
      <c r="B4" s="75"/>
      <c r="C4" s="75"/>
      <c r="D4" s="75"/>
      <c r="E4" s="76"/>
    </row>
    <row r="5" spans="1:13" ht="15.75" thickBot="1" x14ac:dyDescent="0.3">
      <c r="A5" s="77" t="s">
        <v>187</v>
      </c>
      <c r="B5" s="78" t="s">
        <v>264</v>
      </c>
      <c r="C5" s="79" t="s">
        <v>265</v>
      </c>
      <c r="D5" s="79" t="s">
        <v>266</v>
      </c>
      <c r="E5" s="78" t="s">
        <v>267</v>
      </c>
    </row>
    <row r="6" spans="1:13" x14ac:dyDescent="0.25">
      <c r="A6" s="80">
        <v>128</v>
      </c>
      <c r="B6" s="80">
        <v>9</v>
      </c>
      <c r="C6" s="93">
        <f>60*60*24/B6*A6</f>
        <v>1228800</v>
      </c>
      <c r="D6" s="93">
        <v>32563200</v>
      </c>
      <c r="E6" s="93">
        <v>488</v>
      </c>
      <c r="F6" s="93">
        <v>450</v>
      </c>
      <c r="G6" s="15">
        <f>F6/E9</f>
        <v>2000</v>
      </c>
      <c r="H6" s="15">
        <f>G6*C9</f>
        <v>2640</v>
      </c>
      <c r="J6" s="64"/>
      <c r="K6" s="64"/>
      <c r="M6" s="71"/>
    </row>
    <row r="7" spans="1:13" ht="15.75" thickBot="1" x14ac:dyDescent="0.3">
      <c r="A7" s="73"/>
      <c r="B7" s="73"/>
      <c r="C7" s="73"/>
      <c r="D7" s="73"/>
      <c r="E7" s="73"/>
    </row>
    <row r="8" spans="1:13" ht="15.75" thickBot="1" x14ac:dyDescent="0.3">
      <c r="A8" s="73"/>
      <c r="B8" s="73"/>
      <c r="C8" s="81" t="s">
        <v>268</v>
      </c>
      <c r="D8" s="82" t="s">
        <v>269</v>
      </c>
      <c r="E8" s="83" t="s">
        <v>270</v>
      </c>
    </row>
    <row r="9" spans="1:13" x14ac:dyDescent="0.25">
      <c r="A9" s="73"/>
      <c r="B9" s="73"/>
      <c r="C9" s="80">
        <v>1.32</v>
      </c>
      <c r="D9" s="93">
        <v>15000</v>
      </c>
      <c r="E9" s="94">
        <f>D9*0.015/10^3</f>
        <v>0.22500000000000001</v>
      </c>
      <c r="G9" s="15"/>
    </row>
    <row r="10" spans="1:13" ht="15.75" thickBot="1" x14ac:dyDescent="0.3">
      <c r="A10" s="73"/>
      <c r="B10" s="73"/>
      <c r="C10" s="73"/>
      <c r="D10" s="73"/>
      <c r="E10" s="73"/>
      <c r="J10" t="s">
        <v>285</v>
      </c>
      <c r="K10" t="s">
        <v>598</v>
      </c>
    </row>
    <row r="11" spans="1:13" ht="15.75" thickBot="1" x14ac:dyDescent="0.3">
      <c r="A11" s="1178" t="s">
        <v>271</v>
      </c>
      <c r="B11" s="1179"/>
      <c r="C11" s="84"/>
      <c r="D11" s="85">
        <v>82</v>
      </c>
      <c r="E11" s="86" t="s">
        <v>272</v>
      </c>
      <c r="F11" s="15"/>
      <c r="G11" s="438" t="s">
        <v>682</v>
      </c>
      <c r="H11" s="438" t="s">
        <v>681</v>
      </c>
      <c r="I11" s="15"/>
    </row>
    <row r="12" spans="1:13" ht="15.75" thickBot="1" x14ac:dyDescent="0.3">
      <c r="A12" s="1175" t="s">
        <v>273</v>
      </c>
      <c r="B12" s="1176"/>
      <c r="C12" s="88"/>
      <c r="D12" s="121">
        <v>7500</v>
      </c>
      <c r="E12" s="90" t="s">
        <v>63</v>
      </c>
      <c r="G12" s="656">
        <f>D12/(D11*C9)</f>
        <v>69.290465631929038</v>
      </c>
      <c r="H12" s="657">
        <f>30/G12</f>
        <v>0.43296000000000007</v>
      </c>
      <c r="J12">
        <v>210</v>
      </c>
      <c r="K12" s="15">
        <f>J12/C9</f>
        <v>159.09090909090909</v>
      </c>
    </row>
    <row r="13" spans="1:13" ht="15.75" thickBot="1" x14ac:dyDescent="0.3">
      <c r="A13" s="87" t="s">
        <v>274</v>
      </c>
      <c r="B13" s="91"/>
      <c r="C13" s="88"/>
      <c r="D13" s="89">
        <v>50</v>
      </c>
      <c r="E13" s="90" t="s">
        <v>275</v>
      </c>
    </row>
    <row r="14" spans="1:13" ht="15.75" thickBot="1" x14ac:dyDescent="0.3">
      <c r="A14" s="73"/>
      <c r="B14" s="73"/>
      <c r="C14" s="73"/>
      <c r="D14" s="73"/>
      <c r="E14" s="73"/>
    </row>
    <row r="15" spans="1:13" ht="30.75" thickBot="1" x14ac:dyDescent="0.3">
      <c r="A15" s="73"/>
      <c r="B15" s="73"/>
      <c r="C15" s="73"/>
      <c r="D15" s="92" t="s">
        <v>276</v>
      </c>
      <c r="E15" s="83" t="s">
        <v>277</v>
      </c>
    </row>
    <row r="16" spans="1:13" ht="15.75" thickBot="1" x14ac:dyDescent="0.3">
      <c r="A16" s="1178" t="s">
        <v>278</v>
      </c>
      <c r="B16" s="1179"/>
      <c r="C16" s="75"/>
      <c r="D16" s="89">
        <v>3</v>
      </c>
      <c r="E16" s="89">
        <v>9</v>
      </c>
    </row>
    <row r="17" spans="1:5" ht="15.75" thickBot="1" x14ac:dyDescent="0.3">
      <c r="A17" s="87" t="s">
        <v>279</v>
      </c>
      <c r="B17" s="91"/>
      <c r="C17" s="91"/>
      <c r="D17" s="89">
        <v>2</v>
      </c>
      <c r="E17" s="89">
        <v>6</v>
      </c>
    </row>
    <row r="18" spans="1:5" ht="15.75" thickBot="1" x14ac:dyDescent="0.3">
      <c r="A18" s="87" t="s">
        <v>280</v>
      </c>
      <c r="B18" s="91"/>
      <c r="C18" s="91"/>
      <c r="D18" s="89">
        <v>1</v>
      </c>
      <c r="E18" s="89">
        <v>3</v>
      </c>
    </row>
    <row r="19" spans="1:5" ht="15.75" thickBot="1" x14ac:dyDescent="0.3">
      <c r="A19" s="1175" t="s">
        <v>281</v>
      </c>
      <c r="B19" s="1176"/>
      <c r="C19" s="91"/>
      <c r="D19" s="89">
        <v>1.5</v>
      </c>
      <c r="E19" s="89">
        <v>4.5</v>
      </c>
    </row>
    <row r="20" spans="1:5" ht="15.75" thickBot="1" x14ac:dyDescent="0.3">
      <c r="A20" s="1175" t="s">
        <v>282</v>
      </c>
      <c r="B20" s="1176"/>
      <c r="C20" s="91"/>
      <c r="D20" s="89">
        <v>1</v>
      </c>
      <c r="E20" s="89">
        <v>3</v>
      </c>
    </row>
    <row r="23" spans="1:5" x14ac:dyDescent="0.25">
      <c r="C23" s="439" t="s">
        <v>600</v>
      </c>
      <c r="D23" s="439" t="s">
        <v>599</v>
      </c>
    </row>
    <row r="24" spans="1:5" x14ac:dyDescent="0.25">
      <c r="C24" s="15">
        <v>1000</v>
      </c>
      <c r="D24" s="70">
        <f>C24/D$11</f>
        <v>12.195121951219512</v>
      </c>
    </row>
    <row r="25" spans="1:5" x14ac:dyDescent="0.25">
      <c r="C25" s="64">
        <f>C24+500</f>
        <v>1500</v>
      </c>
      <c r="D25" s="70">
        <f t="shared" ref="D25:D29" si="0">C25/D$11</f>
        <v>18.292682926829269</v>
      </c>
    </row>
    <row r="26" spans="1:5" x14ac:dyDescent="0.25">
      <c r="C26" s="64">
        <f t="shared" ref="C26:C29" si="1">C25+500</f>
        <v>2000</v>
      </c>
      <c r="D26" s="70">
        <f t="shared" si="0"/>
        <v>24.390243902439025</v>
      </c>
    </row>
    <row r="27" spans="1:5" x14ac:dyDescent="0.25">
      <c r="C27" s="64">
        <f t="shared" si="1"/>
        <v>2500</v>
      </c>
      <c r="D27" s="70">
        <f t="shared" si="0"/>
        <v>30.487804878048781</v>
      </c>
    </row>
    <row r="28" spans="1:5" x14ac:dyDescent="0.25">
      <c r="C28" s="64">
        <f t="shared" si="1"/>
        <v>3000</v>
      </c>
      <c r="D28" s="70">
        <f t="shared" si="0"/>
        <v>36.585365853658537</v>
      </c>
    </row>
    <row r="29" spans="1:5" x14ac:dyDescent="0.25">
      <c r="C29" s="64">
        <f t="shared" si="1"/>
        <v>3500</v>
      </c>
      <c r="D29" s="70">
        <f t="shared" si="0"/>
        <v>42.68292682926829</v>
      </c>
    </row>
  </sheetData>
  <mergeCells count="6">
    <mergeCell ref="A20:B20"/>
    <mergeCell ref="A3:B3"/>
    <mergeCell ref="A11:B11"/>
    <mergeCell ref="A12:B12"/>
    <mergeCell ref="A16:B16"/>
    <mergeCell ref="A19:B1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07B56-596F-49FF-B238-784D5EFD24A7}">
  <sheetPr>
    <tabColor rgb="FF002060"/>
  </sheetPr>
  <dimension ref="A1"/>
  <sheetViews>
    <sheetView workbookViewId="0">
      <selection activeCell="I22" sqref="I22"/>
    </sheetView>
  </sheetViews>
  <sheetFormatPr defaultRowHeight="15"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A67F-371D-459F-BE78-40E388A131DA}">
  <dimension ref="A1:F23"/>
  <sheetViews>
    <sheetView zoomScale="115" zoomScaleNormal="115" workbookViewId="0">
      <selection activeCell="I22" sqref="I22"/>
    </sheetView>
  </sheetViews>
  <sheetFormatPr defaultRowHeight="15" x14ac:dyDescent="0.25"/>
  <cols>
    <col min="2" max="2" width="55.75" customWidth="1"/>
    <col min="6" max="6" width="12.375" bestFit="1" customWidth="1"/>
  </cols>
  <sheetData>
    <row r="1" spans="1:6" ht="24" x14ac:dyDescent="0.4">
      <c r="B1" s="2" t="s">
        <v>3</v>
      </c>
    </row>
    <row r="3" spans="1:6" x14ac:dyDescent="0.25">
      <c r="A3" s="3" t="s">
        <v>2</v>
      </c>
      <c r="B3" s="3" t="s">
        <v>4</v>
      </c>
    </row>
    <row r="4" spans="1:6" ht="129.75" customHeight="1" x14ac:dyDescent="0.25">
      <c r="A4" s="4">
        <v>1</v>
      </c>
      <c r="B4" s="5" t="s">
        <v>5</v>
      </c>
      <c r="C4" t="s">
        <v>6</v>
      </c>
    </row>
    <row r="5" spans="1:6" ht="27.6" customHeight="1" x14ac:dyDescent="0.25">
      <c r="A5" s="6">
        <v>2</v>
      </c>
      <c r="B5" s="7" t="s">
        <v>7</v>
      </c>
    </row>
    <row r="6" spans="1:6" ht="69" customHeight="1" x14ac:dyDescent="0.25">
      <c r="A6" s="6">
        <v>3</v>
      </c>
      <c r="B6" s="8" t="s">
        <v>343</v>
      </c>
      <c r="D6" t="s">
        <v>8</v>
      </c>
    </row>
    <row r="7" spans="1:6" ht="30" x14ac:dyDescent="0.25">
      <c r="A7" s="9">
        <v>4</v>
      </c>
      <c r="B7" s="10" t="s">
        <v>9</v>
      </c>
    </row>
    <row r="8" spans="1:6" x14ac:dyDescent="0.25">
      <c r="B8" s="11" t="s">
        <v>10</v>
      </c>
      <c r="F8" s="15">
        <f>360000000*0.015</f>
        <v>5400000</v>
      </c>
    </row>
    <row r="9" spans="1:6" x14ac:dyDescent="0.25">
      <c r="B9" s="12" t="s">
        <v>11</v>
      </c>
      <c r="C9" t="s">
        <v>12</v>
      </c>
    </row>
    <row r="10" spans="1:6" x14ac:dyDescent="0.25">
      <c r="B10" t="s">
        <v>13</v>
      </c>
      <c r="C10" t="s">
        <v>14</v>
      </c>
    </row>
    <row r="11" spans="1:6" x14ac:dyDescent="0.25">
      <c r="B11" s="13" t="s">
        <v>15</v>
      </c>
    </row>
    <row r="12" spans="1:6" x14ac:dyDescent="0.25">
      <c r="B12" s="13" t="s">
        <v>16</v>
      </c>
    </row>
    <row r="13" spans="1:6" x14ac:dyDescent="0.25">
      <c r="B13" s="14" t="s">
        <v>17</v>
      </c>
    </row>
    <row r="14" spans="1:6" x14ac:dyDescent="0.25">
      <c r="B14" s="13" t="s">
        <v>18</v>
      </c>
    </row>
    <row r="15" spans="1:6" x14ac:dyDescent="0.25">
      <c r="B15" s="13" t="s">
        <v>19</v>
      </c>
    </row>
    <row r="17" spans="2:2" x14ac:dyDescent="0.25">
      <c r="B17" s="13" t="s">
        <v>20</v>
      </c>
    </row>
    <row r="18" spans="2:2" x14ac:dyDescent="0.25">
      <c r="B18" s="13" t="s">
        <v>21</v>
      </c>
    </row>
    <row r="19" spans="2:2" x14ac:dyDescent="0.25">
      <c r="B19" s="13" t="s">
        <v>22</v>
      </c>
    </row>
    <row r="20" spans="2:2" x14ac:dyDescent="0.25">
      <c r="B20" s="13" t="s">
        <v>23</v>
      </c>
    </row>
    <row r="21" spans="2:2" x14ac:dyDescent="0.25">
      <c r="B21" s="13" t="s">
        <v>24</v>
      </c>
    </row>
    <row r="22" spans="2:2" x14ac:dyDescent="0.25">
      <c r="B22" s="13" t="s">
        <v>25</v>
      </c>
    </row>
    <row r="23" spans="2:2" x14ac:dyDescent="0.25">
      <c r="B23" s="13" t="s">
        <v>26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AB45F-DE1C-49AD-BC85-4F3DC0E4BF38}">
  <dimension ref="K28"/>
  <sheetViews>
    <sheetView topLeftCell="A11" zoomScale="115" zoomScaleNormal="115" workbookViewId="0">
      <selection activeCell="I22" sqref="I22"/>
    </sheetView>
  </sheetViews>
  <sheetFormatPr defaultRowHeight="15" x14ac:dyDescent="0.25"/>
  <sheetData>
    <row r="28" spans="11:11" x14ac:dyDescent="0.25">
      <c r="K28" t="s">
        <v>77</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407D-B826-44AC-99DD-8E8E8FED4E59}">
  <dimension ref="A1:AI57"/>
  <sheetViews>
    <sheetView showGridLines="0" zoomScaleNormal="100" workbookViewId="0">
      <pane xSplit="4" ySplit="4" topLeftCell="E5" activePane="bottomRight" state="frozen"/>
      <selection activeCell="I22" sqref="I22"/>
      <selection pane="topRight" activeCell="I22" sqref="I22"/>
      <selection pane="bottomLeft" activeCell="I22" sqref="I22"/>
      <selection pane="bottomRight" activeCell="I22" sqref="I22"/>
    </sheetView>
  </sheetViews>
  <sheetFormatPr defaultRowHeight="15" x14ac:dyDescent="0.25"/>
  <cols>
    <col min="2" max="2" width="14.5" customWidth="1"/>
    <col min="3" max="3" width="5.75" customWidth="1"/>
    <col min="4" max="4" width="1" customWidth="1"/>
    <col min="5" max="30" width="17.5" bestFit="1" customWidth="1"/>
    <col min="31" max="31" width="17.125" bestFit="1" customWidth="1"/>
    <col min="32" max="35" width="16.375" bestFit="1" customWidth="1"/>
  </cols>
  <sheetData>
    <row r="1" spans="1:35" x14ac:dyDescent="0.25">
      <c r="B1" s="350" t="str">
        <f>MD!A7</f>
        <v>VND</v>
      </c>
    </row>
    <row r="3" spans="1:35" x14ac:dyDescent="0.25">
      <c r="E3" s="343">
        <v>0</v>
      </c>
      <c r="F3" s="343">
        <v>1</v>
      </c>
      <c r="G3" s="343">
        <v>2</v>
      </c>
      <c r="H3" s="343">
        <v>3</v>
      </c>
      <c r="I3" s="343">
        <v>4</v>
      </c>
      <c r="J3" s="343">
        <v>5</v>
      </c>
      <c r="K3" s="343">
        <v>6</v>
      </c>
      <c r="L3" s="343">
        <v>7</v>
      </c>
      <c r="M3" s="343">
        <v>8</v>
      </c>
      <c r="N3" s="343">
        <v>9</v>
      </c>
      <c r="O3" s="343">
        <v>10</v>
      </c>
      <c r="P3" s="343">
        <v>11</v>
      </c>
      <c r="Q3" s="343">
        <v>12</v>
      </c>
      <c r="R3" s="343">
        <v>13</v>
      </c>
      <c r="S3" s="343">
        <v>14</v>
      </c>
      <c r="T3" s="343">
        <v>15</v>
      </c>
      <c r="U3" s="343">
        <v>16</v>
      </c>
      <c r="V3" s="343">
        <v>17</v>
      </c>
      <c r="W3" s="343">
        <v>18</v>
      </c>
      <c r="X3" s="343">
        <v>19</v>
      </c>
      <c r="Y3" s="343">
        <v>20</v>
      </c>
      <c r="Z3" s="343">
        <v>21</v>
      </c>
      <c r="AA3" s="343">
        <v>22</v>
      </c>
      <c r="AB3" s="343">
        <v>23</v>
      </c>
      <c r="AC3" s="343">
        <v>24</v>
      </c>
      <c r="AD3" s="343">
        <v>25</v>
      </c>
      <c r="AE3" s="343">
        <v>26</v>
      </c>
      <c r="AF3" s="343">
        <v>27</v>
      </c>
      <c r="AG3" s="343">
        <v>28</v>
      </c>
      <c r="AH3" s="343">
        <v>29</v>
      </c>
      <c r="AI3" s="343">
        <v>30</v>
      </c>
    </row>
    <row r="4" spans="1:35" ht="2.65" customHeight="1" x14ac:dyDescent="0.25"/>
    <row r="5" spans="1:35" x14ac:dyDescent="0.25">
      <c r="A5" t="s">
        <v>404</v>
      </c>
      <c r="B5" t="s">
        <v>540</v>
      </c>
      <c r="C5" t="str">
        <f>$B$1</f>
        <v>VND</v>
      </c>
      <c r="E5" s="15">
        <f>SUMIFS('W1'!$G$60:$BC$60,'W1'!$G$7:$BC$7,"giá trị đầu tư",'W1'!$G$6:$BC$6,$A5)*SUMIFS('Cover Page'!$H$21:$AJ$21,'Cover Page'!$H$5:$AJ$5,$A5)</f>
        <v>210524860000</v>
      </c>
      <c r="F5" s="15">
        <f>E8</f>
        <v>210524860000</v>
      </c>
      <c r="G5" s="64">
        <f>F8</f>
        <v>202147102206.06805</v>
      </c>
      <c r="H5" s="64">
        <f t="shared" ref="H5:AI5" si="0">G8</f>
        <v>193182901366.56088</v>
      </c>
      <c r="I5" s="64">
        <f t="shared" si="0"/>
        <v>183591206468.28821</v>
      </c>
      <c r="J5" s="64">
        <f t="shared" si="0"/>
        <v>173328092927.13644</v>
      </c>
      <c r="K5" s="64">
        <f t="shared" si="0"/>
        <v>162346561438.10406</v>
      </c>
      <c r="L5" s="64">
        <f t="shared" si="0"/>
        <v>150596322744.83942</v>
      </c>
      <c r="M5" s="64">
        <f t="shared" si="0"/>
        <v>138023567343.04623</v>
      </c>
      <c r="N5" s="64">
        <f t="shared" si="0"/>
        <v>124570719063.12753</v>
      </c>
      <c r="O5" s="64">
        <f t="shared" si="0"/>
        <v>110176171403.61452</v>
      </c>
      <c r="P5" s="64">
        <f t="shared" si="0"/>
        <v>94774005407.935593</v>
      </c>
      <c r="Q5" s="64">
        <f t="shared" si="0"/>
        <v>78293687792.559143</v>
      </c>
      <c r="R5" s="64">
        <f t="shared" si="0"/>
        <v>60659747944.106339</v>
      </c>
      <c r="S5" s="64">
        <f t="shared" si="0"/>
        <v>41791432306.261841</v>
      </c>
      <c r="T5" s="64">
        <f t="shared" si="0"/>
        <v>21602334573.768227</v>
      </c>
      <c r="U5" s="64"/>
      <c r="V5" s="64"/>
      <c r="W5" s="64"/>
      <c r="X5" s="64"/>
      <c r="Y5" s="64"/>
      <c r="Z5" s="64"/>
      <c r="AA5" s="64"/>
      <c r="AB5" s="64"/>
      <c r="AC5" s="64"/>
      <c r="AD5" s="64"/>
      <c r="AE5" s="64"/>
      <c r="AF5" s="64"/>
      <c r="AG5" s="64"/>
      <c r="AH5" s="64"/>
      <c r="AI5" s="64"/>
    </row>
    <row r="6" spans="1:35" s="142" customFormat="1" x14ac:dyDescent="0.25">
      <c r="A6" s="142" t="s">
        <v>404</v>
      </c>
      <c r="B6" s="142" t="s">
        <v>542</v>
      </c>
      <c r="C6" s="142" t="str">
        <f t="shared" ref="C6:C53" si="1">$B$1</f>
        <v>VND</v>
      </c>
      <c r="E6" s="143"/>
      <c r="F6" s="143">
        <f>E8*$E9</f>
        <v>14736740200.000002</v>
      </c>
      <c r="G6" s="143">
        <f t="shared" ref="G6:AI6" si="2">F8*$E9</f>
        <v>14150297154.424765</v>
      </c>
      <c r="H6" s="143">
        <f t="shared" si="2"/>
        <v>13522803095.659264</v>
      </c>
      <c r="I6" s="143">
        <f t="shared" si="2"/>
        <v>12851384452.780176</v>
      </c>
      <c r="J6" s="143">
        <f t="shared" si="2"/>
        <v>12132966504.899551</v>
      </c>
      <c r="K6" s="143">
        <f t="shared" si="2"/>
        <v>11364259300.667286</v>
      </c>
      <c r="L6" s="143">
        <f t="shared" si="2"/>
        <v>10541742592.13876</v>
      </c>
      <c r="M6" s="143">
        <f t="shared" si="2"/>
        <v>9661649714.013237</v>
      </c>
      <c r="N6" s="143">
        <f t="shared" si="2"/>
        <v>8719950334.4189281</v>
      </c>
      <c r="O6" s="143">
        <f t="shared" si="2"/>
        <v>7712331998.2530165</v>
      </c>
      <c r="P6" s="143">
        <f t="shared" si="2"/>
        <v>6634180378.5554924</v>
      </c>
      <c r="Q6" s="143">
        <f t="shared" si="2"/>
        <v>5480558145.4791403</v>
      </c>
      <c r="R6" s="143">
        <f t="shared" si="2"/>
        <v>4246182356.0874443</v>
      </c>
      <c r="S6" s="143">
        <f t="shared" si="2"/>
        <v>2925400261.4383292</v>
      </c>
      <c r="T6" s="143">
        <f t="shared" si="2"/>
        <v>1512163420.1637759</v>
      </c>
      <c r="U6" s="143"/>
      <c r="V6" s="143"/>
      <c r="W6" s="143"/>
      <c r="X6" s="143"/>
      <c r="Y6" s="143"/>
      <c r="Z6" s="143"/>
      <c r="AA6" s="143"/>
      <c r="AB6" s="143"/>
      <c r="AC6" s="143"/>
      <c r="AD6" s="143"/>
      <c r="AE6" s="143"/>
      <c r="AF6" s="143"/>
      <c r="AG6" s="143"/>
      <c r="AH6" s="143"/>
      <c r="AI6" s="143"/>
    </row>
    <row r="7" spans="1:35" x14ac:dyDescent="0.25">
      <c r="A7" t="s">
        <v>404</v>
      </c>
      <c r="B7" t="s">
        <v>539</v>
      </c>
      <c r="C7" t="str">
        <f t="shared" si="1"/>
        <v>VND</v>
      </c>
      <c r="F7" s="15">
        <f>PMT(E9,15,E5)</f>
        <v>-23114497993.931946</v>
      </c>
      <c r="G7" s="15">
        <f>F7</f>
        <v>-23114497993.931946</v>
      </c>
      <c r="H7" s="15">
        <f t="shared" ref="H7:AI7" si="3">G7</f>
        <v>-23114497993.931946</v>
      </c>
      <c r="I7" s="15">
        <f t="shared" si="3"/>
        <v>-23114497993.931946</v>
      </c>
      <c r="J7" s="15">
        <f t="shared" si="3"/>
        <v>-23114497993.931946</v>
      </c>
      <c r="K7" s="15">
        <f t="shared" si="3"/>
        <v>-23114497993.931946</v>
      </c>
      <c r="L7" s="15">
        <f t="shared" si="3"/>
        <v>-23114497993.931946</v>
      </c>
      <c r="M7" s="15">
        <f t="shared" si="3"/>
        <v>-23114497993.931946</v>
      </c>
      <c r="N7" s="15">
        <f t="shared" si="3"/>
        <v>-23114497993.931946</v>
      </c>
      <c r="O7" s="15">
        <f t="shared" si="3"/>
        <v>-23114497993.931946</v>
      </c>
      <c r="P7" s="15">
        <f t="shared" si="3"/>
        <v>-23114497993.931946</v>
      </c>
      <c r="Q7" s="15">
        <f t="shared" si="3"/>
        <v>-23114497993.931946</v>
      </c>
      <c r="R7" s="15">
        <f t="shared" si="3"/>
        <v>-23114497993.931946</v>
      </c>
      <c r="S7" s="15">
        <f t="shared" si="3"/>
        <v>-23114497993.931946</v>
      </c>
      <c r="T7" s="15">
        <f t="shared" si="3"/>
        <v>-23114497993.931946</v>
      </c>
      <c r="U7" s="15"/>
      <c r="V7" s="15"/>
      <c r="W7" s="15"/>
      <c r="X7" s="15"/>
      <c r="Y7" s="15"/>
      <c r="Z7" s="15"/>
      <c r="AA7" s="15"/>
      <c r="AB7" s="15"/>
      <c r="AC7" s="15"/>
      <c r="AD7" s="15"/>
      <c r="AE7" s="15"/>
      <c r="AF7" s="15"/>
      <c r="AG7" s="15"/>
      <c r="AH7" s="15"/>
      <c r="AI7" s="15"/>
    </row>
    <row r="8" spans="1:35" s="1" customFormat="1" x14ac:dyDescent="0.25">
      <c r="A8" s="1" t="s">
        <v>404</v>
      </c>
      <c r="B8" s="1" t="s">
        <v>541</v>
      </c>
      <c r="C8" s="1" t="str">
        <f t="shared" si="1"/>
        <v>VND</v>
      </c>
      <c r="E8" s="344">
        <f>E5+E7</f>
        <v>210524860000</v>
      </c>
      <c r="F8" s="344">
        <f>SUM(F5:F7)</f>
        <v>202147102206.06805</v>
      </c>
      <c r="G8" s="344">
        <f t="shared" ref="G8:AI8" si="4">SUM(G5:G7)</f>
        <v>193182901366.56088</v>
      </c>
      <c r="H8" s="344">
        <f t="shared" si="4"/>
        <v>183591206468.28821</v>
      </c>
      <c r="I8" s="344">
        <f t="shared" si="4"/>
        <v>173328092927.13644</v>
      </c>
      <c r="J8" s="344">
        <f t="shared" si="4"/>
        <v>162346561438.10406</v>
      </c>
      <c r="K8" s="344">
        <f t="shared" si="4"/>
        <v>150596322744.83942</v>
      </c>
      <c r="L8" s="344">
        <f t="shared" si="4"/>
        <v>138023567343.04623</v>
      </c>
      <c r="M8" s="344">
        <f t="shared" si="4"/>
        <v>124570719063.12753</v>
      </c>
      <c r="N8" s="344">
        <f t="shared" si="4"/>
        <v>110176171403.61452</v>
      </c>
      <c r="O8" s="344">
        <f t="shared" si="4"/>
        <v>94774005407.935593</v>
      </c>
      <c r="P8" s="344">
        <f t="shared" si="4"/>
        <v>78293687792.559143</v>
      </c>
      <c r="Q8" s="344">
        <f t="shared" si="4"/>
        <v>60659747944.106339</v>
      </c>
      <c r="R8" s="344">
        <f t="shared" si="4"/>
        <v>41791432306.261841</v>
      </c>
      <c r="S8" s="344">
        <f t="shared" si="4"/>
        <v>21602334573.768227</v>
      </c>
      <c r="T8" s="344">
        <f t="shared" si="4"/>
        <v>5.7220458984375E-5</v>
      </c>
      <c r="U8" s="344"/>
      <c r="V8" s="344"/>
      <c r="W8" s="344"/>
      <c r="X8" s="344"/>
      <c r="Y8" s="344"/>
      <c r="Z8" s="344"/>
      <c r="AA8" s="344"/>
      <c r="AB8" s="344"/>
      <c r="AC8" s="344"/>
      <c r="AD8" s="344"/>
      <c r="AE8" s="344"/>
      <c r="AF8" s="344"/>
      <c r="AG8" s="344"/>
      <c r="AH8" s="344"/>
      <c r="AI8" s="344"/>
    </row>
    <row r="9" spans="1:35" x14ac:dyDescent="0.25">
      <c r="A9" t="s">
        <v>404</v>
      </c>
      <c r="B9" t="s">
        <v>543</v>
      </c>
      <c r="E9" s="95">
        <f>SUMIFS('Cover Page'!$H$19:$AJ$19,'Cover Page'!$H$5:$AJ$5,$A9)</f>
        <v>7.0000000000000007E-2</v>
      </c>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row>
    <row r="10" spans="1:35" x14ac:dyDescent="0.25">
      <c r="A10" s="127" t="s">
        <v>405</v>
      </c>
      <c r="B10" s="127" t="s">
        <v>540</v>
      </c>
      <c r="C10" s="127" t="str">
        <f t="shared" si="1"/>
        <v>VND</v>
      </c>
      <c r="D10" s="127"/>
      <c r="E10" s="211">
        <f>SUMIFS('W1'!$G$60:$BC$60,'W1'!$G$7:$BC$7,"giá trị đầu tư",'W1'!$G$6:$BC$6,$A10)*SUMIFS('Cover Page'!$H$21:$AJ$21,'Cover Page'!$H$5:$AJ$5,$A10)</f>
        <v>315524860000</v>
      </c>
      <c r="F10" s="211">
        <f>E13</f>
        <v>315524860000</v>
      </c>
      <c r="G10" s="345">
        <f>F13</f>
        <v>302968666612.4624</v>
      </c>
      <c r="H10" s="345">
        <f t="shared" ref="H10" si="5">G13</f>
        <v>289533539687.79712</v>
      </c>
      <c r="I10" s="345">
        <f t="shared" ref="I10" si="6">H13</f>
        <v>275157953878.40527</v>
      </c>
      <c r="J10" s="345">
        <f t="shared" ref="J10" si="7">I13</f>
        <v>259776077062.35605</v>
      </c>
      <c r="K10" s="345">
        <f t="shared" ref="K10" si="8">J13</f>
        <v>243317468869.18332</v>
      </c>
      <c r="L10" s="345">
        <f t="shared" ref="L10" si="9">K13</f>
        <v>225706758102.48853</v>
      </c>
      <c r="M10" s="345">
        <f t="shared" ref="M10" si="10">L13</f>
        <v>206863297582.12509</v>
      </c>
      <c r="N10" s="345">
        <f t="shared" ref="N10" si="11">M13</f>
        <v>186700794825.33621</v>
      </c>
      <c r="O10" s="345">
        <f t="shared" ref="O10" si="12">N13</f>
        <v>165126916875.57211</v>
      </c>
      <c r="P10" s="345">
        <f t="shared" ref="P10" si="13">O13</f>
        <v>142042867469.32452</v>
      </c>
      <c r="Q10" s="345">
        <f t="shared" ref="Q10" si="14">P13</f>
        <v>117342934604.63962</v>
      </c>
      <c r="R10" s="345">
        <f t="shared" ref="R10" si="15">Q13</f>
        <v>90914006439.426758</v>
      </c>
      <c r="S10" s="345">
        <f t="shared" ref="S10" si="16">R13</f>
        <v>62635053302.649002</v>
      </c>
      <c r="T10" s="345">
        <f t="shared" ref="T10" si="17">S13</f>
        <v>32376573446.296806</v>
      </c>
      <c r="U10" s="345"/>
      <c r="V10" s="345"/>
      <c r="W10" s="345"/>
      <c r="X10" s="345"/>
      <c r="Y10" s="345"/>
      <c r="Z10" s="345"/>
      <c r="AA10" s="345"/>
      <c r="AB10" s="345"/>
      <c r="AC10" s="345"/>
      <c r="AD10" s="345"/>
      <c r="AE10" s="345"/>
      <c r="AF10" s="345"/>
      <c r="AG10" s="345"/>
      <c r="AH10" s="345"/>
      <c r="AI10" s="345"/>
    </row>
    <row r="11" spans="1:35" s="142" customFormat="1" x14ac:dyDescent="0.25">
      <c r="A11" s="348" t="s">
        <v>405</v>
      </c>
      <c r="B11" s="348" t="s">
        <v>542</v>
      </c>
      <c r="C11" s="348" t="str">
        <f t="shared" si="1"/>
        <v>VND</v>
      </c>
      <c r="D11" s="348"/>
      <c r="E11" s="349"/>
      <c r="F11" s="349">
        <f>E13*$E14</f>
        <v>22086740200.000004</v>
      </c>
      <c r="G11" s="349">
        <f t="shared" ref="G11" si="18">F13*$E14</f>
        <v>21207806662.872372</v>
      </c>
      <c r="H11" s="349">
        <f t="shared" ref="H11" si="19">G13*$E14</f>
        <v>20267347778.145802</v>
      </c>
      <c r="I11" s="349">
        <f t="shared" ref="I11" si="20">H13*$E14</f>
        <v>19261056771.488373</v>
      </c>
      <c r="J11" s="349">
        <f t="shared" ref="J11" si="21">I13*$E14</f>
        <v>18184325394.364925</v>
      </c>
      <c r="K11" s="349">
        <f t="shared" ref="K11" si="22">J13*$E14</f>
        <v>17032222820.842834</v>
      </c>
      <c r="L11" s="349">
        <f t="shared" ref="L11" si="23">K13*$E14</f>
        <v>15799473067.174198</v>
      </c>
      <c r="M11" s="349">
        <f t="shared" ref="M11" si="24">L13*$E14</f>
        <v>14480430830.748758</v>
      </c>
      <c r="N11" s="349">
        <f t="shared" ref="N11" si="25">M13*$E14</f>
        <v>13069055637.773537</v>
      </c>
      <c r="O11" s="349">
        <f t="shared" ref="O11" si="26">N13*$E14</f>
        <v>11558884181.290049</v>
      </c>
      <c r="P11" s="349">
        <f t="shared" ref="P11" si="27">O13*$E14</f>
        <v>9943000722.8527184</v>
      </c>
      <c r="Q11" s="349">
        <f t="shared" ref="Q11" si="28">P13*$E14</f>
        <v>8214005422.3247738</v>
      </c>
      <c r="R11" s="349">
        <f t="shared" ref="R11" si="29">Q13*$E14</f>
        <v>6363980450.7598734</v>
      </c>
      <c r="S11" s="349">
        <f t="shared" ref="S11" si="30">R13*$E14</f>
        <v>4384453731.1854305</v>
      </c>
      <c r="T11" s="349">
        <f t="shared" ref="T11" si="31">S13*$E14</f>
        <v>2266360141.2407765</v>
      </c>
      <c r="U11" s="349"/>
      <c r="V11" s="349"/>
      <c r="W11" s="349"/>
      <c r="X11" s="349"/>
      <c r="Y11" s="349"/>
      <c r="Z11" s="349"/>
      <c r="AA11" s="349"/>
      <c r="AB11" s="349"/>
      <c r="AC11" s="349"/>
      <c r="AD11" s="349"/>
      <c r="AE11" s="349"/>
      <c r="AF11" s="349"/>
      <c r="AG11" s="349"/>
      <c r="AH11" s="349"/>
      <c r="AI11" s="349"/>
    </row>
    <row r="12" spans="1:35" x14ac:dyDescent="0.25">
      <c r="A12" s="127" t="s">
        <v>405</v>
      </c>
      <c r="B12" s="127" t="s">
        <v>539</v>
      </c>
      <c r="C12" s="127" t="str">
        <f t="shared" si="1"/>
        <v>VND</v>
      </c>
      <c r="D12" s="127"/>
      <c r="E12" s="127"/>
      <c r="F12" s="211">
        <f>PMT(E14,15,E10)</f>
        <v>-34642933587.537628</v>
      </c>
      <c r="G12" s="211">
        <f>F12</f>
        <v>-34642933587.537628</v>
      </c>
      <c r="H12" s="211">
        <f t="shared" ref="H12" si="32">G12</f>
        <v>-34642933587.537628</v>
      </c>
      <c r="I12" s="211">
        <f t="shared" ref="I12" si="33">H12</f>
        <v>-34642933587.537628</v>
      </c>
      <c r="J12" s="211">
        <f t="shared" ref="J12" si="34">I12</f>
        <v>-34642933587.537628</v>
      </c>
      <c r="K12" s="211">
        <f t="shared" ref="K12" si="35">J12</f>
        <v>-34642933587.537628</v>
      </c>
      <c r="L12" s="211">
        <f t="shared" ref="L12" si="36">K12</f>
        <v>-34642933587.537628</v>
      </c>
      <c r="M12" s="211">
        <f t="shared" ref="M12" si="37">L12</f>
        <v>-34642933587.537628</v>
      </c>
      <c r="N12" s="211">
        <f t="shared" ref="N12" si="38">M12</f>
        <v>-34642933587.537628</v>
      </c>
      <c r="O12" s="211">
        <f t="shared" ref="O12" si="39">N12</f>
        <v>-34642933587.537628</v>
      </c>
      <c r="P12" s="211">
        <f t="shared" ref="P12" si="40">O12</f>
        <v>-34642933587.537628</v>
      </c>
      <c r="Q12" s="211">
        <f t="shared" ref="Q12" si="41">P12</f>
        <v>-34642933587.537628</v>
      </c>
      <c r="R12" s="211">
        <f t="shared" ref="R12" si="42">Q12</f>
        <v>-34642933587.537628</v>
      </c>
      <c r="S12" s="211">
        <f t="shared" ref="S12" si="43">R12</f>
        <v>-34642933587.537628</v>
      </c>
      <c r="T12" s="211">
        <f t="shared" ref="T12" si="44">S12</f>
        <v>-34642933587.537628</v>
      </c>
      <c r="U12" s="211"/>
      <c r="V12" s="211"/>
      <c r="W12" s="211"/>
      <c r="X12" s="211"/>
      <c r="Y12" s="211"/>
      <c r="Z12" s="211"/>
      <c r="AA12" s="211"/>
      <c r="AB12" s="211"/>
      <c r="AC12" s="211"/>
      <c r="AD12" s="211"/>
      <c r="AE12" s="211"/>
      <c r="AF12" s="211"/>
      <c r="AG12" s="211"/>
      <c r="AH12" s="211"/>
      <c r="AI12" s="211"/>
    </row>
    <row r="13" spans="1:35" s="1" customFormat="1" x14ac:dyDescent="0.25">
      <c r="A13" s="48" t="s">
        <v>405</v>
      </c>
      <c r="B13" s="48" t="s">
        <v>541</v>
      </c>
      <c r="C13" s="48" t="str">
        <f t="shared" si="1"/>
        <v>VND</v>
      </c>
      <c r="D13" s="48"/>
      <c r="E13" s="346">
        <f>E10+E12</f>
        <v>315524860000</v>
      </c>
      <c r="F13" s="346">
        <f>SUM(F10:F12)</f>
        <v>302968666612.4624</v>
      </c>
      <c r="G13" s="346">
        <f t="shared" ref="G13:AI13" si="45">SUM(G10:G12)</f>
        <v>289533539687.79712</v>
      </c>
      <c r="H13" s="346">
        <f t="shared" si="45"/>
        <v>275157953878.40527</v>
      </c>
      <c r="I13" s="346">
        <f t="shared" si="45"/>
        <v>259776077062.35605</v>
      </c>
      <c r="J13" s="346">
        <f t="shared" si="45"/>
        <v>243317468869.18332</v>
      </c>
      <c r="K13" s="346">
        <f t="shared" si="45"/>
        <v>225706758102.48853</v>
      </c>
      <c r="L13" s="346">
        <f t="shared" si="45"/>
        <v>206863297582.12509</v>
      </c>
      <c r="M13" s="346">
        <f t="shared" si="45"/>
        <v>186700794825.33621</v>
      </c>
      <c r="N13" s="346">
        <f t="shared" si="45"/>
        <v>165126916875.57211</v>
      </c>
      <c r="O13" s="346">
        <f t="shared" si="45"/>
        <v>142042867469.32452</v>
      </c>
      <c r="P13" s="346">
        <f t="shared" si="45"/>
        <v>117342934604.63962</v>
      </c>
      <c r="Q13" s="346">
        <f t="shared" si="45"/>
        <v>90914006439.426758</v>
      </c>
      <c r="R13" s="346">
        <f t="shared" si="45"/>
        <v>62635053302.649002</v>
      </c>
      <c r="S13" s="346">
        <f t="shared" si="45"/>
        <v>32376573446.296806</v>
      </c>
      <c r="T13" s="346">
        <f t="shared" si="45"/>
        <v>0</v>
      </c>
      <c r="U13" s="346"/>
      <c r="V13" s="346"/>
      <c r="W13" s="346"/>
      <c r="X13" s="346"/>
      <c r="Y13" s="346"/>
      <c r="Z13" s="346"/>
      <c r="AA13" s="346"/>
      <c r="AB13" s="346"/>
      <c r="AC13" s="346"/>
      <c r="AD13" s="346"/>
      <c r="AE13" s="346"/>
      <c r="AF13" s="346"/>
      <c r="AG13" s="346"/>
      <c r="AH13" s="346"/>
      <c r="AI13" s="346"/>
    </row>
    <row r="14" spans="1:35" x14ac:dyDescent="0.25">
      <c r="A14" s="127" t="s">
        <v>405</v>
      </c>
      <c r="B14" s="127" t="s">
        <v>543</v>
      </c>
      <c r="C14" s="127"/>
      <c r="D14" s="127"/>
      <c r="E14" s="347">
        <f>SUMIFS('Cover Page'!$H$19:$AJ$19,'Cover Page'!$H$5:$AJ$5,$A14)</f>
        <v>7.0000000000000007E-2</v>
      </c>
      <c r="F14" s="345"/>
      <c r="G14" s="345"/>
      <c r="H14" s="345"/>
      <c r="I14" s="345"/>
      <c r="J14" s="345"/>
      <c r="K14" s="345"/>
      <c r="L14" s="345"/>
      <c r="M14" s="345"/>
      <c r="N14" s="345"/>
      <c r="O14" s="345"/>
      <c r="P14" s="345"/>
      <c r="Q14" s="345"/>
      <c r="R14" s="345"/>
      <c r="S14" s="345"/>
      <c r="T14" s="345"/>
      <c r="U14" s="345"/>
      <c r="V14" s="345"/>
      <c r="W14" s="345"/>
      <c r="X14" s="345"/>
      <c r="Y14" s="345"/>
      <c r="Z14" s="345"/>
      <c r="AA14" s="345"/>
      <c r="AB14" s="345"/>
      <c r="AC14" s="345"/>
      <c r="AD14" s="345"/>
      <c r="AE14" s="345"/>
      <c r="AF14" s="345"/>
      <c r="AG14" s="345"/>
      <c r="AH14" s="345"/>
      <c r="AI14" s="345"/>
    </row>
    <row r="15" spans="1:35" x14ac:dyDescent="0.25">
      <c r="A15" t="s">
        <v>407</v>
      </c>
      <c r="B15" t="s">
        <v>540</v>
      </c>
      <c r="C15" t="str">
        <f t="shared" si="1"/>
        <v>VND</v>
      </c>
      <c r="E15" s="244">
        <f>SUMIFS('W1'!$G$60:$BC$60,'W1'!$G$7:$BC$7,"giá trị đầu tư",'W1'!$G$6:$BC$6,$A15)*SUMIFS('Cover Page'!$H$21:$AJ$21,'Cover Page'!$H$5:$AJ$5,$A15)</f>
        <v>210524860000</v>
      </c>
      <c r="F15" s="244">
        <f>E18</f>
        <v>210524860000</v>
      </c>
      <c r="G15" s="64">
        <f>F18</f>
        <v>202147102206.06805</v>
      </c>
      <c r="H15" s="64">
        <f t="shared" ref="H15" si="46">G18</f>
        <v>193182901366.56088</v>
      </c>
      <c r="I15" s="64">
        <f t="shared" ref="I15" si="47">H18</f>
        <v>183591206468.28821</v>
      </c>
      <c r="J15" s="64">
        <f t="shared" ref="J15" si="48">I18</f>
        <v>173328092927.13644</v>
      </c>
      <c r="K15" s="64">
        <f t="shared" ref="K15" si="49">J18</f>
        <v>162346561438.10406</v>
      </c>
      <c r="L15" s="64">
        <f t="shared" ref="L15" si="50">K18</f>
        <v>150596322744.83942</v>
      </c>
      <c r="M15" s="64">
        <f t="shared" ref="M15" si="51">L18</f>
        <v>138023567343.04623</v>
      </c>
      <c r="N15" s="64">
        <f t="shared" ref="N15" si="52">M18</f>
        <v>124570719063.12753</v>
      </c>
      <c r="O15" s="64">
        <f t="shared" ref="O15" si="53">N18</f>
        <v>110176171403.61452</v>
      </c>
      <c r="P15" s="64">
        <f t="shared" ref="P15" si="54">O18</f>
        <v>94774005407.935593</v>
      </c>
      <c r="Q15" s="64">
        <f t="shared" ref="Q15" si="55">P18</f>
        <v>78293687792.559143</v>
      </c>
      <c r="R15" s="64">
        <f t="shared" ref="R15" si="56">Q18</f>
        <v>60659747944.106339</v>
      </c>
      <c r="S15" s="64">
        <f t="shared" ref="S15" si="57">R18</f>
        <v>41791432306.261841</v>
      </c>
      <c r="T15" s="64">
        <f t="shared" ref="T15" si="58">S18</f>
        <v>21602334573.768227</v>
      </c>
      <c r="U15" s="64"/>
      <c r="V15" s="64"/>
      <c r="W15" s="64"/>
      <c r="X15" s="64"/>
      <c r="Y15" s="64"/>
      <c r="Z15" s="64"/>
      <c r="AA15" s="64"/>
      <c r="AB15" s="64"/>
      <c r="AC15" s="64"/>
      <c r="AD15" s="64"/>
      <c r="AE15" s="64"/>
      <c r="AF15" s="64"/>
      <c r="AG15" s="64"/>
      <c r="AH15" s="64"/>
      <c r="AI15" s="64"/>
    </row>
    <row r="16" spans="1:35" x14ac:dyDescent="0.25">
      <c r="A16" s="142" t="s">
        <v>407</v>
      </c>
      <c r="B16" s="142" t="s">
        <v>542</v>
      </c>
      <c r="C16" s="142" t="str">
        <f t="shared" si="1"/>
        <v>VND</v>
      </c>
      <c r="D16" s="142"/>
      <c r="E16" s="119"/>
      <c r="F16" s="119">
        <f>E18*$E19</f>
        <v>14736740200.000002</v>
      </c>
      <c r="G16" s="119">
        <f t="shared" ref="G16" si="59">F18*$E19</f>
        <v>14150297154.424765</v>
      </c>
      <c r="H16" s="119">
        <f t="shared" ref="H16" si="60">G18*$E19</f>
        <v>13522803095.659264</v>
      </c>
      <c r="I16" s="119">
        <f t="shared" ref="I16" si="61">H18*$E19</f>
        <v>12851384452.780176</v>
      </c>
      <c r="J16" s="119">
        <f t="shared" ref="J16" si="62">I18*$E19</f>
        <v>12132966504.899551</v>
      </c>
      <c r="K16" s="119">
        <f t="shared" ref="K16" si="63">J18*$E19</f>
        <v>11364259300.667286</v>
      </c>
      <c r="L16" s="119">
        <f t="shared" ref="L16" si="64">K18*$E19</f>
        <v>10541742592.13876</v>
      </c>
      <c r="M16" s="119">
        <f t="shared" ref="M16" si="65">L18*$E19</f>
        <v>9661649714.013237</v>
      </c>
      <c r="N16" s="119">
        <f t="shared" ref="N16" si="66">M18*$E19</f>
        <v>8719950334.4189281</v>
      </c>
      <c r="O16" s="119">
        <f t="shared" ref="O16" si="67">N18*$E19</f>
        <v>7712331998.2530165</v>
      </c>
      <c r="P16" s="119">
        <f t="shared" ref="P16" si="68">O18*$E19</f>
        <v>6634180378.5554924</v>
      </c>
      <c r="Q16" s="119">
        <f t="shared" ref="Q16" si="69">P18*$E19</f>
        <v>5480558145.4791403</v>
      </c>
      <c r="R16" s="119">
        <f t="shared" ref="R16" si="70">Q18*$E19</f>
        <v>4246182356.0874443</v>
      </c>
      <c r="S16" s="119">
        <f t="shared" ref="S16" si="71">R18*$E19</f>
        <v>2925400261.4383292</v>
      </c>
      <c r="T16" s="119">
        <f t="shared" ref="T16" si="72">S18*$E19</f>
        <v>1512163420.1637759</v>
      </c>
      <c r="U16" s="119"/>
      <c r="V16" s="119"/>
      <c r="W16" s="119"/>
      <c r="X16" s="119"/>
      <c r="Y16" s="119"/>
      <c r="Z16" s="119"/>
      <c r="AA16" s="119"/>
      <c r="AB16" s="119"/>
      <c r="AC16" s="119"/>
      <c r="AD16" s="119"/>
      <c r="AE16" s="119"/>
      <c r="AF16" s="119"/>
      <c r="AG16" s="119"/>
      <c r="AH16" s="119"/>
      <c r="AI16" s="119"/>
    </row>
    <row r="17" spans="1:35" x14ac:dyDescent="0.25">
      <c r="A17" t="s">
        <v>407</v>
      </c>
      <c r="B17" t="s">
        <v>539</v>
      </c>
      <c r="C17" t="str">
        <f t="shared" si="1"/>
        <v>VND</v>
      </c>
      <c r="F17" s="244">
        <f>PMT(E19,15,E15)</f>
        <v>-23114497993.931946</v>
      </c>
      <c r="G17" s="244">
        <f>F17</f>
        <v>-23114497993.931946</v>
      </c>
      <c r="H17" s="244">
        <f t="shared" ref="H17" si="73">G17</f>
        <v>-23114497993.931946</v>
      </c>
      <c r="I17" s="244">
        <f t="shared" ref="I17" si="74">H17</f>
        <v>-23114497993.931946</v>
      </c>
      <c r="J17" s="244">
        <f t="shared" ref="J17" si="75">I17</f>
        <v>-23114497993.931946</v>
      </c>
      <c r="K17" s="244">
        <f t="shared" ref="K17" si="76">J17</f>
        <v>-23114497993.931946</v>
      </c>
      <c r="L17" s="244">
        <f t="shared" ref="L17" si="77">K17</f>
        <v>-23114497993.931946</v>
      </c>
      <c r="M17" s="244">
        <f t="shared" ref="M17" si="78">L17</f>
        <v>-23114497993.931946</v>
      </c>
      <c r="N17" s="244">
        <f t="shared" ref="N17" si="79">M17</f>
        <v>-23114497993.931946</v>
      </c>
      <c r="O17" s="244">
        <f t="shared" ref="O17" si="80">N17</f>
        <v>-23114497993.931946</v>
      </c>
      <c r="P17" s="244">
        <f t="shared" ref="P17" si="81">O17</f>
        <v>-23114497993.931946</v>
      </c>
      <c r="Q17" s="244">
        <f t="shared" ref="Q17" si="82">P17</f>
        <v>-23114497993.931946</v>
      </c>
      <c r="R17" s="244">
        <f t="shared" ref="R17" si="83">Q17</f>
        <v>-23114497993.931946</v>
      </c>
      <c r="S17" s="244">
        <f t="shared" ref="S17" si="84">R17</f>
        <v>-23114497993.931946</v>
      </c>
      <c r="T17" s="244">
        <f t="shared" ref="T17" si="85">S17</f>
        <v>-23114497993.931946</v>
      </c>
      <c r="U17" s="244"/>
      <c r="V17" s="244"/>
      <c r="W17" s="244"/>
      <c r="X17" s="244"/>
      <c r="Y17" s="244"/>
      <c r="Z17" s="244"/>
      <c r="AA17" s="244"/>
      <c r="AB17" s="244"/>
      <c r="AC17" s="244"/>
      <c r="AD17" s="244"/>
      <c r="AE17" s="244"/>
      <c r="AF17" s="244"/>
      <c r="AG17" s="244"/>
      <c r="AH17" s="244"/>
      <c r="AI17" s="244"/>
    </row>
    <row r="18" spans="1:35" x14ac:dyDescent="0.25">
      <c r="A18" s="1" t="s">
        <v>407</v>
      </c>
      <c r="B18" s="1" t="s">
        <v>541</v>
      </c>
      <c r="C18" s="1" t="str">
        <f t="shared" si="1"/>
        <v>VND</v>
      </c>
      <c r="D18" s="1"/>
      <c r="E18" s="344">
        <f>E15+E17</f>
        <v>210524860000</v>
      </c>
      <c r="F18" s="344">
        <f>SUM(F15:F17)</f>
        <v>202147102206.06805</v>
      </c>
      <c r="G18" s="344">
        <f t="shared" ref="G18:AI18" si="86">SUM(G15:G17)</f>
        <v>193182901366.56088</v>
      </c>
      <c r="H18" s="344">
        <f t="shared" si="86"/>
        <v>183591206468.28821</v>
      </c>
      <c r="I18" s="344">
        <f t="shared" si="86"/>
        <v>173328092927.13644</v>
      </c>
      <c r="J18" s="344">
        <f t="shared" si="86"/>
        <v>162346561438.10406</v>
      </c>
      <c r="K18" s="344">
        <f t="shared" si="86"/>
        <v>150596322744.83942</v>
      </c>
      <c r="L18" s="344">
        <f t="shared" si="86"/>
        <v>138023567343.04623</v>
      </c>
      <c r="M18" s="344">
        <f t="shared" si="86"/>
        <v>124570719063.12753</v>
      </c>
      <c r="N18" s="344">
        <f t="shared" si="86"/>
        <v>110176171403.61452</v>
      </c>
      <c r="O18" s="344">
        <f t="shared" si="86"/>
        <v>94774005407.935593</v>
      </c>
      <c r="P18" s="344">
        <f t="shared" si="86"/>
        <v>78293687792.559143</v>
      </c>
      <c r="Q18" s="344">
        <f t="shared" si="86"/>
        <v>60659747944.106339</v>
      </c>
      <c r="R18" s="344">
        <f t="shared" si="86"/>
        <v>41791432306.261841</v>
      </c>
      <c r="S18" s="344">
        <f t="shared" si="86"/>
        <v>21602334573.768227</v>
      </c>
      <c r="T18" s="344">
        <f t="shared" si="86"/>
        <v>5.7220458984375E-5</v>
      </c>
      <c r="U18" s="344"/>
      <c r="V18" s="344"/>
      <c r="W18" s="344"/>
      <c r="X18" s="344"/>
      <c r="Y18" s="344"/>
      <c r="Z18" s="344"/>
      <c r="AA18" s="344"/>
      <c r="AB18" s="344"/>
      <c r="AC18" s="344"/>
      <c r="AD18" s="344"/>
      <c r="AE18" s="344"/>
      <c r="AF18" s="344"/>
      <c r="AG18" s="344"/>
      <c r="AH18" s="344"/>
      <c r="AI18" s="344"/>
    </row>
    <row r="19" spans="1:35" x14ac:dyDescent="0.25">
      <c r="A19" t="s">
        <v>407</v>
      </c>
      <c r="B19" t="s">
        <v>543</v>
      </c>
      <c r="E19" s="95">
        <f>SUMIFS('Cover Page'!$H$19:$AJ$19,'Cover Page'!$H$5:$AJ$5,$A19)</f>
        <v>7.0000000000000007E-2</v>
      </c>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344"/>
      <c r="AF19" s="344"/>
      <c r="AG19" s="344"/>
      <c r="AH19" s="344"/>
      <c r="AI19" s="344"/>
    </row>
    <row r="20" spans="1:35" x14ac:dyDescent="0.25">
      <c r="A20" s="127" t="s">
        <v>692</v>
      </c>
      <c r="B20" s="127" t="s">
        <v>540</v>
      </c>
      <c r="C20" s="127" t="str">
        <f t="shared" si="1"/>
        <v>VND</v>
      </c>
      <c r="D20" s="127"/>
      <c r="E20" s="211">
        <f>SUMIFS('W1'!$G$60:$BC$60,'W1'!$G$7:$BC$7,"giá trị đầu tư",'W1'!$G$6:$BC$6,$A20)*SUMIFS('Cover Page'!$H$21:$AJ$21,'Cover Page'!$H$5:$AJ$5,$A20)</f>
        <v>315524860000</v>
      </c>
      <c r="F20" s="211">
        <f>E23</f>
        <v>315524860000</v>
      </c>
      <c r="G20" s="345">
        <f>F23</f>
        <v>302968666612.4624</v>
      </c>
      <c r="H20" s="345">
        <f t="shared" ref="H20" si="87">G23</f>
        <v>289533539687.79712</v>
      </c>
      <c r="I20" s="345">
        <f t="shared" ref="I20" si="88">H23</f>
        <v>275157953878.40527</v>
      </c>
      <c r="J20" s="345">
        <f t="shared" ref="J20" si="89">I23</f>
        <v>259776077062.35605</v>
      </c>
      <c r="K20" s="345">
        <f t="shared" ref="K20" si="90">J23</f>
        <v>243317468869.18332</v>
      </c>
      <c r="L20" s="345">
        <f t="shared" ref="L20" si="91">K23</f>
        <v>225706758102.48853</v>
      </c>
      <c r="M20" s="345">
        <f t="shared" ref="M20" si="92">L23</f>
        <v>206863297582.12509</v>
      </c>
      <c r="N20" s="345">
        <f t="shared" ref="N20" si="93">M23</f>
        <v>186700794825.33621</v>
      </c>
      <c r="O20" s="345">
        <f t="shared" ref="O20" si="94">N23</f>
        <v>165126916875.57211</v>
      </c>
      <c r="P20" s="345">
        <f t="shared" ref="P20" si="95">O23</f>
        <v>142042867469.32452</v>
      </c>
      <c r="Q20" s="345">
        <f t="shared" ref="Q20" si="96">P23</f>
        <v>117342934604.63962</v>
      </c>
      <c r="R20" s="345">
        <f t="shared" ref="R20" si="97">Q23</f>
        <v>90914006439.426758</v>
      </c>
      <c r="S20" s="345">
        <f t="shared" ref="S20" si="98">R23</f>
        <v>62635053302.649002</v>
      </c>
      <c r="T20" s="345">
        <f t="shared" ref="T20" si="99">S23</f>
        <v>32376573446.296806</v>
      </c>
      <c r="U20" s="345"/>
      <c r="V20" s="345"/>
      <c r="W20" s="345"/>
      <c r="X20" s="345"/>
      <c r="Y20" s="345"/>
      <c r="Z20" s="345"/>
      <c r="AA20" s="345"/>
      <c r="AB20" s="345"/>
      <c r="AC20" s="345"/>
      <c r="AD20" s="345"/>
      <c r="AE20" s="345"/>
      <c r="AF20" s="345"/>
      <c r="AG20" s="345"/>
      <c r="AH20" s="345"/>
      <c r="AI20" s="345"/>
    </row>
    <row r="21" spans="1:35" x14ac:dyDescent="0.25">
      <c r="A21" s="348" t="s">
        <v>692</v>
      </c>
      <c r="B21" s="348" t="s">
        <v>542</v>
      </c>
      <c r="C21" s="348" t="str">
        <f t="shared" si="1"/>
        <v>VND</v>
      </c>
      <c r="D21" s="348"/>
      <c r="E21" s="349"/>
      <c r="F21" s="349">
        <f>E23*$E24</f>
        <v>22086740200.000004</v>
      </c>
      <c r="G21" s="349">
        <f t="shared" ref="G21" si="100">F23*$E24</f>
        <v>21207806662.872372</v>
      </c>
      <c r="H21" s="349">
        <f t="shared" ref="H21" si="101">G23*$E24</f>
        <v>20267347778.145802</v>
      </c>
      <c r="I21" s="349">
        <f t="shared" ref="I21" si="102">H23*$E24</f>
        <v>19261056771.488373</v>
      </c>
      <c r="J21" s="349">
        <f t="shared" ref="J21" si="103">I23*$E24</f>
        <v>18184325394.364925</v>
      </c>
      <c r="K21" s="349">
        <f t="shared" ref="K21" si="104">J23*$E24</f>
        <v>17032222820.842834</v>
      </c>
      <c r="L21" s="349">
        <f t="shared" ref="L21" si="105">K23*$E24</f>
        <v>15799473067.174198</v>
      </c>
      <c r="M21" s="349">
        <f t="shared" ref="M21" si="106">L23*$E24</f>
        <v>14480430830.748758</v>
      </c>
      <c r="N21" s="349">
        <f t="shared" ref="N21" si="107">M23*$E24</f>
        <v>13069055637.773537</v>
      </c>
      <c r="O21" s="349">
        <f t="shared" ref="O21" si="108">N23*$E24</f>
        <v>11558884181.290049</v>
      </c>
      <c r="P21" s="349">
        <f t="shared" ref="P21" si="109">O23*$E24</f>
        <v>9943000722.8527184</v>
      </c>
      <c r="Q21" s="349">
        <f t="shared" ref="Q21" si="110">P23*$E24</f>
        <v>8214005422.3247738</v>
      </c>
      <c r="R21" s="349">
        <f t="shared" ref="R21" si="111">Q23*$E24</f>
        <v>6363980450.7598734</v>
      </c>
      <c r="S21" s="349">
        <f t="shared" ref="S21" si="112">R23*$E24</f>
        <v>4384453731.1854305</v>
      </c>
      <c r="T21" s="349">
        <f t="shared" ref="T21" si="113">S23*$E24</f>
        <v>2266360141.2407765</v>
      </c>
      <c r="U21" s="349"/>
      <c r="V21" s="349"/>
      <c r="W21" s="349"/>
      <c r="X21" s="349"/>
      <c r="Y21" s="349"/>
      <c r="Z21" s="349"/>
      <c r="AA21" s="349"/>
      <c r="AB21" s="349"/>
      <c r="AC21" s="349"/>
      <c r="AD21" s="349"/>
      <c r="AE21" s="349"/>
      <c r="AF21" s="349"/>
      <c r="AG21" s="349"/>
      <c r="AH21" s="349"/>
      <c r="AI21" s="349"/>
    </row>
    <row r="22" spans="1:35" x14ac:dyDescent="0.25">
      <c r="A22" s="127" t="s">
        <v>692</v>
      </c>
      <c r="B22" s="127" t="s">
        <v>539</v>
      </c>
      <c r="C22" s="127" t="str">
        <f t="shared" si="1"/>
        <v>VND</v>
      </c>
      <c r="D22" s="127"/>
      <c r="E22" s="127"/>
      <c r="F22" s="211">
        <f>PMT(E24,15,E20)</f>
        <v>-34642933587.537628</v>
      </c>
      <c r="G22" s="211">
        <f>F22</f>
        <v>-34642933587.537628</v>
      </c>
      <c r="H22" s="211">
        <f t="shared" ref="H22" si="114">G22</f>
        <v>-34642933587.537628</v>
      </c>
      <c r="I22" s="211">
        <f t="shared" ref="I22" si="115">H22</f>
        <v>-34642933587.537628</v>
      </c>
      <c r="J22" s="211">
        <f t="shared" ref="J22" si="116">I22</f>
        <v>-34642933587.537628</v>
      </c>
      <c r="K22" s="211">
        <f t="shared" ref="K22" si="117">J22</f>
        <v>-34642933587.537628</v>
      </c>
      <c r="L22" s="211">
        <f t="shared" ref="L22" si="118">K22</f>
        <v>-34642933587.537628</v>
      </c>
      <c r="M22" s="211">
        <f t="shared" ref="M22" si="119">L22</f>
        <v>-34642933587.537628</v>
      </c>
      <c r="N22" s="211">
        <f t="shared" ref="N22" si="120">M22</f>
        <v>-34642933587.537628</v>
      </c>
      <c r="O22" s="211">
        <f t="shared" ref="O22" si="121">N22</f>
        <v>-34642933587.537628</v>
      </c>
      <c r="P22" s="211">
        <f t="shared" ref="P22" si="122">O22</f>
        <v>-34642933587.537628</v>
      </c>
      <c r="Q22" s="211">
        <f t="shared" ref="Q22" si="123">P22</f>
        <v>-34642933587.537628</v>
      </c>
      <c r="R22" s="211">
        <f t="shared" ref="R22" si="124">Q22</f>
        <v>-34642933587.537628</v>
      </c>
      <c r="S22" s="211">
        <f t="shared" ref="S22" si="125">R22</f>
        <v>-34642933587.537628</v>
      </c>
      <c r="T22" s="211">
        <f t="shared" ref="T22" si="126">S22</f>
        <v>-34642933587.537628</v>
      </c>
      <c r="U22" s="211"/>
      <c r="V22" s="211"/>
      <c r="W22" s="211"/>
      <c r="X22" s="211"/>
      <c r="Y22" s="211"/>
      <c r="Z22" s="211"/>
      <c r="AA22" s="211"/>
      <c r="AB22" s="211"/>
      <c r="AC22" s="211"/>
      <c r="AD22" s="211"/>
      <c r="AE22" s="211"/>
      <c r="AF22" s="211"/>
      <c r="AG22" s="211"/>
      <c r="AH22" s="211"/>
      <c r="AI22" s="211"/>
    </row>
    <row r="23" spans="1:35" x14ac:dyDescent="0.25">
      <c r="A23" s="48" t="s">
        <v>692</v>
      </c>
      <c r="B23" s="48" t="s">
        <v>541</v>
      </c>
      <c r="C23" s="48" t="str">
        <f t="shared" si="1"/>
        <v>VND</v>
      </c>
      <c r="D23" s="48"/>
      <c r="E23" s="346">
        <f>E20+E22</f>
        <v>315524860000</v>
      </c>
      <c r="F23" s="346">
        <f>SUM(F20:F22)</f>
        <v>302968666612.4624</v>
      </c>
      <c r="G23" s="346">
        <f t="shared" ref="G23:AI23" si="127">SUM(G20:G22)</f>
        <v>289533539687.79712</v>
      </c>
      <c r="H23" s="346">
        <f t="shared" si="127"/>
        <v>275157953878.40527</v>
      </c>
      <c r="I23" s="346">
        <f t="shared" si="127"/>
        <v>259776077062.35605</v>
      </c>
      <c r="J23" s="346">
        <f t="shared" si="127"/>
        <v>243317468869.18332</v>
      </c>
      <c r="K23" s="346">
        <f t="shared" si="127"/>
        <v>225706758102.48853</v>
      </c>
      <c r="L23" s="346">
        <f t="shared" si="127"/>
        <v>206863297582.12509</v>
      </c>
      <c r="M23" s="346">
        <f t="shared" si="127"/>
        <v>186700794825.33621</v>
      </c>
      <c r="N23" s="346">
        <f t="shared" si="127"/>
        <v>165126916875.57211</v>
      </c>
      <c r="O23" s="346">
        <f t="shared" si="127"/>
        <v>142042867469.32452</v>
      </c>
      <c r="P23" s="346">
        <f t="shared" si="127"/>
        <v>117342934604.63962</v>
      </c>
      <c r="Q23" s="346">
        <f t="shared" si="127"/>
        <v>90914006439.426758</v>
      </c>
      <c r="R23" s="346">
        <f t="shared" si="127"/>
        <v>62635053302.649002</v>
      </c>
      <c r="S23" s="346">
        <f t="shared" si="127"/>
        <v>32376573446.296806</v>
      </c>
      <c r="T23" s="346">
        <f t="shared" si="127"/>
        <v>0</v>
      </c>
      <c r="U23" s="346"/>
      <c r="V23" s="346"/>
      <c r="W23" s="346"/>
      <c r="X23" s="346"/>
      <c r="Y23" s="346"/>
      <c r="Z23" s="346"/>
      <c r="AA23" s="346"/>
      <c r="AB23" s="346"/>
      <c r="AC23" s="346"/>
      <c r="AD23" s="346"/>
      <c r="AE23" s="346"/>
      <c r="AF23" s="346"/>
      <c r="AG23" s="346"/>
      <c r="AH23" s="346"/>
      <c r="AI23" s="346"/>
    </row>
    <row r="24" spans="1:35" x14ac:dyDescent="0.25">
      <c r="A24" s="127" t="s">
        <v>692</v>
      </c>
      <c r="B24" s="127" t="s">
        <v>543</v>
      </c>
      <c r="C24" s="127"/>
      <c r="D24" s="127"/>
      <c r="E24" s="347">
        <f>SUMIFS('Cover Page'!$H$19:$AJ$19,'Cover Page'!$H$5:$AJ$5,$A24)</f>
        <v>7.0000000000000007E-2</v>
      </c>
      <c r="F24" s="345"/>
      <c r="G24" s="345"/>
      <c r="H24" s="345"/>
      <c r="I24" s="345"/>
      <c r="J24" s="345"/>
      <c r="K24" s="345"/>
      <c r="L24" s="345"/>
      <c r="M24" s="345"/>
      <c r="N24" s="345"/>
      <c r="O24" s="345"/>
      <c r="P24" s="345"/>
      <c r="Q24" s="345"/>
      <c r="R24" s="345"/>
      <c r="S24" s="345"/>
      <c r="T24" s="345"/>
      <c r="U24" s="345"/>
      <c r="V24" s="345"/>
      <c r="W24" s="345"/>
      <c r="X24" s="345"/>
      <c r="Y24" s="345"/>
      <c r="Z24" s="345"/>
      <c r="AA24" s="345"/>
      <c r="AB24" s="345"/>
      <c r="AC24" s="345"/>
      <c r="AD24" s="345"/>
      <c r="AE24" s="345"/>
      <c r="AF24" s="345"/>
      <c r="AG24" s="345"/>
      <c r="AH24" s="345"/>
      <c r="AI24" s="345"/>
    </row>
    <row r="25" spans="1:35" x14ac:dyDescent="0.25">
      <c r="A25" t="s">
        <v>693</v>
      </c>
      <c r="B25" t="s">
        <v>540</v>
      </c>
      <c r="C25" t="str">
        <f t="shared" si="1"/>
        <v>VND</v>
      </c>
      <c r="E25" s="244">
        <f>SUMIFS('W1'!$G$60:$BC$60,'W1'!$G$7:$BC$7,"giá trị đầu tư",'W1'!$G$6:$BC$6,$A25)*SUMIFS('Cover Page'!$H$21:$AJ$21,'Cover Page'!$H$5:$AJ$5,$A25)</f>
        <v>210524860000</v>
      </c>
      <c r="F25" s="244">
        <f>E28</f>
        <v>210524860000</v>
      </c>
      <c r="G25" s="64">
        <f>F28</f>
        <v>202147102206.06805</v>
      </c>
      <c r="H25" s="64">
        <f t="shared" ref="H25" si="128">G28</f>
        <v>193182901366.56088</v>
      </c>
      <c r="I25" s="64">
        <f t="shared" ref="I25" si="129">H28</f>
        <v>183591206468.28821</v>
      </c>
      <c r="J25" s="64">
        <f t="shared" ref="J25" si="130">I28</f>
        <v>173328092927.13644</v>
      </c>
      <c r="K25" s="64">
        <f t="shared" ref="K25" si="131">J28</f>
        <v>162346561438.10406</v>
      </c>
      <c r="L25" s="64">
        <f t="shared" ref="L25" si="132">K28</f>
        <v>150596322744.83942</v>
      </c>
      <c r="M25" s="64">
        <f t="shared" ref="M25" si="133">L28</f>
        <v>138023567343.04623</v>
      </c>
      <c r="N25" s="64">
        <f t="shared" ref="N25" si="134">M28</f>
        <v>124570719063.12753</v>
      </c>
      <c r="O25" s="64">
        <f t="shared" ref="O25" si="135">N28</f>
        <v>110176171403.61452</v>
      </c>
      <c r="P25" s="64">
        <f t="shared" ref="P25" si="136">O28</f>
        <v>94774005407.935593</v>
      </c>
      <c r="Q25" s="64">
        <f t="shared" ref="Q25" si="137">P28</f>
        <v>78293687792.559143</v>
      </c>
      <c r="R25" s="64">
        <f t="shared" ref="R25" si="138">Q28</f>
        <v>60659747944.106339</v>
      </c>
      <c r="S25" s="64">
        <f t="shared" ref="S25" si="139">R28</f>
        <v>41791432306.261841</v>
      </c>
      <c r="T25" s="64">
        <f t="shared" ref="T25" si="140">S28</f>
        <v>21602334573.768227</v>
      </c>
      <c r="U25" s="64"/>
      <c r="V25" s="64"/>
      <c r="W25" s="64"/>
      <c r="X25" s="64"/>
      <c r="Y25" s="64"/>
      <c r="Z25" s="64"/>
      <c r="AA25" s="64"/>
      <c r="AB25" s="64"/>
      <c r="AC25" s="64"/>
      <c r="AD25" s="64"/>
      <c r="AE25" s="64"/>
      <c r="AF25" s="64"/>
      <c r="AG25" s="64"/>
      <c r="AH25" s="64"/>
      <c r="AI25" s="64"/>
    </row>
    <row r="26" spans="1:35" x14ac:dyDescent="0.25">
      <c r="A26" s="142" t="s">
        <v>693</v>
      </c>
      <c r="B26" s="142" t="s">
        <v>542</v>
      </c>
      <c r="C26" s="142" t="str">
        <f t="shared" si="1"/>
        <v>VND</v>
      </c>
      <c r="D26" s="142"/>
      <c r="E26" s="119"/>
      <c r="F26" s="119">
        <f>E28*$E29</f>
        <v>14736740200.000002</v>
      </c>
      <c r="G26" s="119">
        <f t="shared" ref="G26" si="141">F28*$E29</f>
        <v>14150297154.424765</v>
      </c>
      <c r="H26" s="119">
        <f t="shared" ref="H26" si="142">G28*$E29</f>
        <v>13522803095.659264</v>
      </c>
      <c r="I26" s="119">
        <f t="shared" ref="I26" si="143">H28*$E29</f>
        <v>12851384452.780176</v>
      </c>
      <c r="J26" s="119">
        <f t="shared" ref="J26" si="144">I28*$E29</f>
        <v>12132966504.899551</v>
      </c>
      <c r="K26" s="119">
        <f t="shared" ref="K26" si="145">J28*$E29</f>
        <v>11364259300.667286</v>
      </c>
      <c r="L26" s="119">
        <f t="shared" ref="L26" si="146">K28*$E29</f>
        <v>10541742592.13876</v>
      </c>
      <c r="M26" s="119">
        <f t="shared" ref="M26" si="147">L28*$E29</f>
        <v>9661649714.013237</v>
      </c>
      <c r="N26" s="119">
        <f t="shared" ref="N26" si="148">M28*$E29</f>
        <v>8719950334.4189281</v>
      </c>
      <c r="O26" s="119">
        <f t="shared" ref="O26" si="149">N28*$E29</f>
        <v>7712331998.2530165</v>
      </c>
      <c r="P26" s="119">
        <f t="shared" ref="P26" si="150">O28*$E29</f>
        <v>6634180378.5554924</v>
      </c>
      <c r="Q26" s="119">
        <f t="shared" ref="Q26" si="151">P28*$E29</f>
        <v>5480558145.4791403</v>
      </c>
      <c r="R26" s="119">
        <f t="shared" ref="R26" si="152">Q28*$E29</f>
        <v>4246182356.0874443</v>
      </c>
      <c r="S26" s="119">
        <f t="shared" ref="S26" si="153">R28*$E29</f>
        <v>2925400261.4383292</v>
      </c>
      <c r="T26" s="119">
        <f t="shared" ref="T26" si="154">S28*$E29</f>
        <v>1512163420.1637759</v>
      </c>
      <c r="U26" s="119"/>
      <c r="V26" s="119"/>
      <c r="W26" s="119"/>
      <c r="X26" s="119"/>
      <c r="Y26" s="119"/>
      <c r="Z26" s="119"/>
      <c r="AA26" s="119"/>
      <c r="AB26" s="119"/>
      <c r="AC26" s="119"/>
      <c r="AD26" s="119"/>
      <c r="AE26" s="119"/>
      <c r="AF26" s="119"/>
      <c r="AG26" s="119"/>
      <c r="AH26" s="119"/>
      <c r="AI26" s="119"/>
    </row>
    <row r="27" spans="1:35" x14ac:dyDescent="0.25">
      <c r="A27" t="s">
        <v>693</v>
      </c>
      <c r="B27" t="s">
        <v>539</v>
      </c>
      <c r="C27" t="str">
        <f t="shared" si="1"/>
        <v>VND</v>
      </c>
      <c r="F27" s="244">
        <f>PMT(E29,15,E25)</f>
        <v>-23114497993.931946</v>
      </c>
      <c r="G27" s="244">
        <f>F27</f>
        <v>-23114497993.931946</v>
      </c>
      <c r="H27" s="244">
        <f t="shared" ref="H27" si="155">G27</f>
        <v>-23114497993.931946</v>
      </c>
      <c r="I27" s="244">
        <f t="shared" ref="I27" si="156">H27</f>
        <v>-23114497993.931946</v>
      </c>
      <c r="J27" s="244">
        <f t="shared" ref="J27" si="157">I27</f>
        <v>-23114497993.931946</v>
      </c>
      <c r="K27" s="244">
        <f t="shared" ref="K27" si="158">J27</f>
        <v>-23114497993.931946</v>
      </c>
      <c r="L27" s="244">
        <f t="shared" ref="L27" si="159">K27</f>
        <v>-23114497993.931946</v>
      </c>
      <c r="M27" s="244">
        <f t="shared" ref="M27" si="160">L27</f>
        <v>-23114497993.931946</v>
      </c>
      <c r="N27" s="244">
        <f t="shared" ref="N27" si="161">M27</f>
        <v>-23114497993.931946</v>
      </c>
      <c r="O27" s="244">
        <f t="shared" ref="O27" si="162">N27</f>
        <v>-23114497993.931946</v>
      </c>
      <c r="P27" s="244">
        <f t="shared" ref="P27" si="163">O27</f>
        <v>-23114497993.931946</v>
      </c>
      <c r="Q27" s="244">
        <f t="shared" ref="Q27" si="164">P27</f>
        <v>-23114497993.931946</v>
      </c>
      <c r="R27" s="244">
        <f t="shared" ref="R27" si="165">Q27</f>
        <v>-23114497993.931946</v>
      </c>
      <c r="S27" s="244">
        <f t="shared" ref="S27" si="166">R27</f>
        <v>-23114497993.931946</v>
      </c>
      <c r="T27" s="244">
        <f t="shared" ref="T27" si="167">S27</f>
        <v>-23114497993.931946</v>
      </c>
      <c r="U27" s="244"/>
      <c r="V27" s="244"/>
      <c r="W27" s="244"/>
      <c r="X27" s="244"/>
      <c r="Y27" s="244"/>
      <c r="Z27" s="244"/>
      <c r="AA27" s="244"/>
      <c r="AB27" s="244"/>
      <c r="AC27" s="244"/>
      <c r="AD27" s="244"/>
      <c r="AE27" s="244"/>
      <c r="AF27" s="244"/>
      <c r="AG27" s="244"/>
      <c r="AH27" s="244"/>
      <c r="AI27" s="244"/>
    </row>
    <row r="28" spans="1:35" x14ac:dyDescent="0.25">
      <c r="A28" s="1" t="s">
        <v>693</v>
      </c>
      <c r="B28" s="1" t="s">
        <v>541</v>
      </c>
      <c r="C28" s="1" t="str">
        <f t="shared" si="1"/>
        <v>VND</v>
      </c>
      <c r="D28" s="1"/>
      <c r="E28" s="344">
        <f>E25+E27</f>
        <v>210524860000</v>
      </c>
      <c r="F28" s="344">
        <f>SUM(F25:F27)</f>
        <v>202147102206.06805</v>
      </c>
      <c r="G28" s="344">
        <f t="shared" ref="G28:AI28" si="168">SUM(G25:G27)</f>
        <v>193182901366.56088</v>
      </c>
      <c r="H28" s="344">
        <f t="shared" si="168"/>
        <v>183591206468.28821</v>
      </c>
      <c r="I28" s="344">
        <f t="shared" si="168"/>
        <v>173328092927.13644</v>
      </c>
      <c r="J28" s="344">
        <f t="shared" si="168"/>
        <v>162346561438.10406</v>
      </c>
      <c r="K28" s="344">
        <f t="shared" si="168"/>
        <v>150596322744.83942</v>
      </c>
      <c r="L28" s="344">
        <f t="shared" si="168"/>
        <v>138023567343.04623</v>
      </c>
      <c r="M28" s="344">
        <f t="shared" si="168"/>
        <v>124570719063.12753</v>
      </c>
      <c r="N28" s="344">
        <f t="shared" si="168"/>
        <v>110176171403.61452</v>
      </c>
      <c r="O28" s="344">
        <f t="shared" si="168"/>
        <v>94774005407.935593</v>
      </c>
      <c r="P28" s="344">
        <f t="shared" si="168"/>
        <v>78293687792.559143</v>
      </c>
      <c r="Q28" s="344">
        <f t="shared" si="168"/>
        <v>60659747944.106339</v>
      </c>
      <c r="R28" s="344">
        <f t="shared" si="168"/>
        <v>41791432306.261841</v>
      </c>
      <c r="S28" s="344">
        <f t="shared" si="168"/>
        <v>21602334573.768227</v>
      </c>
      <c r="T28" s="344">
        <f t="shared" si="168"/>
        <v>5.7220458984375E-5</v>
      </c>
      <c r="U28" s="344"/>
      <c r="V28" s="344"/>
      <c r="W28" s="344"/>
      <c r="X28" s="344"/>
      <c r="Y28" s="344"/>
      <c r="Z28" s="344"/>
      <c r="AA28" s="344"/>
      <c r="AB28" s="344"/>
      <c r="AC28" s="344"/>
      <c r="AD28" s="344"/>
      <c r="AE28" s="344"/>
      <c r="AF28" s="344"/>
      <c r="AG28" s="344"/>
      <c r="AH28" s="344"/>
      <c r="AI28" s="344"/>
    </row>
    <row r="29" spans="1:35" x14ac:dyDescent="0.25">
      <c r="A29" t="s">
        <v>693</v>
      </c>
      <c r="B29" t="s">
        <v>543</v>
      </c>
      <c r="E29" s="95">
        <f>SUMIFS('Cover Page'!$H$19:$AJ$19,'Cover Page'!$H$5:$AJ$5,$A29)</f>
        <v>7.0000000000000007E-2</v>
      </c>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row>
    <row r="30" spans="1:35" x14ac:dyDescent="0.25">
      <c r="A30" s="127" t="s">
        <v>694</v>
      </c>
      <c r="B30" s="127" t="s">
        <v>540</v>
      </c>
      <c r="C30" s="127" t="str">
        <f t="shared" si="1"/>
        <v>VND</v>
      </c>
      <c r="D30" s="127"/>
      <c r="E30" s="211">
        <f>SUMIFS('W1'!$G$60:$BC$60,'W1'!$G$7:$BC$7,"giá trị đầu tư",'W1'!$G$6:$BC$6,$A30)*SUMIFS('Cover Page'!$H$21:$AJ$21,'Cover Page'!$H$5:$AJ$5,$A30)</f>
        <v>315524860000</v>
      </c>
      <c r="F30" s="211">
        <f>E33</f>
        <v>315524860000</v>
      </c>
      <c r="G30" s="345">
        <f>F33</f>
        <v>302968666612.4624</v>
      </c>
      <c r="H30" s="345">
        <f t="shared" ref="H30" si="169">G33</f>
        <v>289533539687.79712</v>
      </c>
      <c r="I30" s="345">
        <f t="shared" ref="I30" si="170">H33</f>
        <v>275157953878.40527</v>
      </c>
      <c r="J30" s="345">
        <f t="shared" ref="J30" si="171">I33</f>
        <v>259776077062.35605</v>
      </c>
      <c r="K30" s="345">
        <f t="shared" ref="K30" si="172">J33</f>
        <v>243317468869.18332</v>
      </c>
      <c r="L30" s="345">
        <f t="shared" ref="L30" si="173">K33</f>
        <v>225706758102.48853</v>
      </c>
      <c r="M30" s="345">
        <f t="shared" ref="M30" si="174">L33</f>
        <v>206863297582.12509</v>
      </c>
      <c r="N30" s="345">
        <f t="shared" ref="N30" si="175">M33</f>
        <v>186700794825.33621</v>
      </c>
      <c r="O30" s="345">
        <f t="shared" ref="O30" si="176">N33</f>
        <v>165126916875.57211</v>
      </c>
      <c r="P30" s="345">
        <f t="shared" ref="P30" si="177">O33</f>
        <v>142042867469.32452</v>
      </c>
      <c r="Q30" s="345">
        <f t="shared" ref="Q30" si="178">P33</f>
        <v>117342934604.63962</v>
      </c>
      <c r="R30" s="345">
        <f t="shared" ref="R30" si="179">Q33</f>
        <v>90914006439.426758</v>
      </c>
      <c r="S30" s="345">
        <f t="shared" ref="S30" si="180">R33</f>
        <v>62635053302.649002</v>
      </c>
      <c r="T30" s="345">
        <f t="shared" ref="T30" si="181">S33</f>
        <v>32376573446.296806</v>
      </c>
      <c r="U30" s="345"/>
      <c r="V30" s="345"/>
      <c r="W30" s="345"/>
      <c r="X30" s="345"/>
      <c r="Y30" s="345"/>
      <c r="Z30" s="345"/>
      <c r="AA30" s="345"/>
      <c r="AB30" s="345"/>
      <c r="AC30" s="345"/>
      <c r="AD30" s="345"/>
      <c r="AE30" s="345"/>
      <c r="AF30" s="345"/>
      <c r="AG30" s="345"/>
      <c r="AH30" s="345"/>
      <c r="AI30" s="345"/>
    </row>
    <row r="31" spans="1:35" x14ac:dyDescent="0.25">
      <c r="A31" s="348" t="s">
        <v>694</v>
      </c>
      <c r="B31" s="348" t="s">
        <v>542</v>
      </c>
      <c r="C31" s="348" t="str">
        <f t="shared" si="1"/>
        <v>VND</v>
      </c>
      <c r="D31" s="348"/>
      <c r="E31" s="349"/>
      <c r="F31" s="349">
        <f>E33*$E34</f>
        <v>22086740200.000004</v>
      </c>
      <c r="G31" s="349">
        <f t="shared" ref="G31" si="182">F33*$E34</f>
        <v>21207806662.872372</v>
      </c>
      <c r="H31" s="349">
        <f t="shared" ref="H31" si="183">G33*$E34</f>
        <v>20267347778.145802</v>
      </c>
      <c r="I31" s="349">
        <f t="shared" ref="I31" si="184">H33*$E34</f>
        <v>19261056771.488373</v>
      </c>
      <c r="J31" s="349">
        <f t="shared" ref="J31" si="185">I33*$E34</f>
        <v>18184325394.364925</v>
      </c>
      <c r="K31" s="349">
        <f t="shared" ref="K31" si="186">J33*$E34</f>
        <v>17032222820.842834</v>
      </c>
      <c r="L31" s="349">
        <f t="shared" ref="L31" si="187">K33*$E34</f>
        <v>15799473067.174198</v>
      </c>
      <c r="M31" s="349">
        <f t="shared" ref="M31" si="188">L33*$E34</f>
        <v>14480430830.748758</v>
      </c>
      <c r="N31" s="349">
        <f t="shared" ref="N31" si="189">M33*$E34</f>
        <v>13069055637.773537</v>
      </c>
      <c r="O31" s="349">
        <f t="shared" ref="O31" si="190">N33*$E34</f>
        <v>11558884181.290049</v>
      </c>
      <c r="P31" s="349">
        <f t="shared" ref="P31" si="191">O33*$E34</f>
        <v>9943000722.8527184</v>
      </c>
      <c r="Q31" s="349">
        <f t="shared" ref="Q31" si="192">P33*$E34</f>
        <v>8214005422.3247738</v>
      </c>
      <c r="R31" s="349">
        <f t="shared" ref="R31" si="193">Q33*$E34</f>
        <v>6363980450.7598734</v>
      </c>
      <c r="S31" s="349">
        <f t="shared" ref="S31" si="194">R33*$E34</f>
        <v>4384453731.1854305</v>
      </c>
      <c r="T31" s="349">
        <f t="shared" ref="T31" si="195">S33*$E34</f>
        <v>2266360141.2407765</v>
      </c>
      <c r="U31" s="349"/>
      <c r="V31" s="349"/>
      <c r="W31" s="349"/>
      <c r="X31" s="349"/>
      <c r="Y31" s="349"/>
      <c r="Z31" s="349"/>
      <c r="AA31" s="349"/>
      <c r="AB31" s="349"/>
      <c r="AC31" s="349"/>
      <c r="AD31" s="349"/>
      <c r="AE31" s="349"/>
      <c r="AF31" s="349"/>
      <c r="AG31" s="349"/>
      <c r="AH31" s="349"/>
      <c r="AI31" s="349"/>
    </row>
    <row r="32" spans="1:35" x14ac:dyDescent="0.25">
      <c r="A32" s="127" t="s">
        <v>694</v>
      </c>
      <c r="B32" s="127" t="s">
        <v>539</v>
      </c>
      <c r="C32" s="127" t="str">
        <f t="shared" si="1"/>
        <v>VND</v>
      </c>
      <c r="D32" s="127"/>
      <c r="E32" s="127"/>
      <c r="F32" s="211">
        <f>PMT(E34,15,E30)</f>
        <v>-34642933587.537628</v>
      </c>
      <c r="G32" s="211">
        <f>F32</f>
        <v>-34642933587.537628</v>
      </c>
      <c r="H32" s="211">
        <f t="shared" ref="H32" si="196">G32</f>
        <v>-34642933587.537628</v>
      </c>
      <c r="I32" s="211">
        <f t="shared" ref="I32" si="197">H32</f>
        <v>-34642933587.537628</v>
      </c>
      <c r="J32" s="211">
        <f t="shared" ref="J32" si="198">I32</f>
        <v>-34642933587.537628</v>
      </c>
      <c r="K32" s="211">
        <f t="shared" ref="K32" si="199">J32</f>
        <v>-34642933587.537628</v>
      </c>
      <c r="L32" s="211">
        <f t="shared" ref="L32" si="200">K32</f>
        <v>-34642933587.537628</v>
      </c>
      <c r="M32" s="211">
        <f t="shared" ref="M32" si="201">L32</f>
        <v>-34642933587.537628</v>
      </c>
      <c r="N32" s="211">
        <f t="shared" ref="N32" si="202">M32</f>
        <v>-34642933587.537628</v>
      </c>
      <c r="O32" s="211">
        <f t="shared" ref="O32" si="203">N32</f>
        <v>-34642933587.537628</v>
      </c>
      <c r="P32" s="211">
        <f t="shared" ref="P32" si="204">O32</f>
        <v>-34642933587.537628</v>
      </c>
      <c r="Q32" s="211">
        <f t="shared" ref="Q32" si="205">P32</f>
        <v>-34642933587.537628</v>
      </c>
      <c r="R32" s="211">
        <f t="shared" ref="R32" si="206">Q32</f>
        <v>-34642933587.537628</v>
      </c>
      <c r="S32" s="211">
        <f t="shared" ref="S32" si="207">R32</f>
        <v>-34642933587.537628</v>
      </c>
      <c r="T32" s="211">
        <f t="shared" ref="T32" si="208">S32</f>
        <v>-34642933587.537628</v>
      </c>
      <c r="U32" s="211"/>
      <c r="V32" s="211"/>
      <c r="W32" s="211"/>
      <c r="X32" s="211"/>
      <c r="Y32" s="211"/>
      <c r="Z32" s="211"/>
      <c r="AA32" s="211"/>
      <c r="AB32" s="211"/>
      <c r="AC32" s="211"/>
      <c r="AD32" s="211"/>
      <c r="AE32" s="211"/>
      <c r="AF32" s="211"/>
      <c r="AG32" s="211"/>
      <c r="AH32" s="211"/>
      <c r="AI32" s="211"/>
    </row>
    <row r="33" spans="1:35" x14ac:dyDescent="0.25">
      <c r="A33" s="48" t="s">
        <v>694</v>
      </c>
      <c r="B33" s="48" t="s">
        <v>541</v>
      </c>
      <c r="C33" s="48" t="str">
        <f t="shared" si="1"/>
        <v>VND</v>
      </c>
      <c r="D33" s="48"/>
      <c r="E33" s="346">
        <f>E30+E32</f>
        <v>315524860000</v>
      </c>
      <c r="F33" s="346">
        <f>SUM(F30:F32)</f>
        <v>302968666612.4624</v>
      </c>
      <c r="G33" s="346">
        <f t="shared" ref="G33:AI33" si="209">SUM(G30:G32)</f>
        <v>289533539687.79712</v>
      </c>
      <c r="H33" s="346">
        <f t="shared" si="209"/>
        <v>275157953878.40527</v>
      </c>
      <c r="I33" s="346">
        <f t="shared" si="209"/>
        <v>259776077062.35605</v>
      </c>
      <c r="J33" s="346">
        <f t="shared" si="209"/>
        <v>243317468869.18332</v>
      </c>
      <c r="K33" s="346">
        <f t="shared" si="209"/>
        <v>225706758102.48853</v>
      </c>
      <c r="L33" s="346">
        <f t="shared" si="209"/>
        <v>206863297582.12509</v>
      </c>
      <c r="M33" s="346">
        <f t="shared" si="209"/>
        <v>186700794825.33621</v>
      </c>
      <c r="N33" s="346">
        <f t="shared" si="209"/>
        <v>165126916875.57211</v>
      </c>
      <c r="O33" s="346">
        <f t="shared" si="209"/>
        <v>142042867469.32452</v>
      </c>
      <c r="P33" s="346">
        <f t="shared" si="209"/>
        <v>117342934604.63962</v>
      </c>
      <c r="Q33" s="346">
        <f t="shared" si="209"/>
        <v>90914006439.426758</v>
      </c>
      <c r="R33" s="346">
        <f t="shared" si="209"/>
        <v>62635053302.649002</v>
      </c>
      <c r="S33" s="346">
        <f t="shared" si="209"/>
        <v>32376573446.296806</v>
      </c>
      <c r="T33" s="346">
        <f t="shared" si="209"/>
        <v>0</v>
      </c>
      <c r="U33" s="346"/>
      <c r="V33" s="346"/>
      <c r="W33" s="346"/>
      <c r="X33" s="346"/>
      <c r="Y33" s="346"/>
      <c r="Z33" s="346"/>
      <c r="AA33" s="346"/>
      <c r="AB33" s="346"/>
      <c r="AC33" s="346"/>
      <c r="AD33" s="346"/>
      <c r="AE33" s="346"/>
      <c r="AF33" s="346"/>
      <c r="AG33" s="346"/>
      <c r="AH33" s="346"/>
      <c r="AI33" s="346"/>
    </row>
    <row r="34" spans="1:35" x14ac:dyDescent="0.25">
      <c r="A34" s="127" t="s">
        <v>694</v>
      </c>
      <c r="B34" s="127" t="s">
        <v>543</v>
      </c>
      <c r="C34" s="127"/>
      <c r="D34" s="127"/>
      <c r="E34" s="347">
        <f>SUMIFS('Cover Page'!$H$19:$AJ$19,'Cover Page'!$H$5:$AJ$5,$A34)</f>
        <v>7.0000000000000007E-2</v>
      </c>
      <c r="F34" s="345"/>
      <c r="G34" s="345"/>
      <c r="H34" s="345"/>
      <c r="I34" s="345"/>
      <c r="J34" s="345"/>
      <c r="K34" s="345"/>
      <c r="L34" s="345"/>
      <c r="M34" s="345"/>
      <c r="N34" s="345"/>
      <c r="O34" s="345"/>
      <c r="P34" s="345"/>
      <c r="Q34" s="345"/>
      <c r="R34" s="345"/>
      <c r="S34" s="345"/>
      <c r="T34" s="345"/>
      <c r="U34" s="345"/>
      <c r="V34" s="345"/>
      <c r="W34" s="345"/>
      <c r="X34" s="345"/>
      <c r="Y34" s="345"/>
      <c r="Z34" s="345"/>
      <c r="AA34" s="345"/>
      <c r="AB34" s="345"/>
      <c r="AC34" s="345"/>
      <c r="AD34" s="345"/>
      <c r="AE34" s="345"/>
      <c r="AF34" s="345"/>
      <c r="AG34" s="345"/>
      <c r="AH34" s="345"/>
      <c r="AI34" s="345"/>
    </row>
    <row r="35" spans="1:35" x14ac:dyDescent="0.25">
      <c r="A35" t="s">
        <v>855</v>
      </c>
      <c r="B35" t="s">
        <v>540</v>
      </c>
      <c r="C35" t="str">
        <f t="shared" si="1"/>
        <v>VND</v>
      </c>
      <c r="E35" s="244">
        <f>SUMIFS('W1'!$G$60:$BC$60,'W1'!$G$7:$BC$7,"giá trị đầu tư",'W1'!$G$6:$BC$6,$A35)*SUMIFS('Cover Page'!$H$21:$AJ$21,'Cover Page'!$H$5:$AJ$5,$A35)</f>
        <v>210524860000</v>
      </c>
      <c r="F35" s="244">
        <f>E38</f>
        <v>210524860000</v>
      </c>
      <c r="G35" s="64">
        <f>F38</f>
        <v>202147102206.06805</v>
      </c>
      <c r="H35" s="64">
        <f t="shared" ref="H35" si="210">G38</f>
        <v>193182901366.56088</v>
      </c>
      <c r="I35" s="64">
        <f t="shared" ref="I35" si="211">H38</f>
        <v>183591206468.28821</v>
      </c>
      <c r="J35" s="64">
        <f t="shared" ref="J35" si="212">I38</f>
        <v>173328092927.13644</v>
      </c>
      <c r="K35" s="64">
        <f t="shared" ref="K35" si="213">J38</f>
        <v>162346561438.10406</v>
      </c>
      <c r="L35" s="64">
        <f t="shared" ref="L35" si="214">K38</f>
        <v>150596322744.83942</v>
      </c>
      <c r="M35" s="64">
        <f t="shared" ref="M35" si="215">L38</f>
        <v>138023567343.04623</v>
      </c>
      <c r="N35" s="64">
        <f t="shared" ref="N35" si="216">M38</f>
        <v>124570719063.12753</v>
      </c>
      <c r="O35" s="64">
        <f t="shared" ref="O35" si="217">N38</f>
        <v>110176171403.61452</v>
      </c>
      <c r="P35" s="64">
        <f t="shared" ref="P35" si="218">O38</f>
        <v>94774005407.935593</v>
      </c>
      <c r="Q35" s="64">
        <f t="shared" ref="Q35" si="219">P38</f>
        <v>78293687792.559143</v>
      </c>
      <c r="R35" s="64">
        <f t="shared" ref="R35" si="220">Q38</f>
        <v>60659747944.106339</v>
      </c>
      <c r="S35" s="64">
        <f t="shared" ref="S35" si="221">R38</f>
        <v>41791432306.261841</v>
      </c>
      <c r="T35" s="64">
        <f t="shared" ref="T35" si="222">S38</f>
        <v>21602334573.768227</v>
      </c>
      <c r="U35" s="64"/>
      <c r="V35" s="64"/>
      <c r="W35" s="64"/>
      <c r="X35" s="64"/>
      <c r="Y35" s="64"/>
      <c r="Z35" s="64"/>
      <c r="AA35" s="64"/>
      <c r="AB35" s="64"/>
      <c r="AC35" s="64"/>
      <c r="AD35" s="64"/>
      <c r="AE35" s="64"/>
      <c r="AF35" s="64"/>
      <c r="AG35" s="64"/>
      <c r="AH35" s="64"/>
      <c r="AI35" s="64"/>
    </row>
    <row r="36" spans="1:35" x14ac:dyDescent="0.25">
      <c r="A36" s="142" t="s">
        <v>855</v>
      </c>
      <c r="B36" s="142" t="s">
        <v>542</v>
      </c>
      <c r="C36" s="142" t="str">
        <f t="shared" si="1"/>
        <v>VND</v>
      </c>
      <c r="D36" s="142"/>
      <c r="E36" s="119"/>
      <c r="F36" s="119">
        <f>E38*$E39</f>
        <v>14736740200.000002</v>
      </c>
      <c r="G36" s="119">
        <f t="shared" ref="G36" si="223">F38*$E39</f>
        <v>14150297154.424765</v>
      </c>
      <c r="H36" s="119">
        <f t="shared" ref="H36" si="224">G38*$E39</f>
        <v>13522803095.659264</v>
      </c>
      <c r="I36" s="119">
        <f t="shared" ref="I36" si="225">H38*$E39</f>
        <v>12851384452.780176</v>
      </c>
      <c r="J36" s="119">
        <f t="shared" ref="J36" si="226">I38*$E39</f>
        <v>12132966504.899551</v>
      </c>
      <c r="K36" s="119">
        <f t="shared" ref="K36" si="227">J38*$E39</f>
        <v>11364259300.667286</v>
      </c>
      <c r="L36" s="119">
        <f t="shared" ref="L36" si="228">K38*$E39</f>
        <v>10541742592.13876</v>
      </c>
      <c r="M36" s="119">
        <f t="shared" ref="M36" si="229">L38*$E39</f>
        <v>9661649714.013237</v>
      </c>
      <c r="N36" s="119">
        <f t="shared" ref="N36" si="230">M38*$E39</f>
        <v>8719950334.4189281</v>
      </c>
      <c r="O36" s="119">
        <f t="shared" ref="O36" si="231">N38*$E39</f>
        <v>7712331998.2530165</v>
      </c>
      <c r="P36" s="119">
        <f t="shared" ref="P36" si="232">O38*$E39</f>
        <v>6634180378.5554924</v>
      </c>
      <c r="Q36" s="119">
        <f t="shared" ref="Q36" si="233">P38*$E39</f>
        <v>5480558145.4791403</v>
      </c>
      <c r="R36" s="119">
        <f t="shared" ref="R36" si="234">Q38*$E39</f>
        <v>4246182356.0874443</v>
      </c>
      <c r="S36" s="119">
        <f t="shared" ref="S36" si="235">R38*$E39</f>
        <v>2925400261.4383292</v>
      </c>
      <c r="T36" s="119">
        <f t="shared" ref="T36" si="236">S38*$E39</f>
        <v>1512163420.1637759</v>
      </c>
      <c r="U36" s="119"/>
      <c r="V36" s="119"/>
      <c r="W36" s="119"/>
      <c r="X36" s="119"/>
      <c r="Y36" s="119"/>
      <c r="Z36" s="119"/>
      <c r="AA36" s="119"/>
      <c r="AB36" s="119"/>
      <c r="AC36" s="119"/>
      <c r="AD36" s="119"/>
      <c r="AE36" s="119"/>
      <c r="AF36" s="119"/>
      <c r="AG36" s="119"/>
      <c r="AH36" s="119"/>
      <c r="AI36" s="119"/>
    </row>
    <row r="37" spans="1:35" x14ac:dyDescent="0.25">
      <c r="A37" t="s">
        <v>855</v>
      </c>
      <c r="B37" t="s">
        <v>539</v>
      </c>
      <c r="C37" t="str">
        <f t="shared" si="1"/>
        <v>VND</v>
      </c>
      <c r="F37" s="244">
        <f>PMT(E39,15,E35)</f>
        <v>-23114497993.931946</v>
      </c>
      <c r="G37" s="244">
        <f>F37</f>
        <v>-23114497993.931946</v>
      </c>
      <c r="H37" s="244">
        <f t="shared" ref="H37" si="237">G37</f>
        <v>-23114497993.931946</v>
      </c>
      <c r="I37" s="244">
        <f t="shared" ref="I37" si="238">H37</f>
        <v>-23114497993.931946</v>
      </c>
      <c r="J37" s="244">
        <f t="shared" ref="J37" si="239">I37</f>
        <v>-23114497993.931946</v>
      </c>
      <c r="K37" s="244">
        <f t="shared" ref="K37" si="240">J37</f>
        <v>-23114497993.931946</v>
      </c>
      <c r="L37" s="244">
        <f t="shared" ref="L37" si="241">K37</f>
        <v>-23114497993.931946</v>
      </c>
      <c r="M37" s="244">
        <f t="shared" ref="M37" si="242">L37</f>
        <v>-23114497993.931946</v>
      </c>
      <c r="N37" s="244">
        <f t="shared" ref="N37" si="243">M37</f>
        <v>-23114497993.931946</v>
      </c>
      <c r="O37" s="244">
        <f t="shared" ref="O37" si="244">N37</f>
        <v>-23114497993.931946</v>
      </c>
      <c r="P37" s="244">
        <f t="shared" ref="P37" si="245">O37</f>
        <v>-23114497993.931946</v>
      </c>
      <c r="Q37" s="244">
        <f t="shared" ref="Q37" si="246">P37</f>
        <v>-23114497993.931946</v>
      </c>
      <c r="R37" s="244">
        <f t="shared" ref="R37" si="247">Q37</f>
        <v>-23114497993.931946</v>
      </c>
      <c r="S37" s="244">
        <f t="shared" ref="S37" si="248">R37</f>
        <v>-23114497993.931946</v>
      </c>
      <c r="T37" s="244">
        <f t="shared" ref="T37" si="249">S37</f>
        <v>-23114497993.931946</v>
      </c>
      <c r="U37" s="244"/>
      <c r="V37" s="244"/>
      <c r="W37" s="244"/>
      <c r="X37" s="244"/>
      <c r="Y37" s="244"/>
      <c r="Z37" s="244"/>
      <c r="AA37" s="244"/>
      <c r="AB37" s="244"/>
      <c r="AC37" s="244"/>
      <c r="AD37" s="244"/>
      <c r="AE37" s="244"/>
      <c r="AF37" s="244"/>
      <c r="AG37" s="244"/>
      <c r="AH37" s="244"/>
      <c r="AI37" s="244"/>
    </row>
    <row r="38" spans="1:35" x14ac:dyDescent="0.25">
      <c r="A38" s="1" t="s">
        <v>855</v>
      </c>
      <c r="B38" s="1" t="s">
        <v>541</v>
      </c>
      <c r="C38" s="1" t="str">
        <f t="shared" si="1"/>
        <v>VND</v>
      </c>
      <c r="D38" s="1"/>
      <c r="E38" s="344">
        <f>E35+E37</f>
        <v>210524860000</v>
      </c>
      <c r="F38" s="344">
        <f>SUM(F35:F37)</f>
        <v>202147102206.06805</v>
      </c>
      <c r="G38" s="344">
        <f t="shared" ref="G38:AI38" si="250">SUM(G35:G37)</f>
        <v>193182901366.56088</v>
      </c>
      <c r="H38" s="344">
        <f t="shared" si="250"/>
        <v>183591206468.28821</v>
      </c>
      <c r="I38" s="344">
        <f t="shared" si="250"/>
        <v>173328092927.13644</v>
      </c>
      <c r="J38" s="344">
        <f t="shared" si="250"/>
        <v>162346561438.10406</v>
      </c>
      <c r="K38" s="344">
        <f t="shared" si="250"/>
        <v>150596322744.83942</v>
      </c>
      <c r="L38" s="344">
        <f t="shared" si="250"/>
        <v>138023567343.04623</v>
      </c>
      <c r="M38" s="344">
        <f t="shared" si="250"/>
        <v>124570719063.12753</v>
      </c>
      <c r="N38" s="344">
        <f t="shared" si="250"/>
        <v>110176171403.61452</v>
      </c>
      <c r="O38" s="344">
        <f t="shared" si="250"/>
        <v>94774005407.935593</v>
      </c>
      <c r="P38" s="344">
        <f t="shared" si="250"/>
        <v>78293687792.559143</v>
      </c>
      <c r="Q38" s="344">
        <f t="shared" si="250"/>
        <v>60659747944.106339</v>
      </c>
      <c r="R38" s="344">
        <f t="shared" si="250"/>
        <v>41791432306.261841</v>
      </c>
      <c r="S38" s="344">
        <f t="shared" si="250"/>
        <v>21602334573.768227</v>
      </c>
      <c r="T38" s="344">
        <f t="shared" si="250"/>
        <v>5.7220458984375E-5</v>
      </c>
      <c r="U38" s="344"/>
      <c r="V38" s="344"/>
      <c r="W38" s="344"/>
      <c r="X38" s="344"/>
      <c r="Y38" s="344"/>
      <c r="Z38" s="344"/>
      <c r="AA38" s="344"/>
      <c r="AB38" s="344"/>
      <c r="AC38" s="344"/>
      <c r="AD38" s="344"/>
      <c r="AE38" s="344"/>
      <c r="AF38" s="344"/>
      <c r="AG38" s="344"/>
      <c r="AH38" s="344"/>
      <c r="AI38" s="344"/>
    </row>
    <row r="39" spans="1:35" x14ac:dyDescent="0.25">
      <c r="A39" t="s">
        <v>855</v>
      </c>
      <c r="B39" t="s">
        <v>543</v>
      </c>
      <c r="E39" s="95">
        <f>SUMIFS('Cover Page'!$H$19:$AJ$19,'Cover Page'!$H$5:$AJ$5,$A39)</f>
        <v>7.0000000000000007E-2</v>
      </c>
      <c r="F39" s="344"/>
      <c r="G39" s="344"/>
      <c r="H39" s="344"/>
      <c r="I39" s="344"/>
      <c r="J39" s="344"/>
      <c r="K39" s="344"/>
      <c r="L39" s="344"/>
      <c r="M39" s="344"/>
      <c r="N39" s="344"/>
      <c r="O39" s="344"/>
      <c r="P39" s="344"/>
      <c r="Q39" s="344"/>
      <c r="R39" s="344"/>
      <c r="S39" s="344"/>
      <c r="T39" s="344"/>
      <c r="U39" s="344"/>
      <c r="V39" s="344"/>
      <c r="W39" s="344"/>
      <c r="X39" s="344"/>
      <c r="Y39" s="344"/>
      <c r="Z39" s="344"/>
      <c r="AA39" s="344"/>
      <c r="AB39" s="344"/>
      <c r="AC39" s="344"/>
      <c r="AD39" s="344"/>
      <c r="AE39" s="344"/>
      <c r="AF39" s="344"/>
      <c r="AG39" s="344"/>
      <c r="AH39" s="344"/>
      <c r="AI39" s="344"/>
    </row>
    <row r="40" spans="1:35" x14ac:dyDescent="0.25">
      <c r="A40" s="127" t="s">
        <v>856</v>
      </c>
      <c r="B40" s="127" t="s">
        <v>540</v>
      </c>
      <c r="C40" s="127" t="str">
        <f t="shared" si="1"/>
        <v>VND</v>
      </c>
      <c r="D40" s="127"/>
      <c r="E40" s="211">
        <f>SUMIFS('W1'!$G$60:$BC$60,'W1'!$G$7:$BC$7,"giá trị đầu tư",'W1'!$G$6:$BC$6,$A40)*SUMIFS('Cover Page'!$H$21:$AJ$21,'Cover Page'!$H$5:$AJ$5,$A40)</f>
        <v>315524860000</v>
      </c>
      <c r="F40" s="211">
        <f>E43</f>
        <v>315524860000</v>
      </c>
      <c r="G40" s="345">
        <f>F43</f>
        <v>302968666612.4624</v>
      </c>
      <c r="H40" s="345">
        <f t="shared" ref="H40" si="251">G43</f>
        <v>289533539687.79712</v>
      </c>
      <c r="I40" s="345">
        <f t="shared" ref="I40" si="252">H43</f>
        <v>275157953878.40527</v>
      </c>
      <c r="J40" s="345">
        <f t="shared" ref="J40" si="253">I43</f>
        <v>259776077062.35605</v>
      </c>
      <c r="K40" s="345">
        <f t="shared" ref="K40" si="254">J43</f>
        <v>243317468869.18332</v>
      </c>
      <c r="L40" s="345">
        <f t="shared" ref="L40" si="255">K43</f>
        <v>225706758102.48853</v>
      </c>
      <c r="M40" s="345">
        <f t="shared" ref="M40" si="256">L43</f>
        <v>206863297582.12509</v>
      </c>
      <c r="N40" s="345">
        <f t="shared" ref="N40" si="257">M43</f>
        <v>186700794825.33621</v>
      </c>
      <c r="O40" s="345">
        <f t="shared" ref="O40" si="258">N43</f>
        <v>165126916875.57211</v>
      </c>
      <c r="P40" s="345">
        <f t="shared" ref="P40" si="259">O43</f>
        <v>142042867469.32452</v>
      </c>
      <c r="Q40" s="345">
        <f t="shared" ref="Q40" si="260">P43</f>
        <v>117342934604.63962</v>
      </c>
      <c r="R40" s="345">
        <f t="shared" ref="R40" si="261">Q43</f>
        <v>90914006439.426758</v>
      </c>
      <c r="S40" s="345">
        <f t="shared" ref="S40" si="262">R43</f>
        <v>62635053302.649002</v>
      </c>
      <c r="T40" s="345">
        <f t="shared" ref="T40" si="263">S43</f>
        <v>32376573446.296806</v>
      </c>
      <c r="U40" s="345"/>
      <c r="V40" s="345"/>
      <c r="W40" s="345"/>
      <c r="X40" s="345"/>
      <c r="Y40" s="345"/>
      <c r="Z40" s="345"/>
      <c r="AA40" s="345"/>
      <c r="AB40" s="345"/>
      <c r="AC40" s="345"/>
      <c r="AD40" s="345"/>
      <c r="AE40" s="345"/>
      <c r="AF40" s="345"/>
      <c r="AG40" s="345"/>
      <c r="AH40" s="345"/>
      <c r="AI40" s="345"/>
    </row>
    <row r="41" spans="1:35" x14ac:dyDescent="0.25">
      <c r="A41" s="348" t="s">
        <v>856</v>
      </c>
      <c r="B41" s="348" t="s">
        <v>542</v>
      </c>
      <c r="C41" s="348" t="str">
        <f t="shared" si="1"/>
        <v>VND</v>
      </c>
      <c r="D41" s="348"/>
      <c r="E41" s="349"/>
      <c r="F41" s="349">
        <f>E43*$E44</f>
        <v>22086740200.000004</v>
      </c>
      <c r="G41" s="349">
        <f t="shared" ref="G41" si="264">F43*$E44</f>
        <v>21207806662.872372</v>
      </c>
      <c r="H41" s="349">
        <f t="shared" ref="H41" si="265">G43*$E44</f>
        <v>20267347778.145802</v>
      </c>
      <c r="I41" s="349">
        <f t="shared" ref="I41" si="266">H43*$E44</f>
        <v>19261056771.488373</v>
      </c>
      <c r="J41" s="349">
        <f t="shared" ref="J41" si="267">I43*$E44</f>
        <v>18184325394.364925</v>
      </c>
      <c r="K41" s="349">
        <f t="shared" ref="K41" si="268">J43*$E44</f>
        <v>17032222820.842834</v>
      </c>
      <c r="L41" s="349">
        <f t="shared" ref="L41" si="269">K43*$E44</f>
        <v>15799473067.174198</v>
      </c>
      <c r="M41" s="349">
        <f t="shared" ref="M41" si="270">L43*$E44</f>
        <v>14480430830.748758</v>
      </c>
      <c r="N41" s="349">
        <f t="shared" ref="N41" si="271">M43*$E44</f>
        <v>13069055637.773537</v>
      </c>
      <c r="O41" s="349">
        <f t="shared" ref="O41" si="272">N43*$E44</f>
        <v>11558884181.290049</v>
      </c>
      <c r="P41" s="349">
        <f t="shared" ref="P41" si="273">O43*$E44</f>
        <v>9943000722.8527184</v>
      </c>
      <c r="Q41" s="349">
        <f t="shared" ref="Q41" si="274">P43*$E44</f>
        <v>8214005422.3247738</v>
      </c>
      <c r="R41" s="349">
        <f t="shared" ref="R41" si="275">Q43*$E44</f>
        <v>6363980450.7598734</v>
      </c>
      <c r="S41" s="349">
        <f t="shared" ref="S41" si="276">R43*$E44</f>
        <v>4384453731.1854305</v>
      </c>
      <c r="T41" s="349">
        <f t="shared" ref="T41" si="277">S43*$E44</f>
        <v>2266360141.2407765</v>
      </c>
      <c r="U41" s="349"/>
      <c r="V41" s="349"/>
      <c r="W41" s="349"/>
      <c r="X41" s="349"/>
      <c r="Y41" s="349"/>
      <c r="Z41" s="349"/>
      <c r="AA41" s="349"/>
      <c r="AB41" s="349"/>
      <c r="AC41" s="349"/>
      <c r="AD41" s="349"/>
      <c r="AE41" s="349"/>
      <c r="AF41" s="349"/>
      <c r="AG41" s="349"/>
      <c r="AH41" s="349"/>
      <c r="AI41" s="349"/>
    </row>
    <row r="42" spans="1:35" x14ac:dyDescent="0.25">
      <c r="A42" s="127" t="s">
        <v>856</v>
      </c>
      <c r="B42" s="127" t="s">
        <v>539</v>
      </c>
      <c r="C42" s="127" t="str">
        <f t="shared" si="1"/>
        <v>VND</v>
      </c>
      <c r="D42" s="127"/>
      <c r="E42" s="127"/>
      <c r="F42" s="211">
        <f>PMT(E44,15,E40)</f>
        <v>-34642933587.537628</v>
      </c>
      <c r="G42" s="211">
        <f>F42</f>
        <v>-34642933587.537628</v>
      </c>
      <c r="H42" s="211">
        <f t="shared" ref="H42" si="278">G42</f>
        <v>-34642933587.537628</v>
      </c>
      <c r="I42" s="211">
        <f t="shared" ref="I42" si="279">H42</f>
        <v>-34642933587.537628</v>
      </c>
      <c r="J42" s="211">
        <f t="shared" ref="J42" si="280">I42</f>
        <v>-34642933587.537628</v>
      </c>
      <c r="K42" s="211">
        <f t="shared" ref="K42" si="281">J42</f>
        <v>-34642933587.537628</v>
      </c>
      <c r="L42" s="211">
        <f t="shared" ref="L42" si="282">K42</f>
        <v>-34642933587.537628</v>
      </c>
      <c r="M42" s="211">
        <f t="shared" ref="M42" si="283">L42</f>
        <v>-34642933587.537628</v>
      </c>
      <c r="N42" s="211">
        <f t="shared" ref="N42" si="284">M42</f>
        <v>-34642933587.537628</v>
      </c>
      <c r="O42" s="211">
        <f t="shared" ref="O42" si="285">N42</f>
        <v>-34642933587.537628</v>
      </c>
      <c r="P42" s="211">
        <f t="shared" ref="P42" si="286">O42</f>
        <v>-34642933587.537628</v>
      </c>
      <c r="Q42" s="211">
        <f t="shared" ref="Q42" si="287">P42</f>
        <v>-34642933587.537628</v>
      </c>
      <c r="R42" s="211">
        <f t="shared" ref="R42" si="288">Q42</f>
        <v>-34642933587.537628</v>
      </c>
      <c r="S42" s="211">
        <f t="shared" ref="S42" si="289">R42</f>
        <v>-34642933587.537628</v>
      </c>
      <c r="T42" s="211">
        <f t="shared" ref="T42" si="290">S42</f>
        <v>-34642933587.537628</v>
      </c>
      <c r="U42" s="211"/>
      <c r="V42" s="211"/>
      <c r="W42" s="211"/>
      <c r="X42" s="211"/>
      <c r="Y42" s="211"/>
      <c r="Z42" s="211"/>
      <c r="AA42" s="211"/>
      <c r="AB42" s="211"/>
      <c r="AC42" s="211"/>
      <c r="AD42" s="211"/>
      <c r="AE42" s="211"/>
      <c r="AF42" s="211"/>
      <c r="AG42" s="211"/>
      <c r="AH42" s="211"/>
      <c r="AI42" s="211"/>
    </row>
    <row r="43" spans="1:35" x14ac:dyDescent="0.25">
      <c r="A43" s="48" t="s">
        <v>856</v>
      </c>
      <c r="B43" s="48" t="s">
        <v>541</v>
      </c>
      <c r="C43" s="48" t="str">
        <f t="shared" si="1"/>
        <v>VND</v>
      </c>
      <c r="D43" s="48"/>
      <c r="E43" s="346">
        <f>E40+E42</f>
        <v>315524860000</v>
      </c>
      <c r="F43" s="346">
        <f>SUM(F40:F42)</f>
        <v>302968666612.4624</v>
      </c>
      <c r="G43" s="346">
        <f t="shared" ref="G43:AI43" si="291">SUM(G40:G42)</f>
        <v>289533539687.79712</v>
      </c>
      <c r="H43" s="346">
        <f t="shared" si="291"/>
        <v>275157953878.40527</v>
      </c>
      <c r="I43" s="346">
        <f t="shared" si="291"/>
        <v>259776077062.35605</v>
      </c>
      <c r="J43" s="346">
        <f t="shared" si="291"/>
        <v>243317468869.18332</v>
      </c>
      <c r="K43" s="346">
        <f t="shared" si="291"/>
        <v>225706758102.48853</v>
      </c>
      <c r="L43" s="346">
        <f t="shared" si="291"/>
        <v>206863297582.12509</v>
      </c>
      <c r="M43" s="346">
        <f t="shared" si="291"/>
        <v>186700794825.33621</v>
      </c>
      <c r="N43" s="346">
        <f t="shared" si="291"/>
        <v>165126916875.57211</v>
      </c>
      <c r="O43" s="346">
        <f t="shared" si="291"/>
        <v>142042867469.32452</v>
      </c>
      <c r="P43" s="346">
        <f t="shared" si="291"/>
        <v>117342934604.63962</v>
      </c>
      <c r="Q43" s="346">
        <f t="shared" si="291"/>
        <v>90914006439.426758</v>
      </c>
      <c r="R43" s="346">
        <f t="shared" si="291"/>
        <v>62635053302.649002</v>
      </c>
      <c r="S43" s="346">
        <f t="shared" si="291"/>
        <v>32376573446.296806</v>
      </c>
      <c r="T43" s="346">
        <f t="shared" si="291"/>
        <v>0</v>
      </c>
      <c r="U43" s="346"/>
      <c r="V43" s="346"/>
      <c r="W43" s="346"/>
      <c r="X43" s="346"/>
      <c r="Y43" s="346"/>
      <c r="Z43" s="346"/>
      <c r="AA43" s="346"/>
      <c r="AB43" s="346"/>
      <c r="AC43" s="346"/>
      <c r="AD43" s="346"/>
      <c r="AE43" s="346"/>
      <c r="AF43" s="346"/>
      <c r="AG43" s="346"/>
      <c r="AH43" s="346"/>
      <c r="AI43" s="346"/>
    </row>
    <row r="44" spans="1:35" x14ac:dyDescent="0.25">
      <c r="A44" s="127" t="s">
        <v>856</v>
      </c>
      <c r="B44" s="127" t="s">
        <v>543</v>
      </c>
      <c r="C44" s="127"/>
      <c r="D44" s="127"/>
      <c r="E44" s="347">
        <f>SUMIFS('Cover Page'!$H$19:$AJ$19,'Cover Page'!$H$5:$AJ$5,$A44)</f>
        <v>7.0000000000000007E-2</v>
      </c>
      <c r="F44" s="345"/>
      <c r="G44" s="345"/>
      <c r="H44" s="345"/>
      <c r="I44" s="345"/>
      <c r="J44" s="345"/>
      <c r="K44" s="345"/>
      <c r="L44" s="345"/>
      <c r="M44" s="345"/>
      <c r="N44" s="345"/>
      <c r="O44" s="345"/>
      <c r="P44" s="345"/>
      <c r="Q44" s="345"/>
      <c r="R44" s="345"/>
      <c r="S44" s="345"/>
      <c r="T44" s="345"/>
      <c r="U44" s="345"/>
      <c r="V44" s="345"/>
      <c r="W44" s="345"/>
      <c r="X44" s="345"/>
      <c r="Y44" s="345"/>
      <c r="Z44" s="345"/>
      <c r="AA44" s="345"/>
      <c r="AB44" s="345"/>
      <c r="AC44" s="345"/>
      <c r="AD44" s="345"/>
      <c r="AE44" s="345"/>
      <c r="AF44" s="345"/>
      <c r="AG44" s="345"/>
      <c r="AH44" s="345"/>
      <c r="AI44" s="345"/>
    </row>
    <row r="45" spans="1:35" x14ac:dyDescent="0.25">
      <c r="A45" t="s">
        <v>857</v>
      </c>
      <c r="B45" t="s">
        <v>540</v>
      </c>
      <c r="C45" t="str">
        <f t="shared" si="1"/>
        <v>VND</v>
      </c>
      <c r="E45" s="244">
        <f>SUMIFS('W1'!$G$60:$BC$60,'W1'!$G$7:$BC$7,"giá trị đầu tư",'W1'!$G$6:$BC$6,$A45)*SUMIFS('Cover Page'!$H$21:$AJ$21,'Cover Page'!$H$5:$AJ$5,$A45)</f>
        <v>210524860000</v>
      </c>
      <c r="F45" s="244">
        <f>E48</f>
        <v>210524860000</v>
      </c>
      <c r="G45" s="64">
        <f>F48</f>
        <v>202147102206.06805</v>
      </c>
      <c r="H45" s="64">
        <f t="shared" ref="H45" si="292">G48</f>
        <v>193182901366.56088</v>
      </c>
      <c r="I45" s="64">
        <f t="shared" ref="I45" si="293">H48</f>
        <v>183591206468.28821</v>
      </c>
      <c r="J45" s="64">
        <f t="shared" ref="J45" si="294">I48</f>
        <v>173328092927.13644</v>
      </c>
      <c r="K45" s="64">
        <f t="shared" ref="K45" si="295">J48</f>
        <v>162346561438.10406</v>
      </c>
      <c r="L45" s="64">
        <f t="shared" ref="L45" si="296">K48</f>
        <v>150596322744.83942</v>
      </c>
      <c r="M45" s="64">
        <f t="shared" ref="M45" si="297">L48</f>
        <v>138023567343.04623</v>
      </c>
      <c r="N45" s="64">
        <f t="shared" ref="N45" si="298">M48</f>
        <v>124570719063.12753</v>
      </c>
      <c r="O45" s="64">
        <f t="shared" ref="O45" si="299">N48</f>
        <v>110176171403.61452</v>
      </c>
      <c r="P45" s="64">
        <f t="shared" ref="P45" si="300">O48</f>
        <v>94774005407.935593</v>
      </c>
      <c r="Q45" s="64">
        <f t="shared" ref="Q45" si="301">P48</f>
        <v>78293687792.559143</v>
      </c>
      <c r="R45" s="64">
        <f t="shared" ref="R45" si="302">Q48</f>
        <v>60659747944.106339</v>
      </c>
      <c r="S45" s="64">
        <f t="shared" ref="S45" si="303">R48</f>
        <v>41791432306.261841</v>
      </c>
      <c r="T45" s="64">
        <f t="shared" ref="T45" si="304">S48</f>
        <v>21602334573.768227</v>
      </c>
      <c r="U45" s="64"/>
      <c r="V45" s="64"/>
      <c r="W45" s="64"/>
      <c r="X45" s="64"/>
      <c r="Y45" s="64"/>
      <c r="Z45" s="64"/>
      <c r="AA45" s="64"/>
      <c r="AB45" s="64"/>
      <c r="AC45" s="64"/>
      <c r="AD45" s="64"/>
      <c r="AE45" s="64"/>
      <c r="AF45" s="64"/>
      <c r="AG45" s="64"/>
      <c r="AH45" s="64"/>
      <c r="AI45" s="64"/>
    </row>
    <row r="46" spans="1:35" x14ac:dyDescent="0.25">
      <c r="A46" s="142" t="s">
        <v>857</v>
      </c>
      <c r="B46" s="142" t="s">
        <v>542</v>
      </c>
      <c r="C46" s="142" t="str">
        <f t="shared" si="1"/>
        <v>VND</v>
      </c>
      <c r="D46" s="142"/>
      <c r="E46" s="119"/>
      <c r="F46" s="119">
        <f>E48*$E49</f>
        <v>14736740200.000002</v>
      </c>
      <c r="G46" s="119">
        <f t="shared" ref="G46" si="305">F48*$E49</f>
        <v>14150297154.424765</v>
      </c>
      <c r="H46" s="119">
        <f t="shared" ref="H46" si="306">G48*$E49</f>
        <v>13522803095.659264</v>
      </c>
      <c r="I46" s="119">
        <f t="shared" ref="I46" si="307">H48*$E49</f>
        <v>12851384452.780176</v>
      </c>
      <c r="J46" s="119">
        <f t="shared" ref="J46" si="308">I48*$E49</f>
        <v>12132966504.899551</v>
      </c>
      <c r="K46" s="119">
        <f t="shared" ref="K46" si="309">J48*$E49</f>
        <v>11364259300.667286</v>
      </c>
      <c r="L46" s="119">
        <f t="shared" ref="L46" si="310">K48*$E49</f>
        <v>10541742592.13876</v>
      </c>
      <c r="M46" s="119">
        <f t="shared" ref="M46" si="311">L48*$E49</f>
        <v>9661649714.013237</v>
      </c>
      <c r="N46" s="119">
        <f t="shared" ref="N46" si="312">M48*$E49</f>
        <v>8719950334.4189281</v>
      </c>
      <c r="O46" s="119">
        <f t="shared" ref="O46" si="313">N48*$E49</f>
        <v>7712331998.2530165</v>
      </c>
      <c r="P46" s="119">
        <f t="shared" ref="P46" si="314">O48*$E49</f>
        <v>6634180378.5554924</v>
      </c>
      <c r="Q46" s="119">
        <f t="shared" ref="Q46" si="315">P48*$E49</f>
        <v>5480558145.4791403</v>
      </c>
      <c r="R46" s="119">
        <f t="shared" ref="R46" si="316">Q48*$E49</f>
        <v>4246182356.0874443</v>
      </c>
      <c r="S46" s="119">
        <f t="shared" ref="S46" si="317">R48*$E49</f>
        <v>2925400261.4383292</v>
      </c>
      <c r="T46" s="119">
        <f t="shared" ref="T46" si="318">S48*$E49</f>
        <v>1512163420.1637759</v>
      </c>
      <c r="U46" s="119"/>
      <c r="V46" s="119"/>
      <c r="W46" s="119"/>
      <c r="X46" s="119"/>
      <c r="Y46" s="119"/>
      <c r="Z46" s="119"/>
      <c r="AA46" s="119"/>
      <c r="AB46" s="119"/>
      <c r="AC46" s="119"/>
      <c r="AD46" s="119"/>
      <c r="AE46" s="119"/>
      <c r="AF46" s="119"/>
      <c r="AG46" s="119"/>
      <c r="AH46" s="119"/>
      <c r="AI46" s="119"/>
    </row>
    <row r="47" spans="1:35" x14ac:dyDescent="0.25">
      <c r="A47" t="s">
        <v>857</v>
      </c>
      <c r="B47" t="s">
        <v>539</v>
      </c>
      <c r="C47" t="str">
        <f t="shared" si="1"/>
        <v>VND</v>
      </c>
      <c r="F47" s="244">
        <f>PMT(E49,15,E45)</f>
        <v>-23114497993.931946</v>
      </c>
      <c r="G47" s="244">
        <f>F47</f>
        <v>-23114497993.931946</v>
      </c>
      <c r="H47" s="244">
        <f t="shared" ref="H47" si="319">G47</f>
        <v>-23114497993.931946</v>
      </c>
      <c r="I47" s="244">
        <f t="shared" ref="I47" si="320">H47</f>
        <v>-23114497993.931946</v>
      </c>
      <c r="J47" s="244">
        <f t="shared" ref="J47" si="321">I47</f>
        <v>-23114497993.931946</v>
      </c>
      <c r="K47" s="244">
        <f t="shared" ref="K47" si="322">J47</f>
        <v>-23114497993.931946</v>
      </c>
      <c r="L47" s="244">
        <f t="shared" ref="L47" si="323">K47</f>
        <v>-23114497993.931946</v>
      </c>
      <c r="M47" s="244">
        <f t="shared" ref="M47" si="324">L47</f>
        <v>-23114497993.931946</v>
      </c>
      <c r="N47" s="244">
        <f t="shared" ref="N47" si="325">M47</f>
        <v>-23114497993.931946</v>
      </c>
      <c r="O47" s="244">
        <f t="shared" ref="O47" si="326">N47</f>
        <v>-23114497993.931946</v>
      </c>
      <c r="P47" s="244">
        <f t="shared" ref="P47" si="327">O47</f>
        <v>-23114497993.931946</v>
      </c>
      <c r="Q47" s="244">
        <f t="shared" ref="Q47" si="328">P47</f>
        <v>-23114497993.931946</v>
      </c>
      <c r="R47" s="244">
        <f t="shared" ref="R47" si="329">Q47</f>
        <v>-23114497993.931946</v>
      </c>
      <c r="S47" s="244">
        <f t="shared" ref="S47" si="330">R47</f>
        <v>-23114497993.931946</v>
      </c>
      <c r="T47" s="244">
        <f t="shared" ref="T47" si="331">S47</f>
        <v>-23114497993.931946</v>
      </c>
      <c r="U47" s="244"/>
      <c r="V47" s="244"/>
      <c r="W47" s="244"/>
      <c r="X47" s="244"/>
      <c r="Y47" s="244"/>
      <c r="Z47" s="244"/>
      <c r="AA47" s="244"/>
      <c r="AB47" s="244"/>
      <c r="AC47" s="244"/>
      <c r="AD47" s="244"/>
      <c r="AE47" s="244"/>
      <c r="AF47" s="244"/>
      <c r="AG47" s="244"/>
      <c r="AH47" s="244"/>
      <c r="AI47" s="244"/>
    </row>
    <row r="48" spans="1:35" x14ac:dyDescent="0.25">
      <c r="A48" s="1" t="s">
        <v>857</v>
      </c>
      <c r="B48" s="1" t="s">
        <v>541</v>
      </c>
      <c r="C48" s="1" t="str">
        <f t="shared" si="1"/>
        <v>VND</v>
      </c>
      <c r="D48" s="1"/>
      <c r="E48" s="344">
        <f>E45+E47</f>
        <v>210524860000</v>
      </c>
      <c r="F48" s="344">
        <f>SUM(F45:F47)</f>
        <v>202147102206.06805</v>
      </c>
      <c r="G48" s="344">
        <f t="shared" ref="G48:AI48" si="332">SUM(G45:G47)</f>
        <v>193182901366.56088</v>
      </c>
      <c r="H48" s="344">
        <f t="shared" si="332"/>
        <v>183591206468.28821</v>
      </c>
      <c r="I48" s="344">
        <f t="shared" si="332"/>
        <v>173328092927.13644</v>
      </c>
      <c r="J48" s="344">
        <f t="shared" si="332"/>
        <v>162346561438.10406</v>
      </c>
      <c r="K48" s="344">
        <f t="shared" si="332"/>
        <v>150596322744.83942</v>
      </c>
      <c r="L48" s="344">
        <f t="shared" si="332"/>
        <v>138023567343.04623</v>
      </c>
      <c r="M48" s="344">
        <f t="shared" si="332"/>
        <v>124570719063.12753</v>
      </c>
      <c r="N48" s="344">
        <f t="shared" si="332"/>
        <v>110176171403.61452</v>
      </c>
      <c r="O48" s="344">
        <f t="shared" si="332"/>
        <v>94774005407.935593</v>
      </c>
      <c r="P48" s="344">
        <f t="shared" si="332"/>
        <v>78293687792.559143</v>
      </c>
      <c r="Q48" s="344">
        <f t="shared" si="332"/>
        <v>60659747944.106339</v>
      </c>
      <c r="R48" s="344">
        <f t="shared" si="332"/>
        <v>41791432306.261841</v>
      </c>
      <c r="S48" s="344">
        <f t="shared" si="332"/>
        <v>21602334573.768227</v>
      </c>
      <c r="T48" s="344">
        <f t="shared" si="332"/>
        <v>5.7220458984375E-5</v>
      </c>
      <c r="U48" s="344"/>
      <c r="V48" s="344"/>
      <c r="W48" s="344"/>
      <c r="X48" s="344"/>
      <c r="Y48" s="344"/>
      <c r="Z48" s="344"/>
      <c r="AA48" s="344"/>
      <c r="AB48" s="344"/>
      <c r="AC48" s="344"/>
      <c r="AD48" s="344"/>
      <c r="AE48" s="344"/>
      <c r="AF48" s="344"/>
      <c r="AG48" s="344"/>
      <c r="AH48" s="344"/>
      <c r="AI48" s="344"/>
    </row>
    <row r="49" spans="1:35" x14ac:dyDescent="0.25">
      <c r="A49" t="s">
        <v>857</v>
      </c>
      <c r="B49" t="s">
        <v>543</v>
      </c>
      <c r="E49" s="95">
        <f>SUMIFS('Cover Page'!$H$19:$AJ$19,'Cover Page'!$H$5:$AJ$5,$A49)</f>
        <v>7.0000000000000007E-2</v>
      </c>
      <c r="F49" s="344"/>
      <c r="G49" s="344"/>
      <c r="H49" s="344"/>
      <c r="I49" s="344"/>
      <c r="J49" s="344"/>
      <c r="K49" s="344"/>
      <c r="L49" s="344"/>
      <c r="M49" s="344"/>
      <c r="N49" s="344"/>
      <c r="O49" s="344"/>
      <c r="P49" s="344"/>
      <c r="Q49" s="344"/>
      <c r="R49" s="344"/>
      <c r="S49" s="344"/>
      <c r="T49" s="344"/>
      <c r="U49" s="344"/>
      <c r="V49" s="344"/>
      <c r="W49" s="344"/>
      <c r="X49" s="344"/>
      <c r="Y49" s="344"/>
      <c r="Z49" s="344"/>
      <c r="AA49" s="344"/>
      <c r="AB49" s="344"/>
      <c r="AC49" s="344"/>
      <c r="AD49" s="344"/>
      <c r="AE49" s="344"/>
      <c r="AF49" s="344"/>
      <c r="AG49" s="344"/>
      <c r="AH49" s="344"/>
      <c r="AI49" s="344"/>
    </row>
    <row r="50" spans="1:35" x14ac:dyDescent="0.25">
      <c r="A50" s="127" t="s">
        <v>858</v>
      </c>
      <c r="B50" s="127" t="s">
        <v>540</v>
      </c>
      <c r="C50" s="127" t="str">
        <f t="shared" si="1"/>
        <v>VND</v>
      </c>
      <c r="D50" s="127"/>
      <c r="E50" s="211">
        <f>SUMIFS('W1'!$G$60:$BC$60,'W1'!$G$7:$BC$7,"giá trị đầu tư",'W1'!$G$6:$BC$6,$A50)*SUMIFS('Cover Page'!$H$21:$AJ$21,'Cover Page'!$H$5:$AJ$5,$A50)</f>
        <v>315524860000</v>
      </c>
      <c r="F50" s="211">
        <f>E53</f>
        <v>315524860000</v>
      </c>
      <c r="G50" s="345">
        <f>F53</f>
        <v>302968666612.4624</v>
      </c>
      <c r="H50" s="345">
        <f t="shared" ref="H50" si="333">G53</f>
        <v>289533539687.79712</v>
      </c>
      <c r="I50" s="345">
        <f t="shared" ref="I50" si="334">H53</f>
        <v>275157953878.40527</v>
      </c>
      <c r="J50" s="345">
        <f t="shared" ref="J50" si="335">I53</f>
        <v>259776077062.35605</v>
      </c>
      <c r="K50" s="345">
        <f t="shared" ref="K50" si="336">J53</f>
        <v>243317468869.18332</v>
      </c>
      <c r="L50" s="345">
        <f t="shared" ref="L50" si="337">K53</f>
        <v>225706758102.48853</v>
      </c>
      <c r="M50" s="345">
        <f t="shared" ref="M50" si="338">L53</f>
        <v>206863297582.12509</v>
      </c>
      <c r="N50" s="345">
        <f t="shared" ref="N50" si="339">M53</f>
        <v>186700794825.33621</v>
      </c>
      <c r="O50" s="345">
        <f t="shared" ref="O50" si="340">N53</f>
        <v>165126916875.57211</v>
      </c>
      <c r="P50" s="345">
        <f t="shared" ref="P50" si="341">O53</f>
        <v>142042867469.32452</v>
      </c>
      <c r="Q50" s="345">
        <f t="shared" ref="Q50" si="342">P53</f>
        <v>117342934604.63962</v>
      </c>
      <c r="R50" s="345">
        <f t="shared" ref="R50" si="343">Q53</f>
        <v>90914006439.426758</v>
      </c>
      <c r="S50" s="345">
        <f t="shared" ref="S50" si="344">R53</f>
        <v>62635053302.649002</v>
      </c>
      <c r="T50" s="345">
        <f t="shared" ref="T50" si="345">S53</f>
        <v>32376573446.296806</v>
      </c>
      <c r="U50" s="345"/>
      <c r="V50" s="345"/>
      <c r="W50" s="345"/>
      <c r="X50" s="345"/>
      <c r="Y50" s="345"/>
      <c r="Z50" s="345"/>
      <c r="AA50" s="345"/>
      <c r="AB50" s="345"/>
      <c r="AC50" s="345"/>
      <c r="AD50" s="345"/>
      <c r="AE50" s="345"/>
      <c r="AF50" s="345"/>
      <c r="AG50" s="345"/>
      <c r="AH50" s="345"/>
      <c r="AI50" s="345"/>
    </row>
    <row r="51" spans="1:35" x14ac:dyDescent="0.25">
      <c r="A51" s="348" t="s">
        <v>858</v>
      </c>
      <c r="B51" s="348" t="s">
        <v>542</v>
      </c>
      <c r="C51" s="348" t="str">
        <f t="shared" si="1"/>
        <v>VND</v>
      </c>
      <c r="D51" s="348"/>
      <c r="E51" s="349"/>
      <c r="F51" s="349">
        <f>E53*$E54</f>
        <v>22086740200.000004</v>
      </c>
      <c r="G51" s="349">
        <f t="shared" ref="G51" si="346">F53*$E54</f>
        <v>21207806662.872372</v>
      </c>
      <c r="H51" s="349">
        <f t="shared" ref="H51" si="347">G53*$E54</f>
        <v>20267347778.145802</v>
      </c>
      <c r="I51" s="349">
        <f t="shared" ref="I51" si="348">H53*$E54</f>
        <v>19261056771.488373</v>
      </c>
      <c r="J51" s="349">
        <f t="shared" ref="J51" si="349">I53*$E54</f>
        <v>18184325394.364925</v>
      </c>
      <c r="K51" s="349">
        <f t="shared" ref="K51" si="350">J53*$E54</f>
        <v>17032222820.842834</v>
      </c>
      <c r="L51" s="349">
        <f t="shared" ref="L51" si="351">K53*$E54</f>
        <v>15799473067.174198</v>
      </c>
      <c r="M51" s="349">
        <f t="shared" ref="M51" si="352">L53*$E54</f>
        <v>14480430830.748758</v>
      </c>
      <c r="N51" s="349">
        <f t="shared" ref="N51" si="353">M53*$E54</f>
        <v>13069055637.773537</v>
      </c>
      <c r="O51" s="349">
        <f t="shared" ref="O51" si="354">N53*$E54</f>
        <v>11558884181.290049</v>
      </c>
      <c r="P51" s="349">
        <f t="shared" ref="P51" si="355">O53*$E54</f>
        <v>9943000722.8527184</v>
      </c>
      <c r="Q51" s="349">
        <f t="shared" ref="Q51" si="356">P53*$E54</f>
        <v>8214005422.3247738</v>
      </c>
      <c r="R51" s="349">
        <f t="shared" ref="R51" si="357">Q53*$E54</f>
        <v>6363980450.7598734</v>
      </c>
      <c r="S51" s="349">
        <f t="shared" ref="S51" si="358">R53*$E54</f>
        <v>4384453731.1854305</v>
      </c>
      <c r="T51" s="349">
        <f t="shared" ref="T51" si="359">S53*$E54</f>
        <v>2266360141.2407765</v>
      </c>
      <c r="U51" s="349"/>
      <c r="V51" s="349"/>
      <c r="W51" s="349"/>
      <c r="X51" s="349"/>
      <c r="Y51" s="349"/>
      <c r="Z51" s="349"/>
      <c r="AA51" s="349"/>
      <c r="AB51" s="349"/>
      <c r="AC51" s="349"/>
      <c r="AD51" s="349"/>
      <c r="AE51" s="349"/>
      <c r="AF51" s="349"/>
      <c r="AG51" s="349"/>
      <c r="AH51" s="349"/>
      <c r="AI51" s="349"/>
    </row>
    <row r="52" spans="1:35" x14ac:dyDescent="0.25">
      <c r="A52" s="127" t="s">
        <v>858</v>
      </c>
      <c r="B52" s="127" t="s">
        <v>539</v>
      </c>
      <c r="C52" s="127" t="str">
        <f t="shared" si="1"/>
        <v>VND</v>
      </c>
      <c r="D52" s="127"/>
      <c r="E52" s="127"/>
      <c r="F52" s="211">
        <f>PMT(E54,15,E50)</f>
        <v>-34642933587.537628</v>
      </c>
      <c r="G52" s="211">
        <f>F52</f>
        <v>-34642933587.537628</v>
      </c>
      <c r="H52" s="211">
        <f t="shared" ref="H52" si="360">G52</f>
        <v>-34642933587.537628</v>
      </c>
      <c r="I52" s="211">
        <f t="shared" ref="I52" si="361">H52</f>
        <v>-34642933587.537628</v>
      </c>
      <c r="J52" s="211">
        <f t="shared" ref="J52" si="362">I52</f>
        <v>-34642933587.537628</v>
      </c>
      <c r="K52" s="211">
        <f t="shared" ref="K52" si="363">J52</f>
        <v>-34642933587.537628</v>
      </c>
      <c r="L52" s="211">
        <f t="shared" ref="L52" si="364">K52</f>
        <v>-34642933587.537628</v>
      </c>
      <c r="M52" s="211">
        <f t="shared" ref="M52" si="365">L52</f>
        <v>-34642933587.537628</v>
      </c>
      <c r="N52" s="211">
        <f t="shared" ref="N52" si="366">M52</f>
        <v>-34642933587.537628</v>
      </c>
      <c r="O52" s="211">
        <f t="shared" ref="O52" si="367">N52</f>
        <v>-34642933587.537628</v>
      </c>
      <c r="P52" s="211">
        <f t="shared" ref="P52" si="368">O52</f>
        <v>-34642933587.537628</v>
      </c>
      <c r="Q52" s="211">
        <f t="shared" ref="Q52" si="369">P52</f>
        <v>-34642933587.537628</v>
      </c>
      <c r="R52" s="211">
        <f t="shared" ref="R52" si="370">Q52</f>
        <v>-34642933587.537628</v>
      </c>
      <c r="S52" s="211">
        <f t="shared" ref="S52" si="371">R52</f>
        <v>-34642933587.537628</v>
      </c>
      <c r="T52" s="211">
        <f t="shared" ref="T52" si="372">S52</f>
        <v>-34642933587.537628</v>
      </c>
      <c r="U52" s="211"/>
      <c r="V52" s="211"/>
      <c r="W52" s="211"/>
      <c r="X52" s="211"/>
      <c r="Y52" s="211"/>
      <c r="Z52" s="211"/>
      <c r="AA52" s="211"/>
      <c r="AB52" s="211"/>
      <c r="AC52" s="211"/>
      <c r="AD52" s="211"/>
      <c r="AE52" s="211"/>
      <c r="AF52" s="211"/>
      <c r="AG52" s="211"/>
      <c r="AH52" s="211"/>
      <c r="AI52" s="211"/>
    </row>
    <row r="53" spans="1:35" x14ac:dyDescent="0.25">
      <c r="A53" s="48" t="s">
        <v>858</v>
      </c>
      <c r="B53" s="48" t="s">
        <v>541</v>
      </c>
      <c r="C53" s="48" t="str">
        <f t="shared" si="1"/>
        <v>VND</v>
      </c>
      <c r="D53" s="48"/>
      <c r="E53" s="346">
        <f>E50+E52</f>
        <v>315524860000</v>
      </c>
      <c r="F53" s="346">
        <f>SUM(F50:F52)</f>
        <v>302968666612.4624</v>
      </c>
      <c r="G53" s="346">
        <f t="shared" ref="G53:AI53" si="373">SUM(G50:G52)</f>
        <v>289533539687.79712</v>
      </c>
      <c r="H53" s="346">
        <f t="shared" si="373"/>
        <v>275157953878.40527</v>
      </c>
      <c r="I53" s="346">
        <f t="shared" si="373"/>
        <v>259776077062.35605</v>
      </c>
      <c r="J53" s="346">
        <f t="shared" si="373"/>
        <v>243317468869.18332</v>
      </c>
      <c r="K53" s="346">
        <f t="shared" si="373"/>
        <v>225706758102.48853</v>
      </c>
      <c r="L53" s="346">
        <f t="shared" si="373"/>
        <v>206863297582.12509</v>
      </c>
      <c r="M53" s="346">
        <f t="shared" si="373"/>
        <v>186700794825.33621</v>
      </c>
      <c r="N53" s="346">
        <f t="shared" si="373"/>
        <v>165126916875.57211</v>
      </c>
      <c r="O53" s="346">
        <f t="shared" si="373"/>
        <v>142042867469.32452</v>
      </c>
      <c r="P53" s="346">
        <f t="shared" si="373"/>
        <v>117342934604.63962</v>
      </c>
      <c r="Q53" s="346">
        <f t="shared" si="373"/>
        <v>90914006439.426758</v>
      </c>
      <c r="R53" s="346">
        <f t="shared" si="373"/>
        <v>62635053302.649002</v>
      </c>
      <c r="S53" s="346">
        <f t="shared" si="373"/>
        <v>32376573446.296806</v>
      </c>
      <c r="T53" s="346">
        <f t="shared" si="373"/>
        <v>0</v>
      </c>
      <c r="U53" s="346"/>
      <c r="V53" s="346"/>
      <c r="W53" s="346"/>
      <c r="X53" s="346"/>
      <c r="Y53" s="346"/>
      <c r="Z53" s="346"/>
      <c r="AA53" s="346"/>
      <c r="AB53" s="346"/>
      <c r="AC53" s="346"/>
      <c r="AD53" s="346"/>
      <c r="AE53" s="346"/>
      <c r="AF53" s="346"/>
      <c r="AG53" s="346"/>
      <c r="AH53" s="346"/>
      <c r="AI53" s="346"/>
    </row>
    <row r="54" spans="1:35" x14ac:dyDescent="0.25">
      <c r="A54" s="127" t="s">
        <v>858</v>
      </c>
      <c r="B54" s="127" t="s">
        <v>543</v>
      </c>
      <c r="C54" s="127"/>
      <c r="D54" s="127"/>
      <c r="E54" s="347">
        <f>SUMIFS('Cover Page'!$H$19:$AJ$19,'Cover Page'!$H$5:$AJ$5,$A54)</f>
        <v>7.0000000000000007E-2</v>
      </c>
      <c r="F54" s="345"/>
      <c r="G54" s="345"/>
      <c r="H54" s="345"/>
      <c r="I54" s="345"/>
      <c r="J54" s="345"/>
      <c r="K54" s="345"/>
      <c r="L54" s="345"/>
      <c r="M54" s="345"/>
      <c r="N54" s="345"/>
      <c r="O54" s="345"/>
      <c r="P54" s="345"/>
      <c r="Q54" s="345"/>
      <c r="R54" s="345"/>
      <c r="S54" s="345"/>
      <c r="T54" s="345"/>
      <c r="U54" s="345"/>
      <c r="V54" s="345"/>
      <c r="W54" s="345"/>
      <c r="X54" s="345"/>
      <c r="Y54" s="345"/>
      <c r="Z54" s="345"/>
      <c r="AA54" s="345"/>
      <c r="AB54" s="345"/>
      <c r="AC54" s="345"/>
      <c r="AD54" s="345"/>
      <c r="AE54" s="345"/>
      <c r="AF54" s="345"/>
      <c r="AG54" s="345"/>
      <c r="AH54" s="345"/>
      <c r="AI54" s="345"/>
    </row>
    <row r="57" spans="1:35" x14ac:dyDescent="0.25">
      <c r="E57"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39C1-684B-4E1E-9E16-2C73C91DEF79}">
  <dimension ref="A1"/>
  <sheetViews>
    <sheetView showGridLines="0" workbookViewId="0">
      <selection activeCell="C32" sqref="C32"/>
    </sheetView>
  </sheetViews>
  <sheetFormatPr defaultRowHeight="15" x14ac:dyDescent="0.25"/>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5476-76D4-4EF3-AB52-02F3A20ECAA5}">
  <dimension ref="A1:E5"/>
  <sheetViews>
    <sheetView showGridLines="0" zoomScale="205" zoomScaleNormal="205" workbookViewId="0">
      <pane xSplit="3" ySplit="1" topLeftCell="D2" activePane="bottomRight" state="frozen"/>
      <selection activeCell="C32" sqref="C32"/>
      <selection pane="topRight" activeCell="C32" sqref="C32"/>
      <selection pane="bottomLeft" activeCell="C32" sqref="C32"/>
      <selection pane="bottomRight" activeCell="C32" sqref="C32"/>
    </sheetView>
  </sheetViews>
  <sheetFormatPr defaultRowHeight="15" x14ac:dyDescent="0.25"/>
  <cols>
    <col min="1" max="1" width="9.75" customWidth="1"/>
    <col min="2" max="2" width="9.75" style="20" customWidth="1"/>
    <col min="3" max="3" width="10.625" customWidth="1"/>
    <col min="4" max="4" width="14.875" customWidth="1"/>
    <col min="5" max="5" width="15.25" customWidth="1"/>
    <col min="6" max="6" width="11.625" customWidth="1"/>
  </cols>
  <sheetData>
    <row r="1" spans="1:5" x14ac:dyDescent="0.25">
      <c r="B1" s="867" t="s">
        <v>2</v>
      </c>
      <c r="C1" s="866" t="s">
        <v>740</v>
      </c>
      <c r="D1" s="867" t="s">
        <v>738</v>
      </c>
      <c r="E1" s="867" t="s">
        <v>739</v>
      </c>
    </row>
    <row r="2" spans="1:5" s="868" customFormat="1" ht="12.75" customHeight="1" x14ac:dyDescent="0.25">
      <c r="B2" s="869"/>
      <c r="D2" s="869" t="s">
        <v>741</v>
      </c>
      <c r="E2" s="869" t="s">
        <v>741</v>
      </c>
    </row>
    <row r="3" spans="1:5" x14ac:dyDescent="0.25">
      <c r="B3" s="870">
        <v>1</v>
      </c>
      <c r="C3" s="871" t="s">
        <v>737</v>
      </c>
      <c r="D3" s="870">
        <v>715</v>
      </c>
      <c r="E3" s="870">
        <v>728</v>
      </c>
    </row>
    <row r="4" spans="1:5" x14ac:dyDescent="0.25">
      <c r="A4" s="865">
        <v>45948</v>
      </c>
      <c r="B4" s="872">
        <v>2</v>
      </c>
      <c r="C4" s="873" t="s">
        <v>719</v>
      </c>
      <c r="D4" s="872"/>
      <c r="E4" s="872">
        <v>739</v>
      </c>
    </row>
    <row r="5" spans="1:5" x14ac:dyDescent="0.25">
      <c r="A5" s="865">
        <v>45714</v>
      </c>
      <c r="B5" s="872">
        <v>3</v>
      </c>
      <c r="C5" s="873" t="s">
        <v>720</v>
      </c>
      <c r="D5" s="872"/>
      <c r="E5" s="872">
        <v>719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A98D3-A713-4961-A1E3-98F915F77D84}">
  <dimension ref="A1:E27"/>
  <sheetViews>
    <sheetView showGridLines="0" zoomScale="250" zoomScaleNormal="250" workbookViewId="0">
      <selection activeCell="N27" sqref="N27"/>
    </sheetView>
  </sheetViews>
  <sheetFormatPr defaultRowHeight="15" zeroHeight="1" x14ac:dyDescent="0.25"/>
  <cols>
    <col min="1" max="1" width="12" bestFit="1" customWidth="1"/>
    <col min="3" max="3" width="14.375" customWidth="1"/>
  </cols>
  <sheetData>
    <row r="1" spans="1:5" x14ac:dyDescent="0.25"/>
    <row r="2" spans="1:5" x14ac:dyDescent="0.25">
      <c r="A2" t="s">
        <v>456</v>
      </c>
      <c r="C2" s="1" t="s">
        <v>632</v>
      </c>
    </row>
    <row r="3" spans="1:5" x14ac:dyDescent="0.25">
      <c r="A3" t="s">
        <v>380</v>
      </c>
    </row>
    <row r="4" spans="1:5" x14ac:dyDescent="0.25">
      <c r="A4" t="s">
        <v>129</v>
      </c>
      <c r="E4" s="127" t="s">
        <v>552</v>
      </c>
    </row>
    <row r="5" spans="1:5" x14ac:dyDescent="0.25">
      <c r="E5" s="357" t="s">
        <v>553</v>
      </c>
    </row>
    <row r="6" spans="1:5" x14ac:dyDescent="0.25">
      <c r="A6" s="264" t="s">
        <v>457</v>
      </c>
    </row>
    <row r="7" spans="1:5" x14ac:dyDescent="0.25">
      <c r="A7" s="265" t="s">
        <v>129</v>
      </c>
    </row>
    <row r="8" spans="1:5" x14ac:dyDescent="0.25">
      <c r="A8" s="265" t="s">
        <v>458</v>
      </c>
    </row>
    <row r="9" spans="1:5" x14ac:dyDescent="0.25"/>
    <row r="10" spans="1:5" x14ac:dyDescent="0.25"/>
    <row r="11" spans="1:5" x14ac:dyDescent="0.25"/>
    <row r="12" spans="1:5" x14ac:dyDescent="0.25"/>
    <row r="13" spans="1:5" x14ac:dyDescent="0.25"/>
    <row r="14" spans="1:5" x14ac:dyDescent="0.25"/>
    <row r="15" spans="1:5" x14ac:dyDescent="0.25"/>
    <row r="16" spans="1:5" s="340" customFormat="1" ht="15.75" thickBot="1" x14ac:dyDescent="0.3"/>
    <row r="18" spans="1:3" hidden="1" x14ac:dyDescent="0.25">
      <c r="A18" s="401" t="s">
        <v>577</v>
      </c>
    </row>
    <row r="20" spans="1:3" hidden="1" x14ac:dyDescent="0.25">
      <c r="A20" s="321" t="s">
        <v>578</v>
      </c>
      <c r="B20" s="402">
        <v>1</v>
      </c>
      <c r="C20" t="s">
        <v>579</v>
      </c>
    </row>
    <row r="22" spans="1:3" hidden="1" x14ac:dyDescent="0.25">
      <c r="A22" s="403" t="s">
        <v>580</v>
      </c>
    </row>
    <row r="23" spans="1:3" hidden="1" x14ac:dyDescent="0.25">
      <c r="A23" t="s">
        <v>367</v>
      </c>
      <c r="B23" s="15">
        <f>'W4'!AE15</f>
        <v>494.278364008815</v>
      </c>
    </row>
    <row r="25" spans="1:3" hidden="1" x14ac:dyDescent="0.25">
      <c r="A25" s="211"/>
      <c r="B25" s="211">
        <f>B23</f>
        <v>494.278364008815</v>
      </c>
    </row>
    <row r="26" spans="1:3" hidden="1" x14ac:dyDescent="0.25">
      <c r="A26" s="211">
        <v>0</v>
      </c>
      <c r="B26" s="211">
        <f t="dataTable" ref="B26:B27" dt2D="0" dtr="0" r1="B20"/>
        <v>494.278364008815</v>
      </c>
    </row>
    <row r="27" spans="1:3" hidden="1" x14ac:dyDescent="0.25">
      <c r="A27" s="211">
        <v>1</v>
      </c>
      <c r="B27" s="211">
        <v>494.278364008815</v>
      </c>
    </row>
  </sheetData>
  <pageMargins left="0.7" right="0.7" top="0.75" bottom="0.75" header="0.3" footer="0.3"/>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B5FD-39E8-48FF-A129-E77437C2AAC0}">
  <dimension ref="A1:F8"/>
  <sheetViews>
    <sheetView showGridLines="0" topLeftCell="F14" zoomScale="250" zoomScaleNormal="250" workbookViewId="0">
      <selection activeCell="I22" sqref="I22"/>
    </sheetView>
  </sheetViews>
  <sheetFormatPr defaultRowHeight="15" x14ac:dyDescent="0.25"/>
  <cols>
    <col min="1" max="1" width="14.75" bestFit="1" customWidth="1"/>
    <col min="2" max="2" width="11.75" bestFit="1" customWidth="1"/>
    <col min="3" max="3" width="9.375" bestFit="1" customWidth="1"/>
    <col min="4" max="4" width="9.375" customWidth="1"/>
    <col min="5" max="5" width="25.125" bestFit="1" customWidth="1"/>
    <col min="8" max="8" width="14.75" bestFit="1" customWidth="1"/>
    <col min="9" max="9" width="11.75" bestFit="1" customWidth="1"/>
  </cols>
  <sheetData>
    <row r="1" spans="1:6" s="1" customFormat="1" x14ac:dyDescent="0.25">
      <c r="A1" s="414" t="s">
        <v>594</v>
      </c>
      <c r="B1" s="415" t="s">
        <v>587</v>
      </c>
      <c r="C1" s="415" t="s">
        <v>588</v>
      </c>
      <c r="D1" s="419" t="s">
        <v>595</v>
      </c>
    </row>
    <row r="2" spans="1:6" x14ac:dyDescent="0.25">
      <c r="A2" t="s">
        <v>303</v>
      </c>
      <c r="B2" s="263">
        <v>18.76024964847619</v>
      </c>
      <c r="C2" s="263">
        <v>22.765439927017031</v>
      </c>
      <c r="D2" s="263">
        <f>C2-B2</f>
        <v>4.0051902785408409</v>
      </c>
      <c r="E2" t="s">
        <v>589</v>
      </c>
      <c r="F2" s="70"/>
    </row>
    <row r="3" spans="1:6" x14ac:dyDescent="0.25">
      <c r="A3" t="s">
        <v>190</v>
      </c>
      <c r="B3" s="263">
        <v>92.16188524590163</v>
      </c>
      <c r="C3" s="263">
        <v>89.336577868852387</v>
      </c>
      <c r="D3" s="263"/>
      <c r="E3" t="s">
        <v>590</v>
      </c>
    </row>
    <row r="4" spans="1:6" x14ac:dyDescent="0.25">
      <c r="A4" t="s">
        <v>304</v>
      </c>
      <c r="B4" s="263">
        <v>52.855738313122238</v>
      </c>
      <c r="C4" s="263">
        <v>59.642448123382181</v>
      </c>
      <c r="D4" s="263"/>
      <c r="E4" t="s">
        <v>591</v>
      </c>
    </row>
    <row r="5" spans="1:6" x14ac:dyDescent="0.25">
      <c r="A5" t="s">
        <v>305</v>
      </c>
      <c r="B5" s="263">
        <v>26.198630136986303</v>
      </c>
      <c r="C5" s="263">
        <v>28.331003289473681</v>
      </c>
      <c r="D5" s="263"/>
      <c r="E5" t="s">
        <v>591</v>
      </c>
    </row>
    <row r="6" spans="1:6" x14ac:dyDescent="0.25">
      <c r="A6" t="s">
        <v>181</v>
      </c>
      <c r="B6" s="263">
        <v>61.754674292490357</v>
      </c>
      <c r="C6" s="263">
        <v>55.727520840597982</v>
      </c>
      <c r="D6" s="263"/>
      <c r="E6" t="s">
        <v>592</v>
      </c>
    </row>
    <row r="7" spans="1:6" ht="15.75" thickBot="1" x14ac:dyDescent="0.3">
      <c r="A7" t="s">
        <v>307</v>
      </c>
      <c r="B7" s="263">
        <v>11.666666666666666</v>
      </c>
      <c r="C7" s="263">
        <v>12.25</v>
      </c>
      <c r="D7" s="263"/>
      <c r="E7" t="s">
        <v>591</v>
      </c>
    </row>
    <row r="8" spans="1:6" ht="15.75" thickBot="1" x14ac:dyDescent="0.3">
      <c r="A8" s="416" t="s">
        <v>593</v>
      </c>
      <c r="B8" s="417">
        <f>SUM(B2:B7)</f>
        <v>263.39784430364341</v>
      </c>
      <c r="C8" s="417">
        <f>SUM(C2:C7)</f>
        <v>268.05299004932323</v>
      </c>
      <c r="D8" s="418"/>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EAB9-83E5-4B7F-9E06-F45A2F9082F1}">
  <dimension ref="A1"/>
  <sheetViews>
    <sheetView showGridLines="0" topLeftCell="A11" zoomScale="235" zoomScaleNormal="235" workbookViewId="0">
      <selection activeCell="I22" sqref="I2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29</vt:i4>
      </vt:variant>
    </vt:vector>
  </HeadingPairs>
  <TitlesOfParts>
    <vt:vector size="64" baseType="lpstr">
      <vt:lpstr>Timeline</vt:lpstr>
      <vt:lpstr>&gt;&gt;PowerPoint</vt:lpstr>
      <vt:lpstr>Trình bày giả định</vt:lpstr>
      <vt:lpstr>W1-Trình bày</vt:lpstr>
      <vt:lpstr>USD.Tấn</vt:lpstr>
      <vt:lpstr>VND.Phôi</vt:lpstr>
      <vt:lpstr>Sheet3</vt:lpstr>
      <vt:lpstr>Sheet4</vt:lpstr>
      <vt:lpstr>Sheet2</vt:lpstr>
      <vt:lpstr>||</vt:lpstr>
      <vt:lpstr>Summary</vt:lpstr>
      <vt:lpstr>Cover Page</vt:lpstr>
      <vt:lpstr>W1</vt:lpstr>
      <vt:lpstr>W2</vt:lpstr>
      <vt:lpstr>W3</vt:lpstr>
      <vt:lpstr>W4</vt:lpstr>
      <vt:lpstr>W5</vt:lpstr>
      <vt:lpstr>W6 - Operating cost</vt:lpstr>
      <vt:lpstr>W6 - Preform cost</vt:lpstr>
      <vt:lpstr>W6 - Early Termination</vt:lpstr>
      <vt:lpstr>1st Quote</vt:lpstr>
      <vt:lpstr>2nd Quote</vt:lpstr>
      <vt:lpstr>So sánh</vt:lpstr>
      <vt:lpstr>&gt;A. Vũ</vt:lpstr>
      <vt:lpstr>CAPEX</vt:lpstr>
      <vt:lpstr>SX</vt:lpstr>
      <vt:lpstr>&gt;Chị Tâm</vt:lpstr>
      <vt:lpstr>Thông tin</vt:lpstr>
      <vt:lpstr>Sơ đồ</vt:lpstr>
      <vt:lpstr>Lãi vay</vt:lpstr>
      <vt:lpstr>Dylan-Note</vt:lpstr>
      <vt:lpstr>Milestone</vt:lpstr>
      <vt:lpstr>MD</vt:lpstr>
      <vt:lpstr>Sheet1</vt:lpstr>
      <vt:lpstr>Họp Hảo</vt:lpstr>
      <vt:lpstr>Capacity</vt:lpstr>
      <vt:lpstr>Currency</vt:lpstr>
      <vt:lpstr>EXR</vt:lpstr>
      <vt:lpstr>Inflation</vt:lpstr>
      <vt:lpstr>Opt1_WACC</vt:lpstr>
      <vt:lpstr>Opt10_CAPEX</vt:lpstr>
      <vt:lpstr>Opt10_CPSX</vt:lpstr>
      <vt:lpstr>Opt2_CAPEX</vt:lpstr>
      <vt:lpstr>Opt2_CPSX</vt:lpstr>
      <vt:lpstr>Opt2_EXW</vt:lpstr>
      <vt:lpstr>Opt2_WACC</vt:lpstr>
      <vt:lpstr>Opt3_CAPEX</vt:lpstr>
      <vt:lpstr>Opt3_CPSX</vt:lpstr>
      <vt:lpstr>Opt3_WACC</vt:lpstr>
      <vt:lpstr>Opt4_CAPEX</vt:lpstr>
      <vt:lpstr>Opt4_CPSX</vt:lpstr>
      <vt:lpstr>Opt5_CAPEX</vt:lpstr>
      <vt:lpstr>Opt5_CPSX</vt:lpstr>
      <vt:lpstr>Opt6_CAPEX</vt:lpstr>
      <vt:lpstr>Opt6_CPSX</vt:lpstr>
      <vt:lpstr>Opt7_CAPEX</vt:lpstr>
      <vt:lpstr>Opt7_CPSX</vt:lpstr>
      <vt:lpstr>Opt8_CAPEX</vt:lpstr>
      <vt:lpstr>Opt8_CPSX</vt:lpstr>
      <vt:lpstr>Opt9_CAPEX</vt:lpstr>
      <vt:lpstr>Opt9_CPSX</vt:lpstr>
      <vt:lpstr>PHOI_KG</vt:lpstr>
      <vt:lpstr>Tax_rate</vt:lpstr>
      <vt:lpstr>WACC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Hoàng Duy</dc:creator>
  <cp:lastModifiedBy>Danh, Hoàng Duy</cp:lastModifiedBy>
  <dcterms:created xsi:type="dcterms:W3CDTF">2024-09-16T07:51:55Z</dcterms:created>
  <dcterms:modified xsi:type="dcterms:W3CDTF">2025-12-25T09:36:11Z</dcterms:modified>
</cp:coreProperties>
</file>